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5.xml" ContentType="application/vnd.openxmlformats-officedocument.drawing+xml"/>
  <Override PartName="/xl/charts/chart6.xml" ContentType="application/vnd.openxmlformats-officedocument.drawingml.chart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trlProps/ctrlProp4.xml" ContentType="application/vnd.ms-excel.controlproperties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omments1.xml" ContentType="application/vnd.openxmlformats-officedocument.spreadsheetml.comments+xml"/>
  <Override PartName="/xl/drawings/drawing20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1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2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26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d66a9263ee440e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gar.bansal\Box Sync\sagar.bansal\Pepsi\Digital Excel Model\Latest Sim and Feedbacks\"/>
    </mc:Choice>
  </mc:AlternateContent>
  <bookViews>
    <workbookView xWindow="0" yWindow="0" windowWidth="11970" windowHeight="4470" tabRatio="929" firstSheet="31" activeTab="31"/>
  </bookViews>
  <sheets>
    <sheet name="Notes" sheetId="40" r:id="rId1"/>
    <sheet name="InBevRemaining" sheetId="34" r:id="rId2"/>
    <sheet name="_tlOutputNamer" sheetId="71" r:id="rId3"/>
    <sheet name="ImportExportCSV" sheetId="69" r:id="rId4"/>
    <sheet name="obal_csv_export" sheetId="70" r:id="rId5"/>
    <sheet name="TestAuto" sheetId="73" r:id="rId6"/>
    <sheet name="Controls" sheetId="5" r:id="rId7"/>
    <sheet name="toolAnalyVision" sheetId="66" r:id="rId8"/>
    <sheet name="toolGoals" sheetId="67" r:id="rId9"/>
    <sheet name="toolStrategy" sheetId="68" r:id="rId10"/>
    <sheet name="toolIntro" sheetId="20" r:id="rId11"/>
    <sheet name="toolPNL" sheetId="36" r:id="rId12"/>
    <sheet name="toolPNLRegionA" sheetId="43" r:id="rId13"/>
    <sheet name="toolPNLRegionB" sheetId="45" r:id="rId14"/>
    <sheet name="toolBalSheet" sheetId="14" r:id="rId15"/>
    <sheet name="toolCashFlow" sheetId="15" r:id="rId16"/>
    <sheet name="toolROIC" sheetId="38" r:id="rId17"/>
    <sheet name="toolROIC_Two" sheetId="46" r:id="rId18"/>
    <sheet name="toolDecSummary" sheetId="39" r:id="rId19"/>
    <sheet name="DataValidation" sheetId="72" r:id="rId20"/>
    <sheet name="toolVetera" sheetId="57" r:id="rId21"/>
    <sheet name="toolEscendia" sheetId="60" r:id="rId22"/>
    <sheet name="toolRnD" sheetId="55" r:id="rId23"/>
    <sheet name="toolOps" sheetId="54" r:id="rId24"/>
    <sheet name="toolGSS" sheetId="53" r:id="rId25"/>
    <sheet name="toolPrograms" sheetId="52" r:id="rId26"/>
    <sheet name="toolTEMPLATE" sheetId="61" r:id="rId27"/>
    <sheet name="obal" sheetId="1" r:id="rId28"/>
    <sheet name="cbal" sheetId="2" r:id="rId29"/>
    <sheet name="fin" sheetId="6" r:id="rId30"/>
    <sheet name="dec" sheetId="3" r:id="rId31"/>
    <sheet name="cap" sheetId="19" r:id="rId32"/>
    <sheet name="adj" sheetId="7" r:id="rId33"/>
    <sheet name="param" sheetId="4" r:id="rId34"/>
    <sheet name="analysis" sheetId="18" r:id="rId35"/>
    <sheet name="ReportCompetitor" sheetId="64" r:id="rId36"/>
    <sheet name="Fix_List" sheetId="63" r:id="rId37"/>
    <sheet name="satIndex" sheetId="33" r:id="rId38"/>
    <sheet name="toolGraphData" sheetId="31" r:id="rId39"/>
    <sheet name="Iniative_Grid" sheetId="51" r:id="rId40"/>
    <sheet name="DataPage" sheetId="8" r:id="rId41"/>
    <sheet name="mmProd1" sheetId="10" r:id="rId42"/>
    <sheet name="mmProd2" sheetId="26" r:id="rId43"/>
    <sheet name="mmProd3" sheetId="27" r:id="rId44"/>
    <sheet name="mmProd4" sheetId="28" r:id="rId45"/>
    <sheet name="mmProd5" sheetId="29" r:id="rId46"/>
    <sheet name="mmProd6" sheetId="30" r:id="rId47"/>
    <sheet name="feedback" sheetId="11" r:id="rId48"/>
    <sheet name="feedbackTS" sheetId="12" r:id="rId49"/>
  </sheets>
  <functionGroups builtInGroupCount="18"/>
  <definedNames>
    <definedName name="_xlnm._FilterDatabase" localSheetId="32" hidden="1">adj!$B$2:$I$1126</definedName>
    <definedName name="_xlnm._FilterDatabase" localSheetId="29" hidden="1">fin!$C$416:$C$462</definedName>
    <definedName name="_xlnm._FilterDatabase" localSheetId="36" hidden="1">Fix_List!$A$1:$D$103</definedName>
    <definedName name="_Order1" hidden="1">255</definedName>
    <definedName name="_Order2" hidden="1">255</definedName>
    <definedName name="_tlOutputNamer_Color">_tlOutputNamer!$E$18</definedName>
    <definedName name="_tlOutputNamer_ScreenName">_tlOutputNamer!$E$16</definedName>
    <definedName name="_tlOutputNamer_SheetPre">_tlOutputNamer!$E$14</definedName>
    <definedName name="analyAverageScore">analysis!$E$38:$I$38</definedName>
    <definedName name="analyrank">feedbackTS!$E$469:$I$469</definedName>
    <definedName name="analyROIC">analysis!$E$23:$I$23</definedName>
    <definedName name="Analysis" localSheetId="35">ReportCompetitor!$A$1:$K$203</definedName>
    <definedName name="Analysis">analysis!$A$1:$K$893</definedName>
    <definedName name="AnalysisDisruptAvgVol">analysis!$K$66</definedName>
    <definedName name="AnalysisDisruptivesBegin">analysis!$A$181</definedName>
    <definedName name="analysisRevRangeAdjust">analysis!$K$31</definedName>
    <definedName name="analysisROICadjust">analysis!$K$32</definedName>
    <definedName name="analysisSustAdjust">analysis!$K$33</definedName>
    <definedName name="AReporttoolBalSheet">toolBalSheet!$B$2:$S$26</definedName>
    <definedName name="AReporttoolCashFlow">toolCashFlow!$B$2:$J$46</definedName>
    <definedName name="AReporttoolCompetitor">ReportCompetitor!$A$1:$K$292</definedName>
    <definedName name="AReporttoolDecSummary">toolDecSummary!$B$2:$N$100</definedName>
    <definedName name="AReporttoolEscendia">toolEscendia!$B$48:$Q$85</definedName>
    <definedName name="AReporttoolGSS">toolGSS!$B$47:$O$78</definedName>
    <definedName name="AReporttoolOps">toolOps!$B$41:$P$97</definedName>
    <definedName name="AReporttoolPNL">toolPNL!$B$3:$P$93</definedName>
    <definedName name="AReporttoolPNLLower">toolPNLRegionA!$B$3:$P$65</definedName>
    <definedName name="AReporttoolPNLUpper">toolPNLRegionB!$B$3:$P$65</definedName>
    <definedName name="AReporttoolPrograms">toolPrograms!$A$41:$O$75</definedName>
    <definedName name="AReporttoolRnD">toolRnD!$B$36:$R$100</definedName>
    <definedName name="AReporttoolVetera">toolVetera!$B$48:$Q$85</definedName>
    <definedName name="capACQrnd">cap!$E$168:$I$168</definedName>
    <definedName name="capBKTHrnd">cap!$E$166:$I$166</definedName>
    <definedName name="capChanCustMTUs">cap!$E$546:$I$546</definedName>
    <definedName name="capChanPenMTUs">cap!$E$547:$I$547</definedName>
    <definedName name="capCostPerHL">cap!$E$636:$I$636</definedName>
    <definedName name="capCSDRnD">cap!$E$155:$I$155</definedName>
    <definedName name="capDisrupt1">cap!$E$738:$I$738</definedName>
    <definedName name="capDisrupt2">cap!$E$739:$I$739</definedName>
    <definedName name="capDisruptRnD">cap!$E$158:$I$158</definedName>
    <definedName name="capDividendAmount">cap!$E$766:$I$766</definedName>
    <definedName name="capDSRPrnd">cap!$E$167:$I$167</definedName>
    <definedName name="capEBIT">cap!$E$634:$I$634</definedName>
    <definedName name="capEmp10Att">cap!$E$565:$I$565</definedName>
    <definedName name="capEmp10Begin">cap!$E$562:$I$562</definedName>
    <definedName name="capEmp10End">cap!$E$567:$I$567</definedName>
    <definedName name="capEmp10Expense">cap!$E$570:$I$570</definedName>
    <definedName name="capEmp10Recruit">cap!$E$563:$I$563</definedName>
    <definedName name="capEmp10req">cap!$E$560:$I$560</definedName>
    <definedName name="capEmp1AdminExp">cap!$E$320:$I$320</definedName>
    <definedName name="capEmp1AllocProd1">cap!$E$323:$I$323</definedName>
    <definedName name="capEmp1AllocProd2">cap!$E$324:$I$324</definedName>
    <definedName name="capEmp1AllocProd3">cap!$E$325:$I$325</definedName>
    <definedName name="capEmp1AllocProd4">cap!$E$326:$I$326</definedName>
    <definedName name="capEmp1Att">cap!$E$303:$I$303</definedName>
    <definedName name="capEmp1Change">cap!$E$762:$I$762</definedName>
    <definedName name="capEmp1End">cap!$E$304:$I$304</definedName>
    <definedName name="capEmp1ExCapCost">cap!$E$317:$I$317</definedName>
    <definedName name="capEmp1Exp">cap!$E$316:$I$316</definedName>
    <definedName name="capEmp1OTCost">cap!$E$315:$I$315</definedName>
    <definedName name="capEmp1RecDismExp">cap!$E$319:$I$319</definedName>
    <definedName name="capEmp1Req">cap!$E$311:$I$311</definedName>
    <definedName name="capEmp1Utiliz">cap!$E$313:$I$313</definedName>
    <definedName name="capEmp2AdminExp">cap!$E$380:$I$380</definedName>
    <definedName name="capEmp2AllocProd1">cap!$E$383:$I$383</definedName>
    <definedName name="capEmp2AllocProd2">cap!$E$384:$I$384</definedName>
    <definedName name="capEmp2AllocProd3">cap!$E$385:$I$385</definedName>
    <definedName name="capEmp2AllocProd4">cap!$E$386:$I$386</definedName>
    <definedName name="capEmp2Att">cap!$E$363:$I$363</definedName>
    <definedName name="capEmp2Change">cap!$E$763:$I$763</definedName>
    <definedName name="capEmp2End">cap!$E$364:$I$364</definedName>
    <definedName name="capEmp2ExCapCost">cap!$E$377:$I$377</definedName>
    <definedName name="capEmp2Exp">cap!$E$376:$I$376</definedName>
    <definedName name="capEmp2OTCost">cap!$E$375:$I$375</definedName>
    <definedName name="capEmp2RecDismExp">cap!$E$379:$I$379</definedName>
    <definedName name="capEmp2Utiliz">cap!$E$373:$I$373</definedName>
    <definedName name="capEmp3Att">cap!$E$417:$I$417</definedName>
    <definedName name="capEmp3Change">cap!$E$764:$I$764</definedName>
    <definedName name="capEmp3End">cap!$E$418:$I$418</definedName>
    <definedName name="capEmp3HoursAvail">cap!$E$419:$I$419</definedName>
    <definedName name="capEmp3Utiliz">cap!$E$427:$I$427</definedName>
    <definedName name="capEmpDevMTUs">cap!$E$555:$I$555</definedName>
    <definedName name="capInitsMTUs">cap!$E$557:$I$557</definedName>
    <definedName name="capInnov1">cap!$E$771:$I$771</definedName>
    <definedName name="capInnov1Cost">cap!$E$145:$I$145</definedName>
    <definedName name="capInnov2">cap!$E$772:$I$772</definedName>
    <definedName name="capInnov2Cost">cap!$E$146:$I$146</definedName>
    <definedName name="capInnov3">cap!$E$773:$I$773</definedName>
    <definedName name="capInnov3Cost">cap!$E$147:$I$147</definedName>
    <definedName name="capInnov4">cap!$E$774:$I$774</definedName>
    <definedName name="capInnov4Cost">cap!$E$148:$I$148</definedName>
    <definedName name="capITinvestMTUs">cap!$E$556:$I$556</definedName>
    <definedName name="capLTDebtChange">cap!$E$765:$I$765</definedName>
    <definedName name="capNCBRnD">cap!$E$156:$I$156</definedName>
    <definedName name="capPlant1AllocProd1">cap!$E$245:$I$245</definedName>
    <definedName name="capPlant1AllocProd21">cap!$E$246:$I$246</definedName>
    <definedName name="capPlant1AllocProd22">cap!$E$247:$I$247</definedName>
    <definedName name="capPlant1AllocProd3">cap!$E$248:$I$248</definedName>
    <definedName name="capPlant1AllocProd4">cap!$E$249:$I$249</definedName>
    <definedName name="capPlant1CapitalLoss">cap!$E$228:$I$228</definedName>
    <definedName name="capPlant1CapitalMaint">cap!$E$231:$I$231</definedName>
    <definedName name="capPlant1Depreciation">cap!$E$270:$I$270</definedName>
    <definedName name="capPlant1Divestment">cap!$E$227:$I$227</definedName>
    <definedName name="capPlant1DivestmentRevenue">cap!$E$227:$I$227</definedName>
    <definedName name="capPlant1DivestmentValue">cap!$E$226:$I$226</definedName>
    <definedName name="capPlant1ExCapDepreciation">cap!$E$273:$I$273</definedName>
    <definedName name="capPlant1HoursAvail">cap!$E$224:$I$224</definedName>
    <definedName name="capPlant1HoursReq">cap!$E$217:$I$217</definedName>
    <definedName name="capPlant1InEffDepreciation">cap!$E$272:$I$272</definedName>
    <definedName name="capPlant1Investment">cap!$E$233:$I$233</definedName>
    <definedName name="capPlant1InvestmentNew">cap!$E$230:$I$230</definedName>
    <definedName name="capPlant1Leasing">cap!$E$236:$I$236</definedName>
    <definedName name="capPlant1MachCost">cap!$E$235:$I$235</definedName>
    <definedName name="capPlant1MachExCapCost">cap!$E$238:$I$238</definedName>
    <definedName name="capPlant1MachInEffCost">cap!$E$237:$I$237</definedName>
    <definedName name="capPlant1Prod21HoursReq">cap!$E$207:$I$207</definedName>
    <definedName name="capPlant1Prod22HoursReq">cap!$E$210:$I$210</definedName>
    <definedName name="capPlant1Reg1Alloc">cap!$E$241:$I$241</definedName>
    <definedName name="capPlant1Reg1HoursReq">cap!$E$214:$I$214</definedName>
    <definedName name="capPlant1Reg2Alloc">cap!$E$242:$I$242</definedName>
    <definedName name="capPlant1Reg2HoursReq">cap!$E$215:$I$215</definedName>
    <definedName name="capPlant1UnitsAvail">cap!$E$223:$I$223</definedName>
    <definedName name="capPlant1UnitsChange">cap!$E$761:$I$761</definedName>
    <definedName name="capPlant1UnitsEnd">cap!$E$222:$I$222</definedName>
    <definedName name="capPlant1UpgradeCost">cap!$E$229:$I$229</definedName>
    <definedName name="capPlant1Utiliz">cap!$E$225:$I$225</definedName>
    <definedName name="capPlantCapMTUs">cap!$E$552:$I$552</definedName>
    <definedName name="capPlantFlexMTUs">cap!$E$553:$I$553</definedName>
    <definedName name="capProd1Adv">cap!$E$720:$I$720</definedName>
    <definedName name="capProd1AdvR2">cap!$E$721:$I$721</definedName>
    <definedName name="capProd1COGSPUnitDep">cap!$E$282:$I$282</definedName>
    <definedName name="capProd1COGSPUnitMat">cap!$E$175:$I$175</definedName>
    <definedName name="capProd1COGSPUnitPlant1">cap!$E$259:$I$259</definedName>
    <definedName name="capProd1CostPUnitEmp1">cap!$E$355:$I$355</definedName>
    <definedName name="capProd1CostPUnitEmp2">cap!$E$409:$I$409</definedName>
    <definedName name="capProd1Depreciation">cap!$E$275:$I$275</definedName>
    <definedName name="capProd1Emp1AdminExp">cap!$E$342:$I$342</definedName>
    <definedName name="capProd1Emp1ChanLevelRamp">cap!$E$348:$I$348</definedName>
    <definedName name="capProd1Emp1RecDismExp">cap!$E$336:$I$336</definedName>
    <definedName name="capProd1Emp1SalExp">cap!$E$330:$I$330</definedName>
    <definedName name="capProd1Emp2AdminExp">cap!$E$402:$I$402</definedName>
    <definedName name="capProd1Emp2RecDismExp">cap!$E$396:$I$396</definedName>
    <definedName name="capProd1Emp2SalExp">cap!$E$390:$I$390</definedName>
    <definedName name="capProd1Ftr4Level">cap!$E$719:$I$719</definedName>
    <definedName name="capProd1Promo">cap!$E$722:$I$722</definedName>
    <definedName name="capProd1PromoR2">cap!$E$723:$I$723</definedName>
    <definedName name="capProd1Reg1Price">cap!$E$715:$I$715</definedName>
    <definedName name="capProd1Reg1Units">cap!$E$717:$I$717</definedName>
    <definedName name="capProd1Reg2Price">cap!$E$716:$I$716</definedName>
    <definedName name="capProd1Reg2Units">cap!$E$718:$I$718</definedName>
    <definedName name="capProd1WhatIfUnits">cap!$E$767:$I$767</definedName>
    <definedName name="capProd21COGSPUnitDep">cap!$E$283:$I$283</definedName>
    <definedName name="capProd21COGSPUnitMat">cap!$E$178:$I$178</definedName>
    <definedName name="capProd21COGSPUnitPlant1">cap!$E$260:$I$260</definedName>
    <definedName name="capProd21Depreciation">cap!$E$276:$I$276</definedName>
    <definedName name="capProd22COGSPUnitDep">cap!$E$284:$I$284</definedName>
    <definedName name="capProd22COGSPUnitMat">cap!$E$179:$I$179</definedName>
    <definedName name="capProd22COGSPUnitPlant1">cap!$E$261:$I$261</definedName>
    <definedName name="capProd22Depreciation">cap!$E$277:$I$277</definedName>
    <definedName name="capProd2Adv">cap!$E$734:$I$734</definedName>
    <definedName name="capProd2Adv2">cap!$E$735:$I$735</definedName>
    <definedName name="capProd2Brand">cap!$E$733:$I$733</definedName>
    <definedName name="capProd2COGSPUnitMat">cap!$E$181:$I$181</definedName>
    <definedName name="capProd2CostPUnitEmp1">cap!$E$356:$I$356</definedName>
    <definedName name="capProd2CostPUnitEmp2">cap!$E$410:$I$410</definedName>
    <definedName name="capProd2Emp1AdminExp">cap!$E$343:$I$343</definedName>
    <definedName name="capProd2Emp1ChanLevelRamp">cap!$E$349:$I$349</definedName>
    <definedName name="capProd2Emp1RecDismExp">cap!$E$337:$I$337</definedName>
    <definedName name="capProd2Emp1SalExp">cap!$E$331:$I$331</definedName>
    <definedName name="capProd2Emp2AdminExp">cap!$E$403:$I$403</definedName>
    <definedName name="capProd2Emp2RecDismExp">cap!$E$397:$I$397</definedName>
    <definedName name="capProd2Emp2SalExp">cap!$E$391:$I$391</definedName>
    <definedName name="capProd2Ftr1Level">cap!$E$728:$I$728</definedName>
    <definedName name="capProd2Ftr2Level">cap!$E$729:$I$729</definedName>
    <definedName name="capProd2Ftr3Level">cap!$E$730:$I$730</definedName>
    <definedName name="capProd2Ftr4Level">cap!$E$731:$I$731</definedName>
    <definedName name="capProd2Ftr4Level1">cap!$E$731:$I$731</definedName>
    <definedName name="capProd2Ftr4Level2">cap!$E$732:$I$732</definedName>
    <definedName name="capProd2Promo1">cap!$E$736:$I$736</definedName>
    <definedName name="capProd2Promo2">cap!$E$737:$I$737</definedName>
    <definedName name="capProd2Reg1Price">cap!$E$724:$I$724</definedName>
    <definedName name="capProd2Reg1Units">cap!$E$726:$I$726</definedName>
    <definedName name="capProd2Reg2Price">cap!$E$725:$I$725</definedName>
    <definedName name="capProd2Reg2Units">cap!$E$727:$I$727</definedName>
    <definedName name="capProd2WhatIfUnits">cap!$E$768:$I$768</definedName>
    <definedName name="capProd3Adv">cap!$E$746:$I$746</definedName>
    <definedName name="capProd3AdvR2">cap!$E$747:$I$747</definedName>
    <definedName name="capProd3COGSPUnitDep">cap!$E$285:$I$285</definedName>
    <definedName name="capProd3COGSPUnitMat">cap!$E$186:$I$186</definedName>
    <definedName name="capProd3COGSPUnitPlant1">cap!$E$262:$I$262</definedName>
    <definedName name="capProd3CostPUnitEmp1">cap!$E$357:$I$357</definedName>
    <definedName name="capProd3CostPUnitEmp2">cap!$E$411:$I$411</definedName>
    <definedName name="capProd3Depreciation">cap!$E$278:$I$278</definedName>
    <definedName name="capProd3Emp1AdminExp">cap!$E$344:$I$344</definedName>
    <definedName name="capProd3Emp1ChanLevelRamp">cap!$E$350:$I$350</definedName>
    <definedName name="capProd3Emp1RecDismExp">cap!$E$338:$I$338</definedName>
    <definedName name="capProd3Emp1SalExp">cap!$E$332:$I$332</definedName>
    <definedName name="capProd3Emp2AdminExp">cap!$E$404:$I$404</definedName>
    <definedName name="capProd3Emp2RecDismExp">cap!$E$398:$I$398</definedName>
    <definedName name="capProd3Emp2SalExp">cap!$E$392:$I$392</definedName>
    <definedName name="capProd3Ftr3Level">cap!$E$744:$I$744</definedName>
    <definedName name="capProd3Ftr4Level">cap!$E$745:$I$745</definedName>
    <definedName name="capProd3Promo">cap!$E$748:$I$748</definedName>
    <definedName name="capProd3PromoR2">cap!$E$749:$I$749</definedName>
    <definedName name="capProd3Reg1Price">cap!$E$740:$I$740</definedName>
    <definedName name="capProd3Reg1Units">cap!$E$742:$I$742</definedName>
    <definedName name="capProd3Reg2Price">cap!$E$741:$I$741</definedName>
    <definedName name="capProd3Reg2Units">cap!$E$743:$I$743</definedName>
    <definedName name="capProd3WhatIfUnits">cap!$E$769:$I$769</definedName>
    <definedName name="capProd4Adv">cap!$E$755:$I$755</definedName>
    <definedName name="capProd4AdvR2">cap!$E$756:$I$756</definedName>
    <definedName name="capProd4COGSPUnitDep">cap!$E$286:$I$286</definedName>
    <definedName name="capProd4COGSPUnitMat">cap!$E$191:$I$191</definedName>
    <definedName name="capProd4COGSPUnitPlant1">cap!$E$263:$I$263</definedName>
    <definedName name="capProd4CostPUnitEmp1">cap!$E$358:$I$358</definedName>
    <definedName name="capProd4CostPUnitEmp2">cap!$E$412:$I$412</definedName>
    <definedName name="capProd4Depreciation">cap!$E$279:$I$279</definedName>
    <definedName name="capProd4Emp1AdminExp">cap!$E$345:$I$345</definedName>
    <definedName name="capProd4Emp1ChanLevelRamp">cap!$E$351:$I$351</definedName>
    <definedName name="capProd4Emp1RecDismExp">cap!$E$339:$I$339</definedName>
    <definedName name="capProd4Emp1SalExp">cap!$E$333:$I$333</definedName>
    <definedName name="capProd4Emp2AdminExp">cap!$E$405:$I$405</definedName>
    <definedName name="capProd4Emp2RecDismExp">cap!$E$399:$I$399</definedName>
    <definedName name="capProd4Emp2SalExp">cap!$E$393:$I$393</definedName>
    <definedName name="capProd4Ftr4Level">cap!$E$754:$I$754</definedName>
    <definedName name="capProd4Promo">cap!$E$757:$I$757</definedName>
    <definedName name="capProd4PromoR2">cap!$E$758:$I$758</definedName>
    <definedName name="capProd4Reg1Price">cap!$E$750:$I$750</definedName>
    <definedName name="capProd4Reg1Units">cap!$E$752:$I$752</definedName>
    <definedName name="capProd4Reg2Price">cap!$E$751:$I$751</definedName>
    <definedName name="capProd4Reg2Units">cap!$E$753:$I$753</definedName>
    <definedName name="capProd4WhatIfUnits">cap!$E$770:$I$770</definedName>
    <definedName name="capRecruitingMTUs">cap!$E$554:$I$554</definedName>
    <definedName name="capReg1ChanLevel">cap!$E$759:$I$759</definedName>
    <definedName name="capReg1Emp3AdminExp">cap!$E$449:$I$449</definedName>
    <definedName name="capReg1Emp3AllocProd1">cap!$E$452:$I$452</definedName>
    <definedName name="capReg1Emp3AllocProd21">cap!$E$477:$I$477</definedName>
    <definedName name="capReg1Emp3AllocProd22">cap!$E$482:$I$482</definedName>
    <definedName name="capReg1Emp3AllocProd3">cap!$E$453:$I$453</definedName>
    <definedName name="capReg1Emp3AllocProd4">cap!$E$454:$I$454</definedName>
    <definedName name="capReg1Emp3ExCapCost">cap!$E$446:$I$446</definedName>
    <definedName name="capReg1Emp3Exp">cap!$E$445:$I$445</definedName>
    <definedName name="capReg1Emp3OTCost">cap!$E$444:$I$444</definedName>
    <definedName name="capReg1Emp3RecDismExp">cap!$E$448:$I$448</definedName>
    <definedName name="capReg1Emp3Recruit">cap!$E$432:$I$432</definedName>
    <definedName name="capReg1Prod1COGSPUnit">cap!$E$597:$I$597</definedName>
    <definedName name="capReg1Prod1COGSPUnitUMC">cap!$E$596:$I$596</definedName>
    <definedName name="capReg1Prod1CostPUnitEmp3">cap!$E$472:$I$472</definedName>
    <definedName name="capReg1Prod1Emp3AdminExp">cap!$E$467:$I$467</definedName>
    <definedName name="capReg1Prod1Emp3Exp">cap!$E$457:$I$457</definedName>
    <definedName name="capReg1Prod1Emp3RecDismExp">cap!$E$462:$I$462</definedName>
    <definedName name="capReg1Prod1UnitsFGCbal">cap!$E$24:$I$24</definedName>
    <definedName name="capReg1Prod1UnitsFGEnd">cap!$E$23:$I$23</definedName>
    <definedName name="capReg1Prod1UnitsFGUsed">cap!$E$81:$I$81</definedName>
    <definedName name="capReg1Prod1UnitsProduction">cap!$E$87:$I$87</definedName>
    <definedName name="capReg1Prod1UnitsSold">cap!$E$20:$I$20</definedName>
    <definedName name="capReg1Prod1UnitsSoldFG">cap!$E$21:$I$21</definedName>
    <definedName name="capReg1Prod1UnitsSoldNewProd">cap!$E$22:$I$22</definedName>
    <definedName name="capReg1Prod1UnitsWiP">cap!$E$85:$I$85</definedName>
    <definedName name="capReg1Prod1UnitsWiPEnd">cap!$E$86:$I$86</definedName>
    <definedName name="capReg1Prod1UnitsWiPUsed">cap!$E$83:$I$83</definedName>
    <definedName name="capReg1Prod21COGSPUnit">cap!$E$599:$I$599</definedName>
    <definedName name="capReg1Prod21COGSPUnitUMC">cap!$E$598:$I$598</definedName>
    <definedName name="capReg1Prod21CostPUnitEmp3">cap!$E$479:$I$479</definedName>
    <definedName name="capReg1Prod21Emp3Exp">cap!$E$478:$I$478</definedName>
    <definedName name="capReg1Prod22COGSPUnit">cap!$E$601:$I$601</definedName>
    <definedName name="capReg1Prod22COGSPUnitUMC">cap!$E$600:$I$600</definedName>
    <definedName name="capReg1Prod22CostPUnitEmp3">cap!$E$484:$I$484</definedName>
    <definedName name="capReg1Prod22Emp3Exp">cap!$E$483:$I$483</definedName>
    <definedName name="capReg1Prod2UnitsFGCbal">cap!$E$11:$I$11</definedName>
    <definedName name="capReg1Prod2UnitsFGEnd">cap!$E$10:$I$10</definedName>
    <definedName name="capReg1Prod2UnitsFGUsed">cap!$E$61:$I$61</definedName>
    <definedName name="capReg1Prod2UnitsProduction">cap!$E$67:$I$67</definedName>
    <definedName name="capReg1Prod2UnitsSold">cap!$E$7:$I$7</definedName>
    <definedName name="capReg1Prod2UnitsSoldFG">cap!$E$8:$I$8</definedName>
    <definedName name="capReg1Prod2UnitsSoldNewProd">cap!$E$9:$I$9</definedName>
    <definedName name="capReg1Prod2UnitsWiPEnd">cap!$E$66:$I$66</definedName>
    <definedName name="capReg1Prod2UnitsWiPUsed">cap!$E$63:$I$63</definedName>
    <definedName name="capReg1Prod3COGSPUnit">cap!$E$603:$I$603</definedName>
    <definedName name="capReg1Prod3COGSPUnitUMC">cap!$E$602:$I$602</definedName>
    <definedName name="capReg1Prod3CostPUnitEmp3">cap!$E$473:$I$473</definedName>
    <definedName name="capReg1Prod3Emp3AdminExp">cap!$E$468:$I$468</definedName>
    <definedName name="capReg1Prod3Emp3Exp">cap!$E$458:$I$458</definedName>
    <definedName name="capReg1Prod3Emp3RecDismExp">cap!$E$463:$I$463</definedName>
    <definedName name="capReg1Prod3UnitsFGCbal">cap!$E$30:$I$30</definedName>
    <definedName name="capReg1Prod3UnitsFGEnd">cap!$E$29:$I$29</definedName>
    <definedName name="capReg1Prod3UnitsFGUsed">cap!$E$91:$I$91</definedName>
    <definedName name="capReg1Prod3UnitsProduction">cap!$E$97:$I$97</definedName>
    <definedName name="capReg1Prod3UnitsSold">cap!$E$26:$I$26</definedName>
    <definedName name="capReg1Prod3UnitsSoldFG">cap!$E$27:$I$27</definedName>
    <definedName name="capReg1Prod3UnitsSoldNewProd">cap!$E$28:$I$28</definedName>
    <definedName name="capReg1Prod3UnitsWiP">cap!$E$95:$I$95</definedName>
    <definedName name="capReg1Prod3UnitsWiPEnd">cap!$E$96:$I$96</definedName>
    <definedName name="capReg1Prod3UnitsWiPUsed">cap!$E$93:$I$93</definedName>
    <definedName name="capReg1Prod4COGSPUnit">cap!$E$605:$I$605</definedName>
    <definedName name="capReg1Prod4COGSPUnitUMC">cap!$E$604:$I$604</definedName>
    <definedName name="capReg1Prod4CostPUnitEmp3">cap!$E$474:$I$474</definedName>
    <definedName name="capReg1Prod4Emp3AdminExp">cap!$E$469:$I$469</definedName>
    <definedName name="capReg1Prod4Emp3Exp">cap!$E$459:$I$459</definedName>
    <definedName name="capReg1Prod4Emp3RecDismExp">cap!$E$464:$I$464</definedName>
    <definedName name="capReg1Prod4UnitsFGCbal">cap!$E$36:$I$36</definedName>
    <definedName name="capReg1Prod4UnitsFGEnd">cap!$E$35:$I$35</definedName>
    <definedName name="capReg1Prod4UnitsFGUsed">cap!$E$101:$I$101</definedName>
    <definedName name="capReg1Prod4UnitsProduction">cap!$E$107:$I$107</definedName>
    <definedName name="capReg1Prod4UnitsSold">cap!$E$32:$I$32</definedName>
    <definedName name="capReg1Prod4UnitsSoldFG">cap!$E$33:$I$33</definedName>
    <definedName name="capReg1Prod4UnitsSoldNewProd">cap!$E$34:$I$34</definedName>
    <definedName name="capReg1Prod4UnitsWiP">cap!$E$105:$I$105</definedName>
    <definedName name="capReg1Prod4UnitsWiPEnd">cap!$E$106:$I$106</definedName>
    <definedName name="capReg1Prod4UnitsWiPUsed">cap!$E$103:$I$103</definedName>
    <definedName name="capReg2ChanLevel">cap!$E$760:$I$760</definedName>
    <definedName name="capReg2Emp3AdminExp">cap!$E$506:$I$506</definedName>
    <definedName name="capReg2Emp3AllocProd1">cap!$E$509:$I$509</definedName>
    <definedName name="capReg2Emp3AllocProd21">cap!$E$534:$I$534</definedName>
    <definedName name="capReg2Emp3AllocProd22">cap!$E$539:$I$539</definedName>
    <definedName name="capReg2Emp3AllocProd3">cap!$E$510:$I$510</definedName>
    <definedName name="capReg2Emp3AllocProd4">cap!$E$511:$I$511</definedName>
    <definedName name="capReg2Emp3ExCapCost">cap!$E$503:$I$503</definedName>
    <definedName name="capReg2Emp3Exp">cap!$E$502:$I$502</definedName>
    <definedName name="capReg2Emp3OTCost">cap!$E$501:$I$501</definedName>
    <definedName name="capReg2Emp3RecDismExp">cap!$E$505:$I$505</definedName>
    <definedName name="capReg2Prod1COGSPUnit">cap!$E$608:$I$608</definedName>
    <definedName name="capReg2Prod1COGSPUnitUMC">cap!$E$607:$I$607</definedName>
    <definedName name="capReg2Prod1CostPUnitEmp3">cap!$E$529:$I$529</definedName>
    <definedName name="capReg2Prod1Emp3AdminExp">cap!$E$524:$I$524</definedName>
    <definedName name="capReg2Prod1Emp3Exp">cap!$E$514:$I$514</definedName>
    <definedName name="capReg2Prod1Emp3RecDismExp">cap!$E$519:$I$519</definedName>
    <definedName name="capReg2Prod1UnitsFGCbal">cap!$E$43:$I$43</definedName>
    <definedName name="capReg2Prod1UnitsFGEnd">cap!$E$42:$I$42</definedName>
    <definedName name="capReg2Prod1UnitsFGUsed">cap!$E$112:$I$112</definedName>
    <definedName name="capReg2Prod1UnitsProduction">cap!$E$118:$I$118</definedName>
    <definedName name="capReg2Prod1UnitsSold">cap!$E$39:$I$39</definedName>
    <definedName name="capReg2Prod1UnitsSoldFG">cap!$E$40:$I$40</definedName>
    <definedName name="capReg2Prod1UnitsSoldNewProd">cap!$E$41:$I$41</definedName>
    <definedName name="capReg2Prod1UnitsWiP">cap!$E$116:$I$116</definedName>
    <definedName name="capReg2Prod1UnitsWiPEnd">cap!$E$117:$I$117</definedName>
    <definedName name="capReg2Prod1UnitsWiPUsed">cap!$E$114:$I$114</definedName>
    <definedName name="capReg2Prod21COGSPUnit">cap!$E$610:$I$610</definedName>
    <definedName name="capReg2Prod21COGSPUnitUMC">cap!$E$609:$I$609</definedName>
    <definedName name="capReg2Prod21CostPUnitEmp3">cap!$E$536:$I$536</definedName>
    <definedName name="capReg2Prod21Emp3Exp">cap!$E$535:$I$535</definedName>
    <definedName name="capReg2Prod22COGSPUnit">cap!$E$612:$I$612</definedName>
    <definedName name="capReg2Prod22COGSPUnitUMC">cap!$E$611:$I$611</definedName>
    <definedName name="capReg2Prod22CostPUnitEmp3">cap!$E$541:$I$541</definedName>
    <definedName name="capReg2Prod22Emp3Exp">cap!$E$540:$I$540</definedName>
    <definedName name="capReg2Prod2UnitsFGCbal">cap!$E$17:$I$17</definedName>
    <definedName name="capReg2Prod2UnitsFGEnd">cap!$E$16:$I$16</definedName>
    <definedName name="capReg2Prod2UnitsFGUsed">cap!$E$70:$I$70</definedName>
    <definedName name="capReg2Prod2UnitsProduction">cap!$E$76:$I$76</definedName>
    <definedName name="capReg2Prod2UnitsSold">cap!$E$13:$I$13</definedName>
    <definedName name="capReg2Prod2UnitsSoldFG">cap!$E$14:$I$14</definedName>
    <definedName name="capReg2Prod2UnitsSoldNewProd">cap!$E$15:$I$15</definedName>
    <definedName name="capReg2Prod2UnitsWiPEnd">cap!$E$75:$I$75</definedName>
    <definedName name="capReg2Prod2UnitsWiPUsed">cap!$E$72:$I$72</definedName>
    <definedName name="capReg2Prod3COGSPUnit">cap!$E$614:$I$614</definedName>
    <definedName name="capReg2Prod3COGSPUnitUMC">cap!$E$613:$I$613</definedName>
    <definedName name="capReg2Prod3CostPUnitEmp3">cap!$E$530:$I$530</definedName>
    <definedName name="capReg2Prod3Emp3AdminExp">cap!$E$525:$I$525</definedName>
    <definedName name="capReg2Prod3Emp3Exp">cap!$E$515:$I$515</definedName>
    <definedName name="capReg2Prod3Emp3RecDismExp">cap!$E$520:$I$520</definedName>
    <definedName name="capReg2Prod3UnitsFGCbal">cap!$E$49:$I$49</definedName>
    <definedName name="capReg2Prod3UnitsFGEnd">cap!$E$48:$I$48</definedName>
    <definedName name="capReg2Prod3UnitsFGUsed">cap!$E$122:$I$122</definedName>
    <definedName name="capReg2Prod3UnitsProduction">cap!$E$128:$I$128</definedName>
    <definedName name="capReg2Prod3UnitsSold">cap!$E$45:$I$45</definedName>
    <definedName name="capReg2Prod3UnitsSoldFG">cap!$E$46:$I$46</definedName>
    <definedName name="capReg2Prod3UnitsSoldNewProd">cap!$E$47:$I$47</definedName>
    <definedName name="capReg2Prod3UnitsWiP">cap!$E$126:$I$126</definedName>
    <definedName name="capReg2Prod3UnitsWiPEnd">cap!$E$127:$I$127</definedName>
    <definedName name="capReg2Prod3UnitsWiPUsed">cap!$E$124:$I$124</definedName>
    <definedName name="capReg2Prod4COGSPUnit">cap!$E$616:$I$616</definedName>
    <definedName name="capReg2Prod4COGSPUnitUMC">cap!$E$615:$I$615</definedName>
    <definedName name="capReg2Prod4CostPUnitEmp3">cap!$E$531:$I$531</definedName>
    <definedName name="capReg2Prod4Emp3AdminExp">cap!$E$526:$I$526</definedName>
    <definedName name="capReg2Prod4Emp3Exp">cap!$E$516:$I$516</definedName>
    <definedName name="capReg2Prod4Emp3RecDismExp">cap!$E$521:$I$521</definedName>
    <definedName name="capReg2Prod4UnitsFGCbal">cap!$E$55:$I$55</definedName>
    <definedName name="capReg2Prod4UnitsFGEnd">cap!$E$54:$I$54</definedName>
    <definedName name="capReg2Prod4UnitsFGUsed">cap!$E$132:$I$132</definedName>
    <definedName name="capReg2Prod4UnitsProduction">cap!$E$138:$I$138</definedName>
    <definedName name="capReg2Prod4UnitsSold">cap!$E$51:$I$51</definedName>
    <definedName name="capReg2Prod4UnitsSoldFG">cap!$E$52:$I$52</definedName>
    <definedName name="capReg2Prod4UnitsSoldNewProd">cap!$E$53:$I$53</definedName>
    <definedName name="capReg2Prod4UnitsWiP">cap!$E$136:$I$136</definedName>
    <definedName name="capReg2Prod4UnitsWiPEnd">cap!$E$137:$I$137</definedName>
    <definedName name="capReg2Prod4UnitsWiPUsed">cap!$E$134:$I$134</definedName>
    <definedName name="capRFSHrnd">cap!$E$165:$I$165</definedName>
    <definedName name="capRnD1MTUs">cap!$E$548:$I$548</definedName>
    <definedName name="capRnD2MTUs">cap!$E$549:$I$549</definedName>
    <definedName name="capRnD3MTUs">cap!$E$550:$I$550</definedName>
    <definedName name="capRnD4MTUs">cap!$E$551:$I$551</definedName>
    <definedName name="capSnackRnD">cap!$E$157:$I$157</definedName>
    <definedName name="capStratCompanyRank">cap!$E$687:$I$687</definedName>
    <definedName name="capStratCompanyScore">cap!$E$711:$I$711</definedName>
    <definedName name="capStratCompanyTotal">cap!$E$681:$I$681</definedName>
    <definedName name="capStratConsumerRank">cap!$E$684:$I$684</definedName>
    <definedName name="capStratConsumerScore">cap!$E$708:$I$708</definedName>
    <definedName name="capStratConsumerTotal">cap!$E$678:$I$678</definedName>
    <definedName name="capStratCustomerRank">cap!$E$686:$I$686</definedName>
    <definedName name="capStratCustomerScore">cap!$E$710:$I$710</definedName>
    <definedName name="capStratCustomerTotal">cap!$E$680:$I$680</definedName>
    <definedName name="capStratInnovationRank">cap!$E$685:$I$685</definedName>
    <definedName name="capStratInnovationScore">cap!$E$709:$I$709</definedName>
    <definedName name="capStratInnovationTotal">cap!$E$679:$I$679</definedName>
    <definedName name="capStratProd1AvgRating">cap!$E$661:$I$661</definedName>
    <definedName name="capStratProd1TotalRating">cap!$E$656:$I$656</definedName>
    <definedName name="capStratProd3AvgRating">cap!$E$662:$I$662</definedName>
    <definedName name="capStratProd3TotalRating">cap!$E$657:$I$657</definedName>
    <definedName name="capStratProd4AvgRating">cap!$E$663:$I$663</definedName>
    <definedName name="capStratProd4TotalRating">cap!$E$658:$I$658</definedName>
    <definedName name="capStratReg1AvgRating">cap!$E$646:$I$646</definedName>
    <definedName name="capStratReg1CompanyRank">cap!$E$669:$I$669</definedName>
    <definedName name="capStratReg1CompanyScore">cap!$E$703:$I$703</definedName>
    <definedName name="capStratReg1ConsumerRank">cap!$E$666:$I$666</definedName>
    <definedName name="capStratReg1ConsumerScore">cap!$E$700:$I$700</definedName>
    <definedName name="capStratReg1CustomerRank">cap!$E$668:$I$668</definedName>
    <definedName name="capStratReg1CustomerScore">cap!$E$702:$I$702</definedName>
    <definedName name="capStratReg1InnovationRank">cap!$E$667:$I$667</definedName>
    <definedName name="capStratReg1InnovationScore">cap!$E$701:$I$701</definedName>
    <definedName name="capStratReg1InnovRank">cap!$E$669:$I$669</definedName>
    <definedName name="capStratReg1Prod1Rating">cap!$E$642:$I$642</definedName>
    <definedName name="capStratReg1Prod1RatingNorm">cap!$E$692:$I$692</definedName>
    <definedName name="capStratReg1Prod3Rating">cap!$E$643:$I$643</definedName>
    <definedName name="capStratReg1Prod3RatingNorm">cap!$E$693:$I$693</definedName>
    <definedName name="capStratReg1Prod4Rating">cap!$E$644:$I$644</definedName>
    <definedName name="capStratReg1Prod4RatingNorm">cap!$E$694:$I$694</definedName>
    <definedName name="capStratReg1TotalRating">cap!$E$645:$I$645</definedName>
    <definedName name="capStratReg2AvgRating">cap!$E$653:$I$653</definedName>
    <definedName name="capStratReg2CompanyRank">cap!$E$675:$I$675</definedName>
    <definedName name="capStratReg2CompanyScore">cap!$E$707:$I$707</definedName>
    <definedName name="capStratReg2ConsumerRank">cap!$E$672:$I$672</definedName>
    <definedName name="capStratReg2ConsumerScore">cap!$E$704:$I$704</definedName>
    <definedName name="capStratReg2CustomerRank">cap!$E$674:$I$674</definedName>
    <definedName name="capStratReg2CustomerScore">cap!$E$706:$I$706</definedName>
    <definedName name="capStratReg2InnovationRank">cap!$E$673:$I$673</definedName>
    <definedName name="capStratReg2InnovationScore">cap!$E$705:$I$705</definedName>
    <definedName name="capStratReg2Prod1Rating">cap!$E$649:$I$649</definedName>
    <definedName name="capStratReg2Prod1RatingNorm">cap!$E$695:$I$695</definedName>
    <definedName name="capStratReg2Prod3Rating">cap!$E$650:$I$650</definedName>
    <definedName name="capStratReg2Prod3RatingNorm">cap!$E$696:$I$696</definedName>
    <definedName name="capStratReg2Prod4Rating">cap!$E$651:$I$651</definedName>
    <definedName name="capStratReg2Prod4RatingNorm">cap!$E$697:$I$697</definedName>
    <definedName name="capStratReg2TotalRating">cap!$E$652:$I$652</definedName>
    <definedName name="capStratTotalRatingAllocation">cap!$E$689:$I$689</definedName>
    <definedName name="capSustainability">cap!$E$295:$I$295</definedName>
    <definedName name="capSustEnvironment">cap!$E$291:$I$291</definedName>
    <definedName name="capSustHuman">cap!$E$292:$I$292</definedName>
    <definedName name="capSustTalent">cap!$E$293:$I$293</definedName>
    <definedName name="capTotalRnDCost">cap!$E$144:$I$144</definedName>
    <definedName name="capTotalUnitsProduced">cap!$E$140:$I$140</definedName>
    <definedName name="capTotalUnitsProducts">cap!$E$140:$I$140</definedName>
    <definedName name="capTotalVolumeSold">cap!$E$635:$I$635</definedName>
    <definedName name="capTotRnDMTUs">cap!$E$558:$I$558</definedName>
    <definedName name="capWhatIfUnits">cap!$E$776:$I$776</definedName>
    <definedName name="cbalAPValue">cbal!$E$92:$I$92</definedName>
    <definedName name="cbalARValue">cbal!$E$8:$I$8</definedName>
    <definedName name="cbalAssetsValue">cbal!$E$88:$I$88</definedName>
    <definedName name="cbalCashValue">cbal!$E$4:$I$4</definedName>
    <definedName name="cbalCSAT">cbal!$E$166:$I$166</definedName>
    <definedName name="cbalCStockPricePShare">cbal!$E$162:$I$162</definedName>
    <definedName name="cbalCStockShares">cbal!$E$163:$I$163</definedName>
    <definedName name="cbalCStockValue">cbal!$E$102:$I$102</definedName>
    <definedName name="cbalDisrupt1">cbal!$E$221:$I$221</definedName>
    <definedName name="cbalDisrupt2">cbal!$E$222:$I$222</definedName>
    <definedName name="cbalDisruptives">cbal!$E$221:$I$222</definedName>
    <definedName name="cbalEmp1">cbal!$E$143:$I$143</definedName>
    <definedName name="cbalEmp10">cbal!$E$147:$I$147</definedName>
    <definedName name="cbalEmp2">cbal!$E$144:$I$144</definedName>
    <definedName name="cbalEmp3">cbal!$E$145:$I$145</definedName>
    <definedName name="cbalEmp3Utiliz">cbal!$E$146:$I$146</definedName>
    <definedName name="cbalEmpDevLevel">cbal!$E$149:$I$149</definedName>
    <definedName name="cbalGoodwillValue">cbal!$E$82:$I$82</definedName>
    <definedName name="cbalITcapLevel">cbal!$E$176:$I$176</definedName>
    <definedName name="cbalLTDebtValue">cbal!$E$97:$I$97</definedName>
    <definedName name="cbalNetEarnValue">cbal!$E$104:$I$104</definedName>
    <definedName name="cbalNetRev">cbal!$E$161:$I$161</definedName>
    <definedName name="cbalOtherCurrLiabValue">cbal!$E$93:$I$93</definedName>
    <definedName name="cbalPlant1Flex">cbal!$E$153:$I$153</definedName>
    <definedName name="cbalPlant1Units">cbal!$E$152:$I$152</definedName>
    <definedName name="cbalPlant1Value">cbal!$E$85:$I$85</definedName>
    <definedName name="cbalPlantValue">cbal!$E$87:$I$87</definedName>
    <definedName name="cbalProd1Brand">cbal!$E$167:$I$167</definedName>
    <definedName name="cbalProd1COGSPUnitDep">cbal!$E$193:$I$193</definedName>
    <definedName name="cbalProd1COGSPUnitLabor">cbal!$E$190:$I$190</definedName>
    <definedName name="cbalProd1COGSPUnitMat">cbal!$E$189:$I$189</definedName>
    <definedName name="cbalProd1COGSPUnitPlant">cbal!$E$192:$I$192</definedName>
    <definedName name="cbalProd1Ftr1Level">cbal!$E$185:$I$185</definedName>
    <definedName name="cbalProd1Ftr2Level">cbal!$E$186:$I$186</definedName>
    <definedName name="cbalProd1Ftr3Level">cbal!$E$187:$I$187</definedName>
    <definedName name="cbalProd1Ftr4Level">cbal!$E$188:$I$188</definedName>
    <definedName name="cbalProd1NetRevS1">cbal!$E$200:$I$200</definedName>
    <definedName name="cbalProd1Reg1UnitsFG">cbal!$E$112:$I$112</definedName>
    <definedName name="cbalProd1Reg1UnitsSold">cbal!$E$113:$I$113</definedName>
    <definedName name="cbalProd1Reg1UnitsWIP">cbal!$E$111:$I$111</definedName>
    <definedName name="cbalProd1Reg2UnitsFG">cbal!$E$122:$I$122</definedName>
    <definedName name="cbalProd1Reg2UnitsSold">cbal!$E$123:$I$123</definedName>
    <definedName name="cbalProd1Reg2UnitsWIP">cbal!$E$121:$I$121</definedName>
    <definedName name="cbalProd21COGSPUnitMat">cbal!$E$211:$I$211</definedName>
    <definedName name="cbalProd22COGSPUnitMat">cbal!$E$212:$I$212</definedName>
    <definedName name="cbalProd2Brand">cbal!$E$168:$I$168</definedName>
    <definedName name="cbalProd2COGSPUnitDep">cbal!$E$219:$I$219</definedName>
    <definedName name="cbalProd2COGSPUnitLabor">cbal!$E$213:$I$213</definedName>
    <definedName name="cbalProd2COGSPUnitPlant">cbal!$E$217:$I$217</definedName>
    <definedName name="cbalProd2Ftr1Level">cbal!$E$206:$I$206</definedName>
    <definedName name="cbalProd2Ftr2Level">cbal!$E$207:$I$207</definedName>
    <definedName name="cbalProd2Ftr3Level">cbal!$E$208:$I$208</definedName>
    <definedName name="cbalProd2Ftr4Level">cbal!$E$209:$I$209</definedName>
    <definedName name="cbalProd2NetRevS1">cbal!$E$200:$I$200</definedName>
    <definedName name="cbalProd2NetRevS2">cbal!$E$201:$I$201</definedName>
    <definedName name="cbalProd2NetRevsS1">cbal!$E$200:$I$200</definedName>
    <definedName name="cbalProd2NetRevsS2">cbal!$E$201:$I$201</definedName>
    <definedName name="cbalProd2Reg1UnitsFG">cbal!$E$132:$I$132</definedName>
    <definedName name="cbalProd2Reg1UnitsSold">cbal!$E$133:$I$133</definedName>
    <definedName name="cbalProd2Reg1UnitsWIP">cbal!$E$131:$I$131</definedName>
    <definedName name="cbalProd2Reg2UnitsFG">cbal!$E$135:$I$135</definedName>
    <definedName name="cbalProd2Reg2UnitsSold">cbal!$E$136:$I$136</definedName>
    <definedName name="cbalProd2Reg2UnitsWIP">cbal!$E$134:$I$134</definedName>
    <definedName name="cbalProd2RevsS1">cbal!$E$198:$I$198</definedName>
    <definedName name="cbalProd2RevsS2">cbal!$E$199:$I$199</definedName>
    <definedName name="cbalProd2Unlock1">cbal!$E$299:$I$299</definedName>
    <definedName name="cbalProd2Unlock2">cbal!$E$300:$I$300</definedName>
    <definedName name="cbalProd3Brand">cbal!$E$169:$I$169</definedName>
    <definedName name="cbalProd3COGSPUnitDep">cbal!$E$239:$I$239</definedName>
    <definedName name="cbalProd3COGSPUnitLabor">cbal!$E$236:$I$236</definedName>
    <definedName name="cbalProd3COGSPUnitMat">cbal!$E$235:$I$235</definedName>
    <definedName name="cbalProd3COGSPUnitPlant">cbal!$E$238:$I$238</definedName>
    <definedName name="cbalProd3Ftr1Level">cbal!$E$231:$I$231</definedName>
    <definedName name="cbalProd3Ftr2Level">cbal!$E$232:$I$232</definedName>
    <definedName name="cbalProd3Ftr3Level">cbal!$E$233:$I$233</definedName>
    <definedName name="cbalProd3Ftr4Level">cbal!$E$234:$I$234</definedName>
    <definedName name="cbalProd3Reg1UnitsFG">cbal!$E$115:$I$115</definedName>
    <definedName name="cbalProd3Reg1UnitsSold">cbal!$E$116:$I$116</definedName>
    <definedName name="cbalProd3Reg1UnitsWIP">cbal!$E$114:$I$114</definedName>
    <definedName name="cbalProd3Reg2UnitsFG">cbal!$E$125:$I$125</definedName>
    <definedName name="cbalProd3Reg2UnitsSold">cbal!$E$126:$I$126</definedName>
    <definedName name="cbalProd3Reg2UnitsWIP">cbal!$E$124:$I$124</definedName>
    <definedName name="cbalProd4Brand">cbal!$E$170:$I$170</definedName>
    <definedName name="cbalProd4COGSPUnitDep">cbal!$E$256:$I$256</definedName>
    <definedName name="cbalProd4COGSPUnitLabor">cbal!$E$253:$I$253</definedName>
    <definedName name="cbalProd4COGSPUnitMat">cbal!$E$252:$I$252</definedName>
    <definedName name="cbalProd4COGSPUnitPlant">cbal!$E$255:$I$255</definedName>
    <definedName name="cbalProd4Ftr1Level">cbal!$E$248:$I$248</definedName>
    <definedName name="cbalProd4Ftr2Level">cbal!$E$249:$I$249</definedName>
    <definedName name="cbalProd4Ftr3Level">cbal!$E$250:$I$250</definedName>
    <definedName name="cbalProd4Ftr4Level">cbal!$E$251:$I$251</definedName>
    <definedName name="cbalProd4Reg1UnitsFG">cbal!$E$118:$I$118</definedName>
    <definedName name="cbalProd4Reg1UnitsSold">cbal!$E$119:$I$119</definedName>
    <definedName name="cbalProd4Reg1UnitsWIP">cbal!$E$117:$I$117</definedName>
    <definedName name="cbalProd4Reg2UnitsFG">cbal!$E$128:$I$128</definedName>
    <definedName name="cbalProd4Reg2UnitsSold">cbal!$E$129:$I$129</definedName>
    <definedName name="cbalProd4Reg2UnitsWIP">cbal!$E$127:$I$127</definedName>
    <definedName name="cbalProd5COGSPUnitDep">cbal!$E$266:$I$266</definedName>
    <definedName name="cbalProd5COGSPUnitEmp2">cbal!$E$264:$I$264</definedName>
    <definedName name="cbalProd5COGSPUnitMat">cbal!$E$263:$I$263</definedName>
    <definedName name="cbalProd5COGSPUnitPlant1">cbal!$E$265:$I$265</definedName>
    <definedName name="cbalProd6COGSPUnitDep">cbal!$E$276:$I$276</definedName>
    <definedName name="cbalProd6COGSPUnitEmp2">cbal!$E$274:$I$274</definedName>
    <definedName name="cbalProd6COGSPUnitMat">cbal!$E$273:$I$273</definedName>
    <definedName name="cbalProd6COGSPUnitPlant1">cbal!$E$275:$I$275</definedName>
    <definedName name="cbalRecruitLevel">cbal!$E$148:$I$148</definedName>
    <definedName name="cbalReg1ARValue">cbal!$E$6:$I$6</definedName>
    <definedName name="cbalReg1FGValue">cbal!$E$50:$I$50</definedName>
    <definedName name="cbalReg1MatValue">cbal!$E$34:$I$34</definedName>
    <definedName name="cbalReg1NetRev">cbal!$E$159:$I$159</definedName>
    <definedName name="cbalReg1Prod1COGSPUnitLabor">cbal!$E$190:$I$190</definedName>
    <definedName name="cbalReg1Prod1FGValue">cbal!$E$44:$I$44</definedName>
    <definedName name="cbalReg1Prod1MatValue">cbal!$E$28:$I$28</definedName>
    <definedName name="cbalReg1Prod1NetRev">cbal!$E$183:$I$183</definedName>
    <definedName name="cbalReg1Prod1Price">cbal!$E$179:$I$179</definedName>
    <definedName name="cbalReg1Prod1Rev">cbal!$E$181:$I$181</definedName>
    <definedName name="cbalReg1Prod1WIPValue">cbal!$E$36:$I$36</definedName>
    <definedName name="cbalReg1Prod2FGValue">cbal!$E$16:$I$16</definedName>
    <definedName name="cbalReg1Prod2MatValue">cbal!$E$14:$I$14</definedName>
    <definedName name="cbalReg1Prod2NetRev">cbal!$E$204:$I$204</definedName>
    <definedName name="cbalReg1Prod2Price">cbal!$E$196:$I$196</definedName>
    <definedName name="cbalReg1Prod2Rev">cbal!$E$202:$I$202</definedName>
    <definedName name="cbalReg1Prod2WIPValue">cbal!$E$15:$I$15</definedName>
    <definedName name="cbalReg1Prod3COGSPUnitLabor">cbal!$E$236:$I$236</definedName>
    <definedName name="cbalReg1Prod3FGValue">cbal!$E$45:$I$45</definedName>
    <definedName name="cbalReg1Prod3MatValue">cbal!$E$29:$I$29</definedName>
    <definedName name="cbalReg1Prod3NetRev">cbal!$E$229:$I$229</definedName>
    <definedName name="cbalReg1Prod3Price">cbal!$E$225:$I$225</definedName>
    <definedName name="cbalReg1Prod3Rev">cbal!$E$227:$I$227</definedName>
    <definedName name="cbalReg1Prod3WIPValue">cbal!$E$37:$I$37</definedName>
    <definedName name="cbalReg1Prod4COGSPUnitLabor">cbal!$E$253:$I$253</definedName>
    <definedName name="cbalReg1Prod4FGValue">cbal!$E$46:$I$46</definedName>
    <definedName name="cbalReg1Prod4MatValue">cbal!$E$30:$I$30</definedName>
    <definedName name="cbalReg1Prod4NetRev">cbal!$E$246:$I$246</definedName>
    <definedName name="cbalReg1Prod4Price">cbal!$E$242:$I$242</definedName>
    <definedName name="cbalReg1Prod4Rev">cbal!$E$244:$I$244</definedName>
    <definedName name="cbalReg1Prod4WIPValue">cbal!$E$38:$I$38</definedName>
    <definedName name="cbalReg1Prod5FGValue">cbal!$E$47:$I$47</definedName>
    <definedName name="cbalReg1Prod5MatValue">cbal!$E$31:$I$31</definedName>
    <definedName name="cbalReg1Prod5WIPValue">cbal!$E$39:$I$39</definedName>
    <definedName name="cbalReg1Prod6FGValue">cbal!$E$48:$I$48</definedName>
    <definedName name="cbalReg1Prod6MatValue">cbal!$E$32:$I$32</definedName>
    <definedName name="cbalReg1Prod6WIPValue">cbal!$E$40:$I$40</definedName>
    <definedName name="cbalReg1Rev">cbal!$E$156:$I$156</definedName>
    <definedName name="cbalReg1WIPValue">cbal!$E$42:$I$42</definedName>
    <definedName name="cbalReg2ARValue">cbal!$E$7:$I$7</definedName>
    <definedName name="cbalReg2ChanLevel">cbal!$E$173:$I$173</definedName>
    <definedName name="cbalReg2FGValue">cbal!$E$75:$I$75</definedName>
    <definedName name="cbalReg2MatValue">cbal!$E$59:$I$59</definedName>
    <definedName name="cbalReg2NetRev">cbal!$E$160:$I$160</definedName>
    <definedName name="cbalReg2Prod1COGSPUnitLabor">cbal!$E$191:$I$191</definedName>
    <definedName name="cbalReg2Prod1FGValue">cbal!$E$69:$I$69</definedName>
    <definedName name="cbalReg2Prod1MatValue">cbal!$E$53:$I$53</definedName>
    <definedName name="cbalReg2Prod1NetRev">cbal!$E$184:$I$184</definedName>
    <definedName name="cbalReg2Prod1Price">cbal!$E$180:$I$180</definedName>
    <definedName name="cbalReg2Prod1Rev">cbal!$E$182:$I$182</definedName>
    <definedName name="cbalReg2Prod1WIPValue">cbal!$E$61:$I$61</definedName>
    <definedName name="cbalReg2Prod2FGValue">cbal!$E$23:$I$23</definedName>
    <definedName name="cbalReg2Prod2MatValue">cbal!$E$21:$I$21</definedName>
    <definedName name="cbalReg2Prod2NetRev">cbal!$E$205:$I$205</definedName>
    <definedName name="cbalReg2Prod2Price">cbal!$E$197:$I$197</definedName>
    <definedName name="cbalReg2Prod2Rev">cbal!$E$203:$I$203</definedName>
    <definedName name="cbalReg2Prod2WIPValue">cbal!$E$22:$I$22</definedName>
    <definedName name="cbalReg2Prod3COGSPUnitLabor">cbal!$E$237:$I$237</definedName>
    <definedName name="cbalReg2Prod3FGValue">cbal!$E$70:$I$70</definedName>
    <definedName name="cbalReg2Prod3MatValue">cbal!$E$54:$I$54</definedName>
    <definedName name="cbalReg2Prod3NetRev">cbal!$E$230:$I$230</definedName>
    <definedName name="cbalReg2Prod3Price">cbal!$E$226:$I$226</definedName>
    <definedName name="cbalReg2Prod3Rev">cbal!$E$228:$I$228</definedName>
    <definedName name="cbalReg2Prod3WIPValue">cbal!$E$62:$I$62</definedName>
    <definedName name="cbalReg2Prod4COGSPUnitLabor">cbal!$E$254:$I$254</definedName>
    <definedName name="cbalReg2Prod4FGValue">cbal!$E$71:$I$71</definedName>
    <definedName name="cbalReg2Prod4MatValue">cbal!$E$55:$I$55</definedName>
    <definedName name="cbalReg2Prod4NetRev">cbal!$E$247:$I$247</definedName>
    <definedName name="cbalReg2Prod4Price">cbal!$E$243:$I$243</definedName>
    <definedName name="cbalReg2Prod4Rev">cbal!$E$245:$I$245</definedName>
    <definedName name="cbalReg2Prod4WIPValue">cbal!$E$63:$I$63</definedName>
    <definedName name="cbalReg2Prod5FGValue">cbal!$E$72:$I$72</definedName>
    <definedName name="cbalReg2Prod5MatValue">cbal!$E$56:$I$56</definedName>
    <definedName name="cbalReg2Prod5WIPValue">cbal!$E$64:$I$64</definedName>
    <definedName name="cbalReg2Prod6FGValue">cbal!$E$73:$I$73</definedName>
    <definedName name="cbalReg2Prod6MatValue">cbal!$E$57:$I$57</definedName>
    <definedName name="cbalReg2Prod6WIPValue">cbal!$E$65:$I$65</definedName>
    <definedName name="cbalReg2Rev">cbal!$E$157:$I$157</definedName>
    <definedName name="cbalReg2WIPValue">cbal!$E$67:$I$67</definedName>
    <definedName name="cbalRetEarnValue">cbal!$E$103:$I$103</definedName>
    <definedName name="cbalRev">cbal!$E$158:$I$158</definedName>
    <definedName name="cbalSpecLoansValue">cbal!$E$94:$I$94</definedName>
    <definedName name="cbalStratEdaComp">cbal!$E$353:$I$353</definedName>
    <definedName name="cbalStratEdaCons">cbal!$E$350:$I$350</definedName>
    <definedName name="cbalStratEdaCSD">cbal!$E$340:$I$340</definedName>
    <definedName name="cbalStratEdaCust">cbal!$E$352:$I$352</definedName>
    <definedName name="cbalStratEdaFnS">cbal!$E$342:$I$342</definedName>
    <definedName name="cbalStratEdaInnov">cbal!$E$351:$I$351</definedName>
    <definedName name="cbalStratEdaNCB">cbal!$E$341:$I$341</definedName>
    <definedName name="cbalStratVetComp">cbal!$E$348:$I$348</definedName>
    <definedName name="cbalStratVetCons">cbal!$E$345:$I$345</definedName>
    <definedName name="cbalStratVetCSD">cbal!$E$336:$I$336</definedName>
    <definedName name="cbalStratVetCust">cbal!$E$347:$I$347</definedName>
    <definedName name="cbalStratVetFnS">cbal!$E$338:$I$338</definedName>
    <definedName name="cbalStratVetInnov">cbal!$E$346:$I$346</definedName>
    <definedName name="cbalStratVetNCB">cbal!$E$337:$I$337</definedName>
    <definedName name="cbalTotalEquity">cbal!$E$106:$I$106</definedName>
    <definedName name="cbalYr1Innov1">cbal!$E$304:$I$304</definedName>
    <definedName name="cbalYr1Innov2">cbal!$E$305:$I$305</definedName>
    <definedName name="cbalYr1Innov3">cbal!$E$306:$I$306</definedName>
    <definedName name="cbalYr1Innov4">cbal!$E$307:$I$307</definedName>
    <definedName name="cbalYr1SpecProg1">cbal!$E$280:$I$280</definedName>
    <definedName name="cbalYr1SpecProg2">cbal!$E$281:$I$281</definedName>
    <definedName name="cbalYr1SpecProg3">cbal!$E$282:$I$282</definedName>
    <definedName name="cbalYr1SpecProg4">cbal!$E$283:$I$283</definedName>
    <definedName name="cbalYr1SpecProg5">cbal!$E$284:$I$284</definedName>
    <definedName name="cbalYr1SpecProg6">cbal!$E$285:$I$285</definedName>
    <definedName name="cbalYr2Innov1">cbal!$E$308:$I$308</definedName>
    <definedName name="cbalYr2Innov2">cbal!$E$309:$I$309</definedName>
    <definedName name="cbalYr2Innov3">cbal!$E$310:$I$310</definedName>
    <definedName name="cbalYr2Innov4">cbal!$E$311:$I$311</definedName>
    <definedName name="cbalYr2SpecProg1">cbal!$E$286:$I$286</definedName>
    <definedName name="cbalYr2SpecProg2">cbal!$E$287:$I$287</definedName>
    <definedName name="cbalYr2SpecProg3">cbal!$E$288:$I$288</definedName>
    <definedName name="cbalYr2SpecProg4">cbal!$E$289:$I$289</definedName>
    <definedName name="cbalYr2SpecProg5">cbal!$E$290:$I$290</definedName>
    <definedName name="cbalYr2SpecProg6">cbal!$E$291:$I$291</definedName>
    <definedName name="cbalYr3Innov1">cbal!$E$312:$I$312</definedName>
    <definedName name="cbalYr3Innov2">cbal!$E$313:$I$313</definedName>
    <definedName name="cbalYr3Innov3">cbal!$E$314:$I$314</definedName>
    <definedName name="cbalYr3Innov4">cbal!$E$315:$I$315</definedName>
    <definedName name="cbalYr3SpecProg1">cbal!$E$292:$I$292</definedName>
    <definedName name="cbalYr3SpecProg2">cbal!$E$293:$I$293</definedName>
    <definedName name="cbalYr3SpecProg3">cbal!$E$294:$I$294</definedName>
    <definedName name="cbalYr3SpecProg4">cbal!$E$295:$I$295</definedName>
    <definedName name="cbalYr3SpecProg5">cbal!$E$296:$I$296</definedName>
    <definedName name="cbalYr3SpecProg6">cbal!$E$297:$I$297</definedName>
    <definedName name="core_FilePrefix">Controls!$H$17</definedName>
    <definedName name="dataBrandRange">DataPage!$D$351:$D$355</definedName>
    <definedName name="dataBrandsImpactMatrix">DataPage!$D$350:$E$355</definedName>
    <definedName name="dataDInnovsList">DataPage!$G$334:$G$337</definedName>
    <definedName name="dataDisruptInnovsDets">DataPage!$G$334:$N$337</definedName>
    <definedName name="dataDisruptWeight">DataPage!$C$144:$G$146</definedName>
    <definedName name="dataInitiativesCostMatrix">DataPage!$G$342:$K$412</definedName>
    <definedName name="DataInitiativesGrid">DataPage!$G$342:$M$412</definedName>
    <definedName name="dataInnovList">OFFSET(DataPage!$G$319,MATCH("unlocked",DataPage!$F$318:$F$337,0)-2,0,COUNTIF(DataPage!$F$318:$F$337,"unlocked"))</definedName>
    <definedName name="dataInnovsDets">DataPage!$G$318:$N$337</definedName>
    <definedName name="datalist_InitiativeCodes">DataPage!$G$342:$G$411</definedName>
    <definedName name="dataList0to4">DataPage!$D$364:$D$368</definedName>
    <definedName name="dataList0to5">DataPage!$B$364:$B$369</definedName>
    <definedName name="dataList1to10">DataPage!$B$351:$B$360</definedName>
    <definedName name="datalist1to4">toolStrategy!$U$12:$U$15</definedName>
    <definedName name="dataList1to5">DataPage!$B$351:$B$355</definedName>
    <definedName name="datalistdiffenablers">toolStrategy!$S$23:$S$41</definedName>
    <definedName name="dataListStrategy">toolStrategy!$S$24:$S$41</definedName>
    <definedName name="DataNameBev">DataPage!$C$54</definedName>
    <definedName name="DataNameEmp1">DataPage!$C$11</definedName>
    <definedName name="DataNameEmp10">DataPage!$C$20</definedName>
    <definedName name="DataNameEmp2">DataPage!$C$12</definedName>
    <definedName name="DataNameEmp3">DataPage!$C$13</definedName>
    <definedName name="DataNameEmp4">DataPage!$C$14</definedName>
    <definedName name="DataNameEmp5">DataPage!$C$15</definedName>
    <definedName name="DataNameEmp6">DataPage!$C$16</definedName>
    <definedName name="DataNameEmp7">DataPage!$C$17</definedName>
    <definedName name="DataNameEmp8">DataPage!$C$18</definedName>
    <definedName name="DataNameEmp9">DataPage!$C$19</definedName>
    <definedName name="DataNamePlant1">DataPage!$C$21</definedName>
    <definedName name="DataNamePlant2">DataPage!$C$22</definedName>
    <definedName name="DataNamePlant3">DataPage!$C$23</definedName>
    <definedName name="DataNameProd1">DataPage!$C$5</definedName>
    <definedName name="DataNameProd1Seg1">DataPage!$C$24</definedName>
    <definedName name="DataNameProd1Seg2">DataPage!$C$25</definedName>
    <definedName name="DataNameProd1Seg3">DataPage!$C$26</definedName>
    <definedName name="DataNameProd1Seg4">DataPage!$C$27</definedName>
    <definedName name="DataNameProd1Seg5">DataPage!$C$28</definedName>
    <definedName name="DataNameProd2">DataPage!$C$6</definedName>
    <definedName name="DataNameProd21">DataPage!$C$6</definedName>
    <definedName name="DataNameProd2Seg1">DataPage!$C$29</definedName>
    <definedName name="DataNameProd2Seg2">DataPage!$C$30</definedName>
    <definedName name="DataNameProd2Seg3">DataPage!$C$31</definedName>
    <definedName name="DataNameProd2Seg4">DataPage!$C$32</definedName>
    <definedName name="DataNameProd2Seg5">DataPage!$C$33</definedName>
    <definedName name="DataNameProd3">DataPage!$C$7</definedName>
    <definedName name="DataNameProd3Seg1">DataPage!$C$34</definedName>
    <definedName name="DataNameProd3Seg2">DataPage!$C$35</definedName>
    <definedName name="DataNameProd3Seg3">DataPage!$C$36</definedName>
    <definedName name="DataNameProd3Seg4">DataPage!$C$37</definedName>
    <definedName name="DataNameProd3Seg5">DataPage!$C$38</definedName>
    <definedName name="DataNameProd4">DataPage!$C$8</definedName>
    <definedName name="DataNameProd4Seg1">DataPage!$C$39</definedName>
    <definedName name="DataNameProd4Seg2">DataPage!$C$40</definedName>
    <definedName name="DataNameProd4Seg3">DataPage!$C$41</definedName>
    <definedName name="DataNameProd4Seg4">DataPage!$C$42</definedName>
    <definedName name="DataNameProd4Seg5">DataPage!$C$43</definedName>
    <definedName name="DataNameProd5">DataPage!$C$9</definedName>
    <definedName name="DataNameProd5Seg1">DataPage!$C$44</definedName>
    <definedName name="DataNameProd5Seg2">DataPage!$C$45</definedName>
    <definedName name="DataNameProd5Seg3">DataPage!$C$46</definedName>
    <definedName name="DataNameProd5Seg4">DataPage!$C$47</definedName>
    <definedName name="DataNameProd5Seg5">DataPage!$C$48</definedName>
    <definedName name="DataNameProd6">DataPage!$C$10</definedName>
    <definedName name="DataNameProd6Seg1">DataPage!$C$49</definedName>
    <definedName name="DataNameProd6Seg2">DataPage!$C$50</definedName>
    <definedName name="DataNameProd6Seg3">DataPage!$C$51</definedName>
    <definedName name="DataNameProd6Seg4">DataPage!$C$52</definedName>
    <definedName name="DataNameProd6Seg5">DataPage!$C$53</definedName>
    <definedName name="DataNameRevByCat">DataPage!$C$764</definedName>
    <definedName name="DataNameRevByReg">DataPage!$C$763</definedName>
    <definedName name="dataPositioningLookUp">DataPage!$B$318:$E$338</definedName>
    <definedName name="dataStdInnovsCost">DataPage!$G$318:$N$337</definedName>
    <definedName name="dataStdInnovsList">DataPage!$G$319:$G$337</definedName>
    <definedName name="dataUnlockedList">DataPage!$F$334:$F$337</definedName>
    <definedName name="DataValidation_Names">DataValidation!$C$24</definedName>
    <definedName name="DataValidation_Pre">DataValidation!$E$14</definedName>
    <definedName name="DataValidation_Types">DataValidation!$E$24</definedName>
    <definedName name="decCEO">dec!$E$202:$I$202</definedName>
    <definedName name="decCorpDiffr1">dec!$E$167:$I$167</definedName>
    <definedName name="decCorpDiffr2">dec!$E$168:$I$168</definedName>
    <definedName name="decCorpDiffr3">dec!$E$169:$I$169</definedName>
    <definedName name="decCorpStrat1">dec!$E$165:$I$165</definedName>
    <definedName name="decCorpStrat2">dec!$E$166:$I$166</definedName>
    <definedName name="decDisrupt1">dec!$E$39:$I$39</definedName>
    <definedName name="decDisrupt2">dec!$E$40:$I$40</definedName>
    <definedName name="decDividendAmount">dec!$E$99:$I$99</definedName>
    <definedName name="decEdaDiffr1">dec!$E$161:$I$161</definedName>
    <definedName name="decEdaDiffr2">dec!$E$162:$I$162</definedName>
    <definedName name="decEdaDiffr3">dec!$E$163:$I$163</definedName>
    <definedName name="decEmp1Change">dec!$E$91:$I$91</definedName>
    <definedName name="decEmp2Change">dec!$E$92:$I$92</definedName>
    <definedName name="decEmp3Change">dec!$E$93:$I$93</definedName>
    <definedName name="decEmpDevLevel">dec!$E$95:$I$95</definedName>
    <definedName name="decExportType">dec!$E$6:$I$6</definedName>
    <definedName name="decGMesc">dec!$E$204:$I$204</definedName>
    <definedName name="decGMvet">dec!$E$203:$I$203</definedName>
    <definedName name="decGoals1">dec!$E$210:$I$210</definedName>
    <definedName name="decGoals10">dec!$E$218:$I$218</definedName>
    <definedName name="decGoals11">dec!$E$219:$I$219</definedName>
    <definedName name="decGoals12">dec!$E$220:$I$220</definedName>
    <definedName name="decGoals13">dec!$E$221:$I$221</definedName>
    <definedName name="decGoals3">dec!$E$211:$I$211</definedName>
    <definedName name="decGoals4">dec!$E$212:$I$212</definedName>
    <definedName name="decGoals5">dec!$E$213:$I$213</definedName>
    <definedName name="decGoals6">dec!$E$214:$I$214</definedName>
    <definedName name="decGoals7">dec!$E$215:$I$215</definedName>
    <definedName name="decGoals8">dec!$E$216:$I$216</definedName>
    <definedName name="decGoals9">dec!$E$217:$I$217</definedName>
    <definedName name="decInnov1">dec!$E$110:$I$110</definedName>
    <definedName name="decInnov1Cond">dec!$E$116:$I$116</definedName>
    <definedName name="decInnov2">dec!$E$111:$I$111</definedName>
    <definedName name="decInnov2Cond">dec!$E$117:$I$117</definedName>
    <definedName name="decInnov3">dec!$E$112:$I$112</definedName>
    <definedName name="decInnov3Cond">dec!$E$118:$I$118</definedName>
    <definedName name="decInnov4">dec!$E$113:$I$113</definedName>
    <definedName name="decInnov4Cond">dec!$E$119:$I$119</definedName>
    <definedName name="decITcapAdd">dec!$E$78:$I$78</definedName>
    <definedName name="decLTDebtChange">dec!$E$98:$I$98</definedName>
    <definedName name="decPlant1Flex">dec!$E$87:$I$87</definedName>
    <definedName name="decPlant1UnitsChange">dec!$E$85:$I$85</definedName>
    <definedName name="decProd1Adv">dec!$E$20:$I$20</definedName>
    <definedName name="decProd1AdvR2">dec!$E$21:$I$21</definedName>
    <definedName name="decProd1Brand">dec!$E$19:$I$19</definedName>
    <definedName name="decProd1Ftr1">dec!$E$14:$I$14</definedName>
    <definedName name="decProd1Ftr1Level">dec!$E$15:$I$15</definedName>
    <definedName name="decProd1Ftr2">dec!$E$16:$I$16</definedName>
    <definedName name="decProd1Ftr2Level">dec!$E$17:$I$17</definedName>
    <definedName name="decProd1Ftr4LevelDec">dec!$E$18:$I$18</definedName>
    <definedName name="decProd1Promo">dec!$E$22:$I$22</definedName>
    <definedName name="decProd1PromoR2">dec!$E$23:$I$23</definedName>
    <definedName name="decProd1Reg1Grth">dec!$E$12:$I$12</definedName>
    <definedName name="decProd1Reg1Price">dec!$E$10:$I$10</definedName>
    <definedName name="decProd1Reg2Grth">dec!$E$13:$I$13</definedName>
    <definedName name="decProd1Reg2Price">dec!$E$11:$I$11</definedName>
    <definedName name="decProd1WhatIfUnits">dec!$E$104:$I$104</definedName>
    <definedName name="decProd21Ftr4LevelDec">dec!$E$33:$I$33</definedName>
    <definedName name="decProd22Ftr4LevelDec">dec!$E$34:$I$34</definedName>
    <definedName name="decProd2Adv">dec!$E$35:$I$35</definedName>
    <definedName name="decProd2Adv2">dec!$E$36:$I$36</definedName>
    <definedName name="decProd2AdvR2">dec!$E$36:$I$36</definedName>
    <definedName name="decProd2Promo1">dec!$E$37:$I$37</definedName>
    <definedName name="decProd2Promo2">dec!$E$38:$I$38</definedName>
    <definedName name="decProd2PromoR2">dec!$E$38:$I$38</definedName>
    <definedName name="decProd2Reg1Price">dec!$E$29:$I$29</definedName>
    <definedName name="decProd2Reg1Units">dec!$E$31:$I$31</definedName>
    <definedName name="decProd2Reg2Price">dec!$E$30:$I$30</definedName>
    <definedName name="decProd2Reg2Units">dec!$E$32:$I$32</definedName>
    <definedName name="decProd2WhatIfUnits">dec!$E$105:$I$105</definedName>
    <definedName name="decProd3Adv">dec!$E$53:$I$53</definedName>
    <definedName name="decProd3AdvR2">dec!$E$54:$I$54</definedName>
    <definedName name="decProd3Brand">dec!$E$52:$I$52</definedName>
    <definedName name="decProd3Ftr1">dec!$E$47:$I$47</definedName>
    <definedName name="decProd3Ftr1Level">dec!$E$48:$I$48</definedName>
    <definedName name="decProd3Ftr2">dec!$E$49:$I$49</definedName>
    <definedName name="decProd3Ftr2Level">dec!$E$50:$I$50</definedName>
    <definedName name="decProd3Ftr4LevelDec">dec!$E$51:$I$51</definedName>
    <definedName name="decProd3Promo">dec!$E$55:$I$55</definedName>
    <definedName name="decProd3PromoR2">dec!$E$56:$I$56</definedName>
    <definedName name="decProd3Reg1Grth">dec!$E$45:$I$45</definedName>
    <definedName name="decProd3Reg1Price">dec!$E$43:$I$43</definedName>
    <definedName name="decProd3Reg2Grth">dec!$E$46:$I$46</definedName>
    <definedName name="decProd3Reg2Price">dec!$E$44:$I$44</definedName>
    <definedName name="decProd3WhatIfUnits">dec!$E$106:$I$106</definedName>
    <definedName name="decProd4Adv">dec!$E$72:$I$72</definedName>
    <definedName name="decProd4AdvR2">dec!$E$73:$I$73</definedName>
    <definedName name="decProd4Brand">dec!$E$71:$I$71</definedName>
    <definedName name="decProd4Ftr1">dec!$E$64:$I$64</definedName>
    <definedName name="decProd4Ftr1Level">dec!$E$65:$I$65</definedName>
    <definedName name="decProd4Ftr2">dec!$E$66:$I$66</definedName>
    <definedName name="decProd4Ftr2Level">dec!$E$67:$I$67</definedName>
    <definedName name="decProd4Ftr3">dec!$E$68:$I$68</definedName>
    <definedName name="decProd4Ftr3Level">dec!$E$69:$I$69</definedName>
    <definedName name="decProd4Ftr4LevelDec">dec!$E$70:$I$70</definedName>
    <definedName name="decProd4Promo">dec!$E$74:$I$74</definedName>
    <definedName name="decProd4PromoR2">dec!$E$75:$I$75</definedName>
    <definedName name="decProd4Reg1Grth">dec!$E$62:$I$62</definedName>
    <definedName name="decProd4Reg1Price">dec!$E$60:$I$60</definedName>
    <definedName name="decProd4Reg2Grth">dec!$E$63:$I$63</definedName>
    <definedName name="decProd4Reg2Price">dec!$E$61:$I$61</definedName>
    <definedName name="decProd4WhatIfUnits">dec!$E$107:$I$107</definedName>
    <definedName name="decRecruitLevel">dec!$E$94:$I$94</definedName>
    <definedName name="decReg1ChanLevel">dec!$E$81:$I$81</definedName>
    <definedName name="decReg1OnPremAdv">dec!$E$24:$I$24</definedName>
    <definedName name="decReg2ChanLevel">dec!$E$82:$I$82</definedName>
    <definedName name="decReg2OnPremAdv">dec!$E$25:$I$25</definedName>
    <definedName name="decSpecProg1">dec!$E$122:$I$122</definedName>
    <definedName name="decSpecProg2">dec!$E$123:$I$123</definedName>
    <definedName name="decSpecProg3">dec!$E$124:$I$124</definedName>
    <definedName name="decSpecProg4">dec!$E$125:$I$125</definedName>
    <definedName name="decSpecProg5">dec!$E$126:$I$126</definedName>
    <definedName name="decSpecProg6">dec!$E$127:$I$127</definedName>
    <definedName name="decStratEdaComp">dec!$E$153:$I$153</definedName>
    <definedName name="decStratEdaCons">dec!$E$150:$I$150</definedName>
    <definedName name="decStratEdaCSD">dec!$E$140:$I$140</definedName>
    <definedName name="decStratEdaCust">dec!$E$152:$I$152</definedName>
    <definedName name="decStratEdaFnS">dec!$E$142:$I$142</definedName>
    <definedName name="decStratEdaInnov">dec!$E$151:$I$151</definedName>
    <definedName name="decStratEdaNCB">dec!$E$141:$I$141</definedName>
    <definedName name="decStratEdaProd">dec!$E$153:$I$153</definedName>
    <definedName name="decStratName">dec!$E$199:$I$199</definedName>
    <definedName name="decStratVetComp">dec!$E$148:$I$148</definedName>
    <definedName name="decStratVetCons">dec!$E$145:$I$145</definedName>
    <definedName name="decStratVetCSD">dec!$E$136:$I$136</definedName>
    <definedName name="decStratVetCust">dec!$E$147:$I$147</definedName>
    <definedName name="decStratVetFnS">dec!$E$138:$I$138</definedName>
    <definedName name="decStratVetInnov">dec!$E$146:$I$146</definedName>
    <definedName name="decStratVetNCB">dec!$E$137:$I$137</definedName>
    <definedName name="decStratVetProd">dec!$E$148:$I$148</definedName>
    <definedName name="decSVPops">dec!$E$205:$I$205</definedName>
    <definedName name="decSVPrnd">dec!$E$206:$I$206</definedName>
    <definedName name="decSVPshared">dec!$E$207:$I$207</definedName>
    <definedName name="decSWOTo1">dec!$E$186:$I$186</definedName>
    <definedName name="decSWOTo2">dec!$E$187:$I$187</definedName>
    <definedName name="decSWOTo3">dec!$E$188:$I$188</definedName>
    <definedName name="decSWOTo4">dec!$E$189:$I$189</definedName>
    <definedName name="decSWOTo5">dec!$E$190:$I$190</definedName>
    <definedName name="decSWOTs1">dec!$E$174:$I$174</definedName>
    <definedName name="decSWOTs2">dec!$E$175:$I$175</definedName>
    <definedName name="decSWOTs3">dec!$E$176:$I$176</definedName>
    <definedName name="decSWOTs4">dec!$E$177:$I$177</definedName>
    <definedName name="decSWOTs5">dec!$E$178:$I$178</definedName>
    <definedName name="decSWOTt1">dec!$E$192:$I$192</definedName>
    <definedName name="decSWOTt2">dec!$E$193:$I$193</definedName>
    <definedName name="decSWOTt3">dec!$E$194:$I$194</definedName>
    <definedName name="decSWOTt4">dec!$E$195:$I$195</definedName>
    <definedName name="decSWOTt5">dec!$E$196:$I$196</definedName>
    <definedName name="decSWOTw1">dec!$E$180:$I$180</definedName>
    <definedName name="decSWOTw2">dec!$E$181:$I$181</definedName>
    <definedName name="decSWOTw3">dec!$E$182:$I$182</definedName>
    <definedName name="decSWOTw4">dec!$E$183:$I$183</definedName>
    <definedName name="decSWOTw5">dec!$E$184:$I$184</definedName>
    <definedName name="decTeamName">dec!$E$4:$I$4</definedName>
    <definedName name="decTeamNumber">dec!$E$3:$I$3</definedName>
    <definedName name="decTeamYear">dec!$E$5:$I$5</definedName>
    <definedName name="decVetDiffr1">dec!$E$157:$I$157</definedName>
    <definedName name="decVetDiffr2">dec!$E$158:$I$158</definedName>
    <definedName name="decVetDiffr3">dec!$E$159:$I$159</definedName>
    <definedName name="decVision">dec!$E$198:$I$198</definedName>
    <definedName name="decWhatIfActivate">dec!$E$103:$I$103</definedName>
    <definedName name="decWobbler1">dec!$E$128:$I$128</definedName>
    <definedName name="decWobbler2">dec!$E$129:$I$129</definedName>
    <definedName name="decWobbler3">dec!$E$130:$I$130</definedName>
    <definedName name="decWobbler4">dec!$E$131:$I$131</definedName>
    <definedName name="fbVOCAdjust">feedback!$E$467:$I$467</definedName>
    <definedName name="ffbCopyCapVel">feedbackTS!$E$439:$I$439</definedName>
    <definedName name="ffbCopyCashInHand">feedbackTS!$E$415:$I$415</definedName>
    <definedName name="ffbCopyNOPAT">feedbackTS!$E$447:$I$447</definedName>
    <definedName name="ffbCopyOpsMargin">feedbackTS!$E$271:$I$271</definedName>
    <definedName name="ffbCopyProd1Commercial">feedbackTS!$E$391:$I$391</definedName>
    <definedName name="ffbCopyProd1CostPerHL">feedbackTS!$E$343:$I$343</definedName>
    <definedName name="ffbCopyProd1Rev">feedbackTS!$E$319:$I$319</definedName>
    <definedName name="ffbCopyProd3Commercial">feedbackTS!$E$399:$I$399</definedName>
    <definedName name="ffbCopyProd3CostPerHL">feedbackTS!$E$351:$I$351</definedName>
    <definedName name="ffbCopyProd3Rev">feedbackTS!$E$327:$I$327</definedName>
    <definedName name="ffbCopyProd4Commercial">feedbackTS!$E$407:$I$407</definedName>
    <definedName name="ffbCopyProd4CostPerHL">feedbackTS!$E$359:$I$359</definedName>
    <definedName name="ffbCopyProd4Rev">feedbackTS!$E$335:$I$335</definedName>
    <definedName name="ffbCopyReg1OpsMargin">feedbackTS!$E$279:$I$279</definedName>
    <definedName name="ffbCopyreg1Prod1Price">feedbackTS!$E$8:$I$8</definedName>
    <definedName name="ffbCopyreg1Prod1Vol">feedbackTS!$E$16:$I$16</definedName>
    <definedName name="ffbCopyreg1Prod1VolNonStockOut">feedbackTS!$E$24:$I$24</definedName>
    <definedName name="ffbCopyreg1Prod1VolStockOut">feedbackTS!$E$32:$I$32</definedName>
    <definedName name="ffbCopyReg1Prod2Price">feedbackTS!$E$205:$I$205</definedName>
    <definedName name="ffbCopyReg1Prod2Vol">feedbackTS!$E$213:$I$213</definedName>
    <definedName name="ffbCopyReg1Prod2VolNonStockOut">feedbackTS!$E$221:$I$221</definedName>
    <definedName name="ffbCopyReg1Prod2VolStockOut">feedbackTS!$E$229:$I$229</definedName>
    <definedName name="ffbCopyreg1Prod3Price">feedbackTS!$E$73:$I$73</definedName>
    <definedName name="ffbCopyreg1Prod3Vol">feedbackTS!$E$81:$I$81</definedName>
    <definedName name="ffbCopyreg1Prod3VolNonStockOut">feedbackTS!$E$89:$I$89</definedName>
    <definedName name="ffbCopyreg1Prod3VolStockOut">feedbackTS!$E$97:$I$97</definedName>
    <definedName name="ffbCopyreg1Prod4Price">feedbackTS!$E$140:$I$140</definedName>
    <definedName name="ffbCopyreg1Prod4Vol">feedbackTS!$E$148:$I$148</definedName>
    <definedName name="ffbCopyreg1Prod4VolNonStockOut">feedbackTS!$E$156:$I$156</definedName>
    <definedName name="ffbCopyreg1Prod4VolStockOut">feedbackTS!$E$164:$I$164</definedName>
    <definedName name="ffbCopyReg1Rev">feedbackTS!$E$295:$I$295</definedName>
    <definedName name="ffbCopyReg2OpsMargin">feedbackTS!$E$287:$I$287</definedName>
    <definedName name="ffbCopyreg2Prod1Price">feedbackTS!$E$40:$I$40</definedName>
    <definedName name="ffbCopyreg2Prod1Vol">feedbackTS!$E$48:$I$48</definedName>
    <definedName name="ffbCopyreg2Prod1VolNonStockOut">feedbackTS!$E$56:$I$56</definedName>
    <definedName name="ffbCopyreg2Prod1VolStockOut">feedbackTS!$E$64:$I$64</definedName>
    <definedName name="ffbCopyreg2Prod2Price">feedbackTS!$E$237:$I$237</definedName>
    <definedName name="ffbCopyreg2Prod2Vol">feedbackTS!$E$245:$I$245</definedName>
    <definedName name="ffbCopyreg2Prod2VolNonStockOut">feedbackTS!$E$253:$I$253</definedName>
    <definedName name="ffbCopyreg2Prod2VolStockOut">feedbackTS!$E$261:$I$261</definedName>
    <definedName name="ffbCopyreg2Prod3Price">feedbackTS!$E$107:$I$107</definedName>
    <definedName name="ffbCopyreg2Prod3Vol">feedbackTS!$E$115:$I$115</definedName>
    <definedName name="ffbCopyreg2Prod3VolNonStockOut">feedbackTS!$E$123:$I$123</definedName>
    <definedName name="ffbCopyreg2Prod3VolStockOut">feedbackTS!$E$131:$I$131</definedName>
    <definedName name="ffbCopyreg2Prod4Price">feedbackTS!$E$173:$I$173</definedName>
    <definedName name="ffbCopyreg2Prod4Vol">feedbackTS!$E$181:$I$181</definedName>
    <definedName name="ffbCopyreg2Prod4VolNonStockOut">feedbackTS!$E$189:$I$189</definedName>
    <definedName name="ffbCopyreg2Prod4VolStockOut">feedbackTS!$E$197:$I$197</definedName>
    <definedName name="ffbCopyReg2Rev">feedbackTS!$E$303:$I$303</definedName>
    <definedName name="ffbCopyRev">feedbackTS!$E$311:$I$311</definedName>
    <definedName name="ffbCopyRnDSpend">feedbackTS!$E$423:$I$423</definedName>
    <definedName name="ffbCopyROIC">feedbackTS!$E$455:$I$455</definedName>
    <definedName name="ffbCopySGAExp">feedbackTS!$E$367:$I$367</definedName>
    <definedName name="ffbCopySustainability">feedbackTS!$E$431:$I$431</definedName>
    <definedName name="ffbCopyVolumeRegionA">feedbackTS!$E$375:$I$375</definedName>
    <definedName name="ffbCopyVolumeRegionB">feedbackTS!$E$383:$I$383</definedName>
    <definedName name="ffbCopyYearPoints">feedbackTS!$E$463:$I$463</definedName>
    <definedName name="ffbROA">feedbackTS!$E$463:$I$463</definedName>
    <definedName name="finAssetTurnover">fin!$E$742:$I$742</definedName>
    <definedName name="finCashClosingValue">fin!$E$726:$I$726</definedName>
    <definedName name="finCashExpense">fin!$E$689:$I$689</definedName>
    <definedName name="finCashFlowAPChange">fin!$E$705:$I$705</definedName>
    <definedName name="finCashFlowARChange">fin!$E$701:$I$701</definedName>
    <definedName name="finCashFlowDep">fin!$E$696:$I$696</definedName>
    <definedName name="finCashFlowDividendPayOut">fin!$E$718:$I$718</definedName>
    <definedName name="finCashFlowFGChange">fin!$E$702:$I$702</definedName>
    <definedName name="finCashFlowFinance">fin!$E$722:$I$722</definedName>
    <definedName name="finCashFLowFromOps">fin!$E$710:$I$710</definedName>
    <definedName name="finCashFlowInvest">fin!$E$715:$I$715</definedName>
    <definedName name="finCashFlowMatChange">fin!$E$704:$I$704</definedName>
    <definedName name="finCashFlowOperations">fin!$E$699:$I$699</definedName>
    <definedName name="finCashFlowOtherCurrLiabChange">fin!$E$706:$I$706</definedName>
    <definedName name="finCashFlowSpecLoansChange">fin!$E$720:$I$720</definedName>
    <definedName name="finCashFlowWIPChange">fin!$E$703:$I$703</definedName>
    <definedName name="finCashFlowWorkCap">fin!$E$708:$I$708</definedName>
    <definedName name="finCommonStockChange">fin!$E$735:$I$735</definedName>
    <definedName name="finDebtChange">fin!$E$719:$I$719</definedName>
    <definedName name="finEquityChange">fin!$E$717:$I$717</definedName>
    <definedName name="finEVACapital">fin!$E$754:$I$754</definedName>
    <definedName name="finEVACostOfCap">fin!$E$757:$I$757</definedName>
    <definedName name="finEVACostOfEquity">fin!$E$749:$I$749</definedName>
    <definedName name="finEVACostOfLTDebt">fin!$E$751:$I$751</definedName>
    <definedName name="finEVACostOfSpeclLoans">fin!$E$753:$I$753</definedName>
    <definedName name="finEVACStock">fin!$E$746:$I$746</definedName>
    <definedName name="finEVAEcoProfit">fin!$E$758:$I$758</definedName>
    <definedName name="finEVALtDebt">fin!$E$750:$I$750</definedName>
    <definedName name="finEVANetEarn">fin!$E$748:$I$748</definedName>
    <definedName name="finEVANOPAT">fin!$E$745:$I$745</definedName>
    <definedName name="finEVARetEarn">fin!$E$747:$I$747</definedName>
    <definedName name="finEVASpecLoans">fin!$E$752:$I$752</definedName>
    <definedName name="finEVAWACCPct">fin!$E$755:$I$755</definedName>
    <definedName name="finFreeCashFlow">fin!$E$728:$I$728</definedName>
    <definedName name="finInvestedCapital">fin!$E$775:$I$775</definedName>
    <definedName name="finNOPAT">fin!$E$766:$I$766</definedName>
    <definedName name="finNOPATmargin">fin!$E$767:$I$767</definedName>
    <definedName name="finPNLAdminExp">fin!$E$649:$I$649</definedName>
    <definedName name="finPNLAdvExp">fin!$E$636:$I$636</definedName>
    <definedName name="finPNLAmorGoodwillExp">fin!$E$670:$I$670</definedName>
    <definedName name="finPNLCapLossExp">fin!$E$674:$I$674</definedName>
    <definedName name="finPNLCOGSDepExp">fin!$E$626:$I$626</definedName>
    <definedName name="finPNLCOGSEmp3Exp">fin!$E$624:$I$624</definedName>
    <definedName name="finPNLCOGSExp">fin!$E$632:$I$632</definedName>
    <definedName name="finPNLCOGSMatExp">fin!$E$623:$I$623</definedName>
    <definedName name="finPNLCOGSPlant1Exp">fin!$E$625:$I$625</definedName>
    <definedName name="finPNLCSDRnD">fin!$E$652:$I$652</definedName>
    <definedName name="finPNLDisruptiveRND">fin!$E$655:$I$655</definedName>
    <definedName name="finPNLEBIT">fin!$E$678:$I$678</definedName>
    <definedName name="finPNLempDevCosts">fin!$E$646:$I$646</definedName>
    <definedName name="finPNLExtraOrdExp">fin!$E$677:$I$677</definedName>
    <definedName name="finPNLGenExp">fin!$E$643:$I$643</definedName>
    <definedName name="finPNLGrossMargin">fin!$E$634:$I$634</definedName>
    <definedName name="finPNLIntExp">fin!$E$681:$I$681</definedName>
    <definedName name="finPNLIntInc">fin!$E$680:$I$680</definedName>
    <definedName name="finPNLLongTermRDExp">fin!$E$657:$I$657</definedName>
    <definedName name="finPNLNCBRnD">fin!$E$653:$I$653</definedName>
    <definedName name="finPNLNetEarn">fin!$E$687:$I$687</definedName>
    <definedName name="finPNLNetIntExp">fin!$E$683:$I$683</definedName>
    <definedName name="finPNLNetRev">fin!$E$621:$I$621</definedName>
    <definedName name="finPNLOperEarn">fin!$E$671:$I$671</definedName>
    <definedName name="finPNLoperEarnPct">fin!$E$672:$I$672</definedName>
    <definedName name="finPNLOtherOpExp">fin!$E$667:$I$667</definedName>
    <definedName name="finPNLPortfolioRND">fin!$E$656:$I$656</definedName>
    <definedName name="finPNLPromoExp">fin!$E$620:$I$620</definedName>
    <definedName name="finPNLRandDExp">fin!$E$659:$I$659</definedName>
    <definedName name="finPNLReg1AdvExp">fin!$E$330:$I$330</definedName>
    <definedName name="finPNLReg1COGSDepExp">fin!$E$320:$I$320</definedName>
    <definedName name="finPNLReg1COGSDistExp">fin!$E$335:$I$335</definedName>
    <definedName name="finPNLReg1COGSEmp3Exp">fin!$E$318:$I$318</definedName>
    <definedName name="finPNLReg1COGSExp">fin!$E$326:$I$326</definedName>
    <definedName name="finPNLReg1COGSManuExp">fin!$E$322:$I$322</definedName>
    <definedName name="finPNLReg1COGSMatExp">fin!$E$317:$I$317</definedName>
    <definedName name="finPNLReg1COGSPlant1Exp">fin!$E$319:$I$319</definedName>
    <definedName name="finPNLReg1COGSRoyExp">fin!$E$323:$I$323</definedName>
    <definedName name="finPNLReg1COGSSpecialityExp">fin!$E$324:$I$324</definedName>
    <definedName name="finPNLReg1DisposalExp">fin!$E$354:$I$354</definedName>
    <definedName name="finPNLReg1Emp1Exp">fin!$E$331:$I$331</definedName>
    <definedName name="finPNLReg1EmpAdminExp">fin!$E$338:$I$338</definedName>
    <definedName name="finPNLReg1EmpRecDismExp">fin!$E$339:$I$339</definedName>
    <definedName name="finPNLReg1ExcapExp">fin!$E$353:$I$353</definedName>
    <definedName name="finPNLReg1FixedAdminExp">fin!$E$340:$I$340</definedName>
    <definedName name="finPNLReg1GrossMargin">fin!$E$328:$I$328</definedName>
    <definedName name="finPNLReg1InEffExp">fin!$E$352:$I$352</definedName>
    <definedName name="finPNLReg1InventoryHndlgExp">fin!$E$334:$I$334</definedName>
    <definedName name="finPNLReg1LongTermRDExp">fin!$E$348:$I$348</definedName>
    <definedName name="finPNLReg1NetRev">fin!$E$315:$I$315</definedName>
    <definedName name="finPNLReg1OpsMargin">fin!$E$359:$I$359</definedName>
    <definedName name="finPNLReg1OpsMarginPct">fin!$E$360:$I$360</definedName>
    <definedName name="finPNLReg1OtherOpExp">fin!$E$357:$I$357</definedName>
    <definedName name="finPNLReg1Prod1AdvExp">fin!$E$127:$I$127</definedName>
    <definedName name="finPNLReg1Prod1COGSDepExp">fin!$E$117:$I$117</definedName>
    <definedName name="finPNLReg1Prod1COGSDistExp">fin!$E$132:$I$132</definedName>
    <definedName name="finPNLReg1Prod1COGSEmp3Exp">fin!$E$115:$I$115</definedName>
    <definedName name="finPNLReg1Prod1COGSExp">fin!$E$123:$I$123</definedName>
    <definedName name="finPNLReg1Prod1COGSManuExp">fin!$E$119:$I$119</definedName>
    <definedName name="finPNLReg1Prod1COGSMatExp">fin!$E$114:$I$114</definedName>
    <definedName name="finPNLReg1Prod1COGSPlant1Exp">fin!$E$116:$I$116</definedName>
    <definedName name="finPNLReg1Prod1COGSRoyExp">fin!$E$120:$I$120</definedName>
    <definedName name="finPNLReg1Prod1DisposalExp">fin!$E$151:$I$151</definedName>
    <definedName name="finPNLReg1Prod1Emp1Exp">fin!$E$128:$I$128</definedName>
    <definedName name="finPNLReg1Prod1EmpAdminExp">fin!$E$135:$I$135</definedName>
    <definedName name="finPNLReg1Prod1EmpRecDismExp">fin!$E$136:$I$136</definedName>
    <definedName name="finPNLReg1Prod1FixedAdminExp">fin!$E$137:$I$137</definedName>
    <definedName name="finPNLReg1Prod1GrossMargin">fin!$E$125:$I$125</definedName>
    <definedName name="finPNLReg1Prod1InventoryHndlgExp">fin!$E$131:$I$131</definedName>
    <definedName name="finPNLReg1Prod1NetRev">fin!$E$112:$I$112</definedName>
    <definedName name="finPNLReg1Prod1OpsMargin">fin!$E$157:$I$157</definedName>
    <definedName name="finPNLReg1Prod1OtherOpExp">fin!$E$154:$I$154</definedName>
    <definedName name="finPNLReg1Prod1PromoExp">fin!$E$111:$I$111</definedName>
    <definedName name="finPNLReg1Prod1RandDExp">fin!$E$147:$I$147</definedName>
    <definedName name="finPNLReg1Prod1RDFtr1Exp">fin!$E$142:$I$142</definedName>
    <definedName name="finPNLReg1Prod1RDFtr2Exp">fin!$E$143:$I$143</definedName>
    <definedName name="finPNLReg1Prod1RDFtr4Exp">fin!$E$144:$I$144</definedName>
    <definedName name="finPNLReg1Prod1RDlt">fin!$E$145:$I$145</definedName>
    <definedName name="finPNLReg1Prod1Rev">fin!$E$110:$I$110</definedName>
    <definedName name="finPNLReg1Prod1SGAExp">fin!$E$140:$I$140</definedName>
    <definedName name="finPNLReg1Prod1SpecProgExp">fin!$E$152:$I$152</definedName>
    <definedName name="finPNLReg1Prod2AdvExp">fin!$E$178:$I$178</definedName>
    <definedName name="finPNLReg1Prod2AdvExpS1">fin!$E$26:$I$26</definedName>
    <definedName name="finPNLReg1Prod2COGSDepExp">fin!$E$168:$I$168</definedName>
    <definedName name="finPNLReg1Prod2COGSDepExpS1">fin!$E$16:$I$16</definedName>
    <definedName name="finPNLReg1Prod2COGSDistExp">fin!$E$183:$I$183</definedName>
    <definedName name="finPNLReg1Prod2COGSDistExpS1">fin!$E$31:$I$31</definedName>
    <definedName name="finPNLReg1Prod2COGSEmp3Exp">fin!$E$166:$I$166</definedName>
    <definedName name="finPNLReg1Prod2COGSEmp3ExpS1">fin!$E$14:$I$14</definedName>
    <definedName name="finPNLReg1Prod2COGSExp">fin!$E$174:$I$174</definedName>
    <definedName name="finPNLReg1Prod2COGSExpS1">fin!$E$22:$I$22</definedName>
    <definedName name="finPNLReg1Prod2COGSManuExp">fin!$E$170:$I$170</definedName>
    <definedName name="finPNLReg1Prod2COGSManuExpS1">fin!$E$18:$I$18</definedName>
    <definedName name="finPNLReg1Prod2COGSMatExp">fin!$E$165:$I$165</definedName>
    <definedName name="finPNLReg1Prod2COGSMatExpS1">fin!$E$13:$I$13</definedName>
    <definedName name="finPNLReg1Prod2COGSPlant1Exp">fin!$E$167:$I$167</definedName>
    <definedName name="finPNLReg1Prod2COGSPlant1ExpS1">fin!$E$15:$I$15</definedName>
    <definedName name="finPNLReg1Prod2COGSRoyExp">fin!$E$171:$I$171</definedName>
    <definedName name="finPNLReg1Prod2COGSRoyExpS1">fin!$E$19:$I$19</definedName>
    <definedName name="finPNLReg1Prod2DisposalExp">fin!$E$202:$I$202</definedName>
    <definedName name="finPNLReg1Prod2DisposalExpS1">fin!$E$50:$I$50</definedName>
    <definedName name="finPNLReg1Prod2Emp1Exp">fin!$E$179:$I$179</definedName>
    <definedName name="finPNLReg1Prod2Emp1ExpS1">fin!$E$27:$I$27</definedName>
    <definedName name="finPNLReg1Prod2EmpAdminExp">fin!$E$186:$I$186</definedName>
    <definedName name="finPNLReg1Prod2EmpAdminExpS1">fin!$E$34:$I$34</definedName>
    <definedName name="finPNLReg1Prod2EmpRecDismExp">fin!$E$187:$I$187</definedName>
    <definedName name="finPNLReg1Prod2EmpRecDismExpS1">fin!$E$35:$I$35</definedName>
    <definedName name="finPNLReg1Prod2FixedAdminExp">fin!$E$188:$I$188</definedName>
    <definedName name="finPNLReg1Prod2FixedAdminExpS1">fin!$E$36:$I$36</definedName>
    <definedName name="finPNLReg1Prod2GrossMargin">fin!$E$176:$I$176</definedName>
    <definedName name="finPNLReg1Prod2GrossMarginS1">fin!$E$24:$I$24</definedName>
    <definedName name="finPNLReg1Prod2InventoryHndlgExp">fin!$E$182:$I$182</definedName>
    <definedName name="finPNLReg1Prod2InventoryHndlgExpS1">fin!$E$30:$I$30</definedName>
    <definedName name="finPNLReg1Prod2NetRev">fin!$E$163:$I$163</definedName>
    <definedName name="finPNLReg1Prod2NetRevS1">fin!$E$11:$I$11</definedName>
    <definedName name="finPNLReg1Prod2OpsMargin">fin!$E$207:$I$207</definedName>
    <definedName name="finPNLReg1Prod2OpsMarginS1">fin!$E$55:$I$55</definedName>
    <definedName name="finPNLReg1Prod2OtherOpExp">fin!$E$205:$I$205</definedName>
    <definedName name="finPNLReg1Prod2OtherOpExpS1">fin!$E$53:$I$53</definedName>
    <definedName name="finPNLReg1Prod2PromoExp">fin!$E$162:$I$162</definedName>
    <definedName name="finPNLReg1Prod2PromoExpS1">fin!$E$10:$I$10</definedName>
    <definedName name="finPNLReg1Prod2RandDExp">fin!$E$198:$I$198</definedName>
    <definedName name="finPNLReg1Prod2RandDExpS1">fin!$E$46:$I$46</definedName>
    <definedName name="finPNLReg1Prod2RDFtr1Exp">fin!$E$193:$I$193</definedName>
    <definedName name="finPNLReg1Prod2RDFtr1ExpS1">fin!$E$41:$I$41</definedName>
    <definedName name="finPNLReg1Prod2RDFtr2Exp">fin!$E$194:$I$194</definedName>
    <definedName name="finPNLReg1Prod2RDFtr2ExpS1">fin!$E$42:$I$42</definedName>
    <definedName name="finPNLReg1Prod2RDFtr4Exp">fin!$E$195:$I$195</definedName>
    <definedName name="finPNLReg1Prod2RDFtr4ExpS1">fin!$E$43:$I$43</definedName>
    <definedName name="finPNLReg1Prod2RDlt">fin!$E$196:$I$196</definedName>
    <definedName name="finPNLReg1Prod2Rev">fin!$E$161:$I$161</definedName>
    <definedName name="finPNLReg1Prod2RevS1">fin!$E$9:$I$9</definedName>
    <definedName name="finPNLReg1Prod2SGAExp">fin!$E$191:$I$191</definedName>
    <definedName name="finPNLReg1Prod2SGAExpS1">fin!$E$39:$I$39</definedName>
    <definedName name="finPNLReg1Prod2SpecProgExp">fin!$E$203:$I$203</definedName>
    <definedName name="finPNLReg1Prod2SpecProgExpS1">fin!$E$51:$I$51</definedName>
    <definedName name="finPNLReg1Prod3AdvExp">fin!$E$228:$I$228</definedName>
    <definedName name="finPNLReg1Prod3COGSDepExp">fin!$E$218:$I$218</definedName>
    <definedName name="finPNLReg1Prod3COGSDistExp">fin!$E$233:$I$233</definedName>
    <definedName name="finPNLReg1Prod3COGSEmp3Exp">fin!$E$216:$I$216</definedName>
    <definedName name="finPNLReg1Prod3COGSExp">fin!$E$224:$I$224</definedName>
    <definedName name="finPNLReg1Prod3COGSManuExp">fin!$E$220:$I$220</definedName>
    <definedName name="finPNLReg1Prod3COGSMatExp">fin!$E$215:$I$215</definedName>
    <definedName name="finPNLReg1Prod3COGSPlant1Exp">fin!$E$217:$I$217</definedName>
    <definedName name="finPNLReg1Prod3COGSRoyExp">fin!$E$221:$I$221</definedName>
    <definedName name="finPNLReg1Prod3DisposalExp">fin!$E$252:$I$252</definedName>
    <definedName name="finPNLReg1Prod3Emp1Exp">fin!$E$229:$I$229</definedName>
    <definedName name="finPNLReg1Prod3EmpAdminExp">fin!$E$236:$I$236</definedName>
    <definedName name="finPNLReg1Prod3EmpRecDismExp">fin!$E$237:$I$237</definedName>
    <definedName name="finPNLReg1Prod3FixedAdminExp">fin!$E$238:$I$238</definedName>
    <definedName name="finPNLReg1Prod3GrossMargin">fin!$E$226:$I$226</definedName>
    <definedName name="finPNLReg1Prod3InventoryHndlgExp">fin!$E$232:$I$232</definedName>
    <definedName name="finPNLReg1Prod3NetRev">fin!$E$213:$I$213</definedName>
    <definedName name="finPNLReg1Prod3OpsMargin">fin!$E$258:$I$258</definedName>
    <definedName name="finPNLReg1Prod3OtherOpExp">fin!$E$255:$I$255</definedName>
    <definedName name="finPNLReg1Prod3PromoExp">fin!$E$212:$I$212</definedName>
    <definedName name="finPNLReg1Prod3RandDExp">fin!$E$248:$I$248</definedName>
    <definedName name="finPNLReg1Prod3RDFtr1Exp">fin!$E$243:$I$243</definedName>
    <definedName name="finPNLReg1Prod3RDFtr2Exp">fin!$E$244:$I$244</definedName>
    <definedName name="finPNLReg1Prod3RDFtr4Exp">fin!$E$245:$I$245</definedName>
    <definedName name="finPNLReg1Prod3RDlt">fin!$E$246:$I$246</definedName>
    <definedName name="finPNLReg1Prod3Rev">fin!$E$211:$I$211</definedName>
    <definedName name="finPNLReg1Prod3SGAExp">fin!$E$241:$I$241</definedName>
    <definedName name="finPNLReg1Prod3SpecProgExp">fin!$E$253:$I$253</definedName>
    <definedName name="finPNLReg1Prod4AdvExp">fin!$E$279:$I$279</definedName>
    <definedName name="finPNLReg1Prod4COGSDepExp">fin!$E$269:$I$269</definedName>
    <definedName name="finPNLReg1Prod4COGSDistExp">fin!$E$284:$I$284</definedName>
    <definedName name="finPNLReg1Prod4COGSEmp3Exp">fin!$E$267:$I$267</definedName>
    <definedName name="finPNLReg1Prod4COGSExp">fin!$E$275:$I$275</definedName>
    <definedName name="finPNLReg1Prod4COGSManuExp">fin!$E$271:$I$271</definedName>
    <definedName name="finPNLReg1Prod4COGSMatExp">fin!$E$266:$I$266</definedName>
    <definedName name="finPNLReg1Prod4COGSPlant1Exp">fin!$E$268:$I$268</definedName>
    <definedName name="finPNLReg1Prod4COGSRoyExp">fin!$E$272:$I$272</definedName>
    <definedName name="finPNLReg1Prod4COGSSpecialityExp">fin!$E$274:$I$274</definedName>
    <definedName name="finPNLReg1Prod4DisposalExp">fin!$E$303:$I$303</definedName>
    <definedName name="finPNLReg1Prod4Emp1Exp">fin!$E$280:$I$280</definedName>
    <definedName name="finPNLReg1Prod4EmpAdminExp">fin!$E$287:$I$287</definedName>
    <definedName name="finPNLReg1Prod4EmpRecDismExp">fin!$E$288:$I$288</definedName>
    <definedName name="finPNLReg1Prod4FixedAdminExp">fin!$E$289:$I$289</definedName>
    <definedName name="finPNLReg1Prod4GrossMargin">fin!$E$277:$I$277</definedName>
    <definedName name="finPNLReg1Prod4InventoryHndlgExp">fin!$E$283:$I$283</definedName>
    <definedName name="finPNLReg1Prod4NetRev">fin!$E$264:$I$264</definedName>
    <definedName name="finPNLReg1Prod4OpsMargin">fin!$E$309:$I$309</definedName>
    <definedName name="finPNLReg1Prod4OtherOpExp">fin!$E$306:$I$306</definedName>
    <definedName name="finPNLReg1Prod4PromoExp">fin!$E$263:$I$263</definedName>
    <definedName name="finPNLReg1Prod4RandDExp">fin!$E$299:$I$299</definedName>
    <definedName name="finPNLReg1Prod4RDFtr1Exp">fin!$E$294:$I$294</definedName>
    <definedName name="finPNLReg1Prod4RDFtr2Exp">fin!$E$295:$I$295</definedName>
    <definedName name="finPNLReg1Prod4RDFtr4Exp">fin!$E$296:$I$296</definedName>
    <definedName name="finPNLReg1Prod4RDlt">fin!$E$297:$I$297</definedName>
    <definedName name="finPNLReg1Prod4Rev">fin!$E$262:$I$262</definedName>
    <definedName name="finPNLReg1Prod4SGAExp">fin!$E$292:$I$292</definedName>
    <definedName name="finPNLReg1Prod4SpecProgExp">fin!$E$304:$I$304</definedName>
    <definedName name="finPNLReg1PromoExp">fin!$E$314:$I$314</definedName>
    <definedName name="finPNLReg1RandDExp">fin!$E$350:$I$350</definedName>
    <definedName name="finPNLReg1RDFtr1Exp">fin!$E$345:$I$345</definedName>
    <definedName name="finPNLReg1RDFtr2Exp">fin!$E$346:$I$346</definedName>
    <definedName name="finPNLReg1RDFtr4Exp">fin!$E$347:$I$347</definedName>
    <definedName name="finPNLReg1Rev">fin!$E$313:$I$313</definedName>
    <definedName name="finPNLReg1SGAExp">fin!$E$343:$I$343</definedName>
    <definedName name="finPNLReg1SpecProgExp">fin!$E$355:$I$355</definedName>
    <definedName name="finPNLReg2AdvExp">fin!$E$585:$I$585</definedName>
    <definedName name="finPNLReg2COGSDepExp">fin!$E$575:$I$575</definedName>
    <definedName name="finPNLReg2COGSDistExp">fin!$E$590:$I$590</definedName>
    <definedName name="finPNLReg2COGSEmp3Exp">fin!$E$573:$I$573</definedName>
    <definedName name="finPNLReg2COGSExp">fin!$E$581:$I$581</definedName>
    <definedName name="finPNLReg2COGSManuExp">fin!$E$577:$I$577</definedName>
    <definedName name="finPNLReg2COGSMatExp">fin!$E$572:$I$572</definedName>
    <definedName name="finPNLReg2COGSPlant1Exp">fin!$E$574:$I$574</definedName>
    <definedName name="finPNLReg2COGSRoyExp">fin!$E$629:$I$629</definedName>
    <definedName name="finPNLReg2COGSSpecialityExp">fin!$E$579:$I$579</definedName>
    <definedName name="finPNLReg2DisposalExp">fin!$E$609:$I$609</definedName>
    <definedName name="finPNLReg2Emp2Exp">fin!$E$586:$I$586</definedName>
    <definedName name="finPNLReg2EmpAdminExp">fin!$E$593:$I$593</definedName>
    <definedName name="finPNLReg2EmpRecDismExp">fin!$E$594:$I$594</definedName>
    <definedName name="finPNLReg2ExcapExp">fin!$E$608:$I$608</definedName>
    <definedName name="finPNLReg2FixedAdminExp">fin!$E$595:$I$595</definedName>
    <definedName name="finPNLReg2GrossMargin">fin!$E$583:$I$583</definedName>
    <definedName name="finPNLReg2InEffExp">fin!$E$607:$I$607</definedName>
    <definedName name="finPNLReg2InventoryHndlgExp">fin!$E$589:$I$589</definedName>
    <definedName name="finPNLReg2LongTermRDExp">fin!$E$603:$I$603</definedName>
    <definedName name="finPNLReg2NetRev">fin!$E$570:$I$570</definedName>
    <definedName name="finPNLReg2OpsMargin">fin!$E$614:$I$614</definedName>
    <definedName name="finPNLReg2OpsMarginPct">fin!$E$615:$I$615</definedName>
    <definedName name="finPNLReg2OtherOpExp">fin!$E$612:$I$612</definedName>
    <definedName name="finPNLReg2Prod1AdvExp">fin!$E$382:$I$382</definedName>
    <definedName name="finPNLReg2Prod1COGSDepExp">fin!$E$372:$I$372</definedName>
    <definedName name="finPNLReg2Prod1COGSDistExp">fin!$E$387:$I$387</definedName>
    <definedName name="finPNLReg2Prod1COGSEmp3Exp">fin!$E$370:$I$370</definedName>
    <definedName name="finPNLReg2Prod1COGSExp">fin!$E$378:$I$378</definedName>
    <definedName name="finPNLReg2Prod1COGSManuExp">fin!$E$374:$I$374</definedName>
    <definedName name="finPNLReg2Prod1COGSMatExp">fin!$E$369:$I$369</definedName>
    <definedName name="finPNLReg2Prod1COGSPlant1Exp">fin!$E$371:$I$371</definedName>
    <definedName name="finPNLReg2Prod1COGSRoyExp">fin!$E$375:$I$375</definedName>
    <definedName name="finPNLReg2Prod1DisposalExp">fin!$E$406:$I$406</definedName>
    <definedName name="finPNLReg2Prod1Emp1Exp">fin!$E$383:$I$383</definedName>
    <definedName name="finPNLReg2Prod1Emp2Exp">fin!$E$385:$I$385</definedName>
    <definedName name="finPNLReg2Prod1EmpAdminExp">fin!$E$390:$I$390</definedName>
    <definedName name="finPNLReg2Prod1EmpRecDismExp">fin!$E$391:$I$391</definedName>
    <definedName name="finPNLReg2Prod1FixedAdminExp">fin!$E$392:$I$392</definedName>
    <definedName name="finPNLReg2Prod1GrossMargin">fin!$E$380:$I$380</definedName>
    <definedName name="finPNLReg2Prod1InventoryHndlgExp">fin!$E$386:$I$386</definedName>
    <definedName name="finPNLReg2Prod1NetRev">fin!$E$367:$I$367</definedName>
    <definedName name="finPNLReg2Prod1OpsMargin">fin!$E$412:$I$412</definedName>
    <definedName name="finPNLReg2Prod1OtherOpExp">fin!$E$409:$I$409</definedName>
    <definedName name="finPNLReg2Prod1PromoExp">fin!$E$366:$I$366</definedName>
    <definedName name="finPNLReg2Prod1RandDExp">fin!$E$402:$I$402</definedName>
    <definedName name="finPNLReg2Prod1RDFtr1Exp">fin!$E$397:$I$397</definedName>
    <definedName name="finPNLReg2Prod1RDFtr2Exp">fin!$E$398:$I$398</definedName>
    <definedName name="finPNLReg2Prod1RDFtr4Exp">fin!$E$399:$I$399</definedName>
    <definedName name="finPNLReg2Prod1RDlt">fin!$E$400:$I$400</definedName>
    <definedName name="finPNLReg2Prod1Rev">fin!$E$365:$I$365</definedName>
    <definedName name="finPNLReg2Prod1SGAExp">fin!$E$395:$I$395</definedName>
    <definedName name="finPNLReg2Prod1SpecProgExp">fin!$E$407:$I$407</definedName>
    <definedName name="finPNLReg2Prod2AdvExp">fin!$E$433:$I$433</definedName>
    <definedName name="finPNLReg2Prod2AdvExpS2">fin!$E$76:$I$76</definedName>
    <definedName name="finPNLReg2Prod2COGSDepExp">fin!$E$423:$I$423</definedName>
    <definedName name="finPNLReg2Prod2COGSDepExpS2">fin!$E$66:$I$66</definedName>
    <definedName name="finPNLReg2Prod2COGSDistExp">fin!$E$438:$I$438</definedName>
    <definedName name="finPNLReg2Prod2COGSDistExpS2">fin!$E$81:$I$81</definedName>
    <definedName name="finPNLReg2Prod2COGSEmp3Exp">fin!$E$421:$I$421</definedName>
    <definedName name="finPNLReg2Prod2COGSEmp3ExpS2">fin!$E$64:$I$64</definedName>
    <definedName name="finPNLReg2Prod2COGSExp">fin!$E$429:$I$429</definedName>
    <definedName name="finPNLReg2Prod2COGSExpS2">fin!$E$72:$I$72</definedName>
    <definedName name="finPNLReg2Prod2COGSManuExp">fin!$E$425:$I$425</definedName>
    <definedName name="finPNLReg2Prod2COGSManuExpS2">fin!$E$68:$I$68</definedName>
    <definedName name="finPNLReg2Prod2COGSMatExp">fin!$E$420:$I$420</definedName>
    <definedName name="finPNLReg2Prod2COGSMatExpS2">fin!$E$63:$I$63</definedName>
    <definedName name="finPNLReg2Prod2COGSPlant1Exp">fin!$E$422:$I$422</definedName>
    <definedName name="finPNLReg2Prod2COGSPlant1ExpS2">fin!$E$65:$I$65</definedName>
    <definedName name="finPNLReg2Prod2COGSRoyExp">fin!$E$426:$I$426</definedName>
    <definedName name="finPNLReg2Prod2COGSRoyExpS2">fin!$E$69:$I$69</definedName>
    <definedName name="finPNLReg2Prod2DisposalExp">fin!$E$457:$I$457</definedName>
    <definedName name="finPNLReg2Prod2DisposalExpS2">fin!$E$100:$I$100</definedName>
    <definedName name="finPNLReg2Prod2Emp2Exp">fin!$E$434:$I$434</definedName>
    <definedName name="finPNLReg2Prod2Emp2ExpS2">fin!$E$77:$I$77</definedName>
    <definedName name="finPNLReg2Prod2EmpAdminExp">fin!$E$441:$I$441</definedName>
    <definedName name="finPNLReg2Prod2EmpAdminExpS2">fin!$E$84:$I$84</definedName>
    <definedName name="finPNLReg2Prod2EmpRecDismExp">fin!$E$442:$I$442</definedName>
    <definedName name="finPNLReg2Prod2EmpRecDismExpS2">fin!$E$85:$I$85</definedName>
    <definedName name="finPNLReg2Prod2FixedAdminExp">fin!$E$443:$I$443</definedName>
    <definedName name="finPNLReg2Prod2FixedAdminExpS2">fin!$E$86:$I$86</definedName>
    <definedName name="finPNLReg2Prod2GrossMargin">fin!$E$431:$I$431</definedName>
    <definedName name="finPNLReg2Prod2GrossMarginS2">fin!$E$74:$I$74</definedName>
    <definedName name="finPNLReg2Prod2InventoryHndlgExp">fin!$E$437:$I$437</definedName>
    <definedName name="finPNLReg2Prod2InventoryHndlgExpS2">fin!$E$80:$I$80</definedName>
    <definedName name="finPNLReg2Prod2NetRev">fin!$E$418:$I$418</definedName>
    <definedName name="finPNLReg2Prod2NetRevS2">fin!$E$61:$I$61</definedName>
    <definedName name="finPNLReg2Prod2OpsMargin">fin!$E$462:$I$462</definedName>
    <definedName name="finPNLReg2Prod2OpsMarginS2">fin!$E$105:$I$105</definedName>
    <definedName name="finPNLReg2Prod2OtherOpExp">fin!$E$460:$I$460</definedName>
    <definedName name="finPNLReg2Prod2OtherOpExpS2">fin!$E$103:$I$103</definedName>
    <definedName name="finPNLReg2Prod2PromoExp">fin!$E$417:$I$417</definedName>
    <definedName name="finPNLReg2Prod2PromoExpS2">fin!$E$60:$I$60</definedName>
    <definedName name="finPNLReg2Prod2RandDExp">fin!$E$453:$I$453</definedName>
    <definedName name="finPNLReg2Prod2RandDExpS2">fin!$E$96:$I$96</definedName>
    <definedName name="finPNLReg2Prod2RDFtr1Exp">fin!$E$448:$I$448</definedName>
    <definedName name="finPNLReg2Prod2RDFtr1ExpS2">fin!$E$91:$I$91</definedName>
    <definedName name="finPNLReg2Prod2RDFtr2Exp">fin!$E$449:$I$449</definedName>
    <definedName name="finPNLReg2Prod2RDFtr2ExpS2">fin!$E$92:$I$92</definedName>
    <definedName name="finPNLReg2Prod2RDFtr4Exp">fin!$E$450:$I$450</definedName>
    <definedName name="finPNLReg2Prod2RDFtr4ExpS2">fin!$E$93:$I$93</definedName>
    <definedName name="finPNLReg2Prod2RDlt">fin!$E$451:$I$451</definedName>
    <definedName name="finPNLReg2Prod2Rev">fin!$E$416:$I$416</definedName>
    <definedName name="finPNLReg2Prod2RevS2">fin!$E$59:$I$59</definedName>
    <definedName name="finPNLReg2Prod2SGAExp">fin!$E$446:$I$446</definedName>
    <definedName name="finPNLReg2Prod2SGAExpS2">fin!$E$89:$I$89</definedName>
    <definedName name="finPNLReg2Prod2SpecProgExp">fin!$E$458:$I$458</definedName>
    <definedName name="finPNLReg2Prod2SpecProgExpS2">fin!$E$101:$I$101</definedName>
    <definedName name="finPNLReg2Prod3AdvExp">fin!$E$483:$I$483</definedName>
    <definedName name="finPNLReg2Prod3COGSDepExp">fin!$E$473:$I$473</definedName>
    <definedName name="finPNLReg2Prod3COGSDistExp">fin!$E$488:$I$488</definedName>
    <definedName name="finPNLReg2Prod3COGSEmp3Exp">fin!$E$471:$I$471</definedName>
    <definedName name="finPNLReg2Prod3COGSExp">fin!$E$479:$I$479</definedName>
    <definedName name="finPNLReg2Prod3COGSManuExp">fin!$E$475:$I$475</definedName>
    <definedName name="finPNLReg2Prod3COGSMatExp">fin!$E$470:$I$470</definedName>
    <definedName name="finPNLReg2Prod3COGSPlant1Exp">fin!$E$472:$I$472</definedName>
    <definedName name="finPNLReg2Prod3COGSRoyExp">fin!$E$476:$I$476</definedName>
    <definedName name="finPNLReg2Prod3DisposalExp">fin!$E$507:$I$507</definedName>
    <definedName name="finPNLReg2Prod3Emp1Exp">fin!$E$484:$I$484</definedName>
    <definedName name="finPNLReg2Prod3Emp2Exp">fin!$E$486:$I$486</definedName>
    <definedName name="finPNLReg2Prod3EmpAdminExp">fin!$E$491:$I$491</definedName>
    <definedName name="finPNLReg2Prod3EmpRecDismExp">fin!$E$492:$I$492</definedName>
    <definedName name="finPNLReg2Prod3FixedAdminExp">fin!$E$493:$I$493</definedName>
    <definedName name="finPNLReg2Prod3GrossMargin">fin!$E$481:$I$481</definedName>
    <definedName name="finPNLReg2Prod3InventoryHndlgExp">fin!$E$487:$I$487</definedName>
    <definedName name="finPNLReg2Prod3NetRev">fin!$E$468:$I$468</definedName>
    <definedName name="finPNLReg2Prod3OpsMargin">fin!$E$513:$I$513</definedName>
    <definedName name="finPNLReg2Prod3OtherOpExp">fin!$E$510:$I$510</definedName>
    <definedName name="finPNLReg2Prod3PromoExp">fin!$E$467:$I$467</definedName>
    <definedName name="finPNLReg2Prod3RandDExp">fin!$E$503:$I$503</definedName>
    <definedName name="finPNLReg2Prod3RDFtr1Exp">fin!$E$498:$I$498</definedName>
    <definedName name="finPNLReg2Prod3RDFtr2Exp">fin!$E$499:$I$499</definedName>
    <definedName name="finPNLReg2Prod3RDFtr4Exp">fin!$E$500:$I$500</definedName>
    <definedName name="finPNLReg2Prod3RDlt">fin!$E$501:$I$501</definedName>
    <definedName name="finPNLReg2Prod3Rev">fin!$E$466:$I$466</definedName>
    <definedName name="finPNLReg2Prod3SGAExp">fin!$E$496:$I$496</definedName>
    <definedName name="finPNLReg2Prod3SpecProgExp">fin!$E$508:$I$508</definedName>
    <definedName name="finPNLReg2Prod4AdvExp">fin!$E$534:$I$534</definedName>
    <definedName name="finPNLReg2Prod4COGSDepExp">fin!$E$524:$I$524</definedName>
    <definedName name="finPNLReg2Prod4COGSDistExp">fin!$E$539:$I$539</definedName>
    <definedName name="finPNLReg2Prod4COGSEmp3Exp">fin!$E$522:$I$522</definedName>
    <definedName name="finPNLReg2Prod4COGSExp">fin!$E$530:$I$530</definedName>
    <definedName name="finPNLReg2Prod4COGSManuExp">fin!$E$526:$I$526</definedName>
    <definedName name="finPNLReg2Prod4COGSMatExp">fin!$E$521:$I$521</definedName>
    <definedName name="finPNLReg2Prod4COGSPlant1Exp">fin!$E$523:$I$523</definedName>
    <definedName name="finPNLReg2Prod4COGSRoyExp">fin!$E$527:$I$527</definedName>
    <definedName name="finPNLReg2Prod4COGSSpecialityExp">fin!$E$529:$I$529</definedName>
    <definedName name="finPNLReg2Prod4DisposalExp">fin!$E$558:$I$558</definedName>
    <definedName name="finPNLReg2Prod4Emp1Exp">fin!$E$535:$I$535</definedName>
    <definedName name="finPNLReg2Prod4Emp2Exp">fin!$E$537:$I$537</definedName>
    <definedName name="finPNLReg2Prod4EmpAdminExp">fin!$E$542:$I$542</definedName>
    <definedName name="finPNLReg2Prod4EmpRecDismExp">fin!$E$543:$I$543</definedName>
    <definedName name="finPNLReg2Prod4FixedAdminExp">fin!$E$544:$I$544</definedName>
    <definedName name="finPNLReg2Prod4GrossMargin">fin!$E$532:$I$532</definedName>
    <definedName name="finPNLReg2Prod4InventoryHndlgExp">fin!$E$538:$I$538</definedName>
    <definedName name="finPNLReg2Prod4NetRev">fin!$E$519:$I$519</definedName>
    <definedName name="finPNLReg2Prod4OpsMargin">fin!$E$564:$I$564</definedName>
    <definedName name="finPNLReg2Prod4OtherOpExp">fin!$E$561:$I$561</definedName>
    <definedName name="finPNLReg2Prod4PromoExp">fin!$E$518:$I$518</definedName>
    <definedName name="finPNLReg2Prod4RandDExp">fin!$E$554:$I$554</definedName>
    <definedName name="finPNLReg2Prod4RDFtr1Exp">fin!$E$549:$I$549</definedName>
    <definedName name="finPNLReg2Prod4RDFtr2Exp">fin!$E$550:$I$550</definedName>
    <definedName name="finPNLReg2Prod4RDFtr4Exp">fin!$E$551:$I$551</definedName>
    <definedName name="finPNLReg2Prod4RDlt">fin!$E$552:$I$552</definedName>
    <definedName name="finPNLReg2Prod4Rev">fin!$E$517:$I$517</definedName>
    <definedName name="finPNLReg2Prod4SGAExp">fin!$E$547:$I$547</definedName>
    <definedName name="finPNLReg2Prod4SpecProgExp">fin!$E$559:$I$559</definedName>
    <definedName name="finPNLReg2PromoExp">fin!$E$569:$I$569</definedName>
    <definedName name="finPNLReg2RandDExp">fin!$E$605:$I$605</definedName>
    <definedName name="finPNLReg2RDFtr1Exp">fin!$E$600:$I$600</definedName>
    <definedName name="finPNLReg2RDFtr2Exp">fin!$E$601:$I$601</definedName>
    <definedName name="finPNLReg2RDFtr4Exp">fin!$E$602:$I$602</definedName>
    <definedName name="finPNLReg2Rev">fin!$E$568:$I$568</definedName>
    <definedName name="finPNLReg2SGAExp">fin!$E$598:$I$598</definedName>
    <definedName name="finPNLReg2SpecProgExp">fin!$E$610:$I$610</definedName>
    <definedName name="finPNLRegionalSpecProgExp">fin!$E$664:$I$664</definedName>
    <definedName name="finPNLRev">fin!$E$619:$I$619</definedName>
    <definedName name="finPNLSalesForceExp">fin!$E$637:$I$637</definedName>
    <definedName name="finPNLSellExp">fin!$E$639:$I$639</definedName>
    <definedName name="finPNLSGAExp">fin!$E$650:$I$650</definedName>
    <definedName name="finPNLSnackRND">fin!$E$654:$I$654</definedName>
    <definedName name="finPNLSpecLoansExp">fin!$E$675:$I$675</definedName>
    <definedName name="finPNLSpecProgExp">fin!$E$665:$I$665</definedName>
    <definedName name="finPNLTaxExp">fin!$E$686:$I$686</definedName>
    <definedName name="finProfitMargin">fin!$E$741:$I$741</definedName>
    <definedName name="finRetEarnChange">fin!$E$736:$I$736</definedName>
    <definedName name="finROA">fin!$E$740:$I$740</definedName>
    <definedName name="finROIC">fin!$E$776:$I$776</definedName>
    <definedName name="finSimpleCashFlow">fin!$E$729:$I$729</definedName>
    <definedName name="finStockchange">fin!$E$734:$I$734</definedName>
    <definedName name="FMATBGround">Controls!$E$42</definedName>
    <definedName name="FMATDAReaBorder">Controls!$E$48</definedName>
    <definedName name="FMATDAreaBorderHeader">Controls!$E$50</definedName>
    <definedName name="FMATDAreaColor">Controls!$E$43</definedName>
    <definedName name="FMATDAreaColorHeader">Controls!$E$44</definedName>
    <definedName name="FMATDAreaFont">Controls!$E$45</definedName>
    <definedName name="FMATDAreaFontHeader">Controls!$E$46</definedName>
    <definedName name="FMATDBoardBorder">Controls!$E$69</definedName>
    <definedName name="FMATDBoardColor">Controls!$E$66</definedName>
    <definedName name="FMATDBoardFont">Controls!$E$67</definedName>
    <definedName name="FMATDCellBorder">Controls!$E$64</definedName>
    <definedName name="FMATDCellColor">Controls!$E$61</definedName>
    <definedName name="FMATDCellFont">Controls!$E$62</definedName>
    <definedName name="FMATRAreaBorder">Controls!$E$57</definedName>
    <definedName name="FMATRAreaBorderHeader">Controls!$E$59</definedName>
    <definedName name="FMATRAreaColor">Controls!$E$52</definedName>
    <definedName name="FMATRAreaColorHeader">Controls!$E$53</definedName>
    <definedName name="FMATRAreaFont">Controls!$E$54</definedName>
    <definedName name="FMATRAreaFontHeader">Controls!$E$55</definedName>
    <definedName name="graphCSDAllocation">toolGraphData!$E$54:$I$54</definedName>
    <definedName name="graphESallocation">toolGraphData!$E$103:$I$103</definedName>
    <definedName name="graphFnSAllocation">toolGraphData!$E$56:$I$56</definedName>
    <definedName name="graphINallocation">toolGraphData!$E$105:$I$105</definedName>
    <definedName name="graphNCBAllocation">toolGraphData!$E$55:$I$55</definedName>
    <definedName name="graphNSAllocation">toolGraphData!$E$57:$I$57</definedName>
    <definedName name="graphOEallocation">toolGraphData!$E$104:$I$104</definedName>
    <definedName name="graphOIallocation">toolGraphData!$E$106:$I$106</definedName>
    <definedName name="graphVallocation">toolGraphData!$E$102:$I$102</definedName>
    <definedName name="GROWminProd1Reg1">DataPage!$D$94</definedName>
    <definedName name="GROWminProd1Reg2">DataPage!$D$95</definedName>
    <definedName name="GROWminProd3Reg1">DataPage!$D$183</definedName>
    <definedName name="GROWminProd3Reg2">DataPage!$D$184</definedName>
    <definedName name="GROWminProd4Reg1">DataPage!$D$228</definedName>
    <definedName name="GROWminProd4Reg2">DataPage!$D$229</definedName>
    <definedName name="HideAnalysisDisruptive" localSheetId="35">ReportCompetitor!$Q$28:$Q$292</definedName>
    <definedName name="HideAnalysisDisruptive">analysis!$Q$57:$Q$893</definedName>
    <definedName name="HideAnalysisDisruptive1">analysis!$Q$68:$Q$87</definedName>
    <definedName name="HideColToolPnL">toolPNL!$L$1:$M$1</definedName>
    <definedName name="HideColtoolPnLR1">toolPNLRegionA!$L$1:$M$1</definedName>
    <definedName name="HideColtoolPnLR2">toolPNLRegionB!$L$1:$M$1</definedName>
    <definedName name="HideColtoolPrograms">toolPrograms!$1:$1</definedName>
    <definedName name="HideRowtoolDecSum">toolDecSummary!$A$2:$A$101</definedName>
    <definedName name="HideRowtoolRND1">toolRnD!$A$17:$A$32</definedName>
    <definedName name="HideRowtoolRND2">toolRnD!$A$49:$A$88</definedName>
    <definedName name="HideRowtoolRND3">toolRnD!$A$96:$A$99</definedName>
    <definedName name="ImportExportCSV_BalSheetClosing">ImportExportCSV!$D$18</definedName>
    <definedName name="ImportExportCSV_BalSheetOnObal">ImportExportCSV!$D$14</definedName>
    <definedName name="ImportExportCSV_BalSheetOpening">ImportExportCSV!$D$16</definedName>
    <definedName name="ImportExportCSV_ExportInputs">ImportExportCSV!$D$20</definedName>
    <definedName name="InitiavesChosen">Iniative_Grid!$B$5:$J$49</definedName>
    <definedName name="Innov1MTUs">toolRnD!$N$14</definedName>
    <definedName name="Innov2MTUs">toolRnD!$N$16</definedName>
    <definedName name="Innov3MTUs">toolRnD!$N$18</definedName>
    <definedName name="Innov4MTUs">toolRnD!$N$20</definedName>
    <definedName name="MENU1CBar">Controls!$E$75</definedName>
    <definedName name="MENU1MenuItems">Controls!$E$84</definedName>
    <definedName name="MENU1Menus">Controls!$E$78</definedName>
    <definedName name="MENU1SubMenuItems">Controls!$E$103</definedName>
    <definedName name="MENU2CBar">Controls!$E$112</definedName>
    <definedName name="MENU2MenuItems">Controls!$E$118</definedName>
    <definedName name="MENU2Menus">Controls!$E$115</definedName>
    <definedName name="MENU2SubMenuItems">Controls!$E$132</definedName>
    <definedName name="MMAdjustments" localSheetId="41">mmProd1!$E$202:$I$206,mmProd1!$E$226:$I$227,mmProd1!$E$241:$I$242</definedName>
    <definedName name="MMAdjustments" localSheetId="42">mmProd2!$E$202:$I$206,mmProd2!$E$226:$I$227,mmProd2!$E$241:$I$242</definedName>
    <definedName name="MMAdjustments" localSheetId="43">mmProd3!$E$201:$I$205,mmProd3!$E$225:$I$226,mmProd3!$E$240:$I$241</definedName>
    <definedName name="MMAdjustments" localSheetId="44">mmProd4!$E$203:$I$207,mmProd4!$E$227:$I$228,mmProd4!$E$242:$I$243</definedName>
    <definedName name="MMAdjustments">mmProd6!$E$192:$I$196,mmProd6!$E$216:$I$217</definedName>
    <definedName name="MMExplainCopy" localSheetId="42">mmProd2!$C$173:$K$191</definedName>
    <definedName name="MMExplainCopy" localSheetId="43">mmProd3!$C$172:$K$190</definedName>
    <definedName name="MMExplainCopy" localSheetId="44">mmProd4!$C$174:$K$192</definedName>
    <definedName name="MMExplainCopy" localSheetId="45">mmProd5!$C$165:$K$181</definedName>
    <definedName name="MMExplainCopy" localSheetId="46">mmProd6!$C$165:$K$181</definedName>
    <definedName name="MMExplainCopy">mmProd1!$C$173:$K$191</definedName>
    <definedName name="MMExplainPasteSeg1" localSheetId="42">mmProd2!$C$288</definedName>
    <definedName name="MMExplainPasteSeg1" localSheetId="43">mmProd3!$C$248</definedName>
    <definedName name="MMExplainPasteSeg1" localSheetId="44">mmProd4!$C$251</definedName>
    <definedName name="MMExplainPasteSeg1" localSheetId="45">mmProd5!$C$263</definedName>
    <definedName name="MMExplainPasteSeg1" localSheetId="46">mmProd6!$C$263</definedName>
    <definedName name="MMExplainPasteSeg1">mmProd1!$C$251</definedName>
    <definedName name="MMExplainPasteSeg2" localSheetId="42">mmProd2!$C$308</definedName>
    <definedName name="MMExplainPasteSeg2" localSheetId="43">mmProd3!$C$269</definedName>
    <definedName name="MMExplainPasteSeg2" localSheetId="44">mmProd4!$C$273</definedName>
    <definedName name="MMExplainPasteSeg2" localSheetId="46">mmProd6!$C$281</definedName>
    <definedName name="MMExplainPasteSeg2">mmProd1!$C$271</definedName>
    <definedName name="MMExplainPasteSeg3" localSheetId="42">mmProd2!$C$328</definedName>
    <definedName name="MMExplainPasteSeg3" localSheetId="43">mmProd3!$C$289</definedName>
    <definedName name="MMExplainPasteSeg3" localSheetId="44">mmProd4!$C$295</definedName>
    <definedName name="MMExplainPasteSeg3" localSheetId="46">mmProd6!$C$299</definedName>
    <definedName name="MMExplainPasteSeg3">mmProd1!$C$291</definedName>
    <definedName name="MMExplainPasteSeg4" localSheetId="42">mmProd2!$C$348</definedName>
    <definedName name="MMExplainPasteSeg4" localSheetId="43">mmProd3!$C$310</definedName>
    <definedName name="MMExplainPasteSeg4" localSheetId="44">mmProd4!$C$317</definedName>
    <definedName name="MMExplainPasteSeg4" localSheetId="46">mmProd6!$C$317</definedName>
    <definedName name="MMExplainPasteSeg4">mmProd1!$C$311</definedName>
    <definedName name="MMExplainPasteSeg5" localSheetId="42">mmProd2!$C$368</definedName>
    <definedName name="MMExplainPasteSeg5" localSheetId="43">mmProd3!$C$330</definedName>
    <definedName name="MMExplainPasteSeg5" localSheetId="44">mmProd4!$C$337</definedName>
    <definedName name="MMExplainPasteSeg5" localSheetId="46">mmProd6!$C$335</definedName>
    <definedName name="MMExplainPasteSeg5">mmProd1!$C$331</definedName>
    <definedName name="MMInMarket" localSheetId="42">mmProd2!$E$24:$J$24</definedName>
    <definedName name="MMInMarket" localSheetId="43">mmProd3!$E$24:$J$24</definedName>
    <definedName name="MMInMarket" localSheetId="44">mmProd4!$E$24:$J$24</definedName>
    <definedName name="MMInMarket" localSheetId="45">mmProd5!$E$24:$J$24</definedName>
    <definedName name="MMInMarket" localSheetId="46">mmProd6!$E$24:$J$24</definedName>
    <definedName name="MMInMarket">mmProd1!$E$24:$J$24</definedName>
    <definedName name="mmProd1Reg1UnitsDemand">mmProd1!$E$220:$I$220</definedName>
    <definedName name="mmProd1Reg1UnitsSold">mmProd1!$E$230:$I$230</definedName>
    <definedName name="mmProd1Reg2UnitsDemand">mmProd1!$E$235:$I$235</definedName>
    <definedName name="mmProd1Reg2UnitsSold">mmProd1!$E$245:$I$245</definedName>
    <definedName name="mmProd1Seg1ActShare">mmProd1!$E$231:$I$231</definedName>
    <definedName name="mmProd1Seg1InvMissed">mmProd1!$E$228:$I$228</definedName>
    <definedName name="mmProd1Seg1PreSalesShare">mmProd1!$E$219:$I$219</definedName>
    <definedName name="mmProd1Seg2ActShare">mmProd1!$E$246:$I$246</definedName>
    <definedName name="mmProd1Seg2PreSalesShare">mmProd1!$E$234:$I$234</definedName>
    <definedName name="mmProd21UnitsSold">mmProd2!$E$284:$I$284</definedName>
    <definedName name="mmProd22UnitsSold">mmProd2!$E$285:$I$285</definedName>
    <definedName name="mmProd3Reg1UnitsDemand">mmProd3!$E$219:$I$219</definedName>
    <definedName name="mmProd3Reg1UnitsSold">mmProd3!$E$229:$I$229</definedName>
    <definedName name="mmProd3Reg2UnitsDemand">mmProd3!$E$234:$I$234</definedName>
    <definedName name="mmProd3Reg2UnitsSold">mmProd3!$E$244:$I$244</definedName>
    <definedName name="mmProd3Seg1ActShare">mmProd3!$E$230:$I$230</definedName>
    <definedName name="mmProd3Seg1PreSalesShare">mmProd3!$E$218:$I$218</definedName>
    <definedName name="mmProd3Seg2ActShare">mmProd3!$E$245:$I$245</definedName>
    <definedName name="mmProd3Seg2PreSalesShare">mmProd3!$E$233:$I$233</definedName>
    <definedName name="mmProd4Reg1UnitsDemand">mmProd4!$E$221:$I$221</definedName>
    <definedName name="mmProd4Reg1UnitsSold">mmProd4!$E$231:$I$231</definedName>
    <definedName name="mmProd4Reg2UnitsDemand">mmProd4!$E$236:$I$236</definedName>
    <definedName name="mmProd4Reg2UnitsSold">mmProd4!$E$246:$I$246</definedName>
    <definedName name="mmProd4Seg1ActShare">mmProd4!$E$232:$I$232</definedName>
    <definedName name="mmProd4Seg1PreSalesShare">mmProd4!$E$220:$I$220</definedName>
    <definedName name="mmProd4Seg2ActShare">mmProd4!$E$247:$I$247</definedName>
    <definedName name="mmProd4Seg2PreSalesShare">mmProd4!$E$235:$I$235</definedName>
    <definedName name="MMSegCount" localSheetId="42">mmProd2!$D$21</definedName>
    <definedName name="MMSegCount" localSheetId="43">mmProd3!$D$21</definedName>
    <definedName name="MMSegCount" localSheetId="44">mmProd4!$D$21</definedName>
    <definedName name="MMSegCount" localSheetId="45">mmProd5!$D$21</definedName>
    <definedName name="MMSegCount" localSheetId="46">mmProd6!$D$21</definedName>
    <definedName name="MMSegCount">mmProd1!$D$21</definedName>
    <definedName name="MMSegCurrent" localSheetId="42">mmProd2!$D$10</definedName>
    <definedName name="MMSegCurrent" localSheetId="43">mmProd3!$D$10</definedName>
    <definedName name="MMSegCurrent" localSheetId="44">mmProd4!$D$10</definedName>
    <definedName name="MMSegCurrent" localSheetId="45">mmProd5!$D$10</definedName>
    <definedName name="MMSegCurrent" localSheetId="46">mmProd6!$D$10</definedName>
    <definedName name="MMSegCurrent">mmProd1!$D$10</definedName>
    <definedName name="MMSegName" localSheetId="42">mmProd2!$D$22</definedName>
    <definedName name="MMSegName" localSheetId="43">mmProd3!$D$22</definedName>
    <definedName name="MMSegName" localSheetId="44">mmProd4!$D$22</definedName>
    <definedName name="MMSegName" localSheetId="45">mmProd5!$D$22</definedName>
    <definedName name="MMSegName" localSheetId="46">mmProd6!$D$22</definedName>
    <definedName name="MMSegName">mmProd1!$D$22</definedName>
    <definedName name="MMSegSummary" localSheetId="42">mmProd2!$E$194:$J$198</definedName>
    <definedName name="MMSegSummary" localSheetId="43">mmProd3!$E$193:$J$197</definedName>
    <definedName name="MMSegSummary" localSheetId="44">mmProd4!$E$195:$J$199</definedName>
    <definedName name="MMSegSummary" localSheetId="45">mmProd5!$E$184:$J$188</definedName>
    <definedName name="MMSegSummary" localSheetId="46">mmProd6!$E$184:$J$188</definedName>
    <definedName name="MMSegSummary">mmProd1!$E$194:$J$198</definedName>
    <definedName name="MMShareCopy" localSheetId="42">mmProd2!$E$191:$J$191</definedName>
    <definedName name="MMShareCopy" localSheetId="43">mmProd3!$E$190:$J$190</definedName>
    <definedName name="MMShareCopy" localSheetId="44">mmProd4!$E$192:$J$192</definedName>
    <definedName name="MMShareCopy" localSheetId="45">mmProd5!$E$181:$J$181</definedName>
    <definedName name="MMShareCopy" localSheetId="46">mmProd6!$E$181:$J$181</definedName>
    <definedName name="MMShareCopy">mmProd1!$E$191:$J$191</definedName>
    <definedName name="MMSharePaste" localSheetId="42">mmProd2!$E$194</definedName>
    <definedName name="MMSharePaste" localSheetId="43">mmProd3!$E$193</definedName>
    <definedName name="MMSharePaste" localSheetId="44">mmProd4!$E$195</definedName>
    <definedName name="MMSharePaste" localSheetId="45">mmProd5!$E$184</definedName>
    <definedName name="MMSharePaste" localSheetId="46">mmProd6!$E$184</definedName>
    <definedName name="MMSharePaste">mmProd1!$E$194</definedName>
    <definedName name="MMTotalUnits" localSheetId="42">mmProd2!$E$306:$J$306</definedName>
    <definedName name="MMTotalUnits" localSheetId="45">mmProd5!$E$259:$J$259</definedName>
    <definedName name="MMTotalUnits" localSheetId="46">mmProd6!$E$259:$J$259</definedName>
    <definedName name="obalAPValue">obal!$E$92:$I$92</definedName>
    <definedName name="obalARValue">obal!$E$8:$I$8</definedName>
    <definedName name="obalAssetsValue">obal!$E$88:$I$88</definedName>
    <definedName name="obalCashValue">obal!$E$4:$I$4</definedName>
    <definedName name="obalCSAT">obal!$E$166:$I$166</definedName>
    <definedName name="obalCStockPricePShare">obal!$E$162:$I$162</definedName>
    <definedName name="obalCStockShares">obal!$E$163:$I$163</definedName>
    <definedName name="obalCStockValue">obal!$E$102:$I$102</definedName>
    <definedName name="obalDisrupt1">obal!$E$221:$I$221</definedName>
    <definedName name="obalDisrupt2">obal!$E$222:$I$222</definedName>
    <definedName name="obalEmp1">obal!$E$143:$I$143</definedName>
    <definedName name="obalEmp10">obal!$E$147:$I$147</definedName>
    <definedName name="obalEmp2">obal!$E$144:$I$144</definedName>
    <definedName name="obalEmp3">obal!$E$145:$I$145</definedName>
    <definedName name="obalEmp3Utiliz">obal!$E$146:$I$146</definedName>
    <definedName name="obalEmpDevLevel">obal!$E$149:$I$149</definedName>
    <definedName name="obalGoodWillValue">obal!$E$82:$I$82</definedName>
    <definedName name="obalITcapLevel">obal!$E$176:$I$176</definedName>
    <definedName name="obalLTDebtValue">obal!$E$97:$I$97</definedName>
    <definedName name="obalNetEarnValue">obal!$E$104:$I$104</definedName>
    <definedName name="obalNetRev">obal!$E$161:$I$161</definedName>
    <definedName name="obalOtherCurrLiabValue">obal!$E$93:$I$93</definedName>
    <definedName name="obalPlant1Flex">obal!$E$153:$I$153</definedName>
    <definedName name="obalPlant1Units">obal!$E$152:$I$152</definedName>
    <definedName name="obalPlant1Value">obal!$E$85:$I$85</definedName>
    <definedName name="obalPlantValue">obal!$E$87:$I$87</definedName>
    <definedName name="obalProd1Brand">obal!$E$167:$I$167</definedName>
    <definedName name="obalProd1COGSPUnitDep">obal!$E$193:$I$193</definedName>
    <definedName name="obalProd1COGSPUnitMat">obal!$E$189:$I$189</definedName>
    <definedName name="obalProd1COGSPUnitPlant">obal!$E$192:$I$192</definedName>
    <definedName name="obalProd1Ftr1Level">obal!$E$185:$I$185</definedName>
    <definedName name="obalProd1Ftr2Level">obal!$E$186:$I$186</definedName>
    <definedName name="obalProd1Ftr3Level">obal!$E$187:$I$187</definedName>
    <definedName name="obalProd1Ftr4Level">obal!$E$188:$I$188</definedName>
    <definedName name="obalProd1Reg1UnitsFG">obal!$E$112:$I$112</definedName>
    <definedName name="obalProd1Reg1UnitsSold">obal!$E$113:$I$113</definedName>
    <definedName name="obalProd1Reg1UnitsWIP">obal!$E$111:$I$111</definedName>
    <definedName name="obalProd1Reg2UnitsFG">obal!$E$122:$I$122</definedName>
    <definedName name="obalProd1Reg2UnitsSold">obal!$E$123:$I$123</definedName>
    <definedName name="obalProd1Reg2UnitsWIP">obal!$E$121:$I$121</definedName>
    <definedName name="obalProd21COGSPUnitMat">obal!$E$211:$I$211</definedName>
    <definedName name="obalProd22COGSPUnitMat">obal!$E$212:$I$212</definedName>
    <definedName name="obalProd2Brand">obal!$E$168:$I$168</definedName>
    <definedName name="obalProd2COGSPUnitDep">obal!$E$219:$I$219</definedName>
    <definedName name="obalProd2COGSPUnitLabor">obal!$E$213:$I$213</definedName>
    <definedName name="obalProd2COGSPUnitPlant">obal!$E$217:$I$217</definedName>
    <definedName name="obalProd2Ftr1Level">obal!$E$206:$I$206</definedName>
    <definedName name="obalProd2Ftr2Level">obal!$E$207:$I$207</definedName>
    <definedName name="obalProd2Ftr3Level">obal!$E$208:$I$208</definedName>
    <definedName name="obalProd2Ftr4Level">obal!$E$209:$I$209</definedName>
    <definedName name="obalProd2NetRevsS1">obal!$E$200:$I$200</definedName>
    <definedName name="obalProd2NetRevsS2">obal!$E$201:$I$201</definedName>
    <definedName name="obalProd2Reg1UnitsFG">obal!$E$132:$I$132</definedName>
    <definedName name="obalProd2Reg1UnitsSold">obal!$E$133:$I$133</definedName>
    <definedName name="obalProd2Reg1UnitsWIP">obal!$E$131:$I$131</definedName>
    <definedName name="obalProd2Reg2UnitsFG">obal!$E$135:$I$135</definedName>
    <definedName name="obalProd2Reg2UnitsSold">obal!$E$136:$I$136</definedName>
    <definedName name="obalProd2Reg2UnitsWIP">obal!$E$134:$I$134</definedName>
    <definedName name="obalProd2RevsS1">obal!$E$198:$I$198</definedName>
    <definedName name="obalProd2RevsS2">obal!$E$199:$I$199</definedName>
    <definedName name="obalProd2Unlock1">obal!$E$299:$I$299</definedName>
    <definedName name="obalProd2Unlock2">obal!$E$300:$I$300</definedName>
    <definedName name="obalProd3Brand">obal!$E$169:$I$169</definedName>
    <definedName name="obalProd3COGSPUnitDep">obal!$E$239:$I$239</definedName>
    <definedName name="obalProd3COGSPUnitMat">obal!$E$235:$I$235</definedName>
    <definedName name="obalProd3COGSPUnitPlant">obal!$E$238:$I$238</definedName>
    <definedName name="obalProd3Ftr1Level">obal!$E$231:$I$231</definedName>
    <definedName name="obalProd3Ftr2Level">obal!$E$232:$I$232</definedName>
    <definedName name="obalProd3Ftr3Level">obal!$E$233:$I$233</definedName>
    <definedName name="obalProd3Ftr4Level">obal!$E$234:$I$234</definedName>
    <definedName name="obalProd3Reg1UnitsFG">obal!$E$115:$I$115</definedName>
    <definedName name="obalProd3Reg1UnitsSold">obal!$E$116:$I$116</definedName>
    <definedName name="obalProd3Reg1UnitsWIP">obal!$E$114:$I$114</definedName>
    <definedName name="obalProd3Reg2UnitsFG">obal!$E$125:$I$125</definedName>
    <definedName name="obalProd3Reg2UnitsSold">obal!$E$126:$I$126</definedName>
    <definedName name="obalProd3Reg2UnitsWIP">obal!$E$124:$I$124</definedName>
    <definedName name="obalProd4Brand">obal!$E$170:$I$170</definedName>
    <definedName name="obalProd4COGSPUnitDep">obal!$E$256:$I$256</definedName>
    <definedName name="obalProd4COGSPUnitMat">obal!$E$252:$I$252</definedName>
    <definedName name="obalProd4COGSPUnitPlant">obal!$E$255:$I$255</definedName>
    <definedName name="obalProd4Ftr1Level">obal!$E$248:$I$248</definedName>
    <definedName name="obalProd4Ftr2Level">obal!$E$249:$I$249</definedName>
    <definedName name="obalProd4Ftr3Level">obal!$E$250:$I$250</definedName>
    <definedName name="obalProd4Ftr4Level">obal!$E$251:$I$251</definedName>
    <definedName name="obalProd4Reg1UnitsFG">obal!$E$118:$I$118</definedName>
    <definedName name="obalProd4Reg1UnitsSold">obal!$E$119:$I$119</definedName>
    <definedName name="obalProd4Reg1UnitsWIP">obal!$E$117:$I$117</definedName>
    <definedName name="obalProd4Reg2UnitsFG">obal!$E$128:$I$128</definedName>
    <definedName name="obalProd4Reg2UnitsSold">obal!$E$129:$I$129</definedName>
    <definedName name="obalProd4Reg2UnitsWIP">obal!$E$127:$I$127</definedName>
    <definedName name="obalProd5COGSPUnitDep">obal!$E$266:$I$266</definedName>
    <definedName name="obalProd5COGSPUnitEmp2">obal!$E$264:$I$264</definedName>
    <definedName name="obalProd5COGSPUnitMat">obal!$E$263:$I$263</definedName>
    <definedName name="obalProd5COGSPUnitPlant1">obal!$E$265:$I$265</definedName>
    <definedName name="obalProd6COGSPUnitDep">obal!$E$276:$I$276</definedName>
    <definedName name="obalProd6COGSPUnitEmp2">obal!$E$274:$I$274</definedName>
    <definedName name="obalProd6COGSPUnitMat">obal!$E$273:$I$273</definedName>
    <definedName name="obalProd6COGSPUnitPlant1">obal!$E$275:$I$275</definedName>
    <definedName name="obalRecruitLevel">obal!$E$148:$I$148</definedName>
    <definedName name="obalReg1ARValue">obal!$E$6:$I$6</definedName>
    <definedName name="obalReg1FGValue">obal!$E$50:$I$50</definedName>
    <definedName name="obalReg1MatValue">obal!$E$34:$I$34</definedName>
    <definedName name="obalReg1NetRev">obal!$E$159:$I$159</definedName>
    <definedName name="obalReg1Prod1COGSPUnitLabor">obal!$E$190:$I$190</definedName>
    <definedName name="obalReg1Prod1FGValue">obal!$E$44:$I$44</definedName>
    <definedName name="obalReg1Prod1MatValue">obal!$E$28:$I$28</definedName>
    <definedName name="obalReg1Prod1NetRev">obal!$E$183:$I$183</definedName>
    <definedName name="obalReg1Prod1Price">obal!$E$179:$I$179</definedName>
    <definedName name="obalReg1Prod1Rev">obal!$E$181:$I$181</definedName>
    <definedName name="obalReg1Prod1WIPValue">obal!$E$36:$I$36</definedName>
    <definedName name="obalReg1Prod2FGValue">obal!$E$16:$I$16</definedName>
    <definedName name="obalReg1Prod2MatValue">obal!$E$14:$I$14</definedName>
    <definedName name="obalReg1Prod2NetRev">obal!$E$204:$I$204</definedName>
    <definedName name="obalReg1Prod2Price">obal!$E$196:$I$196</definedName>
    <definedName name="obalReg1Prod2Rev">obal!$E$202:$I$202</definedName>
    <definedName name="obalReg1Prod2WIPValue">obal!$E$15:$I$15</definedName>
    <definedName name="obalReg1Prod3COGSPUnitLabor">obal!$E$236:$I$236</definedName>
    <definedName name="obalReg1Prod3FGValue">obal!$E$45:$I$45</definedName>
    <definedName name="obalReg1Prod3MatValue">obal!$E$29:$I$29</definedName>
    <definedName name="obalReg1Prod3NetRev">obal!$E$229:$I$229</definedName>
    <definedName name="obalReg1Prod3Price">obal!$E$225:$I$225</definedName>
    <definedName name="obalReg1Prod3Rev">obal!$E$227:$I$227</definedName>
    <definedName name="obalReg1Prod3WIPValue">obal!$E$37:$I$37</definedName>
    <definedName name="obalReg1Prod4COGSPUnitLabor">obal!$E$253:$I$253</definedName>
    <definedName name="obalReg1Prod4FGValue">obal!$E$46:$I$46</definedName>
    <definedName name="obalReg1Prod4MatValue">obal!$E$30:$I$30</definedName>
    <definedName name="obalReg1Prod4NetRev">obal!$E$246:$I$246</definedName>
    <definedName name="obalReg1Prod4Price">obal!$E$242:$I$242</definedName>
    <definedName name="obalReg1Prod4Rev">obal!$E$244:$I$244</definedName>
    <definedName name="obalReg1Prod4WIPValue">obal!$E$38:$I$38</definedName>
    <definedName name="obalReg1Prod5FGValue">obal!$E$47:$I$47</definedName>
    <definedName name="obalReg1Prod5MatValue">obal!$E$31:$I$31</definedName>
    <definedName name="obalReg1Prod5WIPValue">obal!$E$39:$I$39</definedName>
    <definedName name="obalReg1Prod6FGValue">obal!$E$48:$I$48</definedName>
    <definedName name="obalReg1Prod6MatValue">obal!$E$32:$I$32</definedName>
    <definedName name="obalReg1Prod6WIPValue">obal!$E$40:$I$40</definedName>
    <definedName name="obalReg1Rev">obal!$E$156:$I$156</definedName>
    <definedName name="obalReg1WIPValue">obal!$E$42:$I$42</definedName>
    <definedName name="obalReg2ARValue">obal!$E$7:$I$7</definedName>
    <definedName name="obalReg2ChanLevel">obal!$E$173:$I$173</definedName>
    <definedName name="obalReg2FGValue">obal!$E$75:$I$75</definedName>
    <definedName name="obalReg2MatValue">obal!$E$59:$I$59</definedName>
    <definedName name="obalReg2NetRev">obal!$E$160:$I$160</definedName>
    <definedName name="obalReg2Prod1COGSPUnitLabor">obal!$E$191:$I$191</definedName>
    <definedName name="obalReg2Prod1FGValue">obal!$E$69:$I$69</definedName>
    <definedName name="obalReg2Prod1MatValue">obal!$E$53:$I$53</definedName>
    <definedName name="obalReg2Prod1NetRev">obal!$E$184:$I$184</definedName>
    <definedName name="obalReg2Prod1Price">obal!$E$180:$I$180</definedName>
    <definedName name="obalReg2Prod1Rev">obal!$E$182:$I$182</definedName>
    <definedName name="obalReg2Prod1WIPValue">obal!$E$61:$I$61</definedName>
    <definedName name="obalReg2Prod2FGValue">obal!$E$23:$I$23</definedName>
    <definedName name="obalReg2Prod2MatValue">obal!$E$21:$I$21</definedName>
    <definedName name="obalReg2Prod2NetRev">obal!$E$205:$I$205</definedName>
    <definedName name="obalReg2Prod2Price">obal!$E$197:$I$197</definedName>
    <definedName name="obalReg2Prod2Rev">obal!$E$203:$I$203</definedName>
    <definedName name="obalReg2Prod2WIPValue">obal!$E$22:$I$22</definedName>
    <definedName name="obalReg2Prod3COGSPUnitLabor">obal!$E$237:$I$237</definedName>
    <definedName name="obalReg2Prod3FGValue">obal!$E$70:$I$70</definedName>
    <definedName name="obalReg2Prod3MatValue">obal!$E$54:$I$54</definedName>
    <definedName name="obalReg2Prod3NetRev">obal!$E$230:$I$230</definedName>
    <definedName name="obalReg2Prod3Price">obal!$E$226:$I$226</definedName>
    <definedName name="obalReg2Prod3Rev">obal!$E$228:$I$228</definedName>
    <definedName name="obalReg2Prod3WIPValue">obal!$E$62:$I$62</definedName>
    <definedName name="obalReg2Prod4COGSPUnitLabor">obal!$E$254:$I$254</definedName>
    <definedName name="obalReg2Prod4FGValue">obal!$E$71:$I$71</definedName>
    <definedName name="obalReg2Prod4MatValue">obal!$E$55:$I$55</definedName>
    <definedName name="obalReg2Prod4NetRev">obal!$E$247:$I$247</definedName>
    <definedName name="obalReg2Prod4Price">obal!$E$243:$I$243</definedName>
    <definedName name="obalReg2Prod4Rev">obal!$E$245:$I$245</definedName>
    <definedName name="obalReg2Prod4WIPValue">obal!$E$63:$I$63</definedName>
    <definedName name="obalReg2Prod5FGValue">obal!$E$72:$I$72</definedName>
    <definedName name="obalReg2Prod5MatValue">obal!$E$56:$I$56</definedName>
    <definedName name="obalReg2Prod5WIPValue">obal!$E$64:$I$64</definedName>
    <definedName name="obalReg2Prod6FGValue">obal!$E$73:$I$73</definedName>
    <definedName name="obalReg2Prod6MatValue">obal!$E$57:$I$57</definedName>
    <definedName name="obalReg2Prod6WIPValue">obal!$E$65:$I$65</definedName>
    <definedName name="obalReg2Rev">obal!$E$157:$I$157</definedName>
    <definedName name="obalReg2WIPValue">obal!$E$67:$I$67</definedName>
    <definedName name="obalRetEarnValue">obal!$E$103:$I$103</definedName>
    <definedName name="obalRev">obal!$E$158:$I$158</definedName>
    <definedName name="obalSpecLoansValue">obal!$E$94:$I$94</definedName>
    <definedName name="obalStratEdaComp">obal!$E$353:$I$353</definedName>
    <definedName name="obalStratEdaCons">obal!$E$350:$I$350</definedName>
    <definedName name="obalStratEdaCSD">obal!$E$340:$I$340</definedName>
    <definedName name="obalStratEdaCust">obal!$E$352:$I$352</definedName>
    <definedName name="obalStratEdaFnS">obal!$E$342:$I$342</definedName>
    <definedName name="obalStratEdaInnov">obal!$E$351:$I$351</definedName>
    <definedName name="obalStratEdaNCB">obal!$E$341:$I$341</definedName>
    <definedName name="obalStratEdaProd">obal!$E$353:$I$353</definedName>
    <definedName name="obalStratVetComp">obal!$E$348:$I$348</definedName>
    <definedName name="obalStratVetCons">obal!$E$345:$I$345</definedName>
    <definedName name="obalStratVetCSD">obal!$E$336:$I$336</definedName>
    <definedName name="obalStratVetCust">obal!$E$347:$I$347</definedName>
    <definedName name="obalStratVetFnS">obal!$E$338:$I$338</definedName>
    <definedName name="obalStratVetInnov">obal!$E$346:$I$346</definedName>
    <definedName name="obalStratVetNCB">obal!$E$337:$I$337</definedName>
    <definedName name="obalStratVetProd">obal!$E$348:$I$348</definedName>
    <definedName name="obalTotalEquity">obal!$E$106:$I$106</definedName>
    <definedName name="obalYr1Innov1">obal!$E$304:$I$304</definedName>
    <definedName name="obalYr1Innov2">obal!$E$305:$I$305</definedName>
    <definedName name="obalYr1Innov3">obal!$E$306:$I$306</definedName>
    <definedName name="obalYr1Innov4">obal!$E$307:$I$307</definedName>
    <definedName name="obalYr1SpecProg1">obal!$E$280:$I$280</definedName>
    <definedName name="obalYr1SpecProg2">obal!$E$281:$I$281</definedName>
    <definedName name="obalYr1SpecProg3">obal!$E$282:$I$282</definedName>
    <definedName name="obalYr1SpecProg4">obal!$E$283:$I$283</definedName>
    <definedName name="obalYr1SpecProg5">obal!$E$284:$I$284</definedName>
    <definedName name="obalYr1SpecProg6">obal!$E$285:$I$285</definedName>
    <definedName name="obalYr2Innov1">obal!$E$308:$I$308</definedName>
    <definedName name="obalYr2Innov2">obal!$E$309:$I$309</definedName>
    <definedName name="obalYr2Innov3">obal!$E$310:$I$310</definedName>
    <definedName name="obalYr2Innov4">obal!$E$311:$I$311</definedName>
    <definedName name="obalYr2SpecProg1">obal!$E$286:$I$286</definedName>
    <definedName name="obalYr2SpecProg2">obal!$E$287:$I$287</definedName>
    <definedName name="obalYr2SpecProg3">obal!$E$288:$I$288</definedName>
    <definedName name="obalYr2SpecProg4">obal!$E$289:$I$289</definedName>
    <definedName name="obalYr2SpecProg5">obal!$E$290:$I$290</definedName>
    <definedName name="obalYr2SpecProg6">obal!$E$291:$I$291</definedName>
    <definedName name="obalYr3Innov1">obal!$E$312:$I$312</definedName>
    <definedName name="obalYr3Innov2">obal!$E$313:$I$313</definedName>
    <definedName name="obalYr3Innov3">obal!$E$314:$I$314</definedName>
    <definedName name="obalYr3Innov4">obal!$E$315:$I$315</definedName>
    <definedName name="obalYr3SpecProg1">obal!$E$292:$I$292</definedName>
    <definedName name="obalYr3SpecProg2">obal!$E$293:$I$293</definedName>
    <definedName name="obalYr3SpecProg3">obal!$E$294:$I$294</definedName>
    <definedName name="obalYr3SpecProg4">obal!$E$295:$I$295</definedName>
    <definedName name="obalYr3SpecProg5">obal!$E$296:$I$296</definedName>
    <definedName name="obalYr3SpecProg6">obal!$E$297:$I$297</definedName>
    <definedName name="paramAPDays">param!$E$197:$I$197</definedName>
    <definedName name="paramBaseMTUattRate">param!$D$162</definedName>
    <definedName name="paramCashIntRate">param!$E$192:$I$192</definedName>
    <definedName name="paramChanLevelRamp">param!$E$205:$I$205</definedName>
    <definedName name="paramCompanyStrategy">param!$E$247:$I$247</definedName>
    <definedName name="paramConsumerStrategy">param!$E$245:$I$245</definedName>
    <definedName name="paramCStockParValue">param!$E$200:$I$200</definedName>
    <definedName name="paramCustomerStrategy">param!$E$246:$I$246</definedName>
    <definedName name="paramDaysPerYear">param!$E$198:$I$198</definedName>
    <definedName name="paramEmp10AdminCostPct">param!$E$165:$I$165</definedName>
    <definedName name="paramEmp10AttRate">param!$E$162:$I$162</definedName>
    <definedName name="paramEmp10Coeff">param!$E$167:$I$167</definedName>
    <definedName name="paramEmp10Exp">param!$E$163:$I$163</definedName>
    <definedName name="paramEmp10Inits">param!$E$168:$I$168</definedName>
    <definedName name="paramEmp10OTRate">param!$E$166:$I$166</definedName>
    <definedName name="paramEmp10RecDismCost">param!$E$164:$I$164</definedName>
    <definedName name="paramEmp10Reg1ChanLevel">param!$E$169:$I$169</definedName>
    <definedName name="paramEmp10Reg2ChanLevel">param!$E$170:$I$170</definedName>
    <definedName name="paramEmp1AdminCostPct">param!$E$138:$I$138</definedName>
    <definedName name="paramEmp1AttRate">param!$E$135:$I$135</definedName>
    <definedName name="paramEmp1Effect">param!$D$141:$I$141</definedName>
    <definedName name="paramEmp1Exp">param!$E$136:$I$136</definedName>
    <definedName name="paramEmp1HoursPYear">param!$E$140:$I$140</definedName>
    <definedName name="paramEmp1OTRate">param!$E$139:$I$139</definedName>
    <definedName name="paramEmp1RecDismCost">param!$E$137:$I$137</definedName>
    <definedName name="paramEmp2AdminCostPct">param!$E$147:$I$147</definedName>
    <definedName name="paramEmp2AttRate">param!$E$144:$I$144</definedName>
    <definedName name="paramEmp2Effect">param!$D$150:$I$150</definedName>
    <definedName name="paramEmp2Exp">param!$E$145:$I$145</definedName>
    <definedName name="paramEmp2HoursPYear">param!$E$149:$I$149</definedName>
    <definedName name="paramEmp2OTRate">param!$E$148:$I$148</definedName>
    <definedName name="paramEmp2RecDismCost">param!$E$146:$I$146</definedName>
    <definedName name="paramEmp3AdminCostPct">param!$E$157:$I$157</definedName>
    <definedName name="paramEmp3AttRate">param!$E$153:$I$153</definedName>
    <definedName name="paramEmp3HoursPYear">param!$E$159:$I$159</definedName>
    <definedName name="paramEmp3OTRate">param!$E$158:$I$158</definedName>
    <definedName name="paramEmp3RecDismCost">param!$E$156:$I$156</definedName>
    <definedName name="paramEmpDevCost">param!$E$226:$I$226</definedName>
    <definedName name="paramEmpDevRamp">param!$E$227:$I$227</definedName>
    <definedName name="paramEquityIntRate">param!$E$202:$I$202</definedName>
    <definedName name="paramGoodwillAmorRate">param!$E$203:$I$203</definedName>
    <definedName name="paramGTMDigitalLevelCost">param!$E$229:$I$229</definedName>
    <definedName name="paramInnovationStrategy">param!$E$248:$I$248</definedName>
    <definedName name="paramITlevelCost">param!$E$228:$I$228</definedName>
    <definedName name="paramLongTermRD">param!$E$201:$I$201</definedName>
    <definedName name="paramLTDebtIntRate">param!$E$193:$I$193</definedName>
    <definedName name="paramOtherCurrLiabGrowth">param!$E$199:$I$199</definedName>
    <definedName name="paramPlant1DepRate">param!$E$177:$I$177</definedName>
    <definedName name="paramPlant1DivRevenue">param!$E$173:$I$173</definedName>
    <definedName name="paramPlant1Efficiency">param!$E$179:$I$179</definedName>
    <definedName name="paramPlant1HoursReq">param!$E$180:$I$180</definedName>
    <definedName name="paramPlant1InvCost">param!$E$174:$I$174</definedName>
    <definedName name="paramPlant1LeasedLines">param!$E$182:$I$182</definedName>
    <definedName name="paramPlant1LeasingCost">param!$E$181:$I$181</definedName>
    <definedName name="paramPlant1MachCostPHr">param!$E$176:$I$176</definedName>
    <definedName name="paramPlant1MachHrsPUnit">param!$E$175:$I$175</definedName>
    <definedName name="paramPlant1RampUpPct">param!$E$178:$I$178</definedName>
    <definedName name="paramPlantFlexRamp">param!$E$232:$I$232</definedName>
    <definedName name="paramProd1CycTimeDays">param!$E$5:$I$5</definedName>
    <definedName name="paramProd1DisposedUnits">param!$E$10:$I$10</definedName>
    <definedName name="paramProd1Emp1EngReq">param!$E$17:$I$17</definedName>
    <definedName name="paramProd1Emp1HrsReq">param!$E$21:$I$21</definedName>
    <definedName name="paramProd1Emp2HrsReq">param!$E$22:$I$22</definedName>
    <definedName name="paramProd1FixedAdmin">param!$E$23:$I$23</definedName>
    <definedName name="paramProd1InnovReg1">param!$E$27:$I$27</definedName>
    <definedName name="paramProd1InnovReg2">param!$E$28:$I$28</definedName>
    <definedName name="paramProd1InventoryHndlgPct">param!$E$18:$I$18</definedName>
    <definedName name="paramProd1LabHrsReqPUnit">param!$E$15:$I$15</definedName>
    <definedName name="paramProd1MachHrsReqPUnit">param!$E$16:$I$16</definedName>
    <definedName name="paramProd1MatCostPUnit">param!$E$11:$I$11</definedName>
    <definedName name="paramProd1MatPctOfProduction">param!$E$14:$I$14</definedName>
    <definedName name="paramProd1MinFamBrand">param!$E$7:$I$7</definedName>
    <definedName name="paramProd1RDFtr1Cost">param!$E$24:$I$24</definedName>
    <definedName name="paramProd1RDFtr2Cost">param!$E$25:$I$25</definedName>
    <definedName name="paramProd1RDFtr4Cost">param!$E$26:$I$26</definedName>
    <definedName name="paramProd1RoyaltyCostPUnit">param!$E$6:$I$6</definedName>
    <definedName name="paramProd21MatCostPUnit">param!$D$37:$I$37</definedName>
    <definedName name="paramProd22MatCostPUnit">param!$D$38:$I$38</definedName>
    <definedName name="paramProd2CycTimeDays">param!$E$31:$I$31</definedName>
    <definedName name="paramProd2DisposedUnits">param!$E$36:$I$36</definedName>
    <definedName name="paramProd2Emp1HrsReq">param!$E$48:$I$48</definedName>
    <definedName name="paramProd2Emp1Req">param!$E$44:$I$44</definedName>
    <definedName name="paramProd2Emp2HrsReq">param!$E$49:$I$49</definedName>
    <definedName name="paramProd2FixedAdmin">param!$E$50:$I$50</definedName>
    <definedName name="paramProd2InventoryHndlgPct">param!$E$45:$I$45</definedName>
    <definedName name="paramProd2LabHrsReqPUnit">param!$E$42:$I$42</definedName>
    <definedName name="paramProd2MachHrsReqPUnit">param!$E$43:$I$43</definedName>
    <definedName name="paramProd2MatPctOfProduction">param!$E$41:$I$41</definedName>
    <definedName name="paramProd2MinFamBrand">param!$E$33:$I$33</definedName>
    <definedName name="paramProd2RDFtr1Cost">param!$E$51:$I$51</definedName>
    <definedName name="paramProd2RDFtr2Cost">param!$E$52:$I$52</definedName>
    <definedName name="paramProd2RDFtr4Cost">param!$E$53:$I$53</definedName>
    <definedName name="paramProd2RoyaltyCostPUnit">param!$E$32:$I$32</definedName>
    <definedName name="paramProd3CycTimeDays">param!$E$56:$I$56</definedName>
    <definedName name="paramProd3DisposedUnits">param!$E$61:$I$61</definedName>
    <definedName name="paramProd3Emp1HrsReq">param!$E$72:$I$72</definedName>
    <definedName name="paramProd3Emp1Req">param!$E$68:$I$68</definedName>
    <definedName name="paramProd3Emp2HrsReq">param!$E$73:$I$73</definedName>
    <definedName name="paramProd3FixedAdmin">param!$E$74:$I$74</definedName>
    <definedName name="paramProd3InnovReg1">param!$D$78:$I$78</definedName>
    <definedName name="paramProd3InnovReg2">param!$D$79:$I$79</definedName>
    <definedName name="paramProd3InventoryHndlgPct">param!$E$69:$I$69</definedName>
    <definedName name="paramProd3LabHrsReqPUnit">param!$E$66:$I$66</definedName>
    <definedName name="paramProd3MachHrsReqPUnit">param!$E$67:$I$67</definedName>
    <definedName name="paramProd3MatCostPUnit">param!$E$62:$I$62</definedName>
    <definedName name="paramProd3MatPctOfProduction">param!$E$65:$I$65</definedName>
    <definedName name="paramProd3MinFamBrand">param!$E$58:$I$58</definedName>
    <definedName name="paramProd3RDFtr1Cost">param!$E$75:$I$75</definedName>
    <definedName name="paramProd3RDFtr2Cost">param!$E$76:$I$76</definedName>
    <definedName name="paramProd3RDFtr4Cost">param!$E$77:$I$77</definedName>
    <definedName name="paramProd3RoyaltyCostPUnit">param!$E$57:$I$57</definedName>
    <definedName name="paramProd4CycTimeDays">param!$E$82:$I$82</definedName>
    <definedName name="paramProd4DisposedUnits">param!$E$86:$I$86</definedName>
    <definedName name="paramProd4Emp1HrsReq">param!$E$97:$I$97</definedName>
    <definedName name="paramProd4Emp1Req">param!$E$93:$I$93</definedName>
    <definedName name="paramProd4Emp2HrsReq">param!$E$98:$I$98</definedName>
    <definedName name="paramProd4FixedAdmin">param!$E$99:$I$99</definedName>
    <definedName name="paramProd4InnovReg1">param!$D$105:$I$105</definedName>
    <definedName name="paramProd4InnovReg2">param!$D$106:$I$106</definedName>
    <definedName name="paramProd4InventoryHndlgPct">param!$E$94:$I$94</definedName>
    <definedName name="paramProd4LabHrsReqPUnit">param!$E$91:$I$91</definedName>
    <definedName name="paramProd4MachHrsReqPUnit">param!$E$92:$I$92</definedName>
    <definedName name="paramProd4MatCostPUnit">param!$E$87:$I$87</definedName>
    <definedName name="paramProd4MatCostPUnitPFtr3Level">param!$E$85:$I$85</definedName>
    <definedName name="paramProd4MatPctOfProduction">param!$E$90:$I$90</definedName>
    <definedName name="paramProd4MinFamBrand">param!$E$84:$I$84</definedName>
    <definedName name="paramProd4RDFtr1Cost">param!$E$100:$I$100</definedName>
    <definedName name="paramProd4RDFtr2Cost">param!$E$101:$I$101</definedName>
    <definedName name="paramProd4RDFtr4Cost">param!$E$102:$I$102</definedName>
    <definedName name="paramProd4RoyaltyCostPUnit">param!$E$83:$I$83</definedName>
    <definedName name="paramProductivityStrategy">param!$E$248:$I$248</definedName>
    <definedName name="paramRecruitLevelCost">param!$E$230:$I$230</definedName>
    <definedName name="paramRecruitLevelRamp">param!$E$231:$I$231</definedName>
    <definedName name="paramReg1ARCreditDays">param!$E$195:$I$195</definedName>
    <definedName name="paramReg1Emp3Exp">param!$E$154:$I$154</definedName>
    <definedName name="paramReg1Prod1CommSpendEffect">param!$E$8:$I$8</definedName>
    <definedName name="paramReg1Prod1DispCostPct">param!$E$12:$I$12</definedName>
    <definedName name="paramReg1Prod1DistCostPUnit">param!$E$19:$I$19</definedName>
    <definedName name="paramReg1Prod2CommSpendEffect">param!$D$34:$I$34</definedName>
    <definedName name="paramReg1Prod2DispCostPct">param!$E$39:$I$39</definedName>
    <definedName name="paramReg1Prod2DistCostPUnit">param!$E$46:$I$46</definedName>
    <definedName name="paramReg1Prod3CommSpendEffect">param!$E$59:$I$59</definedName>
    <definedName name="paramReg1Prod3DispCostPct">param!$E$63:$I$63</definedName>
    <definedName name="paramReg1Prod3DistCostPUnit">param!$E$70:$I$70</definedName>
    <definedName name="paramReg1Prod4CommSpendEffect">param!$E$103:$I$103</definedName>
    <definedName name="paramReg1Prod4DispCostPct">param!$E$88:$I$88</definedName>
    <definedName name="paramReg1Prod4DistCostPUnit">param!$E$95:$I$95</definedName>
    <definedName name="paramReg2ARCreditDays">param!$E$196:$I$196</definedName>
    <definedName name="paramReg2Emp3Exp">param!$E$155:$I$155</definedName>
    <definedName name="paramReg2Prod1CommSpendEffect">param!$E$9:$I$9</definedName>
    <definedName name="paramReg2Prod1DispCostPct">param!$E$13:$I$13</definedName>
    <definedName name="paramReg2Prod1DistCostPUnit">param!$E$20:$I$20</definedName>
    <definedName name="paramReg2Prod2CommSpendEffect">param!$D$35:$I$35</definedName>
    <definedName name="paramReg2Prod2DispCostPct">param!$E$40:$I$40</definedName>
    <definedName name="paramReg2Prod2DistCostPUnit">param!$E$47:$I$47</definedName>
    <definedName name="paramReg2Prod3CommSpendEffect">param!$E$60:$I$60</definedName>
    <definedName name="paramReg2Prod3DispCostPct">param!$E$64:$I$64</definedName>
    <definedName name="paramReg2Prod3DistCostPUnit">param!$E$71:$I$71</definedName>
    <definedName name="paramReg2Prod4CommSpendEffect">param!$E$104:$I$104</definedName>
    <definedName name="paramReg2Prod4DispCostPct">param!$E$89:$I$89</definedName>
    <definedName name="paramReg2Prod4DistCostPUnit">param!$E$96:$I$96</definedName>
    <definedName name="paramRnDttmCoeff">param!$E$204:$I$204</definedName>
    <definedName name="paramSpecLoansIntRate">param!$E$191:$I$191</definedName>
    <definedName name="paramSpecLoansRate">param!$E$191:$I$191</definedName>
    <definedName name="paramSpecProgExp">param!$E$208:$I$208</definedName>
    <definedName name="paramSpecProgProd2Sales">param!$E$223:$I$223</definedName>
    <definedName name="paramSpecProgReg1Prod1Exp">param!$E$209:$I$209</definedName>
    <definedName name="paramSpecProgReg1Prod1Sales">param!$E$217:$I$217</definedName>
    <definedName name="paramSpecProgReg1Prod2Exp">param!$E$211:$I$211</definedName>
    <definedName name="paramSpecProgReg1Prod2Sales">param!$E$223:$I$223</definedName>
    <definedName name="paramSpecProgReg1Prod3Exp">param!$E$213:$I$213</definedName>
    <definedName name="paramSpecProgReg1Prod3Sales">param!$E$218:$I$218</definedName>
    <definedName name="paramSpecProgReg1Prod4Exp">param!$E$215:$I$215</definedName>
    <definedName name="paramSpecProgReg1Prod4Sales">param!$E$219:$I$219</definedName>
    <definedName name="paramSpecProgReg2Prod1Exp">param!$E$210:$I$210</definedName>
    <definedName name="paramSpecProgReg2Prod1Sales">param!$E$220:$I$220</definedName>
    <definedName name="paramSpecProgReg2Prod2Exp">param!$E$212:$I$212</definedName>
    <definedName name="paramSpecProgReg2Prod3Exp">param!$E$214:$I$214</definedName>
    <definedName name="paramSpecProgReg2Prod3Sales">param!$E$221:$I$221</definedName>
    <definedName name="paramSpecProgReg2Prod4Exp">param!$E$216:$I$216</definedName>
    <definedName name="paramSpecProgReg2Prod4Sales">param!$E$222:$I$222</definedName>
    <definedName name="paramSustainability">param!$E$234:$I$234</definedName>
    <definedName name="paramTaxRate">param!$E$194:$I$194</definedName>
    <definedName name="_xlnm.Print_Area" localSheetId="34">analysis!$A$1:$K$893</definedName>
    <definedName name="_xlnm.Print_Area" localSheetId="40">DataPage!$G$341:$M$412</definedName>
    <definedName name="_xlnm.Print_Area" localSheetId="1">InBevRemaining!$A$1:$A$25</definedName>
    <definedName name="_xlnm.Print_Area" localSheetId="41">mmProd1!$A$1:$K$329</definedName>
    <definedName name="_xlnm.Print_Area" localSheetId="44">mmProd4!$A$1:$K$336</definedName>
    <definedName name="_xlnm.Print_Area" localSheetId="35">ReportCompetitor!$A$1:$K$292</definedName>
    <definedName name="_xlnm.Print_Area" localSheetId="14">toolBalSheet!$B$2:$S$26</definedName>
    <definedName name="_xlnm.Print_Area" localSheetId="15">toolCashFlow!$B$2:$J$46</definedName>
    <definedName name="_xlnm.Print_Area" localSheetId="18">toolDecSummary!$B$2:$N$100</definedName>
    <definedName name="_xlnm.Print_Area" localSheetId="21">toolEscendia!$B$48:$Q$85</definedName>
    <definedName name="_xlnm.Print_Area" localSheetId="8">toolGoals!$A$1:$K$41</definedName>
    <definedName name="_xlnm.Print_Area" localSheetId="24">toolGSS!$B$47:$O$78</definedName>
    <definedName name="_xlnm.Print_Area" localSheetId="10">toolIntro!$A$1:$I$22</definedName>
    <definedName name="_xlnm.Print_Area" localSheetId="23">toolOps!$B$41:$P$97</definedName>
    <definedName name="_xlnm.Print_Area" localSheetId="11">toolPNL!$B$3:$P$93</definedName>
    <definedName name="_xlnm.Print_Area" localSheetId="12">toolPNLRegionA!$B$3:$P$65</definedName>
    <definedName name="_xlnm.Print_Area" localSheetId="13">toolPNLRegionB!$B$3:$P$65</definedName>
    <definedName name="_xlnm.Print_Area" localSheetId="25">toolPrograms!$A$41:$O$75</definedName>
    <definedName name="_xlnm.Print_Area" localSheetId="22">toolRnD!$B$36:$R$100</definedName>
    <definedName name="_xlnm.Print_Area" localSheetId="16">toolROIC!$A$1:$R$28</definedName>
    <definedName name="_xlnm.Print_Area" localSheetId="17">toolROIC_Two!$A$1:$R$30</definedName>
    <definedName name="_xlnm.Print_Area" localSheetId="9">toolStrategy!$A$1:$K$29</definedName>
    <definedName name="_xlnm.Print_Area" localSheetId="20">toolVetera!$B$48:$Q$85</definedName>
    <definedName name="prod1Reg1Focus">DataPage!$C$341</definedName>
    <definedName name="prod1Reg2Focus">DataPage!$C$342</definedName>
    <definedName name="prod3Reg1Focus">DataPage!$C$343</definedName>
    <definedName name="prod3Reg2Focus">DataPage!$C$344</definedName>
    <definedName name="prod4Reg1Focus">DataPage!$C$345</definedName>
    <definedName name="prod4Reg2Focus">DataPage!$C$346</definedName>
    <definedName name="RAreatoolBalSheet">toolBalSheet!$B$2:$S$26</definedName>
    <definedName name="RAreatoolCashFlow">toolCashFlow!$B$2:$J$47</definedName>
    <definedName name="ScoreCard">analysis!$E$34:$I$34</definedName>
    <definedName name="Screen" localSheetId="7">toolAnalyVision!$A$1:$M$36</definedName>
    <definedName name="Screen" localSheetId="14">toolBalSheet!$B$2:$S$27</definedName>
    <definedName name="Screen" localSheetId="15">toolCashFlow!$B$2:$J$47</definedName>
    <definedName name="Screen" localSheetId="18">toolDecSummary!$B$2:$N$101</definedName>
    <definedName name="Screen" localSheetId="21">toolEscendia!$B$2:$X$86</definedName>
    <definedName name="Screen" localSheetId="8">toolGoals!$A$1:$O$41</definedName>
    <definedName name="Screen" localSheetId="38">toolGraphData!$B$3:$N$113</definedName>
    <definedName name="Screen" localSheetId="24">toolGSS!$B$2:$V$79</definedName>
    <definedName name="Screen" localSheetId="10">toolIntro!$B$2:$I$22</definedName>
    <definedName name="Screen" localSheetId="23">toolOps!$A$2:$X$98</definedName>
    <definedName name="Screen" localSheetId="11">toolPNL!$B$3:$P$94</definedName>
    <definedName name="Screen" localSheetId="12">toolPNLRegionA!$B$3:$P$66</definedName>
    <definedName name="Screen" localSheetId="13">toolPNLRegionB!$B$3:$P$66</definedName>
    <definedName name="Screen" localSheetId="25">toolPrograms!$B$1:$AA$76</definedName>
    <definedName name="Screen" localSheetId="22">toolRnD!$A$2:$AC$101</definedName>
    <definedName name="Screen" localSheetId="16">toolROIC!$B$2:$R$28</definedName>
    <definedName name="Screen" localSheetId="17">toolROIC_Two!$B$2:$X$30</definedName>
    <definedName name="Screen" localSheetId="9">toolStrategy!$A$1:$S$41</definedName>
    <definedName name="Screen" localSheetId="26">toolTEMPLATE!$B$2:$P$100</definedName>
    <definedName name="Screen" localSheetId="20">toolVetera!$B$2:$X$86</definedName>
    <definedName name="ScreentoolAnalyVision">toolAnalyVision!$A$1:$N$37</definedName>
    <definedName name="ScreentoolBalSheet">toolBalSheet!$A$1:$S$26</definedName>
    <definedName name="ScreentoolCashFlow">toolCashFlow!$A$1:$J$47</definedName>
    <definedName name="ScreentoolDecSummary">toolDecSummary!$A$1:$N$101</definedName>
    <definedName name="ScreentoolEscendia">toolEscendia!$A$1:$Q$86</definedName>
    <definedName name="ScreentoolGoals">toolGoals!$A$1:$L$42</definedName>
    <definedName name="ScreentoolGSS">toolGSS!$A$2:$O$79</definedName>
    <definedName name="ScreentoolIntro">toolIntro!$A$1:$I$22</definedName>
    <definedName name="screentoolOps">toolOps!$A$1:$P$98</definedName>
    <definedName name="ScreentoolPNL">toolPNL!$A$2:$P$94</definedName>
    <definedName name="ScreentoolPNLRegA">toolPNLRegionA!$A$1:$P$66</definedName>
    <definedName name="ScreentoolPNLRegB">toolPNLRegionB!$A$1:$P$62</definedName>
    <definedName name="ScreentoolPrograms">toolPrograms!$A$2:$O$76</definedName>
    <definedName name="ScreentoolPROGS">toolPrograms!$A$2:$O$76</definedName>
    <definedName name="ScreentoolRnD">toolRnD!$A$2:$R$101</definedName>
    <definedName name="ScreentoolROIC">toolROIC!$A$1:$R$28</definedName>
    <definedName name="ScreentoolROICTwo">toolROIC_Two!$A$1:$R$30</definedName>
    <definedName name="ScreentoolStrategy">toolStrategy!$A$1:$L$30</definedName>
    <definedName name="ScreentoolVetera">toolVetera!$A$1:$Q$86</definedName>
    <definedName name="SimName">Controls!$H$17</definedName>
    <definedName name="solver_adj" localSheetId="27" hidden="1">obal!$E$113</definedName>
    <definedName name="solver_adj" localSheetId="20" hidden="1">toolVetera!$G$15</definedName>
    <definedName name="solver_cvg" localSheetId="27" hidden="1">0.0001</definedName>
    <definedName name="solver_cvg" localSheetId="20" hidden="1">0.0001</definedName>
    <definedName name="solver_drv" localSheetId="27" hidden="1">1</definedName>
    <definedName name="solver_drv" localSheetId="20" hidden="1">1</definedName>
    <definedName name="solver_est" localSheetId="27" hidden="1">1</definedName>
    <definedName name="solver_est" localSheetId="20" hidden="1">1</definedName>
    <definedName name="solver_itr" localSheetId="27" hidden="1">100</definedName>
    <definedName name="solver_itr" localSheetId="20" hidden="1">100</definedName>
    <definedName name="solver_lhs1" localSheetId="27" hidden="1">obal!$E$113</definedName>
    <definedName name="solver_lin" localSheetId="27" hidden="1">2</definedName>
    <definedName name="solver_lin" localSheetId="20" hidden="1">2</definedName>
    <definedName name="solver_neg" localSheetId="27" hidden="1">2</definedName>
    <definedName name="solver_neg" localSheetId="20" hidden="1">2</definedName>
    <definedName name="solver_num" localSheetId="27" hidden="1">1</definedName>
    <definedName name="solver_num" localSheetId="20" hidden="1">0</definedName>
    <definedName name="solver_nwt" localSheetId="27" hidden="1">1</definedName>
    <definedName name="solver_nwt" localSheetId="20" hidden="1">1</definedName>
    <definedName name="solver_opt" localSheetId="27" hidden="1">obal!$N$113</definedName>
    <definedName name="solver_opt" localSheetId="20" hidden="1">toolVetera!$G$17</definedName>
    <definedName name="solver_pre" localSheetId="27" hidden="1">0.000001</definedName>
    <definedName name="solver_pre" localSheetId="20" hidden="1">0.000001</definedName>
    <definedName name="solver_rel1" localSheetId="27" hidden="1">3</definedName>
    <definedName name="solver_rhs1" localSheetId="27" hidden="1">0</definedName>
    <definedName name="solver_scl" localSheetId="27" hidden="1">2</definedName>
    <definedName name="solver_scl" localSheetId="20" hidden="1">2</definedName>
    <definedName name="solver_sho" localSheetId="27" hidden="1">2</definedName>
    <definedName name="solver_sho" localSheetId="20" hidden="1">2</definedName>
    <definedName name="solver_tim" localSheetId="27" hidden="1">100</definedName>
    <definedName name="solver_tim" localSheetId="20" hidden="1">100</definedName>
    <definedName name="solver_tol" localSheetId="27" hidden="1">0.05</definedName>
    <definedName name="solver_tol" localSheetId="20" hidden="1">0.05</definedName>
    <definedName name="solver_typ" localSheetId="27" hidden="1">3</definedName>
    <definedName name="solver_typ" localSheetId="20" hidden="1">1</definedName>
    <definedName name="solver_val" localSheetId="27" hidden="1">756772800</definedName>
    <definedName name="solver_val" localSheetId="20" hidden="1">0.2</definedName>
    <definedName name="test">mmProd1!$C$291:$K$309</definedName>
    <definedName name="TestAuto_Constraint_Max">TestAuto!$G$54</definedName>
    <definedName name="TestAuto_Constraint_Metric">TestAuto!$E$54</definedName>
    <definedName name="TestAuto_Constraint_Min">TestAuto!$I$54</definedName>
    <definedName name="TestAuto_Names">DataValidation!$C$24:$C$159</definedName>
    <definedName name="TestAuto_OutputMetrics">TestAuto!$E$31:$E$48</definedName>
    <definedName name="TestAuto_Types">DataValidation!$E$24:$E$159</definedName>
    <definedName name="TestAuto_Values">DataValidation!$G$24:$H$159</definedName>
    <definedName name="tlInputCEO">toolGoals!$D$8</definedName>
    <definedName name="tlInputCorpDiffr1">toolStrategy!$F$28</definedName>
    <definedName name="tlInputCorpDiffr2">toolStrategy!$H$28</definedName>
    <definedName name="tlInputCorpDiffr3">toolStrategy!$J$28</definedName>
    <definedName name="tlInputCorpStrat1">toolStrategy!$D$28</definedName>
    <definedName name="tlInputCorpStrat2">toolStrategy!$D$29</definedName>
    <definedName name="tlInputDisrupt1">toolRnD!$D$28</definedName>
    <definedName name="tlInputDisrupt2">toolRnD!$D$31</definedName>
    <definedName name="tlInputDividendAmount">toolGSS!$T$43</definedName>
    <definedName name="tlInputEdaDiffr1">toolStrategy!$F$26</definedName>
    <definedName name="tlInputEdaDiffr2">toolStrategy!$H$26</definedName>
    <definedName name="tlInputEdaDiffr3">toolStrategy!$J$26</definedName>
    <definedName name="tlInputEmp1Change">toolVetera!$G$39</definedName>
    <definedName name="tlInputEmp2Change">toolEscendia!$G$39</definedName>
    <definedName name="tlInputEmp3Change">toolOps!$G$17</definedName>
    <definedName name="tlInputEmpDevLevel">toolGSS!$H$24</definedName>
    <definedName name="tlInputGMesc">toolGoals!$D$20</definedName>
    <definedName name="tlInputGMvet">toolGoals!$D$14</definedName>
    <definedName name="tlInputGoals1">toolGoals!$I$9</definedName>
    <definedName name="tlInputGoals10">toolGoals!$I$33</definedName>
    <definedName name="tlInputGoals11">toolGoals!$I$35</definedName>
    <definedName name="tlInputGoals12">toolGoals!$I$39</definedName>
    <definedName name="tlInputGoals13">toolGoals!$I$41</definedName>
    <definedName name="tlInputGoals3">toolGoals!$I$11</definedName>
    <definedName name="tlInputGoals4">toolGoals!$I$15</definedName>
    <definedName name="tlInputGoals5">toolGoals!$I$17</definedName>
    <definedName name="tlInputGoals6">toolGoals!$I$21</definedName>
    <definedName name="tlInputGoals7">toolGoals!$I$23</definedName>
    <definedName name="tlInputGoals8">toolGoals!$I$27</definedName>
    <definedName name="tlInputGoals9">toolGoals!$I$29</definedName>
    <definedName name="tlInputInnov1">toolRnD!$G$14</definedName>
    <definedName name="tlInputInnov1Cond">toolRnD!$AF$14</definedName>
    <definedName name="tlInputInnov2">toolRnD!$G$16</definedName>
    <definedName name="tlInputInnov2Cond">toolRnD!$AF$16</definedName>
    <definedName name="tlInputInnov3">toolRnD!$G$18</definedName>
    <definedName name="tlInputInnov3Cond">toolRnD!$AF$18</definedName>
    <definedName name="tlInputInnov4">toolRnD!$G$20</definedName>
    <definedName name="tlInputInnov4Cond">toolRnD!$AF$20</definedName>
    <definedName name="tlInputITcapAdd">toolGSS!$H$30</definedName>
    <definedName name="tlInputLTDebtChange">toolGSS!$E$43</definedName>
    <definedName name="tlInputPlant1Flex">toolOps!$G$20</definedName>
    <definedName name="tlInputPlant1UnitsChange">toolOps!$G$14</definedName>
    <definedName name="tlInputProd1Adv">toolVetera!$G$29</definedName>
    <definedName name="tlInputProd1AdvR2">toolEscendia!$G$29</definedName>
    <definedName name="tlInputProd1Brand">toolGSS!$H$14</definedName>
    <definedName name="tlInputProd1Ftr1">InBevRemaining!$D$19</definedName>
    <definedName name="tlInputProd1Ftr1Level">InBevRemaining!$D$21</definedName>
    <definedName name="tlInputProd1Ftr2">InBevRemaining!$D$23</definedName>
    <definedName name="tlInputProd1Ftr2Level">InBevRemaining!$D$25</definedName>
    <definedName name="tlInputProd1Ftr4LevelDec">toolGSS!$H$16</definedName>
    <definedName name="tlInputProd1Promo">toolVetera!$G$32</definedName>
    <definedName name="tlInputProd1PromoR2">toolEscendia!$G$32</definedName>
    <definedName name="tlInputProd1Reg1Grth">toolVetera!$G$15</definedName>
    <definedName name="tlInputProd1Reg1Price">toolVetera!$G$19</definedName>
    <definedName name="tlInputProd1Reg2Grth">toolEscendia!$G$15</definedName>
    <definedName name="tlInputProd1Reg2Price">toolEscendia!$G$19</definedName>
    <definedName name="tlInputProd1WhatIfUnits">toolGSS!$H$43</definedName>
    <definedName name="tlInputProd21Ftr4LevelDec">toolRnD!$I$28</definedName>
    <definedName name="tlInputProd22Ftr4LevelDec">toolRnD!$I$31</definedName>
    <definedName name="tlInputProd2Adv">toolRnD!$M$28</definedName>
    <definedName name="tlInputProd2Adv2">toolRnD!$M$31</definedName>
    <definedName name="tlInputProd2Promo1">toolRnD!$O$28</definedName>
    <definedName name="tlInputProd2Promo2">toolRnD!$O$31</definedName>
    <definedName name="tlInputProd2Reg1Price">toolRnD!$K$28</definedName>
    <definedName name="tlInputProd2Reg1Units">toolRnD!$Q$28</definedName>
    <definedName name="tlInputProd2Reg2Price">toolRnD!$K$31</definedName>
    <definedName name="tlInputProd2Reg2Units">toolRnD!$Q$31</definedName>
    <definedName name="tlInputProd2WhatIfUnits">toolGSS!$T$41</definedName>
    <definedName name="tlInputProd3Adv">toolVetera!$I$29</definedName>
    <definedName name="tlInputProd3AdvR2">toolEscendia!$I$29</definedName>
    <definedName name="tlInputProd3Brand">toolGSS!$J$14</definedName>
    <definedName name="tlInputProd3Ftr1">InBevRemaining!$F$19</definedName>
    <definedName name="tlInputProd3Ftr1Level">InBevRemaining!$F$21</definedName>
    <definedName name="tlInputProd3Ftr2">InBevRemaining!$F$23</definedName>
    <definedName name="tlInputProd3Ftr2Level">InBevRemaining!$F$25</definedName>
    <definedName name="tlInputProd3Ftr4LevelDec">toolGSS!$J$16</definedName>
    <definedName name="tlInputProd3Promo">toolVetera!$I$32</definedName>
    <definedName name="tlInputProd3PromoR2">toolEscendia!$I$32</definedName>
    <definedName name="tlInputProd3Reg1Grth">toolVetera!$I$15</definedName>
    <definedName name="tlInputProd3Reg1Price">toolVetera!$I$19</definedName>
    <definedName name="tlInputProd3Reg2Grth">toolEscendia!$I$15</definedName>
    <definedName name="tlInputProd3Reg2Price">toolEscendia!$I$19</definedName>
    <definedName name="tlInputProd3WhatIfUnits">toolGSS!$J$43</definedName>
    <definedName name="tlInputProd4Adv">toolVetera!$K$29</definedName>
    <definedName name="tlInputProd4AdvR2">toolEscendia!$K$29</definedName>
    <definedName name="tlInputProd4Brand">toolGSS!$L$14</definedName>
    <definedName name="tlInputProd4Ftr1">InBevRemaining!$H$19</definedName>
    <definedName name="tlInputProd4Ftr1Level">InBevRemaining!$H$21</definedName>
    <definedName name="tlInputProd4Ftr2">InBevRemaining!$H$23</definedName>
    <definedName name="tlInputProd4Ftr2Level">InBevRemaining!$H$25</definedName>
    <definedName name="tlInputProd4Ftr3">InBevRemaining!$H$27</definedName>
    <definedName name="tlInputProd4Ftr3Level">InBevRemaining!$H$29</definedName>
    <definedName name="tlInputProd4Ftr4LevelDec">toolGSS!$L$16</definedName>
    <definedName name="tlInputProd4Promo">toolVetera!$K$32</definedName>
    <definedName name="tlInputProd4PromoR2">toolEscendia!$K$32</definedName>
    <definedName name="tlInputProd4Reg1Grth">toolVetera!$K$15</definedName>
    <definedName name="tlInputProd4Reg1Price">toolVetera!$K$19</definedName>
    <definedName name="tlInputProd4Reg2Grth">toolEscendia!$K$15</definedName>
    <definedName name="tlInputProd4Reg2Price">toolEscendia!$K$19</definedName>
    <definedName name="tlInputProd4WhatIfUnits">toolGSS!$L$43</definedName>
    <definedName name="tlInputRecruitLevel">toolGSS!$H$22</definedName>
    <definedName name="tlInputReg1ChanLevel">toolVetera!$V$39</definedName>
    <definedName name="tlInputReg1OnPremAdv">InBevRemaining!$D$35</definedName>
    <definedName name="tlInputReg2ChanLevel">toolEscendia!$V$39</definedName>
    <definedName name="tlInputReg2OnPremAdv">InBevRemaining!$F$35</definedName>
    <definedName name="tlInputSpecProg1">toolPrograms!$D$14</definedName>
    <definedName name="tlInputSpecProg1Check">toolPrograms!$Z$14</definedName>
    <definedName name="tlInputSpecProg2">toolPrograms!$D$16</definedName>
    <definedName name="tlInputSpecProg2Check">toolPrograms!$Z$16</definedName>
    <definedName name="tlInputSpecProg3">toolPrograms!$D$18</definedName>
    <definedName name="tlInputSpecProg3Check">toolPrograms!$Z$18</definedName>
    <definedName name="tlInputSpecProg4">toolPrograms!$D$20</definedName>
    <definedName name="tlInputSpecProg4Check">toolPrograms!$Z$20</definedName>
    <definedName name="tlInputSpecProg5">toolPrograms!$D$22</definedName>
    <definedName name="tlInputSpecProg5Check">toolPrograms!$Z$22</definedName>
    <definedName name="tlInputSpecProg6">toolPrograms!$D$24</definedName>
    <definedName name="tlInputSpecProg6Check">toolPrograms!$Z$24</definedName>
    <definedName name="tlInputStratEdaComp">toolStrategy!$I$16</definedName>
    <definedName name="tlInputStratEdaCons">toolStrategy!$I$13</definedName>
    <definedName name="tlInputStratEdaCSD">toolStrategy!$C$11</definedName>
    <definedName name="tlInputStratEdaCust">toolStrategy!$I$15</definedName>
    <definedName name="tlInputStratEdaFnS">toolStrategy!$E$11</definedName>
    <definedName name="tlInputStratEdaInnov">toolStrategy!$I$14</definedName>
    <definedName name="tlInputStratEdaNCB">toolStrategy!$D$11</definedName>
    <definedName name="tlInputStratEdaProd">toolStrategy!$I$16</definedName>
    <definedName name="tlInputStratName">toolAnalyVision!$B$34</definedName>
    <definedName name="tlInputStratVetComp">toolStrategy!$H$16</definedName>
    <definedName name="tlInputStratVetCons">toolStrategy!$H$13</definedName>
    <definedName name="tlInputStratVetCSD">toolStrategy!$C$10</definedName>
    <definedName name="tlInputStratVetCust">toolStrategy!$H$15</definedName>
    <definedName name="tlInputStratVetFnS">toolStrategy!$E$10</definedName>
    <definedName name="tlInputStratVetInnov">toolStrategy!$H$14</definedName>
    <definedName name="tlInputStratVetNCB">toolStrategy!$D$10</definedName>
    <definedName name="tlInputStratVetProd">toolStrategy!$H$14</definedName>
    <definedName name="tlInputSVPops">toolGoals!$D$26</definedName>
    <definedName name="tlInputSVPrnd">toolGoals!$D$32</definedName>
    <definedName name="tlInputSVPshared">toolGoals!$D$38</definedName>
    <definedName name="tlInputSWOTo1">toolAnalyVision!$B$14</definedName>
    <definedName name="tlInputSWOTo2">toolAnalyVision!$B$15</definedName>
    <definedName name="tlInputSWOTo3">toolAnalyVision!$B$16</definedName>
    <definedName name="tlInputSWOTo4">toolAnalyVision!$B$17</definedName>
    <definedName name="tlInputSWOTo5">toolAnalyVision!$B$18</definedName>
    <definedName name="tlInputSWOTs1">toolAnalyVision!$B$8</definedName>
    <definedName name="tlInputSWOTs2">toolAnalyVision!$B$9</definedName>
    <definedName name="tlInputSWOTs3">toolAnalyVision!$B$10</definedName>
    <definedName name="tlInputSWOTs4">toolAnalyVision!$B$11</definedName>
    <definedName name="tlInputSWOTs5">toolAnalyVision!$B$12</definedName>
    <definedName name="tlInputSWOTt1">toolAnalyVision!$H$14</definedName>
    <definedName name="tlInputSWOTt2">toolAnalyVision!$H$15</definedName>
    <definedName name="tlInputSWOTt3">toolAnalyVision!$H$16</definedName>
    <definedName name="tlInputSWOTt4">toolAnalyVision!$H$17</definedName>
    <definedName name="tlInputSWOTt5">toolAnalyVision!$H$18</definedName>
    <definedName name="tlInputSWOTw1">toolAnalyVision!$H$8</definedName>
    <definedName name="tlInputSWOTw2">toolAnalyVision!$H$9</definedName>
    <definedName name="tlInputSWOTw3">toolAnalyVision!$H$10</definedName>
    <definedName name="tlInputSWOTw4">toolAnalyVision!$H$11</definedName>
    <definedName name="tlInputSWOTw5">toolAnalyVision!$H$12</definedName>
    <definedName name="tlInputTeamName">toolIntro!$G$14</definedName>
    <definedName name="tlInputTeamNumber">toolIntro!$G$11</definedName>
    <definedName name="tlInputTeamYear">Controls!$E$7</definedName>
    <definedName name="tlInputVetDiffr1">toolStrategy!$F$24</definedName>
    <definedName name="tlInputVetDiffr2">toolStrategy!$H$24</definedName>
    <definedName name="tlInputVetDiffr3">toolStrategy!$J$24</definedName>
    <definedName name="tlInputVision">toolAnalyVision!$B$22</definedName>
    <definedName name="tlInputWhatIfActivate">toolGSS!$T$39</definedName>
    <definedName name="tlInputWobbler1">dec!$D$128</definedName>
    <definedName name="tlInputWobbler2">dec!$D$129</definedName>
    <definedName name="tlInputWobbler3">dec!$D$130</definedName>
    <definedName name="tlInputWobbler4">dec!$D$131</definedName>
    <definedName name="tlobalAPValue">obal!$E$92</definedName>
    <definedName name="tlobalARValue">obal!$E$8</definedName>
    <definedName name="tlobalAssetsValue">obal!$E$88</definedName>
    <definedName name="tlobalCashValue">obal!$E$4</definedName>
    <definedName name="tlobalCSAT">obal!$E$166</definedName>
    <definedName name="tlobalCStockPricePShare">obal!$E$162</definedName>
    <definedName name="tlobalCStockShares">obal!$E$163</definedName>
    <definedName name="tlobalCStockValue">obal!$E$102</definedName>
    <definedName name="tlobalDisrupt1">obal!$E$221</definedName>
    <definedName name="tlobalDisrupt2">obal!$E$222</definedName>
    <definedName name="tlobalEmp1">obal!$E$143</definedName>
    <definedName name="tlobalEmp10">obal!$E$147</definedName>
    <definedName name="tlobalEmp2">obal!$E$144</definedName>
    <definedName name="tlobalEmp3">obal!$E$145</definedName>
    <definedName name="tlobalEmp3Utiliz">obal!$E$146</definedName>
    <definedName name="tlobalEmpDevLevel">obal!$E$149</definedName>
    <definedName name="tlobalGoodWillValue">obal!$E$82</definedName>
    <definedName name="tlobalITcapLevel">obal!$E$176</definedName>
    <definedName name="tlobalLTDebtValue">obal!$E$97</definedName>
    <definedName name="tlobalNetEarnValue">obal!$E$104</definedName>
    <definedName name="tlobalNetRev">obal!$E$161</definedName>
    <definedName name="tlobalOtherCurrLiabValue">obal!$E$93</definedName>
    <definedName name="tlobalPlant1Flex">obal!$E$153</definedName>
    <definedName name="tlobalPlant1Units">obal!$E$152</definedName>
    <definedName name="tlobalPlant1Value">obal!$E$85</definedName>
    <definedName name="tlobalPlantValue">obal!$E$87</definedName>
    <definedName name="tlobalProd1Brand">obal!$E$167</definedName>
    <definedName name="tlobalProd1COGSPUnitDep">obal!$E$193</definedName>
    <definedName name="tlobalProd1COGSPUnitMat">obal!$E$189</definedName>
    <definedName name="tlobalProd1COGSPUnitPlant">obal!$E$192</definedName>
    <definedName name="tlobalProd1Ftr1Level">obal!$E$185</definedName>
    <definedName name="tlobalProd1Ftr2Level">obal!$E$186</definedName>
    <definedName name="tlobalProd1Ftr3Level">obal!$E$187</definedName>
    <definedName name="tlobalProd1Ftr4Level">obal!$E$188</definedName>
    <definedName name="tlobalProd1Reg1UnitsFG">obal!$E$112</definedName>
    <definedName name="tlobalProd1Reg1UnitsSold">obal!$E$113</definedName>
    <definedName name="tlobalProd1Reg1UnitsWIP">obal!$E$111</definedName>
    <definedName name="tlobalProd1Reg2UnitsFG">obal!$E$122</definedName>
    <definedName name="tlobalProd1Reg2UnitsSold">obal!$E$123</definedName>
    <definedName name="tlobalProd1Reg2UnitsWIP">obal!$E$121</definedName>
    <definedName name="tlobalProd21COGSPUnitMat">obal!$E$211</definedName>
    <definedName name="tlobalProd22COGSPUnitMat">obal!$E$212</definedName>
    <definedName name="tlobalProd2Brand">obal!$E$168</definedName>
    <definedName name="tlobalProd2COGSPUnitDep">obal!$E$219</definedName>
    <definedName name="tlobalProd2COGSPUnitLabor">obal!$E$213</definedName>
    <definedName name="tlobalProd2COGSPUnitPlant">obal!$E$217</definedName>
    <definedName name="tlobalProd2Ftr1Level">obal!$E$206</definedName>
    <definedName name="tlobalProd2Ftr2Level">obal!$E$207</definedName>
    <definedName name="tlobalProd2Ftr3Level">obal!$E$208</definedName>
    <definedName name="tlobalProd2Ftr4Level">obal!$E$209</definedName>
    <definedName name="tlobalProd2NetRevsS1">obal!$E$200</definedName>
    <definedName name="tlobalProd2NetRevsS2">obal!$E$201</definedName>
    <definedName name="tlobalProd2Reg1UnitsFG">obal!$E$132</definedName>
    <definedName name="tlobalProd2Reg1UnitsSold">obal!$E$133</definedName>
    <definedName name="tlobalProd2Reg1UnitsWIP">obal!$E$131</definedName>
    <definedName name="tlobalProd2Reg2UnitsFG">obal!$E$135</definedName>
    <definedName name="tlobalProd2Reg2UnitsSold">obal!$E$136</definedName>
    <definedName name="tlobalProd2Reg2UnitsWIP">obal!$E$134</definedName>
    <definedName name="tlobalProd2RevsS1">obal!$E$198</definedName>
    <definedName name="tlobalProd2RevsS2">obal!$E$199</definedName>
    <definedName name="tlobalProd2Unlock1">obal!$E$299</definedName>
    <definedName name="tlobalProd2Unlock2">obal!$E$300</definedName>
    <definedName name="tlobalProd3Brand">obal!$E$169</definedName>
    <definedName name="tlobalProd3COGSPUnitDep">obal!$E$239</definedName>
    <definedName name="tlobalProd3COGSPUnitMat">obal!$E$235</definedName>
    <definedName name="tlobalProd3COGSPUnitPlant">obal!$E$238</definedName>
    <definedName name="tlobalProd3Ftr1Level">obal!$E$231</definedName>
    <definedName name="tlobalProd3Ftr2Level">obal!$E$232</definedName>
    <definedName name="tlobalProd3Ftr3Level">obal!$E$233</definedName>
    <definedName name="tlobalProd3Ftr4Level">obal!$E$234</definedName>
    <definedName name="tlobalProd3Reg1UnitsFG">obal!$E$115</definedName>
    <definedName name="tlobalProd3Reg1UnitsSold">obal!$E$116</definedName>
    <definedName name="tlobalProd3Reg1UnitsWIP">obal!$E$114</definedName>
    <definedName name="tlobalProd3Reg2UnitsFG">obal!$E$125</definedName>
    <definedName name="tlobalProd3Reg2UnitsSold">obal!$E$126</definedName>
    <definedName name="tlobalProd3Reg2UnitsWIP">obal!$E$124</definedName>
    <definedName name="tlobalProd4Brand">obal!$E$170</definedName>
    <definedName name="tlobalProd4COGSPUnitDep">obal!$E$256</definedName>
    <definedName name="tlobalProd4COGSPUnitMat">obal!$E$252</definedName>
    <definedName name="tlobalProd4COGSPUnitPlant">obal!$E$255</definedName>
    <definedName name="tlobalProd4Ftr1Level">obal!$E$248</definedName>
    <definedName name="tlobalProd4Ftr2Level">obal!$E$249</definedName>
    <definedName name="tlobalProd4Ftr3Level">obal!$E$250</definedName>
    <definedName name="tlobalProd4Ftr4Level">obal!$E$251</definedName>
    <definedName name="tlobalProd4Reg1UnitsFG">obal!$E$118</definedName>
    <definedName name="tlobalProd4Reg1UnitsSold">obal!$E$119</definedName>
    <definedName name="tlobalProd4Reg1UnitsWIP">obal!$E$117</definedName>
    <definedName name="tlobalProd4Reg2UnitsFG">obal!$E$128</definedName>
    <definedName name="tlobalProd4Reg2UnitsSold">obal!$E$129</definedName>
    <definedName name="tlobalProd4Reg2UnitsWIP">obal!$E$127</definedName>
    <definedName name="tlobalProd5COGSPUnitDep">obal!$E$266</definedName>
    <definedName name="tlobalProd5COGSPUnitEmp2">obal!$E$264</definedName>
    <definedName name="tlobalProd5COGSPUnitMat">obal!$E$263</definedName>
    <definedName name="tlobalProd5COGSPUnitPlant1">obal!$E$265</definedName>
    <definedName name="tlobalProd6COGSPUnitDep">obal!$E$276</definedName>
    <definedName name="tlobalProd6COGSPUnitEmp2">obal!$E$274</definedName>
    <definedName name="tlobalProd6COGSPUnitMat">obal!$E$273</definedName>
    <definedName name="tlobalProd6COGSPUnitPlant1">obal!$E$275</definedName>
    <definedName name="tlobalRecruitLevel">obal!$E$148</definedName>
    <definedName name="tlobalReg1ARValue">obal!$E$6</definedName>
    <definedName name="tlobalReg1FGValue">obal!$E$50</definedName>
    <definedName name="tlobalReg1MatValue">obal!$E$34</definedName>
    <definedName name="tlobalReg1NetRev">obal!$E$159</definedName>
    <definedName name="tlobalReg1Prod1COGSPUnitLabor">obal!$E$190</definedName>
    <definedName name="tlobalReg1Prod1FGValue">obal!$E$44</definedName>
    <definedName name="tlobalReg1Prod1MatValue">obal!$E$28</definedName>
    <definedName name="tlobalReg1Prod1NetRev">obal!$E$183</definedName>
    <definedName name="tlobalReg1Prod1Price">obal!$E$179</definedName>
    <definedName name="tlobalReg1Prod1Rev">obal!$E$181</definedName>
    <definedName name="tlobalReg1Prod1WIPValue">obal!$E$36</definedName>
    <definedName name="tlobalReg1Prod2FGValue">obal!$E$16</definedName>
    <definedName name="tlobalReg1Prod2MatValue">obal!$E$14</definedName>
    <definedName name="tlobalReg1Prod2NetRev">obal!$E$204</definedName>
    <definedName name="tlobalReg1Prod2Price">obal!$E$196</definedName>
    <definedName name="tlobalReg1Prod2Rev">obal!$E$202</definedName>
    <definedName name="tlobalReg1Prod2WIPValue">obal!$E$15</definedName>
    <definedName name="tlobalReg1Prod3COGSPUnitLabor">obal!$E$236</definedName>
    <definedName name="tlobalReg1Prod3FGValue">obal!$E$45</definedName>
    <definedName name="tlobalReg1Prod3MatValue">obal!$E$29</definedName>
    <definedName name="tlobalReg1Prod3NetRev">obal!$E$229</definedName>
    <definedName name="tlobalReg1Prod3Price">obal!$E$225</definedName>
    <definedName name="tlobalReg1Prod3Rev">obal!$E$227</definedName>
    <definedName name="tlobalReg1Prod3WIPValue">obal!$E$37</definedName>
    <definedName name="tlobalReg1Prod4COGSPUnitLabor">obal!$E$253</definedName>
    <definedName name="tlobalReg1Prod4FGValue">obal!$E$46</definedName>
    <definedName name="tlobalReg1Prod4MatValue">obal!$E$30</definedName>
    <definedName name="tlobalReg1Prod4NetRev">obal!$E$246</definedName>
    <definedName name="tlobalReg1Prod4Price">obal!$E$242</definedName>
    <definedName name="tlobalReg1Prod4Rev">obal!$E$244</definedName>
    <definedName name="tlobalReg1Prod4WIPValue">obal!$E$38</definedName>
    <definedName name="tlobalReg1Prod5FGValue">obal!$E$47</definedName>
    <definedName name="tlobalReg1Prod5MatValue">obal!$E$31</definedName>
    <definedName name="tlobalReg1Prod5WIPValue">obal!$E$39</definedName>
    <definedName name="tlobalReg1Prod6FGValue">obal!$E$48</definedName>
    <definedName name="tlobalReg1Prod6MatValue">obal!$E$32</definedName>
    <definedName name="tlobalReg1Prod6WIPValue">obal!$E$40</definedName>
    <definedName name="tlobalReg1Rev">obal!$E$156</definedName>
    <definedName name="tlobalReg1WIPValue">obal!$E$42</definedName>
    <definedName name="tlobalReg2ARValue">obal!$E$7</definedName>
    <definedName name="tlobalReg2ChanLevel">obal!$E$173</definedName>
    <definedName name="tlobalReg2FGValue">obal!$E$75</definedName>
    <definedName name="tlobalReg2MatValue">obal!$E$59</definedName>
    <definedName name="tlobalReg2NetRev">obal!$E$160</definedName>
    <definedName name="tlobalReg2Prod1COGSPUnitLabor">obal!$E$191</definedName>
    <definedName name="tlobalReg2Prod1FGValue">obal!$E$69</definedName>
    <definedName name="tlobalReg2Prod1MatValue">obal!$E$53</definedName>
    <definedName name="tlobalReg2Prod1NetRev">obal!$E$184</definedName>
    <definedName name="tlobalReg2Prod1Price">obal!$E$180</definedName>
    <definedName name="tlobalReg2Prod1Rev">obal!$E$182</definedName>
    <definedName name="tlobalReg2Prod1WIPValue">obal!$E$61</definedName>
    <definedName name="tlobalReg2Prod2FGValue">obal!$E$23</definedName>
    <definedName name="tlobalReg2Prod2MatValue">obal!$E$21</definedName>
    <definedName name="tlobalReg2Prod2NetRev">obal!$E$205</definedName>
    <definedName name="tlobalReg2Prod2Price">obal!$E$197</definedName>
    <definedName name="tlobalReg2Prod2Rev">obal!$E$203</definedName>
    <definedName name="tlobalReg2Prod2WIPValue">obal!$E$22</definedName>
    <definedName name="tlobalReg2Prod3COGSPUnitLabor">obal!$E$237</definedName>
    <definedName name="tlobalReg2Prod3FGValue">obal!$E$70</definedName>
    <definedName name="tlobalReg2Prod3MatValue">obal!$E$54</definedName>
    <definedName name="tlobalReg2Prod3NetRev">obal!$E$230</definedName>
    <definedName name="tlobalReg2Prod3Price">obal!$E$226</definedName>
    <definedName name="tlobalReg2Prod3Rev">obal!$E$228</definedName>
    <definedName name="tlobalReg2Prod3WIPValue">obal!$E$62</definedName>
    <definedName name="tlobalReg2Prod4COGSPUnitLabor">obal!$E$254</definedName>
    <definedName name="tlobalReg2Prod4FGValue">obal!$E$71</definedName>
    <definedName name="tlobalReg2Prod4MatValue">obal!$E$55</definedName>
    <definedName name="tlobalReg2Prod4NetRev">obal!$E$247</definedName>
    <definedName name="tlobalReg2Prod4Price">obal!$E$243</definedName>
    <definedName name="tlobalReg2Prod4Rev">obal!$E$245</definedName>
    <definedName name="tlobalReg2Prod4WIPValue">obal!$E$63</definedName>
    <definedName name="tlobalReg2Prod5FGValue">obal!$E$72</definedName>
    <definedName name="tlobalReg2Prod5MatValue">obal!$E$56</definedName>
    <definedName name="tlobalReg2Prod5WIPValue">obal!$E$64</definedName>
    <definedName name="tlobalReg2Prod6FGValue">obal!$E$73</definedName>
    <definedName name="tlobalReg2Prod6MatValue">obal!$E$57</definedName>
    <definedName name="tlobalReg2Prod6WIPValue">obal!$E$65</definedName>
    <definedName name="tlobalReg2Rev">obal!$E$157</definedName>
    <definedName name="tlobalReg2WIPValue">obal!$E$67</definedName>
    <definedName name="tlobalRetEarnValue">obal!$E$103</definedName>
    <definedName name="tlobalRev">obal!$E$158</definedName>
    <definedName name="tlobalSpecLoansValue">obal!$E$94</definedName>
    <definedName name="tlobalStratEdaComp">obal!$E$353</definedName>
    <definedName name="tlobalStratEdaCons">obal!$E$350</definedName>
    <definedName name="tlobalStratEdaCSD">obal!$E$340</definedName>
    <definedName name="tlobalStratEdaCust">obal!$E$352</definedName>
    <definedName name="tlobalStratEdaFnS">obal!$E$342</definedName>
    <definedName name="tlobalStratEdaInnov">obal!$E$351</definedName>
    <definedName name="tlobalStratEdaNCB">obal!$E$341</definedName>
    <definedName name="tlobalStratVetComp">obal!$E$348</definedName>
    <definedName name="tlobalStratVetCons">obal!$E$345</definedName>
    <definedName name="tlobalStratVetCSD">obal!$E$336</definedName>
    <definedName name="tlobalStratVetCust">obal!$E$347</definedName>
    <definedName name="tlobalStratVetFnS">obal!$E$338</definedName>
    <definedName name="tlobalStratVetInnov">obal!$E$346</definedName>
    <definedName name="tlobalStratVetNCB">obal!$E$337</definedName>
    <definedName name="tlobalTotalEquity">obal!$E$106</definedName>
    <definedName name="tlobalYr1Innov1">obal!$E$304</definedName>
    <definedName name="tlobalYr1Innov2">obal!$E$305</definedName>
    <definedName name="tlobalYr1Innov3">obal!$E$306</definedName>
    <definedName name="tlobalYr1Innov4">obal!$E$307</definedName>
    <definedName name="tlobalYr1SpecProg1">obal!$E$280</definedName>
    <definedName name="tlobalYr1SpecProg2">obal!$E$281</definedName>
    <definedName name="tlobalYr1SpecProg3">obal!$E$282</definedName>
    <definedName name="tlobalYr1SpecProg4">obal!$E$283</definedName>
    <definedName name="tlobalYr1SpecProg5">obal!$E$284</definedName>
    <definedName name="tlobalYr1SpecProg6">obal!$E$285</definedName>
    <definedName name="tlobalYr2Innov1">obal!$E$308</definedName>
    <definedName name="tlobalYr2Innov2">obal!$E$309</definedName>
    <definedName name="tlobalYr2Innov3">obal!$E$310</definedName>
    <definedName name="tlobalYr2Innov4">obal!$E$311</definedName>
    <definedName name="tlobalYr2SpecProg1">obal!$E$286</definedName>
    <definedName name="tlobalYr2SpecProg2">obal!$E$287</definedName>
    <definedName name="tlobalYr2SpecProg3">obal!$E$288</definedName>
    <definedName name="tlobalYr2SpecProg4">obal!$E$289</definedName>
    <definedName name="tlobalYr2SpecProg5">obal!$E$290</definedName>
    <definedName name="tlobalYr2SpecProg6">obal!$E$291</definedName>
    <definedName name="tlobalYr3Innov1">obal!$E$312</definedName>
    <definedName name="tlobalYr3Innov2">obal!$E$313</definedName>
    <definedName name="tlobalYr3Innov3">obal!$E$314</definedName>
    <definedName name="tlobalYr3Innov4">obal!$E$315</definedName>
    <definedName name="tlobalYr3SpecProg1">obal!$E$292</definedName>
    <definedName name="tlobalYr3SpecProg2">obal!$E$293</definedName>
    <definedName name="tlobalYr3SpecProg3">obal!$E$294</definedName>
    <definedName name="tlobalYr3SpecProg4">obal!$E$295</definedName>
    <definedName name="tlobalYr3SpecProg5">obal!$E$296</definedName>
    <definedName name="tlobalYr3SpecProg6">obal!$E$297</definedName>
    <definedName name="tlOutput_Dashboard1">Controls!$E$177</definedName>
    <definedName name="tlOutput_Dashboard10">Controls!$E$190</definedName>
    <definedName name="tlOutput_Dashboard11">Controls!$E$191</definedName>
    <definedName name="tlOutput_Dashboard12">Controls!$E$194</definedName>
    <definedName name="tlOutput_Dashboard13">Controls!$E$195</definedName>
    <definedName name="tlOutput_Dashboard14">Controls!$E$196</definedName>
    <definedName name="tlOutput_Dashboard15">Controls!$E$199</definedName>
    <definedName name="tlOutput_Dashboard16">Controls!$E$200</definedName>
    <definedName name="tlOutput_Dashboard17">Controls!$E$201</definedName>
    <definedName name="tlOutput_Dashboard18">Controls!$E$202</definedName>
    <definedName name="tlOutput_Dashboard19">Controls!$E$205</definedName>
    <definedName name="tlOutput_Dashboard2">Controls!$E$178</definedName>
    <definedName name="tlOutput_Dashboard20">Controls!$E$206</definedName>
    <definedName name="tlOutput_Dashboard21">Controls!$E$207</definedName>
    <definedName name="tlOutput_Dashboard22">Controls!$E$208</definedName>
    <definedName name="tlOutput_Dashboard3">Controls!$E$179</definedName>
    <definedName name="tlOutput_Dashboard4">Controls!$E$180</definedName>
    <definedName name="tlOutput_Dashboard5">Controls!$E$181</definedName>
    <definedName name="tlOutput_Dashboard6">Controls!$E$184</definedName>
    <definedName name="tlOutput_Dashboard7">Controls!$E$185</definedName>
    <definedName name="tlOutput_Dashboard8">Controls!$E$186</definedName>
    <definedName name="tlOutput_Dashboard9">Controls!$E$189</definedName>
    <definedName name="tlOutput_toolAnalyVision_A2">toolAnalyVision!$A$2</definedName>
    <definedName name="tlOutput_toolAnalyVision_B13">toolAnalyVision!$B$13</definedName>
    <definedName name="tlOutput_toolAnalyVision_B20">toolAnalyVision!$B$20</definedName>
    <definedName name="tlOutput_toolAnalyVision_B32">toolAnalyVision!$B$32</definedName>
    <definedName name="tlOutput_toolAnalyVision_B5">toolAnalyVision!$B$5</definedName>
    <definedName name="tlOutput_toolAnalyVision_B7">toolAnalyVision!$B$7</definedName>
    <definedName name="tlOutput_toolAnalyVision_H13">toolAnalyVision!$H$13</definedName>
    <definedName name="tlOutput_toolAnalyVision_H7">toolAnalyVision!$H$7</definedName>
    <definedName name="tlOutput_toolAnalyVision_L1">toolAnalyVision!$L$1</definedName>
    <definedName name="tlOutput_toolBalSheet_B2">toolBalSheet!$B$2</definedName>
    <definedName name="tlOutput_toolBalSheet_B3">toolBalSheet!$B$3</definedName>
    <definedName name="tlOutput_toolBalSheet_C24">toolBalSheet!$C$24</definedName>
    <definedName name="tlOutput_toolBalSheet_C5">toolBalSheet!$C$5</definedName>
    <definedName name="tlOutput_toolBalSheet_D12">toolBalSheet!$D$12</definedName>
    <definedName name="tlOutput_toolBalSheet_D14">toolBalSheet!$D$14</definedName>
    <definedName name="tlOutput_toolBalSheet_D18">toolBalSheet!$D$18</definedName>
    <definedName name="tlOutput_toolBalSheet_D20">toolBalSheet!$D$20</definedName>
    <definedName name="tlOutput_toolBalSheet_D22">toolBalSheet!$D$22</definedName>
    <definedName name="tlOutput_toolBalSheet_D7">toolBalSheet!$D$7</definedName>
    <definedName name="tlOutput_toolBalSheet_E10">toolBalSheet!$E$10</definedName>
    <definedName name="tlOutput_toolBalSheet_E11">toolBalSheet!$E$11</definedName>
    <definedName name="tlOutput_toolBalSheet_E15">toolBalSheet!$E$15</definedName>
    <definedName name="tlOutput_toolBalSheet_E16">toolBalSheet!$E$16</definedName>
    <definedName name="tlOutput_toolBalSheet_E17">toolBalSheet!$E$17</definedName>
    <definedName name="tlOutput_toolBalSheet_E8">toolBalSheet!$E$8</definedName>
    <definedName name="tlOutput_toolBalSheet_E9">toolBalSheet!$E$9</definedName>
    <definedName name="tlOutput_toolBalSheet_G10">toolBalSheet!$G$10</definedName>
    <definedName name="tlOutput_toolBalSheet_G11">toolBalSheet!$G$11</definedName>
    <definedName name="tlOutput_toolBalSheet_G12">toolBalSheet!$G$12</definedName>
    <definedName name="tlOutput_toolBalSheet_G15">toolBalSheet!$G$15</definedName>
    <definedName name="tlOutput_toolBalSheet_G16">toolBalSheet!$G$16</definedName>
    <definedName name="tlOutput_toolBalSheet_G17">toolBalSheet!$G$17</definedName>
    <definedName name="tlOutput_toolBalSheet_G18">toolBalSheet!$G$18</definedName>
    <definedName name="tlOutput_toolBalSheet_G20">toolBalSheet!$G$20</definedName>
    <definedName name="tlOutput_toolBalSheet_G22">toolBalSheet!$G$22</definedName>
    <definedName name="tlOutput_toolBalSheet_G24">toolBalSheet!$G$24</definedName>
    <definedName name="tlOutput_toolBalSheet_G5">toolBalSheet!$G$5</definedName>
    <definedName name="tlOutput_toolBalSheet_G8">toolBalSheet!$G$8</definedName>
    <definedName name="tlOutput_toolBalSheet_I10">toolBalSheet!$I$10</definedName>
    <definedName name="tlOutput_toolBalSheet_I11">toolBalSheet!$I$11</definedName>
    <definedName name="tlOutput_toolBalSheet_I12">toolBalSheet!$I$12</definedName>
    <definedName name="tlOutput_toolBalSheet_I15">toolBalSheet!$I$15</definedName>
    <definedName name="tlOutput_toolBalSheet_I16">toolBalSheet!$I$16</definedName>
    <definedName name="tlOutput_toolBalSheet_I17">toolBalSheet!$I$17</definedName>
    <definedName name="tlOutput_toolBalSheet_I18">toolBalSheet!$I$18</definedName>
    <definedName name="tlOutput_toolBalSheet_I20">toolBalSheet!$I$20</definedName>
    <definedName name="tlOutput_toolBalSheet_I22">toolBalSheet!$I$22</definedName>
    <definedName name="tlOutput_toolBalSheet_I24">toolBalSheet!$I$24</definedName>
    <definedName name="tlOutput_toolBalSheet_I5">toolBalSheet!$I$5</definedName>
    <definedName name="tlOutput_toolBalSheet_I8">toolBalSheet!$I$8</definedName>
    <definedName name="tlOutput_toolBalSheet_K24">toolBalSheet!$K$24</definedName>
    <definedName name="tlOutput_toolBalSheet_K5">toolBalSheet!$K$5</definedName>
    <definedName name="tlOutput_toolBalSheet_L16">toolBalSheet!$L$16</definedName>
    <definedName name="tlOutput_toolBalSheet_L18">toolBalSheet!$L$18</definedName>
    <definedName name="tlOutput_toolBalSheet_L22">toolBalSheet!$L$22</definedName>
    <definedName name="tlOutput_toolBalSheet_L7">toolBalSheet!$L$7</definedName>
    <definedName name="tlOutput_toolBalSheet_M12">toolBalSheet!$M$12</definedName>
    <definedName name="tlOutput_toolBalSheet_M14">toolBalSheet!$M$14</definedName>
    <definedName name="tlOutput_toolBalSheet_M19">toolBalSheet!$M$19</definedName>
    <definedName name="tlOutput_toolBalSheet_M20">toolBalSheet!$M$20</definedName>
    <definedName name="tlOutput_toolBalSheet_M21">toolBalSheet!$M$21</definedName>
    <definedName name="tlOutput_toolBalSheet_M8">toolBalSheet!$M$8</definedName>
    <definedName name="tlOutput_toolBalSheet_N10">toolBalSheet!$N$10</definedName>
    <definedName name="tlOutput_toolBalSheet_N11">toolBalSheet!$N$11</definedName>
    <definedName name="tlOutput_toolBalSheet_N9">toolBalSheet!$N$9</definedName>
    <definedName name="tlOutput_toolBalSheet_P10">toolBalSheet!$P$10</definedName>
    <definedName name="tlOutput_toolBalSheet_P11">toolBalSheet!$P$11</definedName>
    <definedName name="tlOutput_toolBalSheet_P12">toolBalSheet!$P$12</definedName>
    <definedName name="tlOutput_toolBalSheet_P14">toolBalSheet!$P$14</definedName>
    <definedName name="tlOutput_toolBalSheet_P16">toolBalSheet!$P$16</definedName>
    <definedName name="tlOutput_toolBalSheet_P19">toolBalSheet!$P$19</definedName>
    <definedName name="tlOutput_toolBalSheet_P20">toolBalSheet!$P$20</definedName>
    <definedName name="tlOutput_toolBalSheet_P21">toolBalSheet!$P$21</definedName>
    <definedName name="tlOutput_toolBalSheet_P22">toolBalSheet!$P$22</definedName>
    <definedName name="tlOutput_toolBalSheet_P24">toolBalSheet!$P$24</definedName>
    <definedName name="tlOutput_toolBalSheet_P5">toolBalSheet!$P$5</definedName>
    <definedName name="tlOutput_toolBalSheet_P9">toolBalSheet!$P$9</definedName>
    <definedName name="tlOutput_toolBalSheet_R10">toolBalSheet!$R$10</definedName>
    <definedName name="tlOutput_toolBalSheet_R11">toolBalSheet!$R$11</definedName>
    <definedName name="tlOutput_toolBalSheet_R12">toolBalSheet!$R$12</definedName>
    <definedName name="tlOutput_toolBalSheet_R14">toolBalSheet!$R$14</definedName>
    <definedName name="tlOutput_toolBalSheet_R16">toolBalSheet!$R$16</definedName>
    <definedName name="tlOutput_toolBalSheet_R19">toolBalSheet!$R$19</definedName>
    <definedName name="tlOutput_toolBalSheet_R20">toolBalSheet!$R$20</definedName>
    <definedName name="tlOutput_toolBalSheet_R21">toolBalSheet!$R$21</definedName>
    <definedName name="tlOutput_toolBalSheet_R22">toolBalSheet!$R$22</definedName>
    <definedName name="tlOutput_toolBalSheet_R24">toolBalSheet!$R$24</definedName>
    <definedName name="tlOutput_toolBalSheet_R5">toolBalSheet!$R$5</definedName>
    <definedName name="tlOutput_toolBalSheet_R9">toolBalSheet!$R$9</definedName>
    <definedName name="tlOutput_toolBalSheet_S2">toolBalSheet!$S$2</definedName>
    <definedName name="tlOutput_toolCashFlow_B2">toolCashFlow!$B$2</definedName>
    <definedName name="tlOutput_toolCashFlow_B3">toolCashFlow!$B$3</definedName>
    <definedName name="tlOutput_toolCashFlow_C21">toolCashFlow!$C$21</definedName>
    <definedName name="tlOutput_toolCashFlow_C23">toolCashFlow!$C$23</definedName>
    <definedName name="tlOutput_toolCashFlow_C28">toolCashFlow!$C$28</definedName>
    <definedName name="tlOutput_toolCashFlow_C30">toolCashFlow!$C$30</definedName>
    <definedName name="tlOutput_toolCashFlow_C32">toolCashFlow!$C$32</definedName>
    <definedName name="tlOutput_toolCashFlow_C40">toolCashFlow!$C$40</definedName>
    <definedName name="tlOutput_toolCashFlow_C42">toolCashFlow!$C$42</definedName>
    <definedName name="tlOutput_toolCashFlow_C44">toolCashFlow!$C$44</definedName>
    <definedName name="tlOutput_toolCashFlow_C5">toolCashFlow!$C$5</definedName>
    <definedName name="tlOutput_toolCashFlow_C7">toolCashFlow!$C$7</definedName>
    <definedName name="tlOutput_toolCashFlow_D10">toolCashFlow!$D$10</definedName>
    <definedName name="tlOutput_toolCashFlow_D11">toolCashFlow!$D$11</definedName>
    <definedName name="tlOutput_toolCashFlow_D12">toolCashFlow!$D$12</definedName>
    <definedName name="tlOutput_toolCashFlow_D19">toolCashFlow!$D$19</definedName>
    <definedName name="tlOutput_toolCashFlow_D25">toolCashFlow!$D$25</definedName>
    <definedName name="tlOutput_toolCashFlow_D34">toolCashFlow!$D$34</definedName>
    <definedName name="tlOutput_toolCashFlow_D35">toolCashFlow!$D$35</definedName>
    <definedName name="tlOutput_toolCashFlow_D36">toolCashFlow!$D$36</definedName>
    <definedName name="tlOutput_toolCashFlow_D37">toolCashFlow!$D$37</definedName>
    <definedName name="tlOutput_toolCashFlow_D9">toolCashFlow!$D$9</definedName>
    <definedName name="tlOutput_toolCashFlow_E13">toolCashFlow!$E$13</definedName>
    <definedName name="tlOutput_toolCashFlow_E14">toolCashFlow!$E$14</definedName>
    <definedName name="tlOutput_toolCashFlow_E15">toolCashFlow!$E$15</definedName>
    <definedName name="tlOutput_toolCashFlow_E16">toolCashFlow!$E$16</definedName>
    <definedName name="tlOutput_toolCashFlow_E17">toolCashFlow!$E$17</definedName>
    <definedName name="tlOutput_toolCashFlow_E18">toolCashFlow!$E$18</definedName>
    <definedName name="tlOutput_toolCashFlow_G13">toolCashFlow!$G$13</definedName>
    <definedName name="tlOutput_toolCashFlow_G14">toolCashFlow!$G$14</definedName>
    <definedName name="tlOutput_toolCashFlow_G15">toolCashFlow!$G$15</definedName>
    <definedName name="tlOutput_toolCashFlow_G16">toolCashFlow!$G$16</definedName>
    <definedName name="tlOutput_toolCashFlow_G17">toolCashFlow!$G$17</definedName>
    <definedName name="tlOutput_toolCashFlow_G18">toolCashFlow!$G$18</definedName>
    <definedName name="tlOutput_toolCashFlow_G25">toolCashFlow!$G$25</definedName>
    <definedName name="tlOutput_toolCashFlow_G34">toolCashFlow!$G$34</definedName>
    <definedName name="tlOutput_toolCashFlow_G35">toolCashFlow!$G$35</definedName>
    <definedName name="tlOutput_toolCashFlow_G36">toolCashFlow!$G$36</definedName>
    <definedName name="tlOutput_toolCashFlow_G37">toolCashFlow!$G$37</definedName>
    <definedName name="tlOutput_toolCashFlow_H10">toolCashFlow!$H$10</definedName>
    <definedName name="tlOutput_toolCashFlow_H11">toolCashFlow!$H$11</definedName>
    <definedName name="tlOutput_toolCashFlow_H19">toolCashFlow!$H$19</definedName>
    <definedName name="tlOutput_toolCashFlow_H21">toolCashFlow!$H$21</definedName>
    <definedName name="tlOutput_toolCashFlow_H26">toolCashFlow!$H$26</definedName>
    <definedName name="tlOutput_toolCashFlow_H28">toolCashFlow!$H$28</definedName>
    <definedName name="tlOutput_toolCashFlow_H30">toolCashFlow!$H$30</definedName>
    <definedName name="tlOutput_toolCashFlow_H38">toolCashFlow!$H$38</definedName>
    <definedName name="tlOutput_toolCashFlow_H40">toolCashFlow!$H$40</definedName>
    <definedName name="tlOutput_toolCashFlow_H42">toolCashFlow!$H$42</definedName>
    <definedName name="tlOutput_toolCashFlow_H44">toolCashFlow!$H$44</definedName>
    <definedName name="tlOutput_toolCashFlow_H5">toolCashFlow!$H$5</definedName>
    <definedName name="tlOutput_toolCashFlow_H9">toolCashFlow!$H$9</definedName>
    <definedName name="tlOutput_toolCashFlow_J2">toolCashFlow!$J$2</definedName>
    <definedName name="tlOutput_toolDecSummary_B2">toolDecSummary!$B$2</definedName>
    <definedName name="tlOutput_toolDecSummary_B28">toolDecSummary!$B$28</definedName>
    <definedName name="tlOutput_toolDecSummary_B3">toolDecSummary!$B$3</definedName>
    <definedName name="tlOutput_toolDecSummary_B49">toolDecSummary!$B$49</definedName>
    <definedName name="tlOutput_toolDecSummary_B64">toolDecSummary!$B$64</definedName>
    <definedName name="tlOutput_toolDecSummary_B7">toolDecSummary!$B$7</definedName>
    <definedName name="tlOutput_toolDecSummary_B70">toolDecSummary!$B$70</definedName>
    <definedName name="tlOutput_toolDecSummary_B86">toolDecSummary!$B$86</definedName>
    <definedName name="tlOutput_toolDecSummary_C10">toolDecSummary!$C$10</definedName>
    <definedName name="tlOutput_toolDecSummary_C12">toolDecSummary!$C$12</definedName>
    <definedName name="tlOutput_toolDecSummary_C14">toolDecSummary!$C$14</definedName>
    <definedName name="tlOutput_toolDecSummary_C16">toolDecSummary!$C$16</definedName>
    <definedName name="tlOutput_toolDecSummary_C18">toolDecSummary!$C$18</definedName>
    <definedName name="tlOutput_toolDecSummary_C20">toolDecSummary!$C$20</definedName>
    <definedName name="tlOutput_toolDecSummary_C22">toolDecSummary!$C$22</definedName>
    <definedName name="tlOutput_toolDecSummary_C24">toolDecSummary!$C$24</definedName>
    <definedName name="tlOutput_toolDecSummary_C26">toolDecSummary!$C$26</definedName>
    <definedName name="tlOutput_toolDecSummary_C31">toolDecSummary!$C$31</definedName>
    <definedName name="tlOutput_toolDecSummary_C33">toolDecSummary!$C$33</definedName>
    <definedName name="tlOutput_toolDecSummary_C35">toolDecSummary!$C$35</definedName>
    <definedName name="tlOutput_toolDecSummary_C37">toolDecSummary!$C$37</definedName>
    <definedName name="tlOutput_toolDecSummary_C39">toolDecSummary!$C$39</definedName>
    <definedName name="tlOutput_toolDecSummary_C41">toolDecSummary!$C$41</definedName>
    <definedName name="tlOutput_toolDecSummary_C43">toolDecSummary!$C$43</definedName>
    <definedName name="tlOutput_toolDecSummary_C45">toolDecSummary!$C$45</definedName>
    <definedName name="tlOutput_toolDecSummary_C47">toolDecSummary!$C$47</definedName>
    <definedName name="tlOutput_toolDecSummary_C5">toolDecSummary!$C$5</definedName>
    <definedName name="tlOutput_toolDecSummary_C51">toolDecSummary!$C$51</definedName>
    <definedName name="tlOutput_toolDecSummary_C53">toolDecSummary!$C$53</definedName>
    <definedName name="tlOutput_toolDecSummary_C56">toolDecSummary!$C$56</definedName>
    <definedName name="tlOutput_toolDecSummary_C58">toolDecSummary!$C$58</definedName>
    <definedName name="tlOutput_toolDecSummary_C60">toolDecSummary!$C$60</definedName>
    <definedName name="tlOutput_toolDecSummary_C62">toolDecSummary!$C$62</definedName>
    <definedName name="tlOutput_toolDecSummary_C67">toolDecSummary!$C$67</definedName>
    <definedName name="tlOutput_toolDecSummary_C72">toolDecSummary!$C$72</definedName>
    <definedName name="tlOutput_toolDecSummary_C75">toolDecSummary!$C$75</definedName>
    <definedName name="tlOutput_toolDecSummary_C77">toolDecSummary!$C$77</definedName>
    <definedName name="tlOutput_toolDecSummary_C79">toolDecSummary!$C$79</definedName>
    <definedName name="tlOutput_toolDecSummary_C81">toolDecSummary!$C$81</definedName>
    <definedName name="tlOutput_toolDecSummary_C83">toolDecSummary!$C$83</definedName>
    <definedName name="tlOutput_toolDecSummary_C89">toolDecSummary!$C$89</definedName>
    <definedName name="tlOutput_toolDecSummary_C91">toolDecSummary!$C$91</definedName>
    <definedName name="tlOutput_toolDecSummary_C93">toolDecSummary!$C$93</definedName>
    <definedName name="tlOutput_toolDecSummary_C95">toolDecSummary!$C$95</definedName>
    <definedName name="tlOutput_toolDecSummary_C97">toolDecSummary!$C$97</definedName>
    <definedName name="tlOutput_toolDecSummary_C99">toolDecSummary!$C$99</definedName>
    <definedName name="tlOutput_toolDecSummary_D5">toolDecSummary!$D$5</definedName>
    <definedName name="tlOutput_toolDecSummary_E53">toolDecSummary!$E$53</definedName>
    <definedName name="tlOutput_toolDecSummary_E58">toolDecSummary!$E$58</definedName>
    <definedName name="tlOutput_toolDecSummary_E60">toolDecSummary!$E$60</definedName>
    <definedName name="tlOutput_toolDecSummary_E62">toolDecSummary!$E$62</definedName>
    <definedName name="tlOutput_toolDecSummary_E67">toolDecSummary!$E$67</definedName>
    <definedName name="tlOutput_toolDecSummary_E88">toolDecSummary!$E$88</definedName>
    <definedName name="tlOutput_toolDecSummary_E89">toolDecSummary!$E$89</definedName>
    <definedName name="tlOutput_toolDecSummary_E91">toolDecSummary!$E$91</definedName>
    <definedName name="tlOutput_toolDecSummary_E93">toolDecSummary!$E$93</definedName>
    <definedName name="tlOutput_toolDecSummary_E95">toolDecSummary!$E$95</definedName>
    <definedName name="tlOutput_toolDecSummary_E97">toolDecSummary!$E$97</definedName>
    <definedName name="tlOutput_toolDecSummary_E99">toolDecSummary!$E$99</definedName>
    <definedName name="tlOutput_toolDecSummary_G12">toolDecSummary!$G$12</definedName>
    <definedName name="tlOutput_toolDecSummary_G16">toolDecSummary!$G$16</definedName>
    <definedName name="tlOutput_toolDecSummary_G20">toolDecSummary!$G$20</definedName>
    <definedName name="tlOutput_toolDecSummary_G22">toolDecSummary!$G$22</definedName>
    <definedName name="tlOutput_toolDecSummary_G24">toolDecSummary!$G$24</definedName>
    <definedName name="tlOutput_toolDecSummary_G26">toolDecSummary!$G$26</definedName>
    <definedName name="tlOutput_toolDecSummary_G30">toolDecSummary!$G$30</definedName>
    <definedName name="tlOutput_toolDecSummary_G33">toolDecSummary!$G$33</definedName>
    <definedName name="tlOutput_toolDecSummary_G37">toolDecSummary!$G$37</definedName>
    <definedName name="tlOutput_toolDecSummary_G41">toolDecSummary!$G$41</definedName>
    <definedName name="tlOutput_toolDecSummary_G43">toolDecSummary!$G$43</definedName>
    <definedName name="tlOutput_toolDecSummary_G45">toolDecSummary!$G$45</definedName>
    <definedName name="tlOutput_toolDecSummary_G47">toolDecSummary!$G$47</definedName>
    <definedName name="tlOutput_toolDecSummary_G58">toolDecSummary!$G$58</definedName>
    <definedName name="tlOutput_toolDecSummary_G60">toolDecSummary!$G$60</definedName>
    <definedName name="tlOutput_toolDecSummary_G62">toolDecSummary!$G$62</definedName>
    <definedName name="tlOutput_toolDecSummary_G67">toolDecSummary!$G$67</definedName>
    <definedName name="tlOutput_toolDecSummary_G72">toolDecSummary!$G$72</definedName>
    <definedName name="tlOutput_toolDecSummary_G75">toolDecSummary!$G$75</definedName>
    <definedName name="tlOutput_toolDecSummary_G79">toolDecSummary!$G$79</definedName>
    <definedName name="tlOutput_toolDecSummary_G83">toolDecSummary!$G$83</definedName>
    <definedName name="tlOutput_toolDecSummary_G88">toolDecSummary!$G$88</definedName>
    <definedName name="tlOutput_toolDecSummary_G89">toolDecSummary!$G$89</definedName>
    <definedName name="tlOutput_toolDecSummary_G9">toolDecSummary!$G$9</definedName>
    <definedName name="tlOutput_toolDecSummary_G91">toolDecSummary!$G$91</definedName>
    <definedName name="tlOutput_toolDecSummary_G93">toolDecSummary!$G$93</definedName>
    <definedName name="tlOutput_toolDecSummary_G95">toolDecSummary!$G$95</definedName>
    <definedName name="tlOutput_toolDecSummary_G97">toolDecSummary!$G$97</definedName>
    <definedName name="tlOutput_toolDecSummary_G99">toolDecSummary!$G$99</definedName>
    <definedName name="tlOutput_toolDecSummary_I12">toolDecSummary!$I$12</definedName>
    <definedName name="tlOutput_toolDecSummary_I16">toolDecSummary!$I$16</definedName>
    <definedName name="tlOutput_toolDecSummary_I20">toolDecSummary!$I$20</definedName>
    <definedName name="tlOutput_toolDecSummary_I22">toolDecSummary!$I$22</definedName>
    <definedName name="tlOutput_toolDecSummary_I30">toolDecSummary!$I$30</definedName>
    <definedName name="tlOutput_toolDecSummary_I33">toolDecSummary!$I$33</definedName>
    <definedName name="tlOutput_toolDecSummary_I37">toolDecSummary!$I$37</definedName>
    <definedName name="tlOutput_toolDecSummary_I41">toolDecSummary!$I$41</definedName>
    <definedName name="tlOutput_toolDecSummary_I43">toolDecSummary!$I$43</definedName>
    <definedName name="tlOutput_toolDecSummary_I53">toolDecSummary!$I$53</definedName>
    <definedName name="tlOutput_toolDecSummary_I55">toolDecSummary!$I$55</definedName>
    <definedName name="tlOutput_toolDecSummary_I58">toolDecSummary!$I$58</definedName>
    <definedName name="tlOutput_toolDecSummary_I60">toolDecSummary!$I$60</definedName>
    <definedName name="tlOutput_toolDecSummary_I62">toolDecSummary!$I$62</definedName>
    <definedName name="tlOutput_toolDecSummary_I67">toolDecSummary!$I$67</definedName>
    <definedName name="tlOutput_toolDecSummary_I72">toolDecSummary!$I$72</definedName>
    <definedName name="tlOutput_toolDecSummary_I75">toolDecSummary!$I$75</definedName>
    <definedName name="tlOutput_toolDecSummary_I79">toolDecSummary!$I$79</definedName>
    <definedName name="tlOutput_toolDecSummary_I81">toolDecSummary!$I$81</definedName>
    <definedName name="tlOutput_toolDecSummary_I83">toolDecSummary!$I$83</definedName>
    <definedName name="tlOutput_toolDecSummary_I9">toolDecSummary!$I$9</definedName>
    <definedName name="tlOutput_toolDecSummary_K12">toolDecSummary!$K$12</definedName>
    <definedName name="tlOutput_toolDecSummary_K16">toolDecSummary!$K$16</definedName>
    <definedName name="tlOutput_toolDecSummary_K20">toolDecSummary!$K$20</definedName>
    <definedName name="tlOutput_toolDecSummary_K22">toolDecSummary!$K$22</definedName>
    <definedName name="tlOutput_toolDecSummary_K30">toolDecSummary!$K$30</definedName>
    <definedName name="tlOutput_toolDecSummary_K33">toolDecSummary!$K$33</definedName>
    <definedName name="tlOutput_toolDecSummary_K37">toolDecSummary!$K$37</definedName>
    <definedName name="tlOutput_toolDecSummary_K41">toolDecSummary!$K$41</definedName>
    <definedName name="tlOutput_toolDecSummary_K43">toolDecSummary!$K$43</definedName>
    <definedName name="tlOutput_toolDecSummary_K5">toolDecSummary!$K$5</definedName>
    <definedName name="tlOutput_toolDecSummary_K53">toolDecSummary!$K$53</definedName>
    <definedName name="tlOutput_toolDecSummary_K55">toolDecSummary!$K$55</definedName>
    <definedName name="tlOutput_toolDecSummary_K58">toolDecSummary!$K$58</definedName>
    <definedName name="tlOutput_toolDecSummary_K60">toolDecSummary!$K$60</definedName>
    <definedName name="tlOutput_toolDecSummary_K62">toolDecSummary!$K$62</definedName>
    <definedName name="tlOutput_toolDecSummary_K67">toolDecSummary!$K$67</definedName>
    <definedName name="tlOutput_toolDecSummary_K72">toolDecSummary!$K$72</definedName>
    <definedName name="tlOutput_toolDecSummary_K75">toolDecSummary!$K$75</definedName>
    <definedName name="tlOutput_toolDecSummary_K9">toolDecSummary!$K$9</definedName>
    <definedName name="tlOutput_toolDecSummary_M5">toolDecSummary!$M$5</definedName>
    <definedName name="tlOutput_toolDecSummary_M58">toolDecSummary!$M$58</definedName>
    <definedName name="tlOutput_toolDecSummary_M60">toolDecSummary!$M$60</definedName>
    <definedName name="tlOutput_toolDecSummary_M62">toolDecSummary!$M$62</definedName>
    <definedName name="tlOutput_toolDecSummary_M67">toolDecSummary!$M$67</definedName>
    <definedName name="tlOutput_toolDecSummary_M79">toolDecSummary!$M$79</definedName>
    <definedName name="tlOutput_toolDecSummary_M83">toolDecSummary!$M$83</definedName>
    <definedName name="tlOutput_toolDecSummary_N2">toolDecSummary!$N$2</definedName>
    <definedName name="tlOutput_toolEscendia_B48">toolEscendia!$B$48</definedName>
    <definedName name="tlOutput_toolEscendia_C10">toolEscendia!$C$10</definedName>
    <definedName name="tlOutput_toolEscendia_C25">toolEscendia!$C$25</definedName>
    <definedName name="tlOutput_toolEscendia_C45">toolEscendia!$C$45</definedName>
    <definedName name="tlOutput_toolEscendia_C51">toolEscendia!$C$51</definedName>
    <definedName name="tlOutput_toolEscendia_C61">toolEscendia!$C$61</definedName>
    <definedName name="tlOutput_toolEscendia_C73">toolEscendia!$C$73</definedName>
    <definedName name="tlOutput_toolEscendia_D15">toolEscendia!$D$15</definedName>
    <definedName name="tlOutput_toolEscendia_D16">toolEscendia!$D$16</definedName>
    <definedName name="tlOutput_toolEscendia_D17">toolEscendia!$D$17</definedName>
    <definedName name="tlOutput_toolEscendia_D19">toolEscendia!$D$19</definedName>
    <definedName name="tlOutput_toolEscendia_D20">toolEscendia!$D$20</definedName>
    <definedName name="tlOutput_toolEscendia_D22">toolEscendia!$D$22</definedName>
    <definedName name="tlOutput_toolEscendia_D23">toolEscendia!$D$23</definedName>
    <definedName name="tlOutput_toolEscendia_D29">toolEscendia!$D$29</definedName>
    <definedName name="tlOutput_toolEscendia_D30">toolEscendia!$D$30</definedName>
    <definedName name="tlOutput_toolEscendia_D32">toolEscendia!$D$32</definedName>
    <definedName name="tlOutput_toolEscendia_D33">toolEscendia!$D$33</definedName>
    <definedName name="tlOutput_toolEscendia_D34">toolEscendia!$D$34</definedName>
    <definedName name="tlOutput_toolEscendia_D36">toolEscendia!$D$36</definedName>
    <definedName name="tlOutput_toolEscendia_D39">toolEscendia!$D$39</definedName>
    <definedName name="tlOutput_toolEscendia_D40">toolEscendia!$D$40</definedName>
    <definedName name="tlOutput_toolEscendia_D41">toolEscendia!$D$41</definedName>
    <definedName name="tlOutput_toolEscendia_D42">toolEscendia!$D$42</definedName>
    <definedName name="tlOutput_toolEscendia_D43">toolEscendia!$D$43</definedName>
    <definedName name="tlOutput_toolEscendia_D53">toolEscendia!$D$53</definedName>
    <definedName name="tlOutput_toolEscendia_D54">toolEscendia!$D$54</definedName>
    <definedName name="tlOutput_toolEscendia_D55">toolEscendia!$D$55</definedName>
    <definedName name="tlOutput_toolEscendia_D57">toolEscendia!$D$57</definedName>
    <definedName name="tlOutput_toolEscendia_D59">toolEscendia!$D$59</definedName>
    <definedName name="tlOutput_toolEscendia_D63">toolEscendia!$D$63</definedName>
    <definedName name="tlOutput_toolEscendia_D64">toolEscendia!$D$64</definedName>
    <definedName name="tlOutput_toolEscendia_D65">toolEscendia!$D$65</definedName>
    <definedName name="tlOutput_toolEscendia_D67">toolEscendia!$D$67</definedName>
    <definedName name="tlOutput_toolEscendia_D69">toolEscendia!$D$69</definedName>
    <definedName name="tlOutput_toolEscendia_D71">toolEscendia!$D$71</definedName>
    <definedName name="tlOutput_toolEscendia_D75">toolEscendia!$D$75</definedName>
    <definedName name="tlOutput_toolEscendia_D76">toolEscendia!$D$76</definedName>
    <definedName name="tlOutput_toolEscendia_D77">toolEscendia!$D$77</definedName>
    <definedName name="tlOutput_toolEscendia_D78">toolEscendia!$D$78</definedName>
    <definedName name="tlOutput_toolEscendia_D79">toolEscendia!$D$79</definedName>
    <definedName name="tlOutput_toolEscendia_D80">toolEscendia!$D$80</definedName>
    <definedName name="tlOutput_toolEscendia_D82">toolEscendia!$D$82</definedName>
    <definedName name="tlOutput_toolEscendia_D84">toolEscendia!$D$84</definedName>
    <definedName name="tlOutput_toolEscendia_G13">toolEscendia!$G$13</definedName>
    <definedName name="tlOutput_toolEscendia_G16">toolEscendia!$G$16</definedName>
    <definedName name="tlOutput_toolEscendia_G17">toolEscendia!$G$17</definedName>
    <definedName name="tlOutput_toolEscendia_G20">toolEscendia!$G$20</definedName>
    <definedName name="tlOutput_toolEscendia_G22">toolEscendia!$G$22</definedName>
    <definedName name="tlOutput_toolEscendia_G23">toolEscendia!$G$23</definedName>
    <definedName name="tlOutput_toolEscendia_G27">toolEscendia!$G$27</definedName>
    <definedName name="tlOutput_toolEscendia_G30">toolEscendia!$G$30</definedName>
    <definedName name="tlOutput_toolEscendia_G33">toolEscendia!$G$33</definedName>
    <definedName name="tlOutput_toolEscendia_G34">toolEscendia!$G$34</definedName>
    <definedName name="tlOutput_toolEscendia_G36">toolEscendia!$G$36</definedName>
    <definedName name="tlOutput_toolEscendia_G40">toolEscendia!$G$40</definedName>
    <definedName name="tlOutput_toolEscendia_G41">toolEscendia!$G$41</definedName>
    <definedName name="tlOutput_toolEscendia_G42">toolEscendia!$G$42</definedName>
    <definedName name="tlOutput_toolEscendia_G43">toolEscendia!$G$43</definedName>
    <definedName name="tlOutput_toolEscendia_H50">toolEscendia!$H$50</definedName>
    <definedName name="tlOutput_toolEscendia_H53">toolEscendia!$H$53</definedName>
    <definedName name="tlOutput_toolEscendia_H54">toolEscendia!$H$54</definedName>
    <definedName name="tlOutput_toolEscendia_H55">toolEscendia!$H$55</definedName>
    <definedName name="tlOutput_toolEscendia_H57">toolEscendia!$H$57</definedName>
    <definedName name="tlOutput_toolEscendia_H59">toolEscendia!$H$59</definedName>
    <definedName name="tlOutput_toolEscendia_H63">toolEscendia!$H$63</definedName>
    <definedName name="tlOutput_toolEscendia_H64">toolEscendia!$H$64</definedName>
    <definedName name="tlOutput_toolEscendia_H65">toolEscendia!$H$65</definedName>
    <definedName name="tlOutput_toolEscendia_H67">toolEscendia!$H$67</definedName>
    <definedName name="tlOutput_toolEscendia_H69">toolEscendia!$H$69</definedName>
    <definedName name="tlOutput_toolEscendia_H71">toolEscendia!$H$71</definedName>
    <definedName name="tlOutput_toolEscendia_H75">toolEscendia!$H$75</definedName>
    <definedName name="tlOutput_toolEscendia_H76">toolEscendia!$H$76</definedName>
    <definedName name="tlOutput_toolEscendia_H77">toolEscendia!$H$77</definedName>
    <definedName name="tlOutput_toolEscendia_H78">toolEscendia!$H$78</definedName>
    <definedName name="tlOutput_toolEscendia_H79">toolEscendia!$H$79</definedName>
    <definedName name="tlOutput_toolEscendia_H80">toolEscendia!$H$80</definedName>
    <definedName name="tlOutput_toolEscendia_H82">toolEscendia!$H$82</definedName>
    <definedName name="tlOutput_toolEscendia_H84">toolEscendia!$H$84</definedName>
    <definedName name="tlOutput_toolEscendia_I13">toolEscendia!$I$13</definedName>
    <definedName name="tlOutput_toolEscendia_I16">toolEscendia!$I$16</definedName>
    <definedName name="tlOutput_toolEscendia_I17">toolEscendia!$I$17</definedName>
    <definedName name="tlOutput_toolEscendia_I20">toolEscendia!$I$20</definedName>
    <definedName name="tlOutput_toolEscendia_I22">toolEscendia!$I$22</definedName>
    <definedName name="tlOutput_toolEscendia_I23">toolEscendia!$I$23</definedName>
    <definedName name="tlOutput_toolEscendia_I27">toolEscendia!$I$27</definedName>
    <definedName name="tlOutput_toolEscendia_I3">toolEscendia!$I$3</definedName>
    <definedName name="tlOutput_toolEscendia_I30">toolEscendia!$I$30</definedName>
    <definedName name="tlOutput_toolEscendia_I33">toolEscendia!$I$33</definedName>
    <definedName name="tlOutput_toolEscendia_I34">toolEscendia!$I$34</definedName>
    <definedName name="tlOutput_toolEscendia_I36">toolEscendia!$I$36</definedName>
    <definedName name="tlOutput_toolEscendia_J38">toolEscendia!$J$38</definedName>
    <definedName name="tlOutput_toolEscendia_K13">toolEscendia!$K$13</definedName>
    <definedName name="tlOutput_toolEscendia_K16">toolEscendia!$K$16</definedName>
    <definedName name="tlOutput_toolEscendia_K17">toolEscendia!$K$17</definedName>
    <definedName name="tlOutput_toolEscendia_K20">toolEscendia!$K$20</definedName>
    <definedName name="tlOutput_toolEscendia_K22">toolEscendia!$K$22</definedName>
    <definedName name="tlOutput_toolEscendia_K23">toolEscendia!$K$23</definedName>
    <definedName name="tlOutput_toolEscendia_K27">toolEscendia!$K$27</definedName>
    <definedName name="tlOutput_toolEscendia_K30">toolEscendia!$K$30</definedName>
    <definedName name="tlOutput_toolEscendia_K33">toolEscendia!$K$33</definedName>
    <definedName name="tlOutput_toolEscendia_K34">toolEscendia!$K$34</definedName>
    <definedName name="tlOutput_toolEscendia_K36">toolEscendia!$K$36</definedName>
    <definedName name="tlOutput_toolEscendia_K50">toolEscendia!$K$50</definedName>
    <definedName name="tlOutput_toolEscendia_K53">toolEscendia!$K$53</definedName>
    <definedName name="tlOutput_toolEscendia_K54">toolEscendia!$K$54</definedName>
    <definedName name="tlOutput_toolEscendia_K55">toolEscendia!$K$55</definedName>
    <definedName name="tlOutput_toolEscendia_K57">toolEscendia!$K$57</definedName>
    <definedName name="tlOutput_toolEscendia_K59">toolEscendia!$K$59</definedName>
    <definedName name="tlOutput_toolEscendia_K63">toolEscendia!$K$63</definedName>
    <definedName name="tlOutput_toolEscendia_K64">toolEscendia!$K$64</definedName>
    <definedName name="tlOutput_toolEscendia_K65">toolEscendia!$K$65</definedName>
    <definedName name="tlOutput_toolEscendia_K67">toolEscendia!$K$67</definedName>
    <definedName name="tlOutput_toolEscendia_K69">toolEscendia!$K$69</definedName>
    <definedName name="tlOutput_toolEscendia_K71">toolEscendia!$K$71</definedName>
    <definedName name="tlOutput_toolEscendia_K75">toolEscendia!$K$75</definedName>
    <definedName name="tlOutput_toolEscendia_K76">toolEscendia!$K$76</definedName>
    <definedName name="tlOutput_toolEscendia_K77">toolEscendia!$K$77</definedName>
    <definedName name="tlOutput_toolEscendia_K78">toolEscendia!$K$78</definedName>
    <definedName name="tlOutput_toolEscendia_K79">toolEscendia!$K$79</definedName>
    <definedName name="tlOutput_toolEscendia_K80">toolEscendia!$K$80</definedName>
    <definedName name="tlOutput_toolEscendia_K82">toolEscendia!$K$82</definedName>
    <definedName name="tlOutput_toolEscendia_K84">toolEscendia!$K$84</definedName>
    <definedName name="tlOutput_toolEscendia_N27">toolEscendia!$N$27</definedName>
    <definedName name="tlOutput_toolEscendia_N40">toolEscendia!$N$40</definedName>
    <definedName name="tlOutput_toolEscendia_N41">toolEscendia!$N$41</definedName>
    <definedName name="tlOutput_toolEscendia_N42">toolEscendia!$N$42</definedName>
    <definedName name="tlOutput_toolEscendia_N50">toolEscendia!$N$50</definedName>
    <definedName name="tlOutput_toolEscendia_N53">toolEscendia!$N$53</definedName>
    <definedName name="tlOutput_toolEscendia_N54">toolEscendia!$N$54</definedName>
    <definedName name="tlOutput_toolEscendia_N55">toolEscendia!$N$55</definedName>
    <definedName name="tlOutput_toolEscendia_N57">toolEscendia!$N$57</definedName>
    <definedName name="tlOutput_toolEscendia_N59">toolEscendia!$N$59</definedName>
    <definedName name="tlOutput_toolEscendia_N63">toolEscendia!$N$63</definedName>
    <definedName name="tlOutput_toolEscendia_N64">toolEscendia!$N$64</definedName>
    <definedName name="tlOutput_toolEscendia_N65">toolEscendia!$N$65</definedName>
    <definedName name="tlOutput_toolEscendia_N67">toolEscendia!$N$67</definedName>
    <definedName name="tlOutput_toolEscendia_N69">toolEscendia!$N$69</definedName>
    <definedName name="tlOutput_toolEscendia_N71">toolEscendia!$N$71</definedName>
    <definedName name="tlOutput_toolEscendia_N75">toolEscendia!$N$75</definedName>
    <definedName name="tlOutput_toolEscendia_N76">toolEscendia!$N$76</definedName>
    <definedName name="tlOutput_toolEscendia_N77">toolEscendia!$N$77</definedName>
    <definedName name="tlOutput_toolEscendia_N78">toolEscendia!$N$78</definedName>
    <definedName name="tlOutput_toolEscendia_N79">toolEscendia!$N$79</definedName>
    <definedName name="tlOutput_toolEscendia_N80">toolEscendia!$N$80</definedName>
    <definedName name="tlOutput_toolEscendia_N82">toolEscendia!$N$82</definedName>
    <definedName name="tlOutput_toolEscendia_N84">toolEscendia!$N$84</definedName>
    <definedName name="tlOutput_toolEscendia_O12">toolEscendia!$O$12</definedName>
    <definedName name="tlOutput_toolEscendia_O38">toolEscendia!$O$38</definedName>
    <definedName name="tlOutput_toolEscendia_O40">toolEscendia!$O$40</definedName>
    <definedName name="tlOutput_toolEscendia_O41">toolEscendia!$O$41</definedName>
    <definedName name="tlOutput_toolEscendia_O42">toolEscendia!$O$42</definedName>
    <definedName name="tlOutput_toolEscendia_P3">toolEscendia!$P$3</definedName>
    <definedName name="tlOutput_toolEscendia_P5">toolEscendia!$P$5</definedName>
    <definedName name="tlOutput_toolEscendia_P7">toolEscendia!$P$7</definedName>
    <definedName name="tlOutput_toolEscendia_Q48">toolEscendia!$Q$48</definedName>
    <definedName name="tlOutput_toolEscendia_W2">toolEscendia!$W$2</definedName>
    <definedName name="tlOutput_toolEscendia_W3">toolEscendia!$W$3</definedName>
    <definedName name="tlOutput_toolEscendia_X2">toolEscendia!$X$2</definedName>
    <definedName name="tlOutput_toolEscendia_X3">toolEscendia!$X$3</definedName>
    <definedName name="tlOutput_toolGoals_A2">toolGoals!$A$2</definedName>
    <definedName name="tlOutput_toolGoals_B14">toolGoals!$B$14</definedName>
    <definedName name="tlOutput_toolGoals_B20">toolGoals!$B$20</definedName>
    <definedName name="tlOutput_toolGoals_B26">toolGoals!$B$26</definedName>
    <definedName name="tlOutput_toolGoals_B27">toolGoals!$B$27</definedName>
    <definedName name="tlOutput_toolGoals_B32">toolGoals!$B$32</definedName>
    <definedName name="tlOutput_toolGoals_B33">toolGoals!$B$33</definedName>
    <definedName name="tlOutput_toolGoals_B38">toolGoals!$B$38</definedName>
    <definedName name="tlOutput_toolGoals_B39">toolGoals!$B$39</definedName>
    <definedName name="tlOutput_toolGoals_B8">toolGoals!$B$8</definedName>
    <definedName name="tlOutput_toolGoals_D5">toolGoals!$D$5</definedName>
    <definedName name="tlOutput_toolGoals_F10">toolGoals!$F$10</definedName>
    <definedName name="tlOutput_toolGoals_F14">toolGoals!$F$14</definedName>
    <definedName name="tlOutput_toolGoals_F16">toolGoals!$F$16</definedName>
    <definedName name="tlOutput_toolGoals_F20">toolGoals!$F$20</definedName>
    <definedName name="tlOutput_toolGoals_F22">toolGoals!$F$22</definedName>
    <definedName name="tlOutput_toolGoals_F26">toolGoals!$F$26</definedName>
    <definedName name="tlOutput_toolGoals_F28">toolGoals!$F$28</definedName>
    <definedName name="tlOutput_toolGoals_F32">toolGoals!$F$32</definedName>
    <definedName name="tlOutput_toolGoals_F34">toolGoals!$F$34</definedName>
    <definedName name="tlOutput_toolGoals_F38">toolGoals!$F$38</definedName>
    <definedName name="tlOutput_toolGoals_F40">toolGoals!$F$40</definedName>
    <definedName name="tlOutput_toolGoals_F5">toolGoals!$F$5</definedName>
    <definedName name="tlOutput_toolGoals_F8">toolGoals!$F$8</definedName>
    <definedName name="tlOutput_toolGoals_G10">toolGoals!$G$10</definedName>
    <definedName name="tlOutput_toolGoals_G14">toolGoals!$G$14</definedName>
    <definedName name="tlOutput_toolGoals_G16">toolGoals!$G$16</definedName>
    <definedName name="tlOutput_toolGoals_G20">toolGoals!$G$20</definedName>
    <definedName name="tlOutput_toolGoals_G22">toolGoals!$G$22</definedName>
    <definedName name="tlOutput_toolGoals_G26">toolGoals!$G$26</definedName>
    <definedName name="tlOutput_toolGoals_G28">toolGoals!$G$28</definedName>
    <definedName name="tlOutput_toolGoals_G32">toolGoals!$G$32</definedName>
    <definedName name="tlOutput_toolGoals_G34">toolGoals!$G$34</definedName>
    <definedName name="tlOutput_toolGoals_G38">toolGoals!$G$38</definedName>
    <definedName name="tlOutput_toolGoals_G40">toolGoals!$G$40</definedName>
    <definedName name="tlOutput_toolGoals_G5">toolGoals!$G$5</definedName>
    <definedName name="tlOutput_toolGoals_G8">toolGoals!$G$8</definedName>
    <definedName name="tlOutput_toolGoals_H10">toolGoals!$H$10</definedName>
    <definedName name="tlOutput_toolGoals_H14">toolGoals!$H$14</definedName>
    <definedName name="tlOutput_toolGoals_H16">toolGoals!$H$16</definedName>
    <definedName name="tlOutput_toolGoals_H20">toolGoals!$H$20</definedName>
    <definedName name="tlOutput_toolGoals_H22">toolGoals!$H$22</definedName>
    <definedName name="tlOutput_toolGoals_H26">toolGoals!$H$26</definedName>
    <definedName name="tlOutput_toolGoals_H28">toolGoals!$H$28</definedName>
    <definedName name="tlOutput_toolGoals_H32">toolGoals!$H$32</definedName>
    <definedName name="tlOutput_toolGoals_H34">toolGoals!$H$34</definedName>
    <definedName name="tlOutput_toolGoals_H38">toolGoals!$H$38</definedName>
    <definedName name="tlOutput_toolGoals_H40">toolGoals!$H$40</definedName>
    <definedName name="tlOutput_toolGoals_H5">toolGoals!$H$5</definedName>
    <definedName name="tlOutput_toolGoals_H8">toolGoals!$H$8</definedName>
    <definedName name="tlOutput_toolGoals_I1">toolGoals!$I$1</definedName>
    <definedName name="tlOutput_toolGoals_I10">toolGoals!$I$10</definedName>
    <definedName name="tlOutput_toolGoals_I14">toolGoals!$I$14</definedName>
    <definedName name="tlOutput_toolGoals_I16">toolGoals!$I$16</definedName>
    <definedName name="tlOutput_toolGoals_I20">toolGoals!$I$20</definedName>
    <definedName name="tlOutput_toolGoals_I22">toolGoals!$I$22</definedName>
    <definedName name="tlOutput_toolGoals_I26">toolGoals!$I$26</definedName>
    <definedName name="tlOutput_toolGoals_I28">toolGoals!$I$28</definedName>
    <definedName name="tlOutput_toolGoals_I32">toolGoals!$I$32</definedName>
    <definedName name="tlOutput_toolGoals_I34">toolGoals!$I$34</definedName>
    <definedName name="tlOutput_toolGoals_I38">toolGoals!$I$38</definedName>
    <definedName name="tlOutput_toolGoals_I40">toolGoals!$I$40</definedName>
    <definedName name="tlOutput_toolGoals_I5">toolGoals!$I$5</definedName>
    <definedName name="tlOutput_toolGoals_I8">toolGoals!$I$8</definedName>
    <definedName name="tlOutput_toolGoals_J10">toolGoals!$J$10</definedName>
    <definedName name="tlOutput_toolGoals_J14">toolGoals!$J$14</definedName>
    <definedName name="tlOutput_toolGoals_J16">toolGoals!$J$16</definedName>
    <definedName name="tlOutput_toolGoals_J20">toolGoals!$J$20</definedName>
    <definedName name="tlOutput_toolGoals_J22">toolGoals!$J$22</definedName>
    <definedName name="tlOutput_toolGoals_J26">toolGoals!$J$26</definedName>
    <definedName name="tlOutput_toolGoals_J28">toolGoals!$J$28</definedName>
    <definedName name="tlOutput_toolGoals_J32">toolGoals!$J$32</definedName>
    <definedName name="tlOutput_toolGoals_J34">toolGoals!$J$34</definedName>
    <definedName name="tlOutput_toolGoals_J38">toolGoals!$J$38</definedName>
    <definedName name="tlOutput_toolGoals_J40">toolGoals!$J$40</definedName>
    <definedName name="tlOutput_toolGoals_J5">toolGoals!$J$5</definedName>
    <definedName name="tlOutput_toolGoals_J8">toolGoals!$J$8</definedName>
    <definedName name="tlOutput_toolGoals_O10">toolGoals!$O$10</definedName>
    <definedName name="tlOutput_toolGoals_O14">toolGoals!$O$14</definedName>
    <definedName name="tlOutput_toolGoals_O16">toolGoals!$O$16</definedName>
    <definedName name="tlOutput_toolGoals_O20">toolGoals!$O$20</definedName>
    <definedName name="tlOutput_toolGoals_O22">toolGoals!$O$22</definedName>
    <definedName name="tlOutput_toolGoals_O26">toolGoals!$O$26</definedName>
    <definedName name="tlOutput_toolGoals_O28">toolGoals!$O$28</definedName>
    <definedName name="tlOutput_toolGoals_O32">toolGoals!$O$32</definedName>
    <definedName name="tlOutput_toolGoals_O34">toolGoals!$O$34</definedName>
    <definedName name="tlOutput_toolGoals_O38">toolGoals!$O$38</definedName>
    <definedName name="tlOutput_toolGoals_O40">toolGoals!$O$40</definedName>
    <definedName name="tlOutput_toolGoals_O8">toolGoals!$O$8</definedName>
    <definedName name="tlOutput_toolGraphData_B100">toolGraphData!$B$100</definedName>
    <definedName name="tlOutput_toolGraphData_B101">toolGraphData!$B$101</definedName>
    <definedName name="tlOutput_toolGraphData_B12">toolGraphData!$B$12</definedName>
    <definedName name="tlOutput_toolGraphData_B14">toolGraphData!$B$14</definedName>
    <definedName name="tlOutput_toolGraphData_B16">toolGraphData!$B$16</definedName>
    <definedName name="tlOutput_toolGraphData_B18">toolGraphData!$B$18</definedName>
    <definedName name="tlOutput_toolGraphData_B20">toolGraphData!$B$20</definedName>
    <definedName name="tlOutput_toolGraphData_B21">toolGraphData!$B$21</definedName>
    <definedName name="tlOutput_toolGraphData_B26">toolGraphData!$B$26</definedName>
    <definedName name="tlOutput_toolGraphData_B27">toolGraphData!$B$27</definedName>
    <definedName name="tlOutput_toolGraphData_B28">toolGraphData!$B$28</definedName>
    <definedName name="tlOutput_toolGraphData_B29">toolGraphData!$B$29</definedName>
    <definedName name="tlOutput_toolGraphData_B3">toolGraphData!$A$3</definedName>
    <definedName name="tlOutput_toolGraphData_B30">toolGraphData!$B$30</definedName>
    <definedName name="tlOutput_toolGraphData_B31">toolGraphData!$B$31</definedName>
    <definedName name="tlOutput_toolGraphData_B32">toolGraphData!$B$32</definedName>
    <definedName name="tlOutput_toolGraphData_B33">toolGraphData!$B$33</definedName>
    <definedName name="tlOutput_toolGraphData_B34">toolGraphData!$B$34</definedName>
    <definedName name="tlOutput_toolGraphData_B35">toolGraphData!$B$35</definedName>
    <definedName name="tlOutput_toolGraphData_B36">toolGraphData!$B$36</definedName>
    <definedName name="tlOutput_toolGraphData_B37">toolGraphData!$B$37</definedName>
    <definedName name="tlOutput_toolGraphData_B38">toolGraphData!$B$38</definedName>
    <definedName name="tlOutput_toolGraphData_B39">toolGraphData!$B$39</definedName>
    <definedName name="tlOutput_toolGraphData_B4">toolGraphData!$A$4</definedName>
    <definedName name="tlOutput_toolGraphData_B40">toolGraphData!$B$40</definedName>
    <definedName name="tlOutput_toolGraphData_B41">toolGraphData!$B$41</definedName>
    <definedName name="tlOutput_toolGraphData_B42">toolGraphData!$B$42</definedName>
    <definedName name="tlOutput_toolGraphData_B43">toolGraphData!$B$43</definedName>
    <definedName name="tlOutput_toolGraphData_B44">toolGraphData!$B$44</definedName>
    <definedName name="tlOutput_toolGraphData_B45">toolGraphData!$B$45</definedName>
    <definedName name="tlOutput_toolGraphData_B46">toolGraphData!$B$46</definedName>
    <definedName name="tlOutput_toolGraphData_B47">toolGraphData!$B$47</definedName>
    <definedName name="tlOutput_toolGraphData_B48">toolGraphData!$B$48</definedName>
    <definedName name="tlOutput_toolGraphData_B49">toolGraphData!$B$49</definedName>
    <definedName name="tlOutput_toolGraphData_B5">toolGraphData!$A$5</definedName>
    <definedName name="tlOutput_toolGraphData_B50">toolGraphData!$B$50</definedName>
    <definedName name="tlOutput_toolGraphData_B51">toolGraphData!$B$51</definedName>
    <definedName name="tlOutput_toolGraphData_B52">toolGraphData!$B$52</definedName>
    <definedName name="tlOutput_toolGraphData_B53">toolGraphData!$B$53</definedName>
    <definedName name="tlOutput_toolGraphData_B6">toolGraphData!$A$6</definedName>
    <definedName name="tlOutput_toolGraphData_B68">toolGraphData!$B$68</definedName>
    <definedName name="tlOutput_toolGraphData_B69">toolGraphData!$B$69</definedName>
    <definedName name="tlOutput_toolGraphData_B7">toolGraphData!$A$7</definedName>
    <definedName name="tlOutput_toolGraphData_B70">toolGraphData!$B$70</definedName>
    <definedName name="tlOutput_toolGraphData_B71">toolGraphData!$B$71</definedName>
    <definedName name="tlOutput_toolGraphData_B72">toolGraphData!$B$72</definedName>
    <definedName name="tlOutput_toolGraphData_B73">toolGraphData!$B$73</definedName>
    <definedName name="tlOutput_toolGraphData_B74">toolGraphData!$B$74</definedName>
    <definedName name="tlOutput_toolGraphData_B75">toolGraphData!$B$75</definedName>
    <definedName name="tlOutput_toolGraphData_B76">toolGraphData!$B$76</definedName>
    <definedName name="tlOutput_toolGraphData_B77">toolGraphData!$B$77</definedName>
    <definedName name="tlOutput_toolGraphData_B78">toolGraphData!$B$78</definedName>
    <definedName name="tlOutput_toolGraphData_B79">toolGraphData!$B$79</definedName>
    <definedName name="tlOutput_toolGraphData_B8">toolGraphData!$A$8</definedName>
    <definedName name="tlOutput_toolGraphData_B80">toolGraphData!$B$80</definedName>
    <definedName name="tlOutput_toolGraphData_B81">toolGraphData!$B$81</definedName>
    <definedName name="tlOutput_toolGraphData_B82">toolGraphData!$B$82</definedName>
    <definedName name="tlOutput_toolGraphData_B83">toolGraphData!$B$83</definedName>
    <definedName name="tlOutput_toolGraphData_B84">toolGraphData!$B$84</definedName>
    <definedName name="tlOutput_toolGraphData_B85">toolGraphData!$B$85</definedName>
    <definedName name="tlOutput_toolGraphData_B86">toolGraphData!$B$86</definedName>
    <definedName name="tlOutput_toolGraphData_B87">toolGraphData!$B$87</definedName>
    <definedName name="tlOutput_toolGraphData_B88">toolGraphData!$B$88</definedName>
    <definedName name="tlOutput_toolGraphData_B89">toolGraphData!$B$89</definedName>
    <definedName name="tlOutput_toolGraphData_B9">toolGraphData!$A$9</definedName>
    <definedName name="tlOutput_toolGraphData_B90">toolGraphData!$B$90</definedName>
    <definedName name="tlOutput_toolGraphData_B91">toolGraphData!$B$91</definedName>
    <definedName name="tlOutput_toolGraphData_B92">toolGraphData!$B$92</definedName>
    <definedName name="tlOutput_toolGraphData_B93">toolGraphData!$B$93</definedName>
    <definedName name="tlOutput_toolGraphData_B94">toolGraphData!$B$94</definedName>
    <definedName name="tlOutput_toolGraphData_B95">toolGraphData!$B$95</definedName>
    <definedName name="tlOutput_toolGraphData_B96">toolGraphData!$B$96</definedName>
    <definedName name="tlOutput_toolGraphData_B97">toolGraphData!$B$97</definedName>
    <definedName name="tlOutput_toolGraphData_B98">toolGraphData!$B$98</definedName>
    <definedName name="tlOutput_toolGraphData_B99">toolGraphData!$B$99</definedName>
    <definedName name="tlOutput_toolGraphData_C100">toolGraphData!$C$100</definedName>
    <definedName name="tlOutput_toolGraphData_C102">toolGraphData!$C$102</definedName>
    <definedName name="tlOutput_toolGraphData_C103">toolGraphData!$C$103</definedName>
    <definedName name="tlOutput_toolGraphData_C104">toolGraphData!$C$104</definedName>
    <definedName name="tlOutput_toolGraphData_C105">toolGraphData!$C$105</definedName>
    <definedName name="tlOutput_toolGraphData_C106">toolGraphData!$C$106</definedName>
    <definedName name="tlOutput_toolGraphData_C109">toolGraphData!$C$109</definedName>
    <definedName name="tlOutput_toolGraphData_C110">toolGraphData!$C$110</definedName>
    <definedName name="tlOutput_toolGraphData_C111">toolGraphData!$C$111</definedName>
    <definedName name="tlOutput_toolGraphData_C112">toolGraphData!$C$112</definedName>
    <definedName name="tlOutput_toolGraphData_C113">toolGraphData!$C$113</definedName>
    <definedName name="tlOutput_toolGraphData_C13">toolGraphData!$C$13</definedName>
    <definedName name="tlOutput_toolGraphData_C14">toolGraphData!$C$14</definedName>
    <definedName name="tlOutput_toolGraphData_C15">toolGraphData!$C$15</definedName>
    <definedName name="tlOutput_toolGraphData_C16">toolGraphData!$C$16</definedName>
    <definedName name="tlOutput_toolGraphData_C19">toolGraphData!$C$19</definedName>
    <definedName name="tlOutput_toolGraphData_C20">toolGraphData!$C$20</definedName>
    <definedName name="tlOutput_toolGraphData_C21">toolGraphData!$C$21</definedName>
    <definedName name="tlOutput_toolGraphData_C28">toolGraphData!$C$28</definedName>
    <definedName name="tlOutput_toolGraphData_C29">toolGraphData!$C$29</definedName>
    <definedName name="tlOutput_toolGraphData_C30">toolGraphData!$C$30</definedName>
    <definedName name="tlOutput_toolGraphData_C31">toolGraphData!$C$31</definedName>
    <definedName name="tlOutput_toolGraphData_C32">toolGraphData!$C$32</definedName>
    <definedName name="tlOutput_toolGraphData_C33">toolGraphData!$C$33</definedName>
    <definedName name="tlOutput_toolGraphData_C34">toolGraphData!$C$34</definedName>
    <definedName name="tlOutput_toolGraphData_C35">toolGraphData!$C$35</definedName>
    <definedName name="tlOutput_toolGraphData_C36">toolGraphData!$C$36</definedName>
    <definedName name="tlOutput_toolGraphData_C37">toolGraphData!$C$37</definedName>
    <definedName name="tlOutput_toolGraphData_C38">toolGraphData!$C$38</definedName>
    <definedName name="tlOutput_toolGraphData_C39">toolGraphData!$C$39</definedName>
    <definedName name="tlOutput_toolGraphData_C4">toolGraphData!$B$4</definedName>
    <definedName name="tlOutput_toolGraphData_C41">toolGraphData!$C$41</definedName>
    <definedName name="tlOutput_toolGraphData_C42">toolGraphData!$C$42</definedName>
    <definedName name="tlOutput_toolGraphData_C43">toolGraphData!$C$43</definedName>
    <definedName name="tlOutput_toolGraphData_C44">toolGraphData!$C$44</definedName>
    <definedName name="tlOutput_toolGraphData_C45">toolGraphData!$C$45</definedName>
    <definedName name="tlOutput_toolGraphData_C46">toolGraphData!$C$46</definedName>
    <definedName name="tlOutput_toolGraphData_C47">toolGraphData!$C$47</definedName>
    <definedName name="tlOutput_toolGraphData_C48">toolGraphData!$C$48</definedName>
    <definedName name="tlOutput_toolGraphData_C49">toolGraphData!$C$49</definedName>
    <definedName name="tlOutput_toolGraphData_C5">toolGraphData!$B$5</definedName>
    <definedName name="tlOutput_toolGraphData_C50">toolGraphData!$C$50</definedName>
    <definedName name="tlOutput_toolGraphData_C51">toolGraphData!$C$51</definedName>
    <definedName name="tlOutput_toolGraphData_C52">toolGraphData!$C$52</definedName>
    <definedName name="tlOutput_toolGraphData_C54">toolGraphData!$C$54</definedName>
    <definedName name="tlOutput_toolGraphData_C55">toolGraphData!$C$55</definedName>
    <definedName name="tlOutput_toolGraphData_C56">toolGraphData!$C$56</definedName>
    <definedName name="tlOutput_toolGraphData_C57">toolGraphData!$C$57</definedName>
    <definedName name="tlOutput_toolGraphData_C6">toolGraphData!$B$6</definedName>
    <definedName name="tlOutput_toolGraphData_C60">toolGraphData!$C$60</definedName>
    <definedName name="tlOutput_toolGraphData_C61">toolGraphData!$C$61</definedName>
    <definedName name="tlOutput_toolGraphData_C62">toolGraphData!$C$62</definedName>
    <definedName name="tlOutput_toolGraphData_C63">toolGraphData!$C$63</definedName>
    <definedName name="tlOutput_toolGraphData_C7">toolGraphData!$B$7</definedName>
    <definedName name="tlOutput_toolGraphData_C70">toolGraphData!$C$70</definedName>
    <definedName name="tlOutput_toolGraphData_C71">toolGraphData!$C$71</definedName>
    <definedName name="tlOutput_toolGraphData_C72">toolGraphData!$C$72</definedName>
    <definedName name="tlOutput_toolGraphData_C73">toolGraphData!$C$73</definedName>
    <definedName name="tlOutput_toolGraphData_C74">toolGraphData!$C$74</definedName>
    <definedName name="tlOutput_toolGraphData_C75">toolGraphData!$C$75</definedName>
    <definedName name="tlOutput_toolGraphData_C76">toolGraphData!$C$76</definedName>
    <definedName name="tlOutput_toolGraphData_C77">toolGraphData!$C$77</definedName>
    <definedName name="tlOutput_toolGraphData_C78">toolGraphData!$C$78</definedName>
    <definedName name="tlOutput_toolGraphData_C79">toolGraphData!$C$79</definedName>
    <definedName name="tlOutput_toolGraphData_C8">toolGraphData!$B$8</definedName>
    <definedName name="tlOutput_toolGraphData_C80">toolGraphData!$C$80</definedName>
    <definedName name="tlOutput_toolGraphData_C81">toolGraphData!$C$81</definedName>
    <definedName name="tlOutput_toolGraphData_C82">toolGraphData!$C$82</definedName>
    <definedName name="tlOutput_toolGraphData_C83">toolGraphData!$C$83</definedName>
    <definedName name="tlOutput_toolGraphData_C84">toolGraphData!$C$84</definedName>
    <definedName name="tlOutput_toolGraphData_C86">toolGraphData!$C$86</definedName>
    <definedName name="tlOutput_toolGraphData_C87">toolGraphData!$C$87</definedName>
    <definedName name="tlOutput_toolGraphData_C88">toolGraphData!$C$88</definedName>
    <definedName name="tlOutput_toolGraphData_C89">toolGraphData!$C$89</definedName>
    <definedName name="tlOutput_toolGraphData_C9">toolGraphData!$B$9</definedName>
    <definedName name="tlOutput_toolGraphData_C90">toolGraphData!$C$90</definedName>
    <definedName name="tlOutput_toolGraphData_C91">toolGraphData!$C$91</definedName>
    <definedName name="tlOutput_toolGraphData_C92">toolGraphData!$C$92</definedName>
    <definedName name="tlOutput_toolGraphData_C93">toolGraphData!$C$93</definedName>
    <definedName name="tlOutput_toolGraphData_C94">toolGraphData!$C$94</definedName>
    <definedName name="tlOutput_toolGraphData_C95">toolGraphData!$C$95</definedName>
    <definedName name="tlOutput_toolGraphData_C96">toolGraphData!$C$96</definedName>
    <definedName name="tlOutput_toolGraphData_C97">toolGraphData!$C$97</definedName>
    <definedName name="tlOutput_toolGraphData_C98">toolGraphData!$C$98</definedName>
    <definedName name="tlOutput_toolGraphData_C99">toolGraphData!$C$99</definedName>
    <definedName name="tlOutput_toolGraphData_D109">toolGraphData!$D$109</definedName>
    <definedName name="tlOutput_toolGraphData_D110">toolGraphData!$D$110</definedName>
    <definedName name="tlOutput_toolGraphData_D111">toolGraphData!$D$111</definedName>
    <definedName name="tlOutput_toolGraphData_D112">toolGraphData!$D$112</definedName>
    <definedName name="tlOutput_toolGraphData_D113">toolGraphData!$D$113</definedName>
    <definedName name="tlOutput_toolGraphData_D13">toolGraphData!$D$13</definedName>
    <definedName name="tlOutput_toolGraphData_D14">toolGraphData!$D$14</definedName>
    <definedName name="tlOutput_toolGraphData_D15">toolGraphData!$D$15</definedName>
    <definedName name="tlOutput_toolGraphData_D16">toolGraphData!$D$16</definedName>
    <definedName name="tlOutput_toolGraphData_D19">toolGraphData!$D$19</definedName>
    <definedName name="tlOutput_toolGraphData_D20">toolGraphData!$D$20</definedName>
    <definedName name="tlOutput_toolGraphData_D21">toolGraphData!$D$21</definedName>
    <definedName name="tlOutput_toolGraphData_D4">toolGraphData!$C$4</definedName>
    <definedName name="tlOutput_toolGraphData_D5">toolGraphData!$C$5</definedName>
    <definedName name="tlOutput_toolGraphData_D6">toolGraphData!$C$6</definedName>
    <definedName name="tlOutput_toolGraphData_D60">toolGraphData!$D$60</definedName>
    <definedName name="tlOutput_toolGraphData_D61">toolGraphData!$D$61</definedName>
    <definedName name="tlOutput_toolGraphData_D62">toolGraphData!$D$62</definedName>
    <definedName name="tlOutput_toolGraphData_D63">toolGraphData!$D$63</definedName>
    <definedName name="tlOutput_toolGraphData_D7">toolGraphData!$C$7</definedName>
    <definedName name="tlOutput_toolGraphData_D8">toolGraphData!$C$8</definedName>
    <definedName name="tlOutput_toolGraphData_D9">toolGraphData!$C$9</definedName>
    <definedName name="tlOutput_toolGraphData_E100">toolGraphData!$E$100</definedName>
    <definedName name="tlOutput_toolGraphData_E102">toolGraphData!$E$102</definedName>
    <definedName name="tlOutput_toolGraphData_E103">toolGraphData!$E$103</definedName>
    <definedName name="tlOutput_toolGraphData_E104">toolGraphData!$E$104</definedName>
    <definedName name="tlOutput_toolGraphData_E105">toolGraphData!$E$105</definedName>
    <definedName name="tlOutput_toolGraphData_E106">toolGraphData!$E$106</definedName>
    <definedName name="tlOutput_toolGraphData_E109">toolGraphData!$E$109</definedName>
    <definedName name="tlOutput_toolGraphData_E13">toolGraphData!$E$13</definedName>
    <definedName name="tlOutput_toolGraphData_E14">toolGraphData!$E$14</definedName>
    <definedName name="tlOutput_toolGraphData_E15">toolGraphData!$E$15</definedName>
    <definedName name="tlOutput_toolGraphData_E16">toolGraphData!$E$16</definedName>
    <definedName name="tlOutput_toolGraphData_E27">toolGraphData!$E$27</definedName>
    <definedName name="tlOutput_toolGraphData_E28">toolGraphData!$E$28</definedName>
    <definedName name="tlOutput_toolGraphData_E29">toolGraphData!$E$29</definedName>
    <definedName name="tlOutput_toolGraphData_E30">toolGraphData!$E$30</definedName>
    <definedName name="tlOutput_toolGraphData_E31">toolGraphData!$E$31</definedName>
    <definedName name="tlOutput_toolGraphData_E32">toolGraphData!$E$32</definedName>
    <definedName name="tlOutput_toolGraphData_E33">toolGraphData!$E$33</definedName>
    <definedName name="tlOutput_toolGraphData_E34">toolGraphData!$E$34</definedName>
    <definedName name="tlOutput_toolGraphData_E35">toolGraphData!$E$35</definedName>
    <definedName name="tlOutput_toolGraphData_E36">toolGraphData!$E$36</definedName>
    <definedName name="tlOutput_toolGraphData_E37">toolGraphData!$E$37</definedName>
    <definedName name="tlOutput_toolGraphData_E38">toolGraphData!$E$38</definedName>
    <definedName name="tlOutput_toolGraphData_E39">toolGraphData!$E$39</definedName>
    <definedName name="tlOutput_toolGraphData_E4">toolGraphData!$D$4</definedName>
    <definedName name="tlOutput_toolGraphData_E41">toolGraphData!$E$41</definedName>
    <definedName name="tlOutput_toolGraphData_E42">toolGraphData!$E$42</definedName>
    <definedName name="tlOutput_toolGraphData_E43">toolGraphData!$E$43</definedName>
    <definedName name="tlOutput_toolGraphData_E44">toolGraphData!$E$44</definedName>
    <definedName name="tlOutput_toolGraphData_E45">toolGraphData!$E$45</definedName>
    <definedName name="tlOutput_toolGraphData_E46">toolGraphData!$E$46</definedName>
    <definedName name="tlOutput_toolGraphData_E47">toolGraphData!$E$47</definedName>
    <definedName name="tlOutput_toolGraphData_E48">toolGraphData!$E$48</definedName>
    <definedName name="tlOutput_toolGraphData_E49">toolGraphData!$E$49</definedName>
    <definedName name="tlOutput_toolGraphData_E5">toolGraphData!$D$5</definedName>
    <definedName name="tlOutput_toolGraphData_E50">toolGraphData!$E$50</definedName>
    <definedName name="tlOutput_toolGraphData_E51">toolGraphData!$E$51</definedName>
    <definedName name="tlOutput_toolGraphData_E52">toolGraphData!$E$52</definedName>
    <definedName name="tlOutput_toolGraphData_E54">toolGraphData!$E$54</definedName>
    <definedName name="tlOutput_toolGraphData_E55">toolGraphData!$E$55</definedName>
    <definedName name="tlOutput_toolGraphData_E56">toolGraphData!$E$56</definedName>
    <definedName name="tlOutput_toolGraphData_E57">toolGraphData!$E$57</definedName>
    <definedName name="tlOutput_toolGraphData_E6">toolGraphData!$D$6</definedName>
    <definedName name="tlOutput_toolGraphData_E60">toolGraphData!$E$60</definedName>
    <definedName name="tlOutput_toolGraphData_E69">toolGraphData!$E$69</definedName>
    <definedName name="tlOutput_toolGraphData_E7">toolGraphData!$D$7</definedName>
    <definedName name="tlOutput_toolGraphData_E70">toolGraphData!$E$70</definedName>
    <definedName name="tlOutput_toolGraphData_E71">toolGraphData!$E$71</definedName>
    <definedName name="tlOutput_toolGraphData_E72">toolGraphData!$E$72</definedName>
    <definedName name="tlOutput_toolGraphData_E73">toolGraphData!$E$73</definedName>
    <definedName name="tlOutput_toolGraphData_E74">toolGraphData!$E$74</definedName>
    <definedName name="tlOutput_toolGraphData_E75">toolGraphData!$E$75</definedName>
    <definedName name="tlOutput_toolGraphData_E76">toolGraphData!$E$76</definedName>
    <definedName name="tlOutput_toolGraphData_E77">toolGraphData!$E$77</definedName>
    <definedName name="tlOutput_toolGraphData_E78">toolGraphData!$E$78</definedName>
    <definedName name="tlOutput_toolGraphData_E79">toolGraphData!$E$79</definedName>
    <definedName name="tlOutput_toolGraphData_E8">toolGraphData!$D$8</definedName>
    <definedName name="tlOutput_toolGraphData_E80">toolGraphData!$E$80</definedName>
    <definedName name="tlOutput_toolGraphData_E81">toolGraphData!$E$81</definedName>
    <definedName name="tlOutput_toolGraphData_E82">toolGraphData!$E$82</definedName>
    <definedName name="tlOutput_toolGraphData_E83">toolGraphData!$E$83</definedName>
    <definedName name="tlOutput_toolGraphData_E84">toolGraphData!$E$84</definedName>
    <definedName name="tlOutput_toolGraphData_E86">toolGraphData!$E$86</definedName>
    <definedName name="tlOutput_toolGraphData_E87">toolGraphData!$E$87</definedName>
    <definedName name="tlOutput_toolGraphData_E88">toolGraphData!$E$88</definedName>
    <definedName name="tlOutput_toolGraphData_E89">toolGraphData!$E$89</definedName>
    <definedName name="tlOutput_toolGraphData_E9">toolGraphData!$D$9</definedName>
    <definedName name="tlOutput_toolGraphData_E90">toolGraphData!$E$90</definedName>
    <definedName name="tlOutput_toolGraphData_E91">toolGraphData!$E$91</definedName>
    <definedName name="tlOutput_toolGraphData_E92">toolGraphData!$E$92</definedName>
    <definedName name="tlOutput_toolGraphData_E93">toolGraphData!$E$93</definedName>
    <definedName name="tlOutput_toolGraphData_E94">toolGraphData!$E$94</definedName>
    <definedName name="tlOutput_toolGraphData_E95">toolGraphData!$E$95</definedName>
    <definedName name="tlOutput_toolGraphData_E96">toolGraphData!$E$96</definedName>
    <definedName name="tlOutput_toolGraphData_E97">toolGraphData!$E$97</definedName>
    <definedName name="tlOutput_toolGraphData_E98">toolGraphData!$E$98</definedName>
    <definedName name="tlOutput_toolGraphData_E99">toolGraphData!$E$99</definedName>
    <definedName name="tlOutput_toolGraphData_F100">toolGraphData!$F$100</definedName>
    <definedName name="tlOutput_toolGraphData_F102">toolGraphData!$F$102</definedName>
    <definedName name="tlOutput_toolGraphData_F103">toolGraphData!$F$103</definedName>
    <definedName name="tlOutput_toolGraphData_F104">toolGraphData!$F$104</definedName>
    <definedName name="tlOutput_toolGraphData_F105">toolGraphData!$F$105</definedName>
    <definedName name="tlOutput_toolGraphData_F106">toolGraphData!$F$106</definedName>
    <definedName name="tlOutput_toolGraphData_F27">toolGraphData!$F$27</definedName>
    <definedName name="tlOutput_toolGraphData_F28">toolGraphData!$F$28</definedName>
    <definedName name="tlOutput_toolGraphData_F29">toolGraphData!$F$29</definedName>
    <definedName name="tlOutput_toolGraphData_F30">toolGraphData!$F$30</definedName>
    <definedName name="tlOutput_toolGraphData_F31">toolGraphData!$F$31</definedName>
    <definedName name="tlOutput_toolGraphData_F32">toolGraphData!$F$32</definedName>
    <definedName name="tlOutput_toolGraphData_F33">toolGraphData!$F$33</definedName>
    <definedName name="tlOutput_toolGraphData_F34">toolGraphData!$F$34</definedName>
    <definedName name="tlOutput_toolGraphData_F35">toolGraphData!$F$35</definedName>
    <definedName name="tlOutput_toolGraphData_F36">toolGraphData!$F$36</definedName>
    <definedName name="tlOutput_toolGraphData_F37">toolGraphData!$F$37</definedName>
    <definedName name="tlOutput_toolGraphData_F38">toolGraphData!$F$38</definedName>
    <definedName name="tlOutput_toolGraphData_F39">toolGraphData!$F$39</definedName>
    <definedName name="tlOutput_toolGraphData_F4">toolGraphData!$E$4</definedName>
    <definedName name="tlOutput_toolGraphData_F41">toolGraphData!$F$41</definedName>
    <definedName name="tlOutput_toolGraphData_F42">toolGraphData!$F$42</definedName>
    <definedName name="tlOutput_toolGraphData_F43">toolGraphData!$F$43</definedName>
    <definedName name="tlOutput_toolGraphData_F44">toolGraphData!$F$44</definedName>
    <definedName name="tlOutput_toolGraphData_F45">toolGraphData!$F$45</definedName>
    <definedName name="tlOutput_toolGraphData_F46">toolGraphData!$F$46</definedName>
    <definedName name="tlOutput_toolGraphData_F47">toolGraphData!$F$47</definedName>
    <definedName name="tlOutput_toolGraphData_F48">toolGraphData!$F$48</definedName>
    <definedName name="tlOutput_toolGraphData_F49">toolGraphData!$F$49</definedName>
    <definedName name="tlOutput_toolGraphData_F5">toolGraphData!$E$5</definedName>
    <definedName name="tlOutput_toolGraphData_F50">toolGraphData!$F$50</definedName>
    <definedName name="tlOutput_toolGraphData_F51">toolGraphData!$F$51</definedName>
    <definedName name="tlOutput_toolGraphData_F52">toolGraphData!$F$52</definedName>
    <definedName name="tlOutput_toolGraphData_F54">toolGraphData!$F$54</definedName>
    <definedName name="tlOutput_toolGraphData_F55">toolGraphData!$F$55</definedName>
    <definedName name="tlOutput_toolGraphData_F56">toolGraphData!$F$56</definedName>
    <definedName name="tlOutput_toolGraphData_F57">toolGraphData!$F$57</definedName>
    <definedName name="tlOutput_toolGraphData_F6">toolGraphData!$E$6</definedName>
    <definedName name="tlOutput_toolGraphData_F69">toolGraphData!$F$69</definedName>
    <definedName name="tlOutput_toolGraphData_F7">toolGraphData!$E$7</definedName>
    <definedName name="tlOutput_toolGraphData_F70">toolGraphData!$F$70</definedName>
    <definedName name="tlOutput_toolGraphData_F71">toolGraphData!$F$71</definedName>
    <definedName name="tlOutput_toolGraphData_F72">toolGraphData!$F$72</definedName>
    <definedName name="tlOutput_toolGraphData_F73">toolGraphData!$F$73</definedName>
    <definedName name="tlOutput_toolGraphData_F74">toolGraphData!$F$74</definedName>
    <definedName name="tlOutput_toolGraphData_F75">toolGraphData!$F$75</definedName>
    <definedName name="tlOutput_toolGraphData_F76">toolGraphData!$F$76</definedName>
    <definedName name="tlOutput_toolGraphData_F77">toolGraphData!$F$77</definedName>
    <definedName name="tlOutput_toolGraphData_F78">toolGraphData!$F$78</definedName>
    <definedName name="tlOutput_toolGraphData_F79">toolGraphData!$F$79</definedName>
    <definedName name="tlOutput_toolGraphData_F8">toolGraphData!$E$8</definedName>
    <definedName name="tlOutput_toolGraphData_F80">toolGraphData!$F$80</definedName>
    <definedName name="tlOutput_toolGraphData_F81">toolGraphData!$F$81</definedName>
    <definedName name="tlOutput_toolGraphData_F82">toolGraphData!$F$82</definedName>
    <definedName name="tlOutput_toolGraphData_F83">toolGraphData!$F$83</definedName>
    <definedName name="tlOutput_toolGraphData_F84">toolGraphData!$F$84</definedName>
    <definedName name="tlOutput_toolGraphData_F86">toolGraphData!$F$86</definedName>
    <definedName name="tlOutput_toolGraphData_F87">toolGraphData!$F$87</definedName>
    <definedName name="tlOutput_toolGraphData_F88">toolGraphData!$F$88</definedName>
    <definedName name="tlOutput_toolGraphData_F89">toolGraphData!$F$89</definedName>
    <definedName name="tlOutput_toolGraphData_F9">toolGraphData!$E$9</definedName>
    <definedName name="tlOutput_toolGraphData_F90">toolGraphData!$F$90</definedName>
    <definedName name="tlOutput_toolGraphData_F91">toolGraphData!$F$91</definedName>
    <definedName name="tlOutput_toolGraphData_F92">toolGraphData!$F$92</definedName>
    <definedName name="tlOutput_toolGraphData_F93">toolGraphData!$F$93</definedName>
    <definedName name="tlOutput_toolGraphData_F94">toolGraphData!$F$94</definedName>
    <definedName name="tlOutput_toolGraphData_F95">toolGraphData!$F$95</definedName>
    <definedName name="tlOutput_toolGraphData_F96">toolGraphData!$F$96</definedName>
    <definedName name="tlOutput_toolGraphData_F97">toolGraphData!$F$97</definedName>
    <definedName name="tlOutput_toolGraphData_F98">toolGraphData!$F$98</definedName>
    <definedName name="tlOutput_toolGraphData_F99">toolGraphData!$F$99</definedName>
    <definedName name="tlOutput_toolGraphData_G100">toolGraphData!$G$100</definedName>
    <definedName name="tlOutput_toolGraphData_G102">toolGraphData!$G$102</definedName>
    <definedName name="tlOutput_toolGraphData_G103">toolGraphData!$G$103</definedName>
    <definedName name="tlOutput_toolGraphData_G104">toolGraphData!$G$104</definedName>
    <definedName name="tlOutput_toolGraphData_G105">toolGraphData!$G$105</definedName>
    <definedName name="tlOutput_toolGraphData_G106">toolGraphData!$G$106</definedName>
    <definedName name="tlOutput_toolGraphData_G27">toolGraphData!$G$27</definedName>
    <definedName name="tlOutput_toolGraphData_G28">toolGraphData!$G$28</definedName>
    <definedName name="tlOutput_toolGraphData_G29">toolGraphData!$G$29</definedName>
    <definedName name="tlOutput_toolGraphData_G30">toolGraphData!$G$30</definedName>
    <definedName name="tlOutput_toolGraphData_G31">toolGraphData!$G$31</definedName>
    <definedName name="tlOutput_toolGraphData_G32">toolGraphData!$G$32</definedName>
    <definedName name="tlOutput_toolGraphData_G33">toolGraphData!$G$33</definedName>
    <definedName name="tlOutput_toolGraphData_G34">toolGraphData!$G$34</definedName>
    <definedName name="tlOutput_toolGraphData_G35">toolGraphData!$G$35</definedName>
    <definedName name="tlOutput_toolGraphData_G36">toolGraphData!$G$36</definedName>
    <definedName name="tlOutput_toolGraphData_G37">toolGraphData!$G$37</definedName>
    <definedName name="tlOutput_toolGraphData_G38">toolGraphData!$G$38</definedName>
    <definedName name="tlOutput_toolGraphData_G39">toolGraphData!$G$39</definedName>
    <definedName name="tlOutput_toolGraphData_G41">toolGraphData!$G$41</definedName>
    <definedName name="tlOutput_toolGraphData_G42">toolGraphData!$G$42</definedName>
    <definedName name="tlOutput_toolGraphData_G43">toolGraphData!$G$43</definedName>
    <definedName name="tlOutput_toolGraphData_G44">toolGraphData!$G$44</definedName>
    <definedName name="tlOutput_toolGraphData_G45">toolGraphData!$G$45</definedName>
    <definedName name="tlOutput_toolGraphData_G46">toolGraphData!$G$46</definedName>
    <definedName name="tlOutput_toolGraphData_G47">toolGraphData!$G$47</definedName>
    <definedName name="tlOutput_toolGraphData_G48">toolGraphData!$G$48</definedName>
    <definedName name="tlOutput_toolGraphData_G49">toolGraphData!$G$49</definedName>
    <definedName name="tlOutput_toolGraphData_G50">toolGraphData!$G$50</definedName>
    <definedName name="tlOutput_toolGraphData_G51">toolGraphData!$G$51</definedName>
    <definedName name="tlOutput_toolGraphData_G52">toolGraphData!$G$52</definedName>
    <definedName name="tlOutput_toolGraphData_G54">toolGraphData!$G$54</definedName>
    <definedName name="tlOutput_toolGraphData_G55">toolGraphData!$G$55</definedName>
    <definedName name="tlOutput_toolGraphData_G56">toolGraphData!$G$56</definedName>
    <definedName name="tlOutput_toolGraphData_G57">toolGraphData!$G$57</definedName>
    <definedName name="tlOutput_toolGraphData_G69">toolGraphData!$G$69</definedName>
    <definedName name="tlOutput_toolGraphData_G70">toolGraphData!$G$70</definedName>
    <definedName name="tlOutput_toolGraphData_G71">toolGraphData!$G$71</definedName>
    <definedName name="tlOutput_toolGraphData_G72">toolGraphData!$G$72</definedName>
    <definedName name="tlOutput_toolGraphData_G73">toolGraphData!$G$73</definedName>
    <definedName name="tlOutput_toolGraphData_G74">toolGraphData!$G$74</definedName>
    <definedName name="tlOutput_toolGraphData_G75">toolGraphData!$G$75</definedName>
    <definedName name="tlOutput_toolGraphData_G76">toolGraphData!$G$76</definedName>
    <definedName name="tlOutput_toolGraphData_G77">toolGraphData!$G$77</definedName>
    <definedName name="tlOutput_toolGraphData_G78">toolGraphData!$G$78</definedName>
    <definedName name="tlOutput_toolGraphData_G79">toolGraphData!$G$79</definedName>
    <definedName name="tlOutput_toolGraphData_G80">toolGraphData!$G$80</definedName>
    <definedName name="tlOutput_toolGraphData_G81">toolGraphData!$G$81</definedName>
    <definedName name="tlOutput_toolGraphData_G82">toolGraphData!$G$82</definedName>
    <definedName name="tlOutput_toolGraphData_G83">toolGraphData!$G$83</definedName>
    <definedName name="tlOutput_toolGraphData_G84">toolGraphData!$G$84</definedName>
    <definedName name="tlOutput_toolGraphData_G86">toolGraphData!$G$86</definedName>
    <definedName name="tlOutput_toolGraphData_G87">toolGraphData!$G$87</definedName>
    <definedName name="tlOutput_toolGraphData_G88">toolGraphData!$G$88</definedName>
    <definedName name="tlOutput_toolGraphData_G89">toolGraphData!$G$89</definedName>
    <definedName name="tlOutput_toolGraphData_G90">toolGraphData!$G$90</definedName>
    <definedName name="tlOutput_toolGraphData_G91">toolGraphData!$G$91</definedName>
    <definedName name="tlOutput_toolGraphData_G92">toolGraphData!$G$92</definedName>
    <definedName name="tlOutput_toolGraphData_G93">toolGraphData!$G$93</definedName>
    <definedName name="tlOutput_toolGraphData_G94">toolGraphData!$G$94</definedName>
    <definedName name="tlOutput_toolGraphData_G95">toolGraphData!$G$95</definedName>
    <definedName name="tlOutput_toolGraphData_G96">toolGraphData!$G$96</definedName>
    <definedName name="tlOutput_toolGraphData_G97">toolGraphData!$G$97</definedName>
    <definedName name="tlOutput_toolGraphData_G98">toolGraphData!$G$98</definedName>
    <definedName name="tlOutput_toolGraphData_G99">toolGraphData!$G$99</definedName>
    <definedName name="tlOutput_toolGraphData_H100">toolGraphData!$H$100</definedName>
    <definedName name="tlOutput_toolGraphData_H102">toolGraphData!$H$102</definedName>
    <definedName name="tlOutput_toolGraphData_H103">toolGraphData!$H$103</definedName>
    <definedName name="tlOutput_toolGraphData_H104">toolGraphData!$H$104</definedName>
    <definedName name="tlOutput_toolGraphData_H105">toolGraphData!$H$105</definedName>
    <definedName name="tlOutput_toolGraphData_H106">toolGraphData!$H$106</definedName>
    <definedName name="tlOutput_toolGraphData_H27">toolGraphData!$H$27</definedName>
    <definedName name="tlOutput_toolGraphData_H28">toolGraphData!$H$28</definedName>
    <definedName name="tlOutput_toolGraphData_H29">toolGraphData!$H$29</definedName>
    <definedName name="tlOutput_toolGraphData_H30">toolGraphData!$H$30</definedName>
    <definedName name="tlOutput_toolGraphData_H31">toolGraphData!$H$31</definedName>
    <definedName name="tlOutput_toolGraphData_H32">toolGraphData!$H$32</definedName>
    <definedName name="tlOutput_toolGraphData_H33">toolGraphData!$H$33</definedName>
    <definedName name="tlOutput_toolGraphData_H34">toolGraphData!$H$34</definedName>
    <definedName name="tlOutput_toolGraphData_H35">toolGraphData!$H$35</definedName>
    <definedName name="tlOutput_toolGraphData_H36">toolGraphData!$H$36</definedName>
    <definedName name="tlOutput_toolGraphData_H37">toolGraphData!$H$37</definedName>
    <definedName name="tlOutput_toolGraphData_H38">toolGraphData!$H$38</definedName>
    <definedName name="tlOutput_toolGraphData_H39">toolGraphData!$H$39</definedName>
    <definedName name="tlOutput_toolGraphData_H41">toolGraphData!$H$41</definedName>
    <definedName name="tlOutput_toolGraphData_H42">toolGraphData!$H$42</definedName>
    <definedName name="tlOutput_toolGraphData_H43">toolGraphData!$H$43</definedName>
    <definedName name="tlOutput_toolGraphData_H44">toolGraphData!$H$44</definedName>
    <definedName name="tlOutput_toolGraphData_H45">toolGraphData!$H$45</definedName>
    <definedName name="tlOutput_toolGraphData_H46">toolGraphData!$H$46</definedName>
    <definedName name="tlOutput_toolGraphData_H47">toolGraphData!$H$47</definedName>
    <definedName name="tlOutput_toolGraphData_H48">toolGraphData!$H$48</definedName>
    <definedName name="tlOutput_toolGraphData_H49">toolGraphData!$H$49</definedName>
    <definedName name="tlOutput_toolGraphData_H50">toolGraphData!$H$50</definedName>
    <definedName name="tlOutput_toolGraphData_H51">toolGraphData!$H$51</definedName>
    <definedName name="tlOutput_toolGraphData_H52">toolGraphData!$H$52</definedName>
    <definedName name="tlOutput_toolGraphData_H54">toolGraphData!$H$54</definedName>
    <definedName name="tlOutput_toolGraphData_H55">toolGraphData!$H$55</definedName>
    <definedName name="tlOutput_toolGraphData_H56">toolGraphData!$H$56</definedName>
    <definedName name="tlOutput_toolGraphData_H57">toolGraphData!$H$57</definedName>
    <definedName name="tlOutput_toolGraphData_H69">toolGraphData!$H$69</definedName>
    <definedName name="tlOutput_toolGraphData_H70">toolGraphData!$H$70</definedName>
    <definedName name="tlOutput_toolGraphData_H71">toolGraphData!$H$71</definedName>
    <definedName name="tlOutput_toolGraphData_H72">toolGraphData!$H$72</definedName>
    <definedName name="tlOutput_toolGraphData_H73">toolGraphData!$H$73</definedName>
    <definedName name="tlOutput_toolGraphData_H74">toolGraphData!$H$74</definedName>
    <definedName name="tlOutput_toolGraphData_H75">toolGraphData!$H$75</definedName>
    <definedName name="tlOutput_toolGraphData_H76">toolGraphData!$H$76</definedName>
    <definedName name="tlOutput_toolGraphData_H77">toolGraphData!$H$77</definedName>
    <definedName name="tlOutput_toolGraphData_H78">toolGraphData!$H$78</definedName>
    <definedName name="tlOutput_toolGraphData_H79">toolGraphData!$H$79</definedName>
    <definedName name="tlOutput_toolGraphData_H80">toolGraphData!$H$80</definedName>
    <definedName name="tlOutput_toolGraphData_H81">toolGraphData!$H$81</definedName>
    <definedName name="tlOutput_toolGraphData_H82">toolGraphData!$H$82</definedName>
    <definedName name="tlOutput_toolGraphData_H83">toolGraphData!$H$83</definedName>
    <definedName name="tlOutput_toolGraphData_H84">toolGraphData!$H$84</definedName>
    <definedName name="tlOutput_toolGraphData_H86">toolGraphData!$H$86</definedName>
    <definedName name="tlOutput_toolGraphData_H87">toolGraphData!$H$87</definedName>
    <definedName name="tlOutput_toolGraphData_H88">toolGraphData!$H$88</definedName>
    <definedName name="tlOutput_toolGraphData_H89">toolGraphData!$H$89</definedName>
    <definedName name="tlOutput_toolGraphData_H90">toolGraphData!$H$90</definedName>
    <definedName name="tlOutput_toolGraphData_H91">toolGraphData!$H$91</definedName>
    <definedName name="tlOutput_toolGraphData_H92">toolGraphData!$H$92</definedName>
    <definedName name="tlOutput_toolGraphData_H93">toolGraphData!$H$93</definedName>
    <definedName name="tlOutput_toolGraphData_H94">toolGraphData!$H$94</definedName>
    <definedName name="tlOutput_toolGraphData_H95">toolGraphData!$H$95</definedName>
    <definedName name="tlOutput_toolGraphData_H96">toolGraphData!$H$96</definedName>
    <definedName name="tlOutput_toolGraphData_H97">toolGraphData!$H$97</definedName>
    <definedName name="tlOutput_toolGraphData_H98">toolGraphData!$H$98</definedName>
    <definedName name="tlOutput_toolGraphData_H99">toolGraphData!$H$99</definedName>
    <definedName name="tlOutput_toolGraphData_I100">toolGraphData!$I$100</definedName>
    <definedName name="tlOutput_toolGraphData_I102">toolGraphData!$I$102</definedName>
    <definedName name="tlOutput_toolGraphData_I103">toolGraphData!$I$103</definedName>
    <definedName name="tlOutput_toolGraphData_I104">toolGraphData!$I$104</definedName>
    <definedName name="tlOutput_toolGraphData_I105">toolGraphData!$I$105</definedName>
    <definedName name="tlOutput_toolGraphData_I106">toolGraphData!$I$106</definedName>
    <definedName name="tlOutput_toolGraphData_I27">toolGraphData!$I$27</definedName>
    <definedName name="tlOutput_toolGraphData_I28">toolGraphData!$I$28</definedName>
    <definedName name="tlOutput_toolGraphData_I29">toolGraphData!$I$29</definedName>
    <definedName name="tlOutput_toolGraphData_I30">toolGraphData!$I$30</definedName>
    <definedName name="tlOutput_toolGraphData_I31">toolGraphData!$I$31</definedName>
    <definedName name="tlOutput_toolGraphData_I32">toolGraphData!$I$32</definedName>
    <definedName name="tlOutput_toolGraphData_I33">toolGraphData!$I$33</definedName>
    <definedName name="tlOutput_toolGraphData_I34">toolGraphData!$I$34</definedName>
    <definedName name="tlOutput_toolGraphData_I35">toolGraphData!$I$35</definedName>
    <definedName name="tlOutput_toolGraphData_I36">toolGraphData!$I$36</definedName>
    <definedName name="tlOutput_toolGraphData_I37">toolGraphData!$I$37</definedName>
    <definedName name="tlOutput_toolGraphData_I38">toolGraphData!$I$38</definedName>
    <definedName name="tlOutput_toolGraphData_I39">toolGraphData!$I$39</definedName>
    <definedName name="tlOutput_toolGraphData_I41">toolGraphData!$I$41</definedName>
    <definedName name="tlOutput_toolGraphData_I42">toolGraphData!$I$42</definedName>
    <definedName name="tlOutput_toolGraphData_I43">toolGraphData!$I$43</definedName>
    <definedName name="tlOutput_toolGraphData_I44">toolGraphData!$I$44</definedName>
    <definedName name="tlOutput_toolGraphData_I45">toolGraphData!$I$45</definedName>
    <definedName name="tlOutput_toolGraphData_I46">toolGraphData!$I$46</definedName>
    <definedName name="tlOutput_toolGraphData_I47">toolGraphData!$I$47</definedName>
    <definedName name="tlOutput_toolGraphData_I48">toolGraphData!$I$48</definedName>
    <definedName name="tlOutput_toolGraphData_I49">toolGraphData!$I$49</definedName>
    <definedName name="tlOutput_toolGraphData_I50">toolGraphData!$I$50</definedName>
    <definedName name="tlOutput_toolGraphData_I51">toolGraphData!$I$51</definedName>
    <definedName name="tlOutput_toolGraphData_I52">toolGraphData!$I$52</definedName>
    <definedName name="tlOutput_toolGraphData_I54">toolGraphData!$I$54</definedName>
    <definedName name="tlOutput_toolGraphData_I55">toolGraphData!$I$55</definedName>
    <definedName name="tlOutput_toolGraphData_I56">toolGraphData!$I$56</definedName>
    <definedName name="tlOutput_toolGraphData_I57">toolGraphData!$I$57</definedName>
    <definedName name="tlOutput_toolGraphData_I69">toolGraphData!$I$69</definedName>
    <definedName name="tlOutput_toolGraphData_I70">toolGraphData!$I$70</definedName>
    <definedName name="tlOutput_toolGraphData_I71">toolGraphData!$I$71</definedName>
    <definedName name="tlOutput_toolGraphData_I72">toolGraphData!$I$72</definedName>
    <definedName name="tlOutput_toolGraphData_I73">toolGraphData!$I$73</definedName>
    <definedName name="tlOutput_toolGraphData_I74">toolGraphData!$I$74</definedName>
    <definedName name="tlOutput_toolGraphData_I75">toolGraphData!$I$75</definedName>
    <definedName name="tlOutput_toolGraphData_I76">toolGraphData!$I$76</definedName>
    <definedName name="tlOutput_toolGraphData_I77">toolGraphData!$I$77</definedName>
    <definedName name="tlOutput_toolGraphData_I78">toolGraphData!$I$78</definedName>
    <definedName name="tlOutput_toolGraphData_I79">toolGraphData!$I$79</definedName>
    <definedName name="tlOutput_toolGraphData_I80">toolGraphData!$I$80</definedName>
    <definedName name="tlOutput_toolGraphData_I81">toolGraphData!$I$81</definedName>
    <definedName name="tlOutput_toolGraphData_I82">toolGraphData!$I$82</definedName>
    <definedName name="tlOutput_toolGraphData_I83">toolGraphData!$I$83</definedName>
    <definedName name="tlOutput_toolGraphData_I84">toolGraphData!$I$84</definedName>
    <definedName name="tlOutput_toolGraphData_I86">toolGraphData!$I$86</definedName>
    <definedName name="tlOutput_toolGraphData_I87">toolGraphData!$I$87</definedName>
    <definedName name="tlOutput_toolGraphData_I88">toolGraphData!$I$88</definedName>
    <definedName name="tlOutput_toolGraphData_I89">toolGraphData!$I$89</definedName>
    <definedName name="tlOutput_toolGraphData_I90">toolGraphData!$I$90</definedName>
    <definedName name="tlOutput_toolGraphData_I91">toolGraphData!$I$91</definedName>
    <definedName name="tlOutput_toolGraphData_I92">toolGraphData!$I$92</definedName>
    <definedName name="tlOutput_toolGraphData_I93">toolGraphData!$I$93</definedName>
    <definedName name="tlOutput_toolGraphData_I94">toolGraphData!$I$94</definedName>
    <definedName name="tlOutput_toolGraphData_I95">toolGraphData!$I$95</definedName>
    <definedName name="tlOutput_toolGraphData_I96">toolGraphData!$I$96</definedName>
    <definedName name="tlOutput_toolGraphData_I97">toolGraphData!$I$97</definedName>
    <definedName name="tlOutput_toolGraphData_I98">toolGraphData!$I$98</definedName>
    <definedName name="tlOutput_toolGraphData_I99">toolGraphData!$I$99</definedName>
    <definedName name="tlOutput_toolGraphData_J102">toolGraphData!$J$102</definedName>
    <definedName name="tlOutput_toolGraphData_J103">toolGraphData!$J$103</definedName>
    <definedName name="tlOutput_toolGraphData_J104">toolGraphData!$J$104</definedName>
    <definedName name="tlOutput_toolGraphData_J105">toolGraphData!$J$105</definedName>
    <definedName name="tlOutput_toolGraphData_J106">toolGraphData!$J$106</definedName>
    <definedName name="tlOutput_toolGraphData_J54">toolGraphData!$J$54</definedName>
    <definedName name="tlOutput_toolGraphData_J55">toolGraphData!$J$55</definedName>
    <definedName name="tlOutput_toolGraphData_J56">toolGraphData!$J$56</definedName>
    <definedName name="tlOutput_toolGraphData_J57">toolGraphData!$J$57</definedName>
    <definedName name="tlOutput_toolGraphData_K13">toolGraphData!$K$13</definedName>
    <definedName name="tlOutput_toolGraphData_K14">toolGraphData!$K$14</definedName>
    <definedName name="tlOutput_toolGraphData_K15">toolGraphData!$K$15</definedName>
    <definedName name="tlOutput_toolGraphData_K16">toolGraphData!$K$16</definedName>
    <definedName name="tlOutput_toolGraphData_K17">toolGraphData!$K$17</definedName>
    <definedName name="tlOutput_toolGraphData_K18">toolGraphData!$K$18</definedName>
    <definedName name="tlOutput_toolGraphData_K19">toolGraphData!$K$19</definedName>
    <definedName name="tlOutput_toolGraphData_K20">toolGraphData!$K$20</definedName>
    <definedName name="tlOutput_toolGraphData_L14">toolGraphData!$L$14</definedName>
    <definedName name="tlOutput_toolGraphData_L15">toolGraphData!$L$15</definedName>
    <definedName name="tlOutput_toolGraphData_L16">toolGraphData!$L$16</definedName>
    <definedName name="tlOutput_toolGraphData_L17">toolGraphData!$L$17</definedName>
    <definedName name="tlOutput_toolGraphData_L18">toolGraphData!$L$18</definedName>
    <definedName name="tlOutput_toolGraphData_L19">toolGraphData!$L$19</definedName>
    <definedName name="tlOutput_toolGraphData_L20">toolGraphData!$L$20</definedName>
    <definedName name="tlOutput_toolGraphData_L3">toolGraphData!$G$3</definedName>
    <definedName name="tlOutput_toolGraphData_L4">toolGraphData!$G$4</definedName>
    <definedName name="tlOutput_toolGraphData_L5">toolGraphData!$G$5</definedName>
    <definedName name="tlOutput_toolGraphData_L6">toolGraphData!$G$6</definedName>
    <definedName name="tlOutput_toolGraphData_L7">toolGraphData!$G$7</definedName>
    <definedName name="tlOutput_toolGraphData_M4">toolGraphData!$H$4</definedName>
    <definedName name="tlOutput_toolGraphData_M5">toolGraphData!$H$5</definedName>
    <definedName name="tlOutput_toolGraphData_M6">toolGraphData!$H$6</definedName>
    <definedName name="tlOutput_toolGraphData_M7">toolGraphData!$H$7</definedName>
    <definedName name="tlOutput_toolGraphData_N4">toolGraphData!$I$4</definedName>
    <definedName name="tlOutput_toolGraphData_N5">toolGraphData!$I$5</definedName>
    <definedName name="tlOutput_toolGraphData_N6">toolGraphData!$I$6</definedName>
    <definedName name="tlOutput_toolGraphData_N7">toolGraphData!$I$7</definedName>
    <definedName name="tlOutput_toolGSS_B47">toolGSS!$B$47</definedName>
    <definedName name="tlOutput_toolGSS_B49">toolGSS!$B$49</definedName>
    <definedName name="tlOutput_toolGSS_B60">toolGSS!$B$60</definedName>
    <definedName name="tlOutput_toolGSS_B69">toolGSS!$B$69</definedName>
    <definedName name="tlOutput_toolGSS_C10">toolGSS!$C$10</definedName>
    <definedName name="tlOutput_toolGSS_C18">toolGSS!$C$18</definedName>
    <definedName name="tlOutput_toolGSS_C26">toolGSS!$C$26</definedName>
    <definedName name="tlOutput_toolGSS_C37">toolGSS!$C$37</definedName>
    <definedName name="tlOutput_toolGSS_C62">toolGSS!$C$62</definedName>
    <definedName name="tlOutput_toolGSS_C63">toolGSS!$C$63</definedName>
    <definedName name="tlOutput_toolGSS_C64">toolGSS!$C$64</definedName>
    <definedName name="tlOutput_toolGSS_C65">toolGSS!$C$65</definedName>
    <definedName name="tlOutput_toolGSS_C66">toolGSS!$C$66</definedName>
    <definedName name="tlOutput_toolGSS_D22">toolGSS!$D$22</definedName>
    <definedName name="tlOutput_toolGSS_D24">toolGSS!$D$24</definedName>
    <definedName name="tlOutput_toolGSS_D30">toolGSS!$D$30</definedName>
    <definedName name="tlOutput_toolGSS_D31">toolGSS!$D$31</definedName>
    <definedName name="tlOutput_toolGSS_D32">toolGSS!$D$32</definedName>
    <definedName name="tlOutput_toolGSS_D34">toolGSS!$D$34</definedName>
    <definedName name="tlOutput_toolGSS_D39">toolGSS!$D$39</definedName>
    <definedName name="tlOutput_toolGSS_D51">toolGSS!$D$51</definedName>
    <definedName name="tlOutput_toolGSS_D52">toolGSS!$D$52</definedName>
    <definedName name="tlOutput_toolGSS_D54">toolGSS!$D$54</definedName>
    <definedName name="tlOutput_toolGSS_D55">toolGSS!$D$55</definedName>
    <definedName name="tlOutput_toolGSS_D57">toolGSS!$D$57</definedName>
    <definedName name="tlOutput_toolGSS_D58">toolGSS!$D$58</definedName>
    <definedName name="tlOutput_toolGSS_E14">toolGSS!$E$14</definedName>
    <definedName name="tlOutput_toolGSS_E16">toolGSS!$E$16</definedName>
    <definedName name="tlOutput_toolGSS_E71">toolGSS!$E$71</definedName>
    <definedName name="tlOutput_toolGSS_E72">toolGSS!$E$72</definedName>
    <definedName name="tlOutput_toolGSS_E73">toolGSS!$E$73</definedName>
    <definedName name="tlOutput_toolGSS_E74">toolGSS!$E$74</definedName>
    <definedName name="tlOutput_toolGSS_E75">toolGSS!$E$75</definedName>
    <definedName name="tlOutput_toolGSS_E76">toolGSS!$E$76</definedName>
    <definedName name="tlOutput_toolGSS_E77">toolGSS!$E$77</definedName>
    <definedName name="tlOutput_toolGSS_F3">toolGSS!$F$3</definedName>
    <definedName name="tlOutput_toolGSS_F54">toolGSS!$F$54</definedName>
    <definedName name="tlOutput_toolGSS_F55">toolGSS!$F$55</definedName>
    <definedName name="tlOutput_toolGSS_F62">toolGSS!$F$62</definedName>
    <definedName name="tlOutput_toolGSS_F63">toolGSS!$F$63</definedName>
    <definedName name="tlOutput_toolGSS_F64">toolGSS!$F$64</definedName>
    <definedName name="tlOutput_toolGSS_F65">toolGSS!$F$65</definedName>
    <definedName name="tlOutput_toolGSS_F66">toolGSS!$F$66</definedName>
    <definedName name="tlOutput_toolGSS_F67">toolGSS!$F$67</definedName>
    <definedName name="tlOutput_toolGSS_G39">toolGSS!$G$39</definedName>
    <definedName name="tlOutput_toolGSS_H12">toolGSS!$H$12</definedName>
    <definedName name="tlOutput_toolGSS_H31">toolGSS!$H$31</definedName>
    <definedName name="tlOutput_toolGSS_H32">toolGSS!$H$32</definedName>
    <definedName name="tlOutput_toolGSS_H41">toolGSS!$H$41</definedName>
    <definedName name="tlOutput_toolGSS_H49">toolGSS!$H$49</definedName>
    <definedName name="tlOutput_toolGSS_J12">toolGSS!$J$12</definedName>
    <definedName name="tlOutput_toolGSS_J20">toolGSS!$J$20</definedName>
    <definedName name="tlOutput_toolGSS_J22">toolGSS!$J$22</definedName>
    <definedName name="tlOutput_toolGSS_J24">toolGSS!$J$24</definedName>
    <definedName name="tlOutput_toolGSS_J28">toolGSS!$J$28</definedName>
    <definedName name="tlOutput_toolGSS_J30">toolGSS!$J$30</definedName>
    <definedName name="tlOutput_toolGSS_J41">toolGSS!$J$41</definedName>
    <definedName name="tlOutput_toolGSS_K71">toolGSS!$K$71</definedName>
    <definedName name="tlOutput_toolGSS_K72">toolGSS!$K$72</definedName>
    <definedName name="tlOutput_toolGSS_K73">toolGSS!$K$73</definedName>
    <definedName name="tlOutput_toolGSS_K74">toolGSS!$K$74</definedName>
    <definedName name="tlOutput_toolGSS_K75">toolGSS!$K$75</definedName>
    <definedName name="tlOutput_toolGSS_K76">toolGSS!$K$76</definedName>
    <definedName name="tlOutput_toolGSS_K77">toolGSS!$K$77</definedName>
    <definedName name="tlOutput_toolGSS_L12">toolGSS!$L$12</definedName>
    <definedName name="tlOutput_toolGSS_L20">toolGSS!$L$20</definedName>
    <definedName name="tlOutput_toolGSS_L22">toolGSS!$L$22</definedName>
    <definedName name="tlOutput_toolGSS_L24">toolGSS!$L$24</definedName>
    <definedName name="tlOutput_toolGSS_L28">toolGSS!$L$28</definedName>
    <definedName name="tlOutput_toolGSS_L30">toolGSS!$L$30</definedName>
    <definedName name="tlOutput_toolGSS_L41">toolGSS!$L$41</definedName>
    <definedName name="tlOutput_toolGSS_N20">toolGSS!$N$20</definedName>
    <definedName name="tlOutput_toolGSS_N22">toolGSS!$N$22</definedName>
    <definedName name="tlOutput_toolGSS_N24">toolGSS!$N$24</definedName>
    <definedName name="tlOutput_toolGSS_N3">toolGSS!$N$3</definedName>
    <definedName name="tlOutput_toolGSS_N5">toolGSS!$N$5</definedName>
    <definedName name="tlOutput_toolGSS_N62">toolGSS!$N$62</definedName>
    <definedName name="tlOutput_toolGSS_N63">toolGSS!$N$63</definedName>
    <definedName name="tlOutput_toolGSS_N64">toolGSS!$N$64</definedName>
    <definedName name="tlOutput_toolGSS_N65">toolGSS!$N$65</definedName>
    <definedName name="tlOutput_toolGSS_N66">toolGSS!$N$66</definedName>
    <definedName name="tlOutput_toolGSS_N7">toolGSS!$N$7</definedName>
    <definedName name="tlOutput_toolGSS_O47">toolGSS!$O$47</definedName>
    <definedName name="tlOutput_toolGSS_U2">toolGSS!$U$2</definedName>
    <definedName name="tlOutput_toolGSS_U3">toolGSS!$U$3</definedName>
    <definedName name="tlOutput_toolGSS_V2">toolGSS!$V$2</definedName>
    <definedName name="tlOutput_toolGSS_V3">toolGSS!$V$3</definedName>
    <definedName name="tlOutput_toolGSS_V39">toolGSS!$V$39</definedName>
    <definedName name="tlOutput_toolGSS_V43">toolGSS!$V$43</definedName>
    <definedName name="tlOutput_toolIntro_B2">toolIntro!$B$2</definedName>
    <definedName name="tlOutput_toolIntro_G10">toolIntro!$G$10</definedName>
    <definedName name="tlOutput_toolIntro_G13">toolIntro!$G$13</definedName>
    <definedName name="tlOutput_toolIntro_G8">toolIntro!$G$8</definedName>
    <definedName name="tlOutput_toolOps_B41">toolOps!$B$41</definedName>
    <definedName name="tlOutput_toolOps_B44">toolOps!$B$44</definedName>
    <definedName name="tlOutput_toolOps_B50">toolOps!$B$50</definedName>
    <definedName name="tlOutput_toolOps_B71">toolOps!$B$71</definedName>
    <definedName name="tlOutput_toolOps_B86">toolOps!$B$86</definedName>
    <definedName name="tlOutput_toolOps_B88">toolOps!$B$88</definedName>
    <definedName name="tlOutput_toolOps_C10">toolOps!$C$10</definedName>
    <definedName name="tlOutput_toolOps_D14">toolOps!$D$14</definedName>
    <definedName name="tlOutput_toolOps_D15">toolOps!$D$15</definedName>
    <definedName name="tlOutput_toolOps_D17">toolOps!$D$17</definedName>
    <definedName name="tlOutput_toolOps_D18">toolOps!$D$18</definedName>
    <definedName name="tlOutput_toolOps_D20">toolOps!$D$20</definedName>
    <definedName name="tlOutput_toolOps_D22">toolOps!$D$22</definedName>
    <definedName name="tlOutput_toolOps_E46">toolOps!$E$46</definedName>
    <definedName name="tlOutput_toolOps_E47">toolOps!$E$47</definedName>
    <definedName name="tlOutput_toolOps_E48">toolOps!$E$48</definedName>
    <definedName name="tlOutput_toolOps_E52">toolOps!$E$52</definedName>
    <definedName name="tlOutput_toolOps_E53">toolOps!$E$53</definedName>
    <definedName name="tlOutput_toolOps_E54">toolOps!$E$54</definedName>
    <definedName name="tlOutput_toolOps_E56">toolOps!$E$56</definedName>
    <definedName name="tlOutput_toolOps_E58">toolOps!$E$58</definedName>
    <definedName name="tlOutput_toolOps_E59">toolOps!$E$59</definedName>
    <definedName name="tlOutput_toolOps_E60">toolOps!$E$60</definedName>
    <definedName name="tlOutput_toolOps_E62">toolOps!$E$62</definedName>
    <definedName name="tlOutput_toolOps_E64">toolOps!$E$64</definedName>
    <definedName name="tlOutput_toolOps_E65">toolOps!$E$65</definedName>
    <definedName name="tlOutput_toolOps_E66">toolOps!$E$66</definedName>
    <definedName name="tlOutput_toolOps_E67">toolOps!$E$67</definedName>
    <definedName name="tlOutput_toolOps_E69">toolOps!$E$69</definedName>
    <definedName name="tlOutput_toolOps_E73">toolOps!$E$73</definedName>
    <definedName name="tlOutput_toolOps_E74">toolOps!$E$74</definedName>
    <definedName name="tlOutput_toolOps_E75">toolOps!$E$75</definedName>
    <definedName name="tlOutput_toolOps_E76">toolOps!$E$76</definedName>
    <definedName name="tlOutput_toolOps_E77">toolOps!$E$77</definedName>
    <definedName name="tlOutput_toolOps_E79">toolOps!$E$79</definedName>
    <definedName name="tlOutput_toolOps_E81">toolOps!$E$81</definedName>
    <definedName name="tlOutput_toolOps_E82">toolOps!$E$82</definedName>
    <definedName name="tlOutput_toolOps_E84">toolOps!$E$84</definedName>
    <definedName name="tlOutput_toolOps_F90">toolOps!$F$90</definedName>
    <definedName name="tlOutput_toolOps_F91">toolOps!$F$91</definedName>
    <definedName name="tlOutput_toolOps_F92">toolOps!$F$92</definedName>
    <definedName name="tlOutput_toolOps_F93">toolOps!$F$93</definedName>
    <definedName name="tlOutput_toolOps_F94">toolOps!$F$94</definedName>
    <definedName name="tlOutput_toolOps_F95">toolOps!$F$95</definedName>
    <definedName name="tlOutput_toolOps_F96">toolOps!$F$96</definedName>
    <definedName name="tlOutput_toolOps_I12">toolOps!$I$12</definedName>
    <definedName name="tlOutput_toolOps_I14">toolOps!$I$14</definedName>
    <definedName name="tlOutput_toolOps_I17">toolOps!$I$17</definedName>
    <definedName name="tlOutput_toolOps_I20">toolOps!$I$20</definedName>
    <definedName name="tlOutput_toolOps_I3">toolOps!$I$3</definedName>
    <definedName name="tlOutput_toolOps_I43">toolOps!$I$43</definedName>
    <definedName name="tlOutput_toolOps_I46">toolOps!$I$46</definedName>
    <definedName name="tlOutput_toolOps_I47">toolOps!$I$47</definedName>
    <definedName name="tlOutput_toolOps_I48">toolOps!$I$48</definedName>
    <definedName name="tlOutput_toolOps_I53">toolOps!$I$53</definedName>
    <definedName name="tlOutput_toolOps_I54">toolOps!$I$54</definedName>
    <definedName name="tlOutput_toolOps_I56">toolOps!$I$56</definedName>
    <definedName name="tlOutput_toolOps_I59">toolOps!$I$59</definedName>
    <definedName name="tlOutput_toolOps_I60">toolOps!$I$60</definedName>
    <definedName name="tlOutput_toolOps_I62">toolOps!$I$62</definedName>
    <definedName name="tlOutput_toolOps_I65">toolOps!$I$65</definedName>
    <definedName name="tlOutput_toolOps_I66">toolOps!$I$66</definedName>
    <definedName name="tlOutput_toolOps_I67">toolOps!$I$67</definedName>
    <definedName name="tlOutput_toolOps_I69">toolOps!$I$69</definedName>
    <definedName name="tlOutput_toolOps_I73">toolOps!$I$73</definedName>
    <definedName name="tlOutput_toolOps_I75">toolOps!$I$75</definedName>
    <definedName name="tlOutput_toolOps_I76">toolOps!$I$76</definedName>
    <definedName name="tlOutput_toolOps_I77">toolOps!$I$77</definedName>
    <definedName name="tlOutput_toolOps_I79">toolOps!$I$79</definedName>
    <definedName name="tlOutput_toolOps_I81">toolOps!$I$81</definedName>
    <definedName name="tlOutput_toolOps_I82">toolOps!$I$82</definedName>
    <definedName name="tlOutput_toolOps_I84">toolOps!$I$84</definedName>
    <definedName name="tlOutput_toolOps_I90">toolOps!$I$90</definedName>
    <definedName name="tlOutput_toolOps_I91">toolOps!$I$91</definedName>
    <definedName name="tlOutput_toolOps_I92">toolOps!$I$92</definedName>
    <definedName name="tlOutput_toolOps_I93">toolOps!$I$93</definedName>
    <definedName name="tlOutput_toolOps_I94">toolOps!$I$94</definedName>
    <definedName name="tlOutput_toolOps_I95">toolOps!$I$95</definedName>
    <definedName name="tlOutput_toolOps_I96">toolOps!$I$96</definedName>
    <definedName name="tlOutput_toolOps_J88">toolOps!$J$88</definedName>
    <definedName name="tlOutput_toolOps_K43">toolOps!$K$43</definedName>
    <definedName name="tlOutput_toolOps_K46">toolOps!$K$46</definedName>
    <definedName name="tlOutput_toolOps_K47">toolOps!$K$47</definedName>
    <definedName name="tlOutput_toolOps_K48">toolOps!$K$48</definedName>
    <definedName name="tlOutput_toolOps_K53">toolOps!$K$53</definedName>
    <definedName name="tlOutput_toolOps_K54">toolOps!$K$54</definedName>
    <definedName name="tlOutput_toolOps_K56">toolOps!$K$56</definedName>
    <definedName name="tlOutput_toolOps_K59">toolOps!$K$59</definedName>
    <definedName name="tlOutput_toolOps_K60">toolOps!$K$60</definedName>
    <definedName name="tlOutput_toolOps_K62">toolOps!$K$62</definedName>
    <definedName name="tlOutput_toolOps_K65">toolOps!$K$65</definedName>
    <definedName name="tlOutput_toolOps_K66">toolOps!$K$66</definedName>
    <definedName name="tlOutput_toolOps_K67">toolOps!$K$67</definedName>
    <definedName name="tlOutput_toolOps_K69">toolOps!$K$69</definedName>
    <definedName name="tlOutput_toolOps_K73">toolOps!$K$73</definedName>
    <definedName name="tlOutput_toolOps_K75">toolOps!$K$75</definedName>
    <definedName name="tlOutput_toolOps_K76">toolOps!$K$76</definedName>
    <definedName name="tlOutput_toolOps_K77">toolOps!$K$77</definedName>
    <definedName name="tlOutput_toolOps_K79">toolOps!$K$79</definedName>
    <definedName name="tlOutput_toolOps_K81">toolOps!$K$81</definedName>
    <definedName name="tlOutput_toolOps_K82">toolOps!$K$82</definedName>
    <definedName name="tlOutput_toolOps_K84">toolOps!$K$84</definedName>
    <definedName name="tlOutput_toolOps_M12">toolOps!$M$12</definedName>
    <definedName name="tlOutput_toolOps_M43">toolOps!$M$43</definedName>
    <definedName name="tlOutput_toolOps_M46">toolOps!$M$46</definedName>
    <definedName name="tlOutput_toolOps_M47">toolOps!$M$47</definedName>
    <definedName name="tlOutput_toolOps_M48">toolOps!$M$48</definedName>
    <definedName name="tlOutput_toolOps_M53">toolOps!$M$53</definedName>
    <definedName name="tlOutput_toolOps_M54">toolOps!$M$54</definedName>
    <definedName name="tlOutput_toolOps_M56">toolOps!$M$56</definedName>
    <definedName name="tlOutput_toolOps_M59">toolOps!$M$59</definedName>
    <definedName name="tlOutput_toolOps_M60">toolOps!$M$60</definedName>
    <definedName name="tlOutput_toolOps_M62">toolOps!$M$62</definedName>
    <definedName name="tlOutput_toolOps_M65">toolOps!$M$65</definedName>
    <definedName name="tlOutput_toolOps_M66">toolOps!$M$66</definedName>
    <definedName name="tlOutput_toolOps_M67">toolOps!$M$67</definedName>
    <definedName name="tlOutput_toolOps_M69">toolOps!$M$69</definedName>
    <definedName name="tlOutput_toolOps_M73">toolOps!$M$73</definedName>
    <definedName name="tlOutput_toolOps_M75">toolOps!$M$75</definedName>
    <definedName name="tlOutput_toolOps_M76">toolOps!$M$76</definedName>
    <definedName name="tlOutput_toolOps_M77">toolOps!$M$77</definedName>
    <definedName name="tlOutput_toolOps_M79">toolOps!$M$79</definedName>
    <definedName name="tlOutput_toolOps_M81">toolOps!$M$81</definedName>
    <definedName name="tlOutput_toolOps_M82">toolOps!$M$82</definedName>
    <definedName name="tlOutput_toolOps_M84">toolOps!$M$84</definedName>
    <definedName name="tlOutput_toolOps_M90">toolOps!$M$90</definedName>
    <definedName name="tlOutput_toolOps_M91">toolOps!$M$91</definedName>
    <definedName name="tlOutput_toolOps_M92">toolOps!$M$92</definedName>
    <definedName name="tlOutput_toolOps_M93">toolOps!$M$93</definedName>
    <definedName name="tlOutput_toolOps_M94">toolOps!$M$94</definedName>
    <definedName name="tlOutput_toolOps_M95">toolOps!$M$95</definedName>
    <definedName name="tlOutput_toolOps_N90">toolOps!$N$90</definedName>
    <definedName name="tlOutput_toolOps_N91">toolOps!$N$91</definedName>
    <definedName name="tlOutput_toolOps_N92">toolOps!$N$92</definedName>
    <definedName name="tlOutput_toolOps_N93">toolOps!$N$93</definedName>
    <definedName name="tlOutput_toolOps_N94">toolOps!$N$94</definedName>
    <definedName name="tlOutput_toolOps_N95">toolOps!$N$95</definedName>
    <definedName name="tlOutput_toolOps_O3">toolOps!$O$3</definedName>
    <definedName name="tlOutput_toolOps_O5">toolOps!$O$5</definedName>
    <definedName name="tlOutput_toolOps_O7">toolOps!$O$7</definedName>
    <definedName name="tlOutput_toolOps_P41">toolOps!$P$41</definedName>
    <definedName name="tlOutput_toolOps_V14">toolOps!$V$14</definedName>
    <definedName name="tlOutput_toolOps_V2">toolOps!$V$2</definedName>
    <definedName name="tlOutput_toolOps_V3">toolOps!$V$3</definedName>
    <definedName name="tlOutput_toolOps_W2">toolOps!$W$2</definedName>
    <definedName name="tlOutput_toolOps_W3">toolOps!$W$3</definedName>
    <definedName name="tlOutput_toolOps_X14">toolOps!$X$14</definedName>
    <definedName name="tlOutput_toolPNL_B3">toolPNL!$B$3</definedName>
    <definedName name="tlOutput_toolPNL_B4">toolPNL!$B$4</definedName>
    <definedName name="tlOutput_toolPNL_B5">toolPNL!$B$5</definedName>
    <definedName name="tlOutput_toolPNL_C14">toolPNL!$C$14</definedName>
    <definedName name="tlOutput_toolPNL_C16">toolPNL!$C$16</definedName>
    <definedName name="tlOutput_toolPNL_C25">toolPNL!$C$25</definedName>
    <definedName name="tlOutput_toolPNL_C68">toolPNL!$C$68</definedName>
    <definedName name="tlOutput_toolPNL_C7">toolPNL!$C$7</definedName>
    <definedName name="tlOutput_toolPNL_C71">toolPNL!$C$71</definedName>
    <definedName name="tlOutput_toolPNL_C81">toolPNL!$C$81</definedName>
    <definedName name="tlOutput_toolPNL_C9">toolPNL!$C$9</definedName>
    <definedName name="tlOutput_toolPNL_C91">toolPNL!$C$91</definedName>
    <definedName name="tlOutput_toolPNL_D17">toolPNL!$D$17</definedName>
    <definedName name="tlOutput_toolPNL_D22">toolPNL!$D$22</definedName>
    <definedName name="tlOutput_toolPNL_D26">toolPNL!$D$26</definedName>
    <definedName name="tlOutput_toolPNL_D28">toolPNL!$D$28</definedName>
    <definedName name="tlOutput_toolPNL_D32">toolPNL!$D$32</definedName>
    <definedName name="tlOutput_toolPNL_D34">toolPNL!$D$34</definedName>
    <definedName name="tlOutput_toolPNL_D38">toolPNL!$D$38</definedName>
    <definedName name="tlOutput_toolPNL_D40">toolPNL!$D$40</definedName>
    <definedName name="tlOutput_toolPNL_D46">toolPNL!$D$46</definedName>
    <definedName name="tlOutput_toolPNL_D48">toolPNL!$D$48</definedName>
    <definedName name="tlOutput_toolPNL_D49">toolPNL!$D$49</definedName>
    <definedName name="tlOutput_toolPNL_D52">toolPNL!$D$52</definedName>
    <definedName name="tlOutput_toolPNL_D57">toolPNL!$D$57</definedName>
    <definedName name="tlOutput_toolPNL_D59">toolPNL!$D$59</definedName>
    <definedName name="tlOutput_toolPNL_D66">toolPNL!$D$66</definedName>
    <definedName name="tlOutput_toolPNL_D72">toolPNL!$D$72</definedName>
    <definedName name="tlOutput_toolPNL_D75">toolPNL!$D$75</definedName>
    <definedName name="tlOutput_toolPNL_D79">toolPNL!$D$79</definedName>
    <definedName name="tlOutput_toolPNL_D83">toolPNL!$D$83</definedName>
    <definedName name="tlOutput_toolPNL_D87">toolPNL!$D$87</definedName>
    <definedName name="tlOutput_toolPNL_D89">toolPNL!$D$89</definedName>
    <definedName name="tlOutput_toolPNL_D92">toolPNL!$D$92</definedName>
    <definedName name="tlOutput_toolPNL_E10">toolPNL!$E$10</definedName>
    <definedName name="tlOutput_toolPNL_E12">toolPNL!$E$12</definedName>
    <definedName name="tlOutput_toolPNL_E18">toolPNL!$E$18</definedName>
    <definedName name="tlOutput_toolPNL_E19">toolPNL!$E$19</definedName>
    <definedName name="tlOutput_toolPNL_E20">toolPNL!$E$20</definedName>
    <definedName name="tlOutput_toolPNL_E23">toolPNL!$E$23</definedName>
    <definedName name="tlOutput_toolPNL_E29">toolPNL!$E$29</definedName>
    <definedName name="tlOutput_toolPNL_E30">toolPNL!$E$30</definedName>
    <definedName name="tlOutput_toolPNL_E35">toolPNL!$E$35</definedName>
    <definedName name="tlOutput_toolPNL_E36">toolPNL!$E$36</definedName>
    <definedName name="tlOutput_toolPNL_E41">toolPNL!$E$41</definedName>
    <definedName name="tlOutput_toolPNL_E42">toolPNL!$E$42</definedName>
    <definedName name="tlOutput_toolPNL_E43">toolPNL!$E$43</definedName>
    <definedName name="tlOutput_toolPNL_E44">toolPNL!$E$44</definedName>
    <definedName name="tlOutput_toolPNL_E50">toolPNL!$E$50</definedName>
    <definedName name="tlOutput_toolPNL_E53">toolPNL!$E$53</definedName>
    <definedName name="tlOutput_toolPNL_E54">toolPNL!$E$54</definedName>
    <definedName name="tlOutput_toolPNL_E55">toolPNL!$E$55</definedName>
    <definedName name="tlOutput_toolPNL_E60">toolPNL!$E$60</definedName>
    <definedName name="tlOutput_toolPNL_E61">toolPNL!$E$61</definedName>
    <definedName name="tlOutput_toolPNL_E62">toolPNL!$E$62</definedName>
    <definedName name="tlOutput_toolPNL_E63">toolPNL!$E$63</definedName>
    <definedName name="tlOutput_toolPNL_E64">toolPNL!$E$64</definedName>
    <definedName name="tlOutput_toolPNL_E69">toolPNL!$E$69</definedName>
    <definedName name="tlOutput_toolPNL_E73">toolPNL!$E$73</definedName>
    <definedName name="tlOutput_toolPNL_E76">toolPNL!$E$76</definedName>
    <definedName name="tlOutput_toolPNL_E77">toolPNL!$E$77</definedName>
    <definedName name="tlOutput_toolPNL_E84">toolPNL!$E$84</definedName>
    <definedName name="tlOutput_toolPNL_E85">toolPNL!$E$85</definedName>
    <definedName name="tlOutput_toolPNL_G10">toolPNL!$G$10</definedName>
    <definedName name="tlOutput_toolPNL_G12">toolPNL!$G$12</definedName>
    <definedName name="tlOutput_toolPNL_G14">toolPNL!$G$14</definedName>
    <definedName name="tlOutput_toolPNL_G18">toolPNL!$G$18</definedName>
    <definedName name="tlOutput_toolPNL_G19">toolPNL!$G$19</definedName>
    <definedName name="tlOutput_toolPNL_G20">toolPNL!$G$20</definedName>
    <definedName name="tlOutput_toolPNL_G22">toolPNL!$G$22</definedName>
    <definedName name="tlOutput_toolPNL_G23">toolPNL!$G$23</definedName>
    <definedName name="tlOutput_toolPNL_G25">toolPNL!$G$25</definedName>
    <definedName name="tlOutput_toolPNL_G26">toolPNL!$G$26</definedName>
    <definedName name="tlOutput_toolPNL_G29">toolPNL!$G$29</definedName>
    <definedName name="tlOutput_toolPNL_G30">toolPNL!$G$30</definedName>
    <definedName name="tlOutput_toolPNL_G32">toolPNL!$G$32</definedName>
    <definedName name="tlOutput_toolPNL_G35">toolPNL!$G$35</definedName>
    <definedName name="tlOutput_toolPNL_G36">toolPNL!$G$36</definedName>
    <definedName name="tlOutput_toolPNL_G38">toolPNL!$G$38</definedName>
    <definedName name="tlOutput_toolPNL_G41">toolPNL!$G$41</definedName>
    <definedName name="tlOutput_toolPNL_G42">toolPNL!$G$42</definedName>
    <definedName name="tlOutput_toolPNL_G44">toolPNL!$G$44</definedName>
    <definedName name="tlOutput_toolPNL_G46">toolPNL!$G$46</definedName>
    <definedName name="tlOutput_toolPNL_G48">toolPNL!$G$48</definedName>
    <definedName name="tlOutput_toolPNL_G49">toolPNL!$G$49</definedName>
    <definedName name="tlOutput_toolPNL_G5">toolPNL!$G$5</definedName>
    <definedName name="tlOutput_toolPNL_G50">toolPNL!$G$50</definedName>
    <definedName name="tlOutput_toolPNL_G53">toolPNL!$G$53</definedName>
    <definedName name="tlOutput_toolPNL_G54">toolPNL!$G$54</definedName>
    <definedName name="tlOutput_toolPNL_G55">toolPNL!$G$55</definedName>
    <definedName name="tlOutput_toolPNL_G57">toolPNL!$G$57</definedName>
    <definedName name="tlOutput_toolPNL_G62">toolPNL!$G$62</definedName>
    <definedName name="tlOutput_toolPNL_G63">toolPNL!$G$63</definedName>
    <definedName name="tlOutput_toolPNL_G66">toolPNL!$G$66</definedName>
    <definedName name="tlOutput_toolPNL_G68">toolPNL!$G$68</definedName>
    <definedName name="tlOutput_toolPNL_G69">toolPNL!$G$69</definedName>
    <definedName name="tlOutput_toolPNL_G7">toolPNL!$G$7</definedName>
    <definedName name="tlOutput_toolPNL_G71">toolPNL!$G$71</definedName>
    <definedName name="tlOutput_toolPNL_G72">toolPNL!$G$72</definedName>
    <definedName name="tlOutput_toolPNL_G73">toolPNL!$G$73</definedName>
    <definedName name="tlOutput_toolPNL_G79">toolPNL!$G$79</definedName>
    <definedName name="tlOutput_toolPNL_G81">toolPNL!$G$81</definedName>
    <definedName name="tlOutput_toolPNL_G9">toolPNL!$G$9</definedName>
    <definedName name="tlOutput_toolPNL_H20">toolPNL!$H$20</definedName>
    <definedName name="tlOutput_toolPNL_I10">toolPNL!$I$10</definedName>
    <definedName name="tlOutput_toolPNL_I12">toolPNL!$I$12</definedName>
    <definedName name="tlOutput_toolPNL_I14">toolPNL!$I$14</definedName>
    <definedName name="tlOutput_toolPNL_I18">toolPNL!$I$18</definedName>
    <definedName name="tlOutput_toolPNL_I19">toolPNL!$I$19</definedName>
    <definedName name="tlOutput_toolPNL_I20">toolPNL!$I$20</definedName>
    <definedName name="tlOutput_toolPNL_I22">toolPNL!$I$22</definedName>
    <definedName name="tlOutput_toolPNL_I23">toolPNL!$I$23</definedName>
    <definedName name="tlOutput_toolPNL_I25">toolPNL!$I$25</definedName>
    <definedName name="tlOutput_toolPNL_I26">toolPNL!$I$26</definedName>
    <definedName name="tlOutput_toolPNL_I29">toolPNL!$I$29</definedName>
    <definedName name="tlOutput_toolPNL_I30">toolPNL!$I$30</definedName>
    <definedName name="tlOutput_toolPNL_I32">toolPNL!$I$32</definedName>
    <definedName name="tlOutput_toolPNL_I35">toolPNL!$I$35</definedName>
    <definedName name="tlOutput_toolPNL_I36">toolPNL!$I$36</definedName>
    <definedName name="tlOutput_toolPNL_I38">toolPNL!$I$38</definedName>
    <definedName name="tlOutput_toolPNL_I41">toolPNL!$I$41</definedName>
    <definedName name="tlOutput_toolPNL_I42">toolPNL!$I$42</definedName>
    <definedName name="tlOutput_toolPNL_I44">toolPNL!$I$44</definedName>
    <definedName name="tlOutput_toolPNL_I46">toolPNL!$I$46</definedName>
    <definedName name="tlOutput_toolPNL_I48">toolPNL!$I$48</definedName>
    <definedName name="tlOutput_toolPNL_I49">toolPNL!$I$49</definedName>
    <definedName name="tlOutput_toolPNL_I5">toolPNL!$I$5</definedName>
    <definedName name="tlOutput_toolPNL_I50">toolPNL!$I$50</definedName>
    <definedName name="tlOutput_toolPNL_I53">toolPNL!$I$53</definedName>
    <definedName name="tlOutput_toolPNL_I54">toolPNL!$I$54</definedName>
    <definedName name="tlOutput_toolPNL_I55">toolPNL!$I$55</definedName>
    <definedName name="tlOutput_toolPNL_I57">toolPNL!$I$57</definedName>
    <definedName name="tlOutput_toolPNL_I62">toolPNL!$I$62</definedName>
    <definedName name="tlOutput_toolPNL_I63">toolPNL!$I$63</definedName>
    <definedName name="tlOutput_toolPNL_I66">toolPNL!$I$66</definedName>
    <definedName name="tlOutput_toolPNL_I68">toolPNL!$I$68</definedName>
    <definedName name="tlOutput_toolPNL_I69">toolPNL!$I$69</definedName>
    <definedName name="tlOutput_toolPNL_I7">toolPNL!$I$7</definedName>
    <definedName name="tlOutput_toolPNL_I71">toolPNL!$I$71</definedName>
    <definedName name="tlOutput_toolPNL_I72">toolPNL!$I$72</definedName>
    <definedName name="tlOutput_toolPNL_I73">toolPNL!$I$73</definedName>
    <definedName name="tlOutput_toolPNL_I79">toolPNL!$I$79</definedName>
    <definedName name="tlOutput_toolPNL_I81">toolPNL!$I$81</definedName>
    <definedName name="tlOutput_toolPNL_I9">toolPNL!$I$9</definedName>
    <definedName name="tlOutput_toolPNL_J20">toolPNL!$J$20</definedName>
    <definedName name="tlOutput_toolPNL_K10">toolPNL!$K$10</definedName>
    <definedName name="tlOutput_toolPNL_K12">toolPNL!$K$12</definedName>
    <definedName name="tlOutput_toolPNL_K14">toolPNL!$K$14</definedName>
    <definedName name="tlOutput_toolPNL_K18">toolPNL!$K$18</definedName>
    <definedName name="tlOutput_toolPNL_K19">toolPNL!$K$19</definedName>
    <definedName name="tlOutput_toolPNL_K20">toolPNL!$K$20</definedName>
    <definedName name="tlOutput_toolPNL_K22">toolPNL!$K$22</definedName>
    <definedName name="tlOutput_toolPNL_K23">toolPNL!$K$23</definedName>
    <definedName name="tlOutput_toolPNL_K25">toolPNL!$K$25</definedName>
    <definedName name="tlOutput_toolPNL_K26">toolPNL!$K$26</definedName>
    <definedName name="tlOutput_toolPNL_K29">toolPNL!$K$29</definedName>
    <definedName name="tlOutput_toolPNL_K30">toolPNL!$K$30</definedName>
    <definedName name="tlOutput_toolPNL_K32">toolPNL!$K$32</definedName>
    <definedName name="tlOutput_toolPNL_K35">toolPNL!$K$35</definedName>
    <definedName name="tlOutput_toolPNL_K36">toolPNL!$K$36</definedName>
    <definedName name="tlOutput_toolPNL_K38">toolPNL!$K$38</definedName>
    <definedName name="tlOutput_toolPNL_K41">toolPNL!$K$41</definedName>
    <definedName name="tlOutput_toolPNL_K42">toolPNL!$K$42</definedName>
    <definedName name="tlOutput_toolPNL_K44">toolPNL!$K$44</definedName>
    <definedName name="tlOutput_toolPNL_K46">toolPNL!$K$46</definedName>
    <definedName name="tlOutput_toolPNL_K48">toolPNL!$K$48</definedName>
    <definedName name="tlOutput_toolPNL_K49">toolPNL!$K$49</definedName>
    <definedName name="tlOutput_toolPNL_K5">toolPNL!$K$5</definedName>
    <definedName name="tlOutput_toolPNL_K50">toolPNL!$K$50</definedName>
    <definedName name="tlOutput_toolPNL_K53">toolPNL!$K$53</definedName>
    <definedName name="tlOutput_toolPNL_K54">toolPNL!$K$54</definedName>
    <definedName name="tlOutput_toolPNL_K55">toolPNL!$K$55</definedName>
    <definedName name="tlOutput_toolPNL_K57">toolPNL!$K$57</definedName>
    <definedName name="tlOutput_toolPNL_K62">toolPNL!$K$62</definedName>
    <definedName name="tlOutput_toolPNL_K63">toolPNL!$K$63</definedName>
    <definedName name="tlOutput_toolPNL_K66">toolPNL!$K$66</definedName>
    <definedName name="tlOutput_toolPNL_K68">toolPNL!$K$68</definedName>
    <definedName name="tlOutput_toolPNL_K69">toolPNL!$K$69</definedName>
    <definedName name="tlOutput_toolPNL_K7">toolPNL!$K$7</definedName>
    <definedName name="tlOutput_toolPNL_K71">toolPNL!$K$71</definedName>
    <definedName name="tlOutput_toolPNL_K72">toolPNL!$K$72</definedName>
    <definedName name="tlOutput_toolPNL_K73">toolPNL!$K$73</definedName>
    <definedName name="tlOutput_toolPNL_K79">toolPNL!$K$79</definedName>
    <definedName name="tlOutput_toolPNL_K81">toolPNL!$K$81</definedName>
    <definedName name="tlOutput_toolPNL_K9">toolPNL!$K$9</definedName>
    <definedName name="tlOutput_toolPNL_L20">toolPNL!$L$20</definedName>
    <definedName name="tlOutput_toolPNL_M10">toolPNL!$M$10</definedName>
    <definedName name="tlOutput_toolPNL_M12">toolPNL!$M$12</definedName>
    <definedName name="tlOutput_toolPNL_M14">toolPNL!$M$14</definedName>
    <definedName name="tlOutput_toolPNL_M18">toolPNL!$M$18</definedName>
    <definedName name="tlOutput_toolPNL_M19">toolPNL!$M$19</definedName>
    <definedName name="tlOutput_toolPNL_M20">toolPNL!$M$20</definedName>
    <definedName name="tlOutput_toolPNL_M22">toolPNL!$M$22</definedName>
    <definedName name="tlOutput_toolPNL_M23">toolPNL!$M$23</definedName>
    <definedName name="tlOutput_toolPNL_M25">toolPNL!$M$25</definedName>
    <definedName name="tlOutput_toolPNL_M26">toolPNL!$M$26</definedName>
    <definedName name="tlOutput_toolPNL_M29">toolPNL!$M$29</definedName>
    <definedName name="tlOutput_toolPNL_M30">toolPNL!$M$30</definedName>
    <definedName name="tlOutput_toolPNL_M32">toolPNL!$M$32</definedName>
    <definedName name="tlOutput_toolPNL_M35">toolPNL!$M$35</definedName>
    <definedName name="tlOutput_toolPNL_M36">toolPNL!$M$36</definedName>
    <definedName name="tlOutput_toolPNL_M38">toolPNL!$M$38</definedName>
    <definedName name="tlOutput_toolPNL_M41">toolPNL!$M$41</definedName>
    <definedName name="tlOutput_toolPNL_M42">toolPNL!$M$42</definedName>
    <definedName name="tlOutput_toolPNL_M44">toolPNL!$M$44</definedName>
    <definedName name="tlOutput_toolPNL_M46">toolPNL!$M$46</definedName>
    <definedName name="tlOutput_toolPNL_M48">toolPNL!$M$48</definedName>
    <definedName name="tlOutput_toolPNL_M49">toolPNL!$M$49</definedName>
    <definedName name="tlOutput_toolPNL_M5">toolPNL!$M$5</definedName>
    <definedName name="tlOutput_toolPNL_M50">toolPNL!$M$50</definedName>
    <definedName name="tlOutput_toolPNL_M53">toolPNL!$M$53</definedName>
    <definedName name="tlOutput_toolPNL_M54">toolPNL!$M$54</definedName>
    <definedName name="tlOutput_toolPNL_M55">toolPNL!$M$55</definedName>
    <definedName name="tlOutput_toolPNL_M57">toolPNL!$M$57</definedName>
    <definedName name="tlOutput_toolPNL_M62">toolPNL!$M$62</definedName>
    <definedName name="tlOutput_toolPNL_M63">toolPNL!$M$63</definedName>
    <definedName name="tlOutput_toolPNL_M66">toolPNL!$M$66</definedName>
    <definedName name="tlOutput_toolPNL_M68">toolPNL!$M$68</definedName>
    <definedName name="tlOutput_toolPNL_M69">toolPNL!$M$69</definedName>
    <definedName name="tlOutput_toolPNL_M7">toolPNL!$M$7</definedName>
    <definedName name="tlOutput_toolPNL_M71">toolPNL!$M$71</definedName>
    <definedName name="tlOutput_toolPNL_M72">toolPNL!$M$72</definedName>
    <definedName name="tlOutput_toolPNL_M73">toolPNL!$M$73</definedName>
    <definedName name="tlOutput_toolPNL_M79">toolPNL!$M$79</definedName>
    <definedName name="tlOutput_toolPNL_M81">toolPNL!$M$81</definedName>
    <definedName name="tlOutput_toolPNL_M9">toolPNL!$M$9</definedName>
    <definedName name="tlOutput_toolPNL_O12">toolPNL!$O$12</definedName>
    <definedName name="tlOutput_toolPNL_O14">toolPNL!$O$14</definedName>
    <definedName name="tlOutput_toolPNL_O18">toolPNL!$O$18</definedName>
    <definedName name="tlOutput_toolPNL_O19">toolPNL!$O$19</definedName>
    <definedName name="tlOutput_toolPNL_O20">toolPNL!$O$20</definedName>
    <definedName name="tlOutput_toolPNL_O22">toolPNL!$O$22</definedName>
    <definedName name="tlOutput_toolPNL_O25">toolPNL!$O$25</definedName>
    <definedName name="tlOutput_toolPNL_O26">toolPNL!$O$26</definedName>
    <definedName name="tlOutput_toolPNL_O29">toolPNL!$O$29</definedName>
    <definedName name="tlOutput_toolPNL_O30">toolPNL!$O$30</definedName>
    <definedName name="tlOutput_toolPNL_O32">toolPNL!$O$32</definedName>
    <definedName name="tlOutput_toolPNL_O35">toolPNL!$O$35</definedName>
    <definedName name="tlOutput_toolPNL_O36">toolPNL!$O$36</definedName>
    <definedName name="tlOutput_toolPNL_O38">toolPNL!$O$38</definedName>
    <definedName name="tlOutput_toolPNL_O41">toolPNL!$O$41</definedName>
    <definedName name="tlOutput_toolPNL_O42">toolPNL!$O$42</definedName>
    <definedName name="tlOutput_toolPNL_O43">toolPNL!$O$43</definedName>
    <definedName name="tlOutput_toolPNL_O44">toolPNL!$O$44</definedName>
    <definedName name="tlOutput_toolPNL_O46">toolPNL!$O$46</definedName>
    <definedName name="tlOutput_toolPNL_O48">toolPNL!$O$48</definedName>
    <definedName name="tlOutput_toolPNL_O49">toolPNL!$O$49</definedName>
    <definedName name="tlOutput_toolPNL_O5">toolPNL!$O$5</definedName>
    <definedName name="tlOutput_toolPNL_O53">toolPNL!$O$53</definedName>
    <definedName name="tlOutput_toolPNL_O54">toolPNL!$O$54</definedName>
    <definedName name="tlOutput_toolPNL_O55">toolPNL!$O$55</definedName>
    <definedName name="tlOutput_toolPNL_O57">toolPNL!$O$57</definedName>
    <definedName name="tlOutput_toolPNL_O60">toolPNL!$O$60</definedName>
    <definedName name="tlOutput_toolPNL_O61">toolPNL!$O$61</definedName>
    <definedName name="tlOutput_toolPNL_O62">toolPNL!$O$62</definedName>
    <definedName name="tlOutput_toolPNL_O63">toolPNL!$O$63</definedName>
    <definedName name="tlOutput_toolPNL_O64">toolPNL!$O$64</definedName>
    <definedName name="tlOutput_toolPNL_O66">toolPNL!$O$66</definedName>
    <definedName name="tlOutput_toolPNL_O68">toolPNL!$O$68</definedName>
    <definedName name="tlOutput_toolPNL_O7">toolPNL!$O$7</definedName>
    <definedName name="tlOutput_toolPNL_O71">toolPNL!$O$71</definedName>
    <definedName name="tlOutput_toolPNL_O72">toolPNL!$O$72</definedName>
    <definedName name="tlOutput_toolPNL_O76">toolPNL!$O$76</definedName>
    <definedName name="tlOutput_toolPNL_O77">toolPNL!$O$77</definedName>
    <definedName name="tlOutput_toolPNL_O79">toolPNL!$O$79</definedName>
    <definedName name="tlOutput_toolPNL_O81">toolPNL!$O$81</definedName>
    <definedName name="tlOutput_toolPNL_O84">toolPNL!$O$84</definedName>
    <definedName name="tlOutput_toolPNL_O85">toolPNL!$O$85</definedName>
    <definedName name="tlOutput_toolPNL_O87">toolPNL!$O$87</definedName>
    <definedName name="tlOutput_toolPNL_O89">toolPNL!$O$89</definedName>
    <definedName name="tlOutput_toolPNL_O9">toolPNL!$O$9</definedName>
    <definedName name="tlOutput_toolPNL_O91">toolPNL!$O$91</definedName>
    <definedName name="tlOutput_toolPNL_O92">toolPNL!$O$92</definedName>
    <definedName name="tlOutput_toolPNL_P3">toolPNL!$P$3</definedName>
    <definedName name="tlOutput_toolPNLRegionA_B3">toolPNLRegionA!$B$3</definedName>
    <definedName name="tlOutput_toolPNLRegionA_B4">toolPNLRegionA!$B$4</definedName>
    <definedName name="tlOutput_toolPNLRegionA_B5">toolPNLRegionA!$B$5</definedName>
    <definedName name="tlOutput_toolPNLRegionA_C14">toolPNLRegionA!$C$14</definedName>
    <definedName name="tlOutput_toolPNLRegionA_C17">toolPNLRegionA!$C$17</definedName>
    <definedName name="tlOutput_toolPNLRegionA_C26">toolPNLRegionA!$C$26</definedName>
    <definedName name="tlOutput_toolPNLRegionA_C59">toolPNLRegionA!$C$59</definedName>
    <definedName name="tlOutput_toolPNLRegionA_C62">toolPNLRegionA!$C$62</definedName>
    <definedName name="tlOutput_toolPNLRegionA_C7">toolPNLRegionA!$C$7</definedName>
    <definedName name="tlOutput_toolPNLRegionA_C9">toolPNLRegionA!$C$9</definedName>
    <definedName name="tlOutput_toolPNLRegionA_D18">toolPNLRegionA!$D$18</definedName>
    <definedName name="tlOutput_toolPNLRegionA_D23">toolPNLRegionA!$D$23</definedName>
    <definedName name="tlOutput_toolPNLRegionA_D27">toolPNLRegionA!$D$27</definedName>
    <definedName name="tlOutput_toolPNLRegionA_D29">toolPNLRegionA!$D$29</definedName>
    <definedName name="tlOutput_toolPNLRegionA_D33">toolPNLRegionA!$D$33</definedName>
    <definedName name="tlOutput_toolPNLRegionA_D35">toolPNLRegionA!$D$35</definedName>
    <definedName name="tlOutput_toolPNLRegionA_D39">toolPNLRegionA!$D$39</definedName>
    <definedName name="tlOutput_toolPNLRegionA_D41">toolPNLRegionA!$D$41</definedName>
    <definedName name="tlOutput_toolPNLRegionA_D46">toolPNLRegionA!$D$46</definedName>
    <definedName name="tlOutput_toolPNLRegionA_D48">toolPNLRegionA!$D$48</definedName>
    <definedName name="tlOutput_toolPNLRegionA_D51">toolPNLRegionA!$D$51</definedName>
    <definedName name="tlOutput_toolPNLRegionA_D57">toolPNLRegionA!$D$57</definedName>
    <definedName name="tlOutput_toolPNLRegionA_D63">toolPNLRegionA!$D$63</definedName>
    <definedName name="tlOutput_toolPNLRegionA_E10">toolPNLRegionA!$E$10</definedName>
    <definedName name="tlOutput_toolPNLRegionA_E12">toolPNLRegionA!$E$12</definedName>
    <definedName name="tlOutput_toolPNLRegionA_E15">toolPNLRegionA!$E$15</definedName>
    <definedName name="tlOutput_toolPNLRegionA_E19">toolPNLRegionA!$E$19</definedName>
    <definedName name="tlOutput_toolPNLRegionA_E20">toolPNLRegionA!$E$20</definedName>
    <definedName name="tlOutput_toolPNLRegionA_E21">toolPNLRegionA!$E$21</definedName>
    <definedName name="tlOutput_toolPNLRegionA_E24">toolPNLRegionA!$E$24</definedName>
    <definedName name="tlOutput_toolPNLRegionA_E30">toolPNLRegionA!$E$30</definedName>
    <definedName name="tlOutput_toolPNLRegionA_E31">toolPNLRegionA!$E$31</definedName>
    <definedName name="tlOutput_toolPNLRegionA_E36">toolPNLRegionA!$E$36</definedName>
    <definedName name="tlOutput_toolPNLRegionA_E37">toolPNLRegionA!$E$37</definedName>
    <definedName name="tlOutput_toolPNLRegionA_E42">toolPNLRegionA!$E$42</definedName>
    <definedName name="tlOutput_toolPNLRegionA_E43">toolPNLRegionA!$E$43</definedName>
    <definedName name="tlOutput_toolPNLRegionA_E44">toolPNLRegionA!$E$44</definedName>
    <definedName name="tlOutput_toolPNLRegionA_E49">toolPNLRegionA!$E$49</definedName>
    <definedName name="tlOutput_toolPNLRegionA_E52">toolPNLRegionA!$E$52</definedName>
    <definedName name="tlOutput_toolPNLRegionA_E53">toolPNLRegionA!$E$53</definedName>
    <definedName name="tlOutput_toolPNLRegionA_E54">toolPNLRegionA!$E$54</definedName>
    <definedName name="tlOutput_toolPNLRegionA_E55">toolPNLRegionA!$E$55</definedName>
    <definedName name="tlOutput_toolPNLRegionA_E60">toolPNLRegionA!$E$60</definedName>
    <definedName name="tlOutput_toolPNLRegionA_E64">toolPNLRegionA!$E$64</definedName>
    <definedName name="tlOutput_toolPNLRegionA_G10">toolPNLRegionA!$G$10</definedName>
    <definedName name="tlOutput_toolPNLRegionA_G12">toolPNLRegionA!$G$12</definedName>
    <definedName name="tlOutput_toolPNLRegionA_G14">toolPNLRegionA!$G$14</definedName>
    <definedName name="tlOutput_toolPNLRegionA_G19">toolPNLRegionA!$G$19</definedName>
    <definedName name="tlOutput_toolPNLRegionA_G20">toolPNLRegionA!$G$20</definedName>
    <definedName name="tlOutput_toolPNLRegionA_G21">toolPNLRegionA!$G$21</definedName>
    <definedName name="tlOutput_toolPNLRegionA_G23">toolPNLRegionA!$G$23</definedName>
    <definedName name="tlOutput_toolPNLRegionA_G24">toolPNLRegionA!$G$24</definedName>
    <definedName name="tlOutput_toolPNLRegionA_G26">toolPNLRegionA!$G$26</definedName>
    <definedName name="tlOutput_toolPNLRegionA_G27">toolPNLRegionA!$G$27</definedName>
    <definedName name="tlOutput_toolPNLRegionA_G30">toolPNLRegionA!$G$30</definedName>
    <definedName name="tlOutput_toolPNLRegionA_G31">toolPNLRegionA!$G$31</definedName>
    <definedName name="tlOutput_toolPNLRegionA_G33">toolPNLRegionA!$G$33</definedName>
    <definedName name="tlOutput_toolPNLRegionA_G36">toolPNLRegionA!$G$36</definedName>
    <definedName name="tlOutput_toolPNLRegionA_G37">toolPNLRegionA!$G$37</definedName>
    <definedName name="tlOutput_toolPNLRegionA_G39">toolPNLRegionA!$G$39</definedName>
    <definedName name="tlOutput_toolPNLRegionA_G42">toolPNLRegionA!$G$42</definedName>
    <definedName name="tlOutput_toolPNLRegionA_G43">toolPNLRegionA!$G$43</definedName>
    <definedName name="tlOutput_toolPNLRegionA_G44">toolPNLRegionA!$G$44</definedName>
    <definedName name="tlOutput_toolPNLRegionA_G46">toolPNLRegionA!$G$46</definedName>
    <definedName name="tlOutput_toolPNLRegionA_G48">toolPNLRegionA!$G$48</definedName>
    <definedName name="tlOutput_toolPNLRegionA_G49">toolPNLRegionA!$G$49</definedName>
    <definedName name="tlOutput_toolPNLRegionA_G5">toolPNLRegionA!$G$5</definedName>
    <definedName name="tlOutput_toolPNLRegionA_G54">toolPNLRegionA!$G$54</definedName>
    <definedName name="tlOutput_toolPNLRegionA_G55">toolPNLRegionA!$G$55</definedName>
    <definedName name="tlOutput_toolPNLRegionA_G57">toolPNLRegionA!$G$57</definedName>
    <definedName name="tlOutput_toolPNLRegionA_G59">toolPNLRegionA!$G$59</definedName>
    <definedName name="tlOutput_toolPNLRegionA_G60">toolPNLRegionA!$G$60</definedName>
    <definedName name="tlOutput_toolPNLRegionA_G62">toolPNLRegionA!$G$62</definedName>
    <definedName name="tlOutput_toolPNLRegionA_G63">toolPNLRegionA!$G$63</definedName>
    <definedName name="tlOutput_toolPNLRegionA_G64">toolPNLRegionA!$G$64</definedName>
    <definedName name="tlOutput_toolPNLRegionA_G7">toolPNLRegionA!$G$7</definedName>
    <definedName name="tlOutput_toolPNLRegionA_G9">toolPNLRegionA!$G$9</definedName>
    <definedName name="tlOutput_toolPNLRegionA_H39">toolPNLRegionA!$H$39</definedName>
    <definedName name="tlOutput_toolPNLRegionA_H57">toolPNLRegionA!$H$57</definedName>
    <definedName name="tlOutput_toolPNLRegionA_I10">toolPNLRegionA!$I$10</definedName>
    <definedName name="tlOutput_toolPNLRegionA_I12">toolPNLRegionA!$I$12</definedName>
    <definedName name="tlOutput_toolPNLRegionA_I14">toolPNLRegionA!$I$14</definedName>
    <definedName name="tlOutput_toolPNLRegionA_I19">toolPNLRegionA!$I$19</definedName>
    <definedName name="tlOutput_toolPNLRegionA_I20">toolPNLRegionA!$I$20</definedName>
    <definedName name="tlOutput_toolPNLRegionA_I21">toolPNLRegionA!$I$21</definedName>
    <definedName name="tlOutput_toolPNLRegionA_I23">toolPNLRegionA!$I$23</definedName>
    <definedName name="tlOutput_toolPNLRegionA_I24">toolPNLRegionA!$I$24</definedName>
    <definedName name="tlOutput_toolPNLRegionA_I26">toolPNLRegionA!$I$26</definedName>
    <definedName name="tlOutput_toolPNLRegionA_I27">toolPNLRegionA!$I$27</definedName>
    <definedName name="tlOutput_toolPNLRegionA_I30">toolPNLRegionA!$I$30</definedName>
    <definedName name="tlOutput_toolPNLRegionA_I31">toolPNLRegionA!$I$31</definedName>
    <definedName name="tlOutput_toolPNLRegionA_I33">toolPNLRegionA!$I$33</definedName>
    <definedName name="tlOutput_toolPNLRegionA_I36">toolPNLRegionA!$I$36</definedName>
    <definedName name="tlOutput_toolPNLRegionA_I37">toolPNLRegionA!$I$37</definedName>
    <definedName name="tlOutput_toolPNLRegionA_I39">toolPNLRegionA!$I$39</definedName>
    <definedName name="tlOutput_toolPNLRegionA_I42">toolPNLRegionA!$I$42</definedName>
    <definedName name="tlOutput_toolPNLRegionA_I43">toolPNLRegionA!$I$43</definedName>
    <definedName name="tlOutput_toolPNLRegionA_I44">toolPNLRegionA!$I$44</definedName>
    <definedName name="tlOutput_toolPNLRegionA_I46">toolPNLRegionA!$I$46</definedName>
    <definedName name="tlOutput_toolPNLRegionA_I48">toolPNLRegionA!$I$48</definedName>
    <definedName name="tlOutput_toolPNLRegionA_I49">toolPNLRegionA!$I$49</definedName>
    <definedName name="tlOutput_toolPNLRegionA_I5">toolPNLRegionA!$I$5</definedName>
    <definedName name="tlOutput_toolPNLRegionA_I54">toolPNLRegionA!$I$54</definedName>
    <definedName name="tlOutput_toolPNLRegionA_I55">toolPNLRegionA!$I$55</definedName>
    <definedName name="tlOutput_toolPNLRegionA_I57">toolPNLRegionA!$I$57</definedName>
    <definedName name="tlOutput_toolPNLRegionA_I59">toolPNLRegionA!$I$59</definedName>
    <definedName name="tlOutput_toolPNLRegionA_I60">toolPNLRegionA!$I$60</definedName>
    <definedName name="tlOutput_toolPNLRegionA_I62">toolPNLRegionA!$I$62</definedName>
    <definedName name="tlOutput_toolPNLRegionA_I63">toolPNLRegionA!$I$63</definedName>
    <definedName name="tlOutput_toolPNLRegionA_I64">toolPNLRegionA!$I$64</definedName>
    <definedName name="tlOutput_toolPNLRegionA_I7">toolPNLRegionA!$I$7</definedName>
    <definedName name="tlOutput_toolPNLRegionA_I9">toolPNLRegionA!$I$9</definedName>
    <definedName name="tlOutput_toolPNLRegionA_K10">toolPNLRegionA!$K$10</definedName>
    <definedName name="tlOutput_toolPNLRegionA_K12">toolPNLRegionA!$K$12</definedName>
    <definedName name="tlOutput_toolPNLRegionA_K14">toolPNLRegionA!$K$14</definedName>
    <definedName name="tlOutput_toolPNLRegionA_K19">toolPNLRegionA!$K$19</definedName>
    <definedName name="tlOutput_toolPNLRegionA_K20">toolPNLRegionA!$K$20</definedName>
    <definedName name="tlOutput_toolPNLRegionA_K21">toolPNLRegionA!$K$21</definedName>
    <definedName name="tlOutput_toolPNLRegionA_K23">toolPNLRegionA!$K$23</definedName>
    <definedName name="tlOutput_toolPNLRegionA_K24">toolPNLRegionA!$K$24</definedName>
    <definedName name="tlOutput_toolPNLRegionA_K26">toolPNLRegionA!$K$26</definedName>
    <definedName name="tlOutput_toolPNLRegionA_K27">toolPNLRegionA!$K$27</definedName>
    <definedName name="tlOutput_toolPNLRegionA_K30">toolPNLRegionA!$K$30</definedName>
    <definedName name="tlOutput_toolPNLRegionA_K31">toolPNLRegionA!$K$31</definedName>
    <definedName name="tlOutput_toolPNLRegionA_K33">toolPNLRegionA!$K$33</definedName>
    <definedName name="tlOutput_toolPNLRegionA_K36">toolPNLRegionA!$K$36</definedName>
    <definedName name="tlOutput_toolPNLRegionA_K37">toolPNLRegionA!$K$37</definedName>
    <definedName name="tlOutput_toolPNLRegionA_K39">toolPNLRegionA!$K$39</definedName>
    <definedName name="tlOutput_toolPNLRegionA_K42">toolPNLRegionA!$K$42</definedName>
    <definedName name="tlOutput_toolPNLRegionA_K43">toolPNLRegionA!$K$43</definedName>
    <definedName name="tlOutput_toolPNLRegionA_K44">toolPNLRegionA!$K$44</definedName>
    <definedName name="tlOutput_toolPNLRegionA_K46">toolPNLRegionA!$K$46</definedName>
    <definedName name="tlOutput_toolPNLRegionA_K48">toolPNLRegionA!$K$48</definedName>
    <definedName name="tlOutput_toolPNLRegionA_K49">toolPNLRegionA!$K$49</definedName>
    <definedName name="tlOutput_toolPNLRegionA_K5">toolPNLRegionA!$K$5</definedName>
    <definedName name="tlOutput_toolPNLRegionA_K54">toolPNLRegionA!$K$54</definedName>
    <definedName name="tlOutput_toolPNLRegionA_K55">toolPNLRegionA!$K$55</definedName>
    <definedName name="tlOutput_toolPNLRegionA_K57">toolPNLRegionA!$K$57</definedName>
    <definedName name="tlOutput_toolPNLRegionA_K59">toolPNLRegionA!$K$59</definedName>
    <definedName name="tlOutput_toolPNLRegionA_K60">toolPNLRegionA!$K$60</definedName>
    <definedName name="tlOutput_toolPNLRegionA_K62">toolPNLRegionA!$K$62</definedName>
    <definedName name="tlOutput_toolPNLRegionA_K63">toolPNLRegionA!$K$63</definedName>
    <definedName name="tlOutput_toolPNLRegionA_K64">toolPNLRegionA!$K$64</definedName>
    <definedName name="tlOutput_toolPNLRegionA_K7">toolPNLRegionA!$K$7</definedName>
    <definedName name="tlOutput_toolPNLRegionA_K9">toolPNLRegionA!$K$9</definedName>
    <definedName name="tlOutput_toolPNLRegionA_M10">toolPNLRegionA!$M$10</definedName>
    <definedName name="tlOutput_toolPNLRegionA_M12">toolPNLRegionA!$M$12</definedName>
    <definedName name="tlOutput_toolPNLRegionA_M14">toolPNLRegionA!$M$14</definedName>
    <definedName name="tlOutput_toolPNLRegionA_M19">toolPNLRegionA!$M$19</definedName>
    <definedName name="tlOutput_toolPNLRegionA_M20">toolPNLRegionA!$M$20</definedName>
    <definedName name="tlOutput_toolPNLRegionA_M21">toolPNLRegionA!$M$21</definedName>
    <definedName name="tlOutput_toolPNLRegionA_M23">toolPNLRegionA!$M$23</definedName>
    <definedName name="tlOutput_toolPNLRegionA_M24">toolPNLRegionA!$M$24</definedName>
    <definedName name="tlOutput_toolPNLRegionA_M26">toolPNLRegionA!$M$26</definedName>
    <definedName name="tlOutput_toolPNLRegionA_M27">toolPNLRegionA!$M$27</definedName>
    <definedName name="tlOutput_toolPNLRegionA_M30">toolPNLRegionA!$M$30</definedName>
    <definedName name="tlOutput_toolPNLRegionA_M31">toolPNLRegionA!$M$31</definedName>
    <definedName name="tlOutput_toolPNLRegionA_M33">toolPNLRegionA!$M$33</definedName>
    <definedName name="tlOutput_toolPNLRegionA_M36">toolPNLRegionA!$M$36</definedName>
    <definedName name="tlOutput_toolPNLRegionA_M37">toolPNLRegionA!$M$37</definedName>
    <definedName name="tlOutput_toolPNLRegionA_M39">toolPNLRegionA!$M$39</definedName>
    <definedName name="tlOutput_toolPNLRegionA_M42">toolPNLRegionA!$M$42</definedName>
    <definedName name="tlOutput_toolPNLRegionA_M43">toolPNLRegionA!$M$43</definedName>
    <definedName name="tlOutput_toolPNLRegionA_M44">toolPNLRegionA!$M$44</definedName>
    <definedName name="tlOutput_toolPNLRegionA_M46">toolPNLRegionA!$M$46</definedName>
    <definedName name="tlOutput_toolPNLRegionA_M48">toolPNLRegionA!$M$48</definedName>
    <definedName name="tlOutput_toolPNLRegionA_M49">toolPNLRegionA!$M$49</definedName>
    <definedName name="tlOutput_toolPNLRegionA_M5">toolPNLRegionA!$M$5</definedName>
    <definedName name="tlOutput_toolPNLRegionA_M54">toolPNLRegionA!$M$54</definedName>
    <definedName name="tlOutput_toolPNLRegionA_M55">toolPNLRegionA!$M$55</definedName>
    <definedName name="tlOutput_toolPNLRegionA_M57">toolPNLRegionA!$M$57</definedName>
    <definedName name="tlOutput_toolPNLRegionA_M59">toolPNLRegionA!$M$59</definedName>
    <definedName name="tlOutput_toolPNLRegionA_M60">toolPNLRegionA!$M$60</definedName>
    <definedName name="tlOutput_toolPNLRegionA_M62">toolPNLRegionA!$M$62</definedName>
    <definedName name="tlOutput_toolPNLRegionA_M63">toolPNLRegionA!$M$63</definedName>
    <definedName name="tlOutput_toolPNLRegionA_M64">toolPNLRegionA!$M$64</definedName>
    <definedName name="tlOutput_toolPNLRegionA_M7">toolPNLRegionA!$M$7</definedName>
    <definedName name="tlOutput_toolPNLRegionA_M9">toolPNLRegionA!$M$9</definedName>
    <definedName name="tlOutput_toolPNLRegionA_O12">toolPNLRegionA!$O$12</definedName>
    <definedName name="tlOutput_toolPNLRegionA_O14">toolPNLRegionA!$O$14</definedName>
    <definedName name="tlOutput_toolPNLRegionA_O15">toolPNLRegionA!$O$15</definedName>
    <definedName name="tlOutput_toolPNLRegionA_O19">toolPNLRegionA!$O$19</definedName>
    <definedName name="tlOutput_toolPNLRegionA_O20">toolPNLRegionA!$O$20</definedName>
    <definedName name="tlOutput_toolPNLRegionA_O21">toolPNLRegionA!$O$21</definedName>
    <definedName name="tlOutput_toolPNLRegionA_O23">toolPNLRegionA!$O$23</definedName>
    <definedName name="tlOutput_toolPNLRegionA_O26">toolPNLRegionA!$O$26</definedName>
    <definedName name="tlOutput_toolPNLRegionA_O27">toolPNLRegionA!$O$27</definedName>
    <definedName name="tlOutput_toolPNLRegionA_O30">toolPNLRegionA!$O$30</definedName>
    <definedName name="tlOutput_toolPNLRegionA_O31">toolPNLRegionA!$O$31</definedName>
    <definedName name="tlOutput_toolPNLRegionA_O33">toolPNLRegionA!$O$33</definedName>
    <definedName name="tlOutput_toolPNLRegionA_O36">toolPNLRegionA!$O$36</definedName>
    <definedName name="tlOutput_toolPNLRegionA_O37">toolPNLRegionA!$O$37</definedName>
    <definedName name="tlOutput_toolPNLRegionA_O39">toolPNLRegionA!$O$39</definedName>
    <definedName name="tlOutput_toolPNLRegionA_O42">toolPNLRegionA!$O$42</definedName>
    <definedName name="tlOutput_toolPNLRegionA_O43">toolPNLRegionA!$O$43</definedName>
    <definedName name="tlOutput_toolPNLRegionA_O44">toolPNLRegionA!$O$44</definedName>
    <definedName name="tlOutput_toolPNLRegionA_O46">toolPNLRegionA!$O$46</definedName>
    <definedName name="tlOutput_toolPNLRegionA_O48">toolPNLRegionA!$O$48</definedName>
    <definedName name="tlOutput_toolPNLRegionA_O5">toolPNLRegionA!$O$5</definedName>
    <definedName name="tlOutput_toolPNLRegionA_O52">toolPNLRegionA!$O$52</definedName>
    <definedName name="tlOutput_toolPNLRegionA_O53">toolPNLRegionA!$O$53</definedName>
    <definedName name="tlOutput_toolPNLRegionA_O54">toolPNLRegionA!$O$54</definedName>
    <definedName name="tlOutput_toolPNLRegionA_O55">toolPNLRegionA!$O$55</definedName>
    <definedName name="tlOutput_toolPNLRegionA_O57">toolPNLRegionA!$O$57</definedName>
    <definedName name="tlOutput_toolPNLRegionA_O59">toolPNLRegionA!$O$59</definedName>
    <definedName name="tlOutput_toolPNLRegionA_O62">toolPNLRegionA!$O$62</definedName>
    <definedName name="tlOutput_toolPNLRegionA_O63">toolPNLRegionA!$O$63</definedName>
    <definedName name="tlOutput_toolPNLRegionA_O7">toolPNLRegionA!$O$7</definedName>
    <definedName name="tlOutput_toolPNLRegionA_O9">toolPNLRegionA!$O$9</definedName>
    <definedName name="tlOutput_toolPNLRegionA_P3">toolPNLRegionA!$P$3</definedName>
    <definedName name="tlOutput_toolPNLRegionB_B3">toolPNLRegionB!$B$3</definedName>
    <definedName name="tlOutput_toolPNLRegionB_B4">toolPNLRegionB!$B$4</definedName>
    <definedName name="tlOutput_toolPNLRegionB_C14">toolPNLRegionB!$C$14</definedName>
    <definedName name="tlOutput_toolPNLRegionB_C17">toolPNLRegionB!$C$17</definedName>
    <definedName name="tlOutput_toolPNLRegionB_C26">toolPNLRegionB!$C$26</definedName>
    <definedName name="tlOutput_toolPNLRegionB_C59">toolPNLRegionB!$C$59</definedName>
    <definedName name="tlOutput_toolPNLRegionB_C62">toolPNLRegionB!$C$62</definedName>
    <definedName name="tlOutput_toolPNLRegionB_C7">toolPNLRegionB!$C$7</definedName>
    <definedName name="tlOutput_toolPNLRegionB_C9">toolPNLRegionB!$C$9</definedName>
    <definedName name="tlOutput_toolPNLRegionB_D18">toolPNLRegionB!$D$18</definedName>
    <definedName name="tlOutput_toolPNLRegionB_D23">toolPNLRegionB!$D$23</definedName>
    <definedName name="tlOutput_toolPNLRegionB_D27">toolPNLRegionB!$D$27</definedName>
    <definedName name="tlOutput_toolPNLRegionB_D29">toolPNLRegionB!$D$29</definedName>
    <definedName name="tlOutput_toolPNLRegionB_D33">toolPNLRegionB!$D$33</definedName>
    <definedName name="tlOutput_toolPNLRegionB_D35">toolPNLRegionB!$D$35</definedName>
    <definedName name="tlOutput_toolPNLRegionB_D39">toolPNLRegionB!$D$39</definedName>
    <definedName name="tlOutput_toolPNLRegionB_D41">toolPNLRegionB!$D$41</definedName>
    <definedName name="tlOutput_toolPNLRegionB_D46">toolPNLRegionB!$D$46</definedName>
    <definedName name="tlOutput_toolPNLRegionB_D48">toolPNLRegionB!$D$48</definedName>
    <definedName name="tlOutput_toolPNLRegionB_D51">toolPNLRegionB!$D$51</definedName>
    <definedName name="tlOutput_toolPNLRegionB_D57">toolPNLRegionB!$D$57</definedName>
    <definedName name="tlOutput_toolPNLRegionB_D63">toolPNLRegionB!$D$63</definedName>
    <definedName name="tlOutput_toolPNLRegionB_E10">toolPNLRegionB!$E$10</definedName>
    <definedName name="tlOutput_toolPNLRegionB_E12">toolPNLRegionB!$E$12</definedName>
    <definedName name="tlOutput_toolPNLRegionB_E15">toolPNLRegionB!$E$15</definedName>
    <definedName name="tlOutput_toolPNLRegionB_E19">toolPNLRegionB!$E$19</definedName>
    <definedName name="tlOutput_toolPNLRegionB_E20">toolPNLRegionB!$E$20</definedName>
    <definedName name="tlOutput_toolPNLRegionB_E21">toolPNLRegionB!$E$21</definedName>
    <definedName name="tlOutput_toolPNLRegionB_E24">toolPNLRegionB!$E$24</definedName>
    <definedName name="tlOutput_toolPNLRegionB_E30">toolPNLRegionB!$E$30</definedName>
    <definedName name="tlOutput_toolPNLRegionB_E31">toolPNLRegionB!$E$31</definedName>
    <definedName name="tlOutput_toolPNLRegionB_E36">toolPNLRegionB!$E$36</definedName>
    <definedName name="tlOutput_toolPNLRegionB_E37">toolPNLRegionB!$E$37</definedName>
    <definedName name="tlOutput_toolPNLRegionB_E42">toolPNLRegionB!$E$42</definedName>
    <definedName name="tlOutput_toolPNLRegionB_E43">toolPNLRegionB!$E$43</definedName>
    <definedName name="tlOutput_toolPNLRegionB_E44">toolPNLRegionB!$E$44</definedName>
    <definedName name="tlOutput_toolPNLRegionB_E49">toolPNLRegionB!$E$49</definedName>
    <definedName name="tlOutput_toolPNLRegionB_E52">toolPNLRegionB!$E$52</definedName>
    <definedName name="tlOutput_toolPNLRegionB_E53">toolPNLRegionB!$E$53</definedName>
    <definedName name="tlOutput_toolPNLRegionB_E54">toolPNLRegionB!$E$54</definedName>
    <definedName name="tlOutput_toolPNLRegionB_E55">toolPNLRegionB!$E$55</definedName>
    <definedName name="tlOutput_toolPNLRegionB_E60">toolPNLRegionB!$E$60</definedName>
    <definedName name="tlOutput_toolPNLRegionB_E64">toolPNLRegionB!$E$64</definedName>
    <definedName name="tlOutput_toolPNLRegionB_G10">toolPNLRegionB!$G$10</definedName>
    <definedName name="tlOutput_toolPNLRegionB_G12">toolPNLRegionB!$G$12</definedName>
    <definedName name="tlOutput_toolPNLRegionB_G14">toolPNLRegionB!$G$14</definedName>
    <definedName name="tlOutput_toolPNLRegionB_G19">toolPNLRegionB!$G$19</definedName>
    <definedName name="tlOutput_toolPNLRegionB_G20">toolPNLRegionB!$G$20</definedName>
    <definedName name="tlOutput_toolPNLRegionB_G21">toolPNLRegionB!$G$21</definedName>
    <definedName name="tlOutput_toolPNLRegionB_G23">toolPNLRegionB!$G$23</definedName>
    <definedName name="tlOutput_toolPNLRegionB_G24">toolPNLRegionB!$G$24</definedName>
    <definedName name="tlOutput_toolPNLRegionB_G26">toolPNLRegionB!$G$26</definedName>
    <definedName name="tlOutput_toolPNLRegionB_G27">toolPNLRegionB!$G$27</definedName>
    <definedName name="tlOutput_toolPNLRegionB_G30">toolPNLRegionB!$G$30</definedName>
    <definedName name="tlOutput_toolPNLRegionB_G31">toolPNLRegionB!$G$31</definedName>
    <definedName name="tlOutput_toolPNLRegionB_G33">toolPNLRegionB!$G$33</definedName>
    <definedName name="tlOutput_toolPNLRegionB_G36">toolPNLRegionB!$G$36</definedName>
    <definedName name="tlOutput_toolPNLRegionB_G37">toolPNLRegionB!$G$37</definedName>
    <definedName name="tlOutput_toolPNLRegionB_G39">toolPNLRegionB!$G$39</definedName>
    <definedName name="tlOutput_toolPNLRegionB_G42">toolPNLRegionB!$G$42</definedName>
    <definedName name="tlOutput_toolPNLRegionB_G43">toolPNLRegionB!$G$43</definedName>
    <definedName name="tlOutput_toolPNLRegionB_G44">toolPNLRegionB!$G$44</definedName>
    <definedName name="tlOutput_toolPNLRegionB_G46">toolPNLRegionB!$G$46</definedName>
    <definedName name="tlOutput_toolPNLRegionB_G48">toolPNLRegionB!$G$48</definedName>
    <definedName name="tlOutput_toolPNLRegionB_G49">toolPNLRegionB!$G$49</definedName>
    <definedName name="tlOutput_toolPNLRegionB_G5">toolPNLRegionB!$G$5</definedName>
    <definedName name="tlOutput_toolPNLRegionB_G54">toolPNLRegionB!$G$54</definedName>
    <definedName name="tlOutput_toolPNLRegionB_G55">toolPNLRegionB!$G$55</definedName>
    <definedName name="tlOutput_toolPNLRegionB_G57">toolPNLRegionB!$G$57</definedName>
    <definedName name="tlOutput_toolPNLRegionB_G59">toolPNLRegionB!$G$59</definedName>
    <definedName name="tlOutput_toolPNLRegionB_G60">toolPNLRegionB!$G$60</definedName>
    <definedName name="tlOutput_toolPNLRegionB_G62">toolPNLRegionB!$G$62</definedName>
    <definedName name="tlOutput_toolPNLRegionB_G63">toolPNLRegionB!$G$63</definedName>
    <definedName name="tlOutput_toolPNLRegionB_G64">toolPNLRegionB!$G$64</definedName>
    <definedName name="tlOutput_toolPNLRegionB_G7">toolPNLRegionB!$G$7</definedName>
    <definedName name="tlOutput_toolPNLRegionB_G9">toolPNLRegionB!$G$9</definedName>
    <definedName name="tlOutput_toolPNLRegionB_H39">toolPNLRegionB!$H$39</definedName>
    <definedName name="tlOutput_toolPNLRegionB_I10">toolPNLRegionB!$I$10</definedName>
    <definedName name="tlOutput_toolPNLRegionB_I12">toolPNLRegionB!$I$12</definedName>
    <definedName name="tlOutput_toolPNLRegionB_I14">toolPNLRegionB!$I$14</definedName>
    <definedName name="tlOutput_toolPNLRegionB_I19">toolPNLRegionB!$I$19</definedName>
    <definedName name="tlOutput_toolPNLRegionB_I20">toolPNLRegionB!$I$20</definedName>
    <definedName name="tlOutput_toolPNLRegionB_I21">toolPNLRegionB!$I$21</definedName>
    <definedName name="tlOutput_toolPNLRegionB_I23">toolPNLRegionB!$I$23</definedName>
    <definedName name="tlOutput_toolPNLRegionB_I24">toolPNLRegionB!$I$24</definedName>
    <definedName name="tlOutput_toolPNLRegionB_I26">toolPNLRegionB!$I$26</definedName>
    <definedName name="tlOutput_toolPNLRegionB_I27">toolPNLRegionB!$I$27</definedName>
    <definedName name="tlOutput_toolPNLRegionB_I30">toolPNLRegionB!$I$30</definedName>
    <definedName name="tlOutput_toolPNLRegionB_I31">toolPNLRegionB!$I$31</definedName>
    <definedName name="tlOutput_toolPNLRegionB_I33">toolPNLRegionB!$I$33</definedName>
    <definedName name="tlOutput_toolPNLRegionB_I36">toolPNLRegionB!$I$36</definedName>
    <definedName name="tlOutput_toolPNLRegionB_I37">toolPNLRegionB!$I$37</definedName>
    <definedName name="tlOutput_toolPNLRegionB_I39">toolPNLRegionB!$I$39</definedName>
    <definedName name="tlOutput_toolPNLRegionB_I42">toolPNLRegionB!$I$42</definedName>
    <definedName name="tlOutput_toolPNLRegionB_I43">toolPNLRegionB!$I$43</definedName>
    <definedName name="tlOutput_toolPNLRegionB_I44">toolPNLRegionB!$I$44</definedName>
    <definedName name="tlOutput_toolPNLRegionB_I46">toolPNLRegionB!$I$46</definedName>
    <definedName name="tlOutput_toolPNLRegionB_I48">toolPNLRegionB!$I$48</definedName>
    <definedName name="tlOutput_toolPNLRegionB_I49">toolPNLRegionB!$I$49</definedName>
    <definedName name="tlOutput_toolPNLRegionB_I5">toolPNLRegionB!$I$5</definedName>
    <definedName name="tlOutput_toolPNLRegionB_I54">toolPNLRegionB!$I$54</definedName>
    <definedName name="tlOutput_toolPNLRegionB_I55">toolPNLRegionB!$I$55</definedName>
    <definedName name="tlOutput_toolPNLRegionB_I57">toolPNLRegionB!$I$57</definedName>
    <definedName name="tlOutput_toolPNLRegionB_I59">toolPNLRegionB!$I$59</definedName>
    <definedName name="tlOutput_toolPNLRegionB_I60">toolPNLRegionB!$I$60</definedName>
    <definedName name="tlOutput_toolPNLRegionB_I62">toolPNLRegionB!$I$62</definedName>
    <definedName name="tlOutput_toolPNLRegionB_I63">toolPNLRegionB!$I$63</definedName>
    <definedName name="tlOutput_toolPNLRegionB_I64">toolPNLRegionB!$I$64</definedName>
    <definedName name="tlOutput_toolPNLRegionB_I7">toolPNLRegionB!$I$7</definedName>
    <definedName name="tlOutput_toolPNLRegionB_I9">toolPNLRegionB!$I$9</definedName>
    <definedName name="tlOutput_toolPNLRegionB_K10">toolPNLRegionB!$K$10</definedName>
    <definedName name="tlOutput_toolPNLRegionB_K12">toolPNLRegionB!$K$12</definedName>
    <definedName name="tlOutput_toolPNLRegionB_K14">toolPNLRegionB!$K$14</definedName>
    <definedName name="tlOutput_toolPNLRegionB_K19">toolPNLRegionB!$K$19</definedName>
    <definedName name="tlOutput_toolPNLRegionB_K20">toolPNLRegionB!$K$20</definedName>
    <definedName name="tlOutput_toolPNLRegionB_K21">toolPNLRegionB!$K$21</definedName>
    <definedName name="tlOutput_toolPNLRegionB_K23">toolPNLRegionB!$K$23</definedName>
    <definedName name="tlOutput_toolPNLRegionB_K24">toolPNLRegionB!$K$24</definedName>
    <definedName name="tlOutput_toolPNLRegionB_K26">toolPNLRegionB!$K$26</definedName>
    <definedName name="tlOutput_toolPNLRegionB_K27">toolPNLRegionB!$K$27</definedName>
    <definedName name="tlOutput_toolPNLRegionB_K30">toolPNLRegionB!$K$30</definedName>
    <definedName name="tlOutput_toolPNLRegionB_K31">toolPNLRegionB!$K$31</definedName>
    <definedName name="tlOutput_toolPNLRegionB_K33">toolPNLRegionB!$K$33</definedName>
    <definedName name="tlOutput_toolPNLRegionB_K36">toolPNLRegionB!$K$36</definedName>
    <definedName name="tlOutput_toolPNLRegionB_K37">toolPNLRegionB!$K$37</definedName>
    <definedName name="tlOutput_toolPNLRegionB_K39">toolPNLRegionB!$K$39</definedName>
    <definedName name="tlOutput_toolPNLRegionB_K42">toolPNLRegionB!$K$42</definedName>
    <definedName name="tlOutput_toolPNLRegionB_K43">toolPNLRegionB!$K$43</definedName>
    <definedName name="tlOutput_toolPNLRegionB_K44">toolPNLRegionB!$K$44</definedName>
    <definedName name="tlOutput_toolPNLRegionB_K46">toolPNLRegionB!$K$46</definedName>
    <definedName name="tlOutput_toolPNLRegionB_K48">toolPNLRegionB!$K$48</definedName>
    <definedName name="tlOutput_toolPNLRegionB_K49">toolPNLRegionB!$K$49</definedName>
    <definedName name="tlOutput_toolPNLRegionB_K5">toolPNLRegionB!$K$5</definedName>
    <definedName name="tlOutput_toolPNLRegionB_K54">toolPNLRegionB!$K$54</definedName>
    <definedName name="tlOutput_toolPNLRegionB_K55">toolPNLRegionB!$K$55</definedName>
    <definedName name="tlOutput_toolPNLRegionB_K57">toolPNLRegionB!$K$57</definedName>
    <definedName name="tlOutput_toolPNLRegionB_K59">toolPNLRegionB!$K$59</definedName>
    <definedName name="tlOutput_toolPNLRegionB_K60">toolPNLRegionB!$K$60</definedName>
    <definedName name="tlOutput_toolPNLRegionB_K62">toolPNLRegionB!$K$62</definedName>
    <definedName name="tlOutput_toolPNLRegionB_K63">toolPNLRegionB!$K$63</definedName>
    <definedName name="tlOutput_toolPNLRegionB_K64">toolPNLRegionB!$K$64</definedName>
    <definedName name="tlOutput_toolPNLRegionB_K7">toolPNLRegionB!$K$7</definedName>
    <definedName name="tlOutput_toolPNLRegionB_K9">toolPNLRegionB!$K$9</definedName>
    <definedName name="tlOutput_toolPNLRegionB_M10">toolPNLRegionB!$M$10</definedName>
    <definedName name="tlOutput_toolPNLRegionB_M12">toolPNLRegionB!$M$12</definedName>
    <definedName name="tlOutput_toolPNLRegionB_M14">toolPNLRegionB!$M$14</definedName>
    <definedName name="tlOutput_toolPNLRegionB_M19">toolPNLRegionB!$M$19</definedName>
    <definedName name="tlOutput_toolPNLRegionB_M20">toolPNLRegionB!$M$20</definedName>
    <definedName name="tlOutput_toolPNLRegionB_M21">toolPNLRegionB!$M$21</definedName>
    <definedName name="tlOutput_toolPNLRegionB_M23">toolPNLRegionB!$M$23</definedName>
    <definedName name="tlOutput_toolPNLRegionB_M24">toolPNLRegionB!$M$24</definedName>
    <definedName name="tlOutput_toolPNLRegionB_M26">toolPNLRegionB!$M$26</definedName>
    <definedName name="tlOutput_toolPNLRegionB_M27">toolPNLRegionB!$M$27</definedName>
    <definedName name="tlOutput_toolPNLRegionB_M30">toolPNLRegionB!$M$30</definedName>
    <definedName name="tlOutput_toolPNLRegionB_M31">toolPNLRegionB!$M$31</definedName>
    <definedName name="tlOutput_toolPNLRegionB_M33">toolPNLRegionB!$M$33</definedName>
    <definedName name="tlOutput_toolPNLRegionB_M36">toolPNLRegionB!$M$36</definedName>
    <definedName name="tlOutput_toolPNLRegionB_M37">toolPNLRegionB!$M$37</definedName>
    <definedName name="tlOutput_toolPNLRegionB_M39">toolPNLRegionB!$M$39</definedName>
    <definedName name="tlOutput_toolPNLRegionB_M42">toolPNLRegionB!$M$42</definedName>
    <definedName name="tlOutput_toolPNLRegionB_M43">toolPNLRegionB!$M$43</definedName>
    <definedName name="tlOutput_toolPNLRegionB_M44">toolPNLRegionB!$M$44</definedName>
    <definedName name="tlOutput_toolPNLRegionB_M46">toolPNLRegionB!$M$46</definedName>
    <definedName name="tlOutput_toolPNLRegionB_M48">toolPNLRegionB!$M$48</definedName>
    <definedName name="tlOutput_toolPNLRegionB_M49">toolPNLRegionB!$M$49</definedName>
    <definedName name="tlOutput_toolPNLRegionB_M5">toolPNLRegionB!$M$5</definedName>
    <definedName name="tlOutput_toolPNLRegionB_M54">toolPNLRegionB!$M$54</definedName>
    <definedName name="tlOutput_toolPNLRegionB_M55">toolPNLRegionB!$M$55</definedName>
    <definedName name="tlOutput_toolPNLRegionB_M57">toolPNLRegionB!$M$57</definedName>
    <definedName name="tlOutput_toolPNLRegionB_M59">toolPNLRegionB!$M$59</definedName>
    <definedName name="tlOutput_toolPNLRegionB_M60">toolPNLRegionB!$M$60</definedName>
    <definedName name="tlOutput_toolPNLRegionB_M62">toolPNLRegionB!$M$62</definedName>
    <definedName name="tlOutput_toolPNLRegionB_M63">toolPNLRegionB!$M$63</definedName>
    <definedName name="tlOutput_toolPNLRegionB_M64">toolPNLRegionB!$M$64</definedName>
    <definedName name="tlOutput_toolPNLRegionB_M7">toolPNLRegionB!$M$7</definedName>
    <definedName name="tlOutput_toolPNLRegionB_M9">toolPNLRegionB!$M$9</definedName>
    <definedName name="tlOutput_toolPNLRegionB_O12">toolPNLRegionB!$O$12</definedName>
    <definedName name="tlOutput_toolPNLRegionB_O14">toolPNLRegionB!$O$14</definedName>
    <definedName name="tlOutput_toolPNLRegionB_O15">toolPNLRegionB!$O$15</definedName>
    <definedName name="tlOutput_toolPNLRegionB_O19">toolPNLRegionB!$O$19</definedName>
    <definedName name="tlOutput_toolPNLRegionB_O20">toolPNLRegionB!$O$20</definedName>
    <definedName name="tlOutput_toolPNLRegionB_O21">toolPNLRegionB!$O$21</definedName>
    <definedName name="tlOutput_toolPNLRegionB_O23">toolPNLRegionB!$O$23</definedName>
    <definedName name="tlOutput_toolPNLRegionB_O26">toolPNLRegionB!$O$26</definedName>
    <definedName name="tlOutput_toolPNLRegionB_O27">toolPNLRegionB!$O$27</definedName>
    <definedName name="tlOutput_toolPNLRegionB_O30">toolPNLRegionB!$O$30</definedName>
    <definedName name="tlOutput_toolPNLRegionB_O31">toolPNLRegionB!$O$31</definedName>
    <definedName name="tlOutput_toolPNLRegionB_O33">toolPNLRegionB!$O$33</definedName>
    <definedName name="tlOutput_toolPNLRegionB_O36">toolPNLRegionB!$O$36</definedName>
    <definedName name="tlOutput_toolPNLRegionB_O37">toolPNLRegionB!$O$37</definedName>
    <definedName name="tlOutput_toolPNLRegionB_O39">toolPNLRegionB!$O$39</definedName>
    <definedName name="tlOutput_toolPNLRegionB_O42">toolPNLRegionB!$O$42</definedName>
    <definedName name="tlOutput_toolPNLRegionB_O43">toolPNLRegionB!$O$43</definedName>
    <definedName name="tlOutput_toolPNLRegionB_O44">toolPNLRegionB!$O$44</definedName>
    <definedName name="tlOutput_toolPNLRegionB_O46">toolPNLRegionB!$O$46</definedName>
    <definedName name="tlOutput_toolPNLRegionB_O48">toolPNLRegionB!$O$48</definedName>
    <definedName name="tlOutput_toolPNLRegionB_O5">toolPNLRegionB!$O$5</definedName>
    <definedName name="tlOutput_toolPNLRegionB_O52">toolPNLRegionB!$O$52</definedName>
    <definedName name="tlOutput_toolPNLRegionB_O53">toolPNLRegionB!$O$53</definedName>
    <definedName name="tlOutput_toolPNLRegionB_O54">toolPNLRegionB!$O$54</definedName>
    <definedName name="tlOutput_toolPNLRegionB_O55">toolPNLRegionB!$O$55</definedName>
    <definedName name="tlOutput_toolPNLRegionB_O57">toolPNLRegionB!$O$57</definedName>
    <definedName name="tlOutput_toolPNLRegionB_O59">toolPNLRegionB!$O$59</definedName>
    <definedName name="tlOutput_toolPNLRegionB_O62">toolPNLRegionB!$O$62</definedName>
    <definedName name="tlOutput_toolPNLRegionB_O63">toolPNLRegionB!$O$63</definedName>
    <definedName name="tlOutput_toolPNLRegionB_O7">toolPNLRegionB!$O$7</definedName>
    <definedName name="tlOutput_toolPNLRegionB_O9">toolPNLRegionB!$O$9</definedName>
    <definedName name="tlOutput_toolPNLRegionB_P3">toolPNLRegionB!$P$3</definedName>
    <definedName name="tlOutput_toolPrograms_AA1">toolPrograms!$AA$1</definedName>
    <definedName name="tlOutput_toolPrograms_B41">toolPrograms!$B$41</definedName>
    <definedName name="tlOutput_toolPrograms_B42">toolPrograms!$B$42</definedName>
    <definedName name="tlOutput_toolPrograms_C10">toolPrograms!$C$10</definedName>
    <definedName name="tlOutput_toolPrograms_C46">toolPrograms!$C$46</definedName>
    <definedName name="tlOutput_toolPrograms_C56">toolPrograms!$C$56</definedName>
    <definedName name="tlOutput_toolPrograms_C66">toolPrograms!$C$66</definedName>
    <definedName name="tlOutput_toolPrograms_D12">toolPrograms!$D$12</definedName>
    <definedName name="tlOutput_toolPrograms_D48">toolPrograms!$D$48</definedName>
    <definedName name="tlOutput_toolPrograms_D49">toolPrograms!$D$49</definedName>
    <definedName name="tlOutput_toolPrograms_D50">toolPrograms!$D$50</definedName>
    <definedName name="tlOutput_toolPrograms_D51">toolPrograms!$D$51</definedName>
    <definedName name="tlOutput_toolPrograms_D52">toolPrograms!$D$52</definedName>
    <definedName name="tlOutput_toolPrograms_D54">toolPrograms!$D$54</definedName>
    <definedName name="tlOutput_toolPrograms_D58">toolPrograms!$D$58</definedName>
    <definedName name="tlOutput_toolPrograms_D59">toolPrograms!$D$59</definedName>
    <definedName name="tlOutput_toolPrograms_D60">toolPrograms!$D$60</definedName>
    <definedName name="tlOutput_toolPrograms_D61">toolPrograms!$D$61</definedName>
    <definedName name="tlOutput_toolPrograms_D62">toolPrograms!$D$62</definedName>
    <definedName name="tlOutput_toolPrograms_D64">toolPrograms!$D$64</definedName>
    <definedName name="tlOutput_toolPrograms_D68">toolPrograms!$D$68</definedName>
    <definedName name="tlOutput_toolPrograms_D69">toolPrograms!$D$69</definedName>
    <definedName name="tlOutput_toolPrograms_D70">toolPrograms!$D$70</definedName>
    <definedName name="tlOutput_toolPrograms_D71">toolPrograms!$D$71</definedName>
    <definedName name="tlOutput_toolPrograms_D72">toolPrograms!$D$72</definedName>
    <definedName name="tlOutput_toolPrograms_D74">toolPrograms!$D$74</definedName>
    <definedName name="tlOutput_toolPrograms_F12">toolPrograms!$F$12</definedName>
    <definedName name="tlOutput_toolPrograms_F14">toolPrograms!$F$14</definedName>
    <definedName name="tlOutput_toolPrograms_F16">toolPrograms!$F$16</definedName>
    <definedName name="tlOutput_toolPrograms_F18">toolPrograms!$F$18</definedName>
    <definedName name="tlOutput_toolPrograms_F20">toolPrograms!$F$20</definedName>
    <definedName name="tlOutput_toolPrograms_F22">toolPrograms!$F$22</definedName>
    <definedName name="tlOutput_toolPrograms_F24">toolPrograms!$F$24</definedName>
    <definedName name="tlOutput_toolPrograms_G26">toolPrograms!$G$26</definedName>
    <definedName name="tlOutput_toolPrograms_G3">toolPrograms!$G$3</definedName>
    <definedName name="tlOutput_toolPrograms_I12">toolPrograms!$I$12</definedName>
    <definedName name="tlOutput_toolPrograms_I14">toolPrograms!$I$14</definedName>
    <definedName name="tlOutput_toolPrograms_I16">toolPrograms!$I$16</definedName>
    <definedName name="tlOutput_toolPrograms_I18">toolPrograms!$I$18</definedName>
    <definedName name="tlOutput_toolPrograms_I20">toolPrograms!$I$20</definedName>
    <definedName name="tlOutput_toolPrograms_I22">toolPrograms!$I$22</definedName>
    <definedName name="tlOutput_toolPrograms_I26">toolPrograms!$I$26</definedName>
    <definedName name="tlOutput_toolPrograms_I44">toolPrograms!$I$44</definedName>
    <definedName name="tlOutput_toolPrograms_I48">toolPrograms!$I$48</definedName>
    <definedName name="tlOutput_toolPrograms_I49">toolPrograms!$I$49</definedName>
    <definedName name="tlOutput_toolPrograms_I50">toolPrograms!$I$50</definedName>
    <definedName name="tlOutput_toolPrograms_I51">toolPrograms!$I$51</definedName>
    <definedName name="tlOutput_toolPrograms_I52">toolPrograms!$I$52</definedName>
    <definedName name="tlOutput_toolPrograms_I54">toolPrograms!$I$54</definedName>
    <definedName name="tlOutput_toolPrograms_I58">toolPrograms!$I$58</definedName>
    <definedName name="tlOutput_toolPrograms_I59">toolPrograms!$I$59</definedName>
    <definedName name="tlOutput_toolPrograms_I60">toolPrograms!$I$60</definedName>
    <definedName name="tlOutput_toolPrograms_I61">toolPrograms!$I$61</definedName>
    <definedName name="tlOutput_toolPrograms_I62">toolPrograms!$I$62</definedName>
    <definedName name="tlOutput_toolPrograms_I64">toolPrograms!$I$64</definedName>
    <definedName name="tlOutput_toolPrograms_I68">toolPrograms!$I$68</definedName>
    <definedName name="tlOutput_toolPrograms_I69">toolPrograms!$I$69</definedName>
    <definedName name="tlOutput_toolPrograms_I70">toolPrograms!$I$70</definedName>
    <definedName name="tlOutput_toolPrograms_I71">toolPrograms!$I$71</definedName>
    <definedName name="tlOutput_toolPrograms_I72">toolPrograms!$I$72</definedName>
    <definedName name="tlOutput_toolPrograms_I74">toolPrograms!$I$74</definedName>
    <definedName name="tlOutput_toolPrograms_K12">toolPrograms!$K$12</definedName>
    <definedName name="tlOutput_toolPrograms_K14">toolPrograms!$K$14</definedName>
    <definedName name="tlOutput_toolPrograms_K16">toolPrograms!$K$16</definedName>
    <definedName name="tlOutput_toolPrograms_K18">toolPrograms!$K$18</definedName>
    <definedName name="tlOutput_toolPrograms_K20">toolPrograms!$K$20</definedName>
    <definedName name="tlOutput_toolPrograms_K22">toolPrograms!$K$22</definedName>
    <definedName name="tlOutput_toolPrograms_K26">toolPrograms!$K$26</definedName>
    <definedName name="tlOutput_toolPrograms_K44">toolPrograms!$K$44</definedName>
    <definedName name="tlOutput_toolPrograms_K48">toolPrograms!$K$48</definedName>
    <definedName name="tlOutput_toolPrograms_K49">toolPrograms!$K$49</definedName>
    <definedName name="tlOutput_toolPrograms_K50">toolPrograms!$K$50</definedName>
    <definedName name="tlOutput_toolPrograms_K51">toolPrograms!$K$51</definedName>
    <definedName name="tlOutput_toolPrograms_K52">toolPrograms!$K$52</definedName>
    <definedName name="tlOutput_toolPrograms_K54">toolPrograms!$K$54</definedName>
    <definedName name="tlOutput_toolPrograms_K58">toolPrograms!$K$58</definedName>
    <definedName name="tlOutput_toolPrograms_K59">toolPrograms!$K$59</definedName>
    <definedName name="tlOutput_toolPrograms_K60">toolPrograms!$K$60</definedName>
    <definedName name="tlOutput_toolPrograms_K61">toolPrograms!$K$61</definedName>
    <definedName name="tlOutput_toolPrograms_K62">toolPrograms!$K$62</definedName>
    <definedName name="tlOutput_toolPrograms_K64">toolPrograms!$K$64</definedName>
    <definedName name="tlOutput_toolPrograms_K68">toolPrograms!$K$68</definedName>
    <definedName name="tlOutput_toolPrograms_K69">toolPrograms!$K$69</definedName>
    <definedName name="tlOutput_toolPrograms_K70">toolPrograms!$K$70</definedName>
    <definedName name="tlOutput_toolPrograms_K71">toolPrograms!$K$71</definedName>
    <definedName name="tlOutput_toolPrograms_K72">toolPrograms!$K$72</definedName>
    <definedName name="tlOutput_toolPrograms_K74">toolPrograms!$K$74</definedName>
    <definedName name="tlOutput_toolPrograms_M12">toolPrograms!$M$12</definedName>
    <definedName name="tlOutput_toolPrograms_M14">toolPrograms!$M$14</definedName>
    <definedName name="tlOutput_toolPrograms_M16">toolPrograms!$M$16</definedName>
    <definedName name="tlOutput_toolPrograms_M18">toolPrograms!$M$18</definedName>
    <definedName name="tlOutput_toolPrograms_M20">toolPrograms!$M$20</definedName>
    <definedName name="tlOutput_toolPrograms_M22">toolPrograms!$M$22</definedName>
    <definedName name="tlOutput_toolPrograms_M26">toolPrograms!$M$26</definedName>
    <definedName name="tlOutput_toolPrograms_N3">toolPrograms!$N$3</definedName>
    <definedName name="tlOutput_toolPrograms_N5">toolPrograms!$N$5</definedName>
    <definedName name="tlOutput_toolPrograms_N7">toolPrograms!$N$7</definedName>
    <definedName name="tlOutput_toolPrograms_O41">toolPrograms!$O$41</definedName>
    <definedName name="tlOutput_toolPrograms_U2">toolPrograms!$U$2</definedName>
    <definedName name="tlOutput_toolPrograms_U3">toolPrograms!$U$3</definedName>
    <definedName name="tlOutput_toolPrograms_V1">toolPrograms!$V$1</definedName>
    <definedName name="tlOutput_toolPrograms_V12">toolPrograms!$V$12</definedName>
    <definedName name="tlOutput_toolPrograms_V14">toolPrograms!$V$14</definedName>
    <definedName name="tlOutput_toolPrograms_V16">toolPrograms!$V$16</definedName>
    <definedName name="tlOutput_toolPrograms_V18">toolPrograms!$V$18</definedName>
    <definedName name="tlOutput_toolPrograms_V2">toolPrograms!$V$2</definedName>
    <definedName name="tlOutput_toolPrograms_V20">toolPrograms!$V$20</definedName>
    <definedName name="tlOutput_toolPrograms_V22">toolPrograms!$V$22</definedName>
    <definedName name="tlOutput_toolPrograms_V3">toolPrograms!$V$3</definedName>
    <definedName name="tlOutput_toolPrograms_W1">toolPrograms!$W$1</definedName>
    <definedName name="tlOutput_toolPrograms_W12">toolPrograms!$W$12</definedName>
    <definedName name="tlOutput_toolPrograms_W14">toolPrograms!$W$14</definedName>
    <definedName name="tlOutput_toolPrograms_W16">toolPrograms!$W$16</definedName>
    <definedName name="tlOutput_toolPrograms_W18">toolPrograms!$W$18</definedName>
    <definedName name="tlOutput_toolPrograms_W20">toolPrograms!$W$20</definedName>
    <definedName name="tlOutput_toolPrograms_W22">toolPrograms!$W$22</definedName>
    <definedName name="tlOutput_toolPrograms_X1">toolPrograms!$X$1</definedName>
    <definedName name="tlOutput_toolPrograms_X12">toolPrograms!$X$12</definedName>
    <definedName name="tlOutput_toolPrograms_X14">toolPrograms!$X$14</definedName>
    <definedName name="tlOutput_toolPrograms_X16">toolPrograms!$X$16</definedName>
    <definedName name="tlOutput_toolPrograms_X18">toolPrograms!$X$18</definedName>
    <definedName name="tlOutput_toolPrograms_X20">toolPrograms!$X$20</definedName>
    <definedName name="tlOutput_toolPrograms_X22">toolPrograms!$X$22</definedName>
    <definedName name="tlOutput_toolPrograms_Y1">toolPrograms!$Y$1</definedName>
    <definedName name="tlOutput_toolPrograms_Y12">toolPrograms!$Y$12</definedName>
    <definedName name="tlOutput_toolPrograms_Y14">toolPrograms!$Y$14</definedName>
    <definedName name="tlOutput_toolPrograms_Y16">toolPrograms!$Y$16</definedName>
    <definedName name="tlOutput_toolPrograms_Y18">toolPrograms!$Y$18</definedName>
    <definedName name="tlOutput_toolPrograms_Y20">toolPrograms!$Y$20</definedName>
    <definedName name="tlOutput_toolPrograms_Y22">toolPrograms!$Y$22</definedName>
    <definedName name="tlOutput_toolPrograms_Z1">toolPrograms!$Z$1</definedName>
    <definedName name="tlOutput_toolPrograms_Z12">toolPrograms!$Z$12</definedName>
    <definedName name="tlOutput_toolRnD_AA12">toolRnD!$AA$12</definedName>
    <definedName name="tlOutput_toolRnD_AA14">toolRnD!$AA$14</definedName>
    <definedName name="tlOutput_toolRnD_AA16">toolRnD!$AA$16</definedName>
    <definedName name="tlOutput_toolRnD_AA18">toolRnD!$AA$18</definedName>
    <definedName name="tlOutput_toolRnD_AA20">toolRnD!$AA$20</definedName>
    <definedName name="tlOutput_toolRnD_AB12">toolRnD!$AB$12</definedName>
    <definedName name="tlOutput_toolRnD_AB14">toolRnD!$AB$14</definedName>
    <definedName name="tlOutput_toolRnD_AB16">toolRnD!$AB$16</definedName>
    <definedName name="tlOutput_toolRnD_AB18">toolRnD!$AB$18</definedName>
    <definedName name="tlOutput_toolRnD_AB20">toolRnD!$AB$20</definedName>
    <definedName name="tlOutput_toolRnD_AB21">toolRnD!$AB$21</definedName>
    <definedName name="tlOutput_toolRnD_AC12">toolRnD!$AC$12</definedName>
    <definedName name="tlOutput_toolRnD_AC14">toolRnD!$AC$14</definedName>
    <definedName name="tlOutput_toolRnD_AC16">toolRnD!$AC$16</definedName>
    <definedName name="tlOutput_toolRnD_AC18">toolRnD!$AC$18</definedName>
    <definedName name="tlOutput_toolRnD_AC20">toolRnD!$AC$20</definedName>
    <definedName name="tlOutput_toolRnD_AC21">toolRnD!$AC$21</definedName>
    <definedName name="tlOutput_toolRnD_B36">toolRnD!$B$36</definedName>
    <definedName name="tlOutput_toolRnD_B49">toolRnD!$B$49</definedName>
    <definedName name="tlOutput_toolRnD_B89">toolRnD!$B$89</definedName>
    <definedName name="tlOutput_toolRnD_C10">toolRnD!$C$10</definedName>
    <definedName name="tlOutput_toolRnD_C24">toolRnD!$C$24</definedName>
    <definedName name="tlOutput_toolRnD_C52">toolRnD!$C$52</definedName>
    <definedName name="tlOutput_toolRnD_C66">toolRnD!$C$66</definedName>
    <definedName name="tlOutput_toolRnD_C77">toolRnD!$C$77</definedName>
    <definedName name="tlOutput_toolRnD_D14">toolRnD!$D$14</definedName>
    <definedName name="tlOutput_toolRnD_D16">toolRnD!$D$16</definedName>
    <definedName name="tlOutput_toolRnD_D18">toolRnD!$D$18</definedName>
    <definedName name="tlOutput_toolRnD_D20">toolRnD!$D$20</definedName>
    <definedName name="tlOutput_toolRnD_D26">toolRnD!$D$26</definedName>
    <definedName name="tlOutput_toolRnD_D54">toolRnD!$D$54</definedName>
    <definedName name="tlOutput_toolRnD_D55">toolRnD!$D$55</definedName>
    <definedName name="tlOutput_toolRnD_D56">toolRnD!$D$56</definedName>
    <definedName name="tlOutput_toolRnD_D57">toolRnD!$D$57</definedName>
    <definedName name="tlOutput_toolRnD_D59">toolRnD!$D$59</definedName>
    <definedName name="tlOutput_toolRnD_D60">toolRnD!$D$60</definedName>
    <definedName name="tlOutput_toolRnD_D62">toolRnD!$D$62</definedName>
    <definedName name="tlOutput_toolRnD_D64">toolRnD!$D$64</definedName>
    <definedName name="tlOutput_toolRnD_D68">toolRnD!$D$68</definedName>
    <definedName name="tlOutput_toolRnD_D69">toolRnD!$D$69</definedName>
    <definedName name="tlOutput_toolRnD_D71">toolRnD!$D$71</definedName>
    <definedName name="tlOutput_toolRnD_D73">toolRnD!$D$73</definedName>
    <definedName name="tlOutput_toolRnD_D75">toolRnD!$D$75</definedName>
    <definedName name="tlOutput_toolRnD_D79">toolRnD!$D$79</definedName>
    <definedName name="tlOutput_toolRnD_D80">toolRnD!$D$80</definedName>
    <definedName name="tlOutput_toolRnD_D81">toolRnD!$D$81</definedName>
    <definedName name="tlOutput_toolRnD_D82">toolRnD!$D$82</definedName>
    <definedName name="tlOutput_toolRnD_D83">toolRnD!$D$83</definedName>
    <definedName name="tlOutput_toolRnD_D85">toolRnD!$D$85</definedName>
    <definedName name="tlOutput_toolRnD_D87">toolRnD!$D$87</definedName>
    <definedName name="tlOutput_toolRnD_D91">toolRnD!$D$91</definedName>
    <definedName name="tlOutput_toolRnD_D93">toolRnD!$D$93</definedName>
    <definedName name="tlOutput_toolRnD_D95">toolRnD!$D$95</definedName>
    <definedName name="tlOutput_toolRnD_D97">toolRnD!$D$97</definedName>
    <definedName name="tlOutput_toolRnD_D99">toolRnD!$D$99</definedName>
    <definedName name="tlOutput_toolRnD_F91">toolRnD!$F$91</definedName>
    <definedName name="tlOutput_toolRnD_F93">toolRnD!$F$93</definedName>
    <definedName name="tlOutput_toolRnD_F95">toolRnD!$F$95</definedName>
    <definedName name="tlOutput_toolRnD_F97">toolRnD!$F$97</definedName>
    <definedName name="tlOutput_toolRnD_F99">toolRnD!$F$99</definedName>
    <definedName name="tlOutput_toolRnD_G12">toolRnD!$G$12</definedName>
    <definedName name="tlOutput_toolRnD_G38">toolRnD!$G$38</definedName>
    <definedName name="tlOutput_toolRnD_I26">toolRnD!$I$26</definedName>
    <definedName name="tlOutput_toolRnD_J51">toolRnD!$J$51</definedName>
    <definedName name="tlOutput_toolRnD_J54">toolRnD!$J$54</definedName>
    <definedName name="tlOutput_toolRnD_J56">toolRnD!$J$56</definedName>
    <definedName name="tlOutput_toolRnD_J57">toolRnD!$J$57</definedName>
    <definedName name="tlOutput_toolRnD_J59">toolRnD!$J$59</definedName>
    <definedName name="tlOutput_toolRnD_J60">toolRnD!$J$60</definedName>
    <definedName name="tlOutput_toolRnD_J62">toolRnD!$J$62</definedName>
    <definedName name="tlOutput_toolRnD_J64">toolRnD!$J$64</definedName>
    <definedName name="tlOutput_toolRnD_J68">toolRnD!$J$68</definedName>
    <definedName name="tlOutput_toolRnD_J69">toolRnD!$J$69</definedName>
    <definedName name="tlOutput_toolRnD_J71">toolRnD!$J$71</definedName>
    <definedName name="tlOutput_toolRnD_J79">toolRnD!$J$79</definedName>
    <definedName name="tlOutput_toolRnD_J81">toolRnD!$J$81</definedName>
    <definedName name="tlOutput_toolRnD_J82">toolRnD!$J$82</definedName>
    <definedName name="tlOutput_toolRnD_J83">toolRnD!$J$83</definedName>
    <definedName name="tlOutput_toolRnD_J85">toolRnD!$J$85</definedName>
    <definedName name="tlOutput_toolRnD_K22">toolRnD!$K$22</definedName>
    <definedName name="tlOutput_toolRnD_K26">toolRnD!$K$26</definedName>
    <definedName name="tlOutput_toolRnD_K3">toolRnD!$K$3</definedName>
    <definedName name="tlOutput_toolRnD_K91">toolRnD!$K$91</definedName>
    <definedName name="tlOutput_toolRnD_K93">toolRnD!$K$93</definedName>
    <definedName name="tlOutput_toolRnD_K95">toolRnD!$K$95</definedName>
    <definedName name="tlOutput_toolRnD_K97">toolRnD!$K$97</definedName>
    <definedName name="tlOutput_toolRnD_K99">toolRnD!$K$99</definedName>
    <definedName name="tlOutput_toolRnD_M12">toolRnD!$M$12</definedName>
    <definedName name="tlOutput_toolRnD_M14">toolRnD!$M$14</definedName>
    <definedName name="tlOutput_toolRnD_M16">toolRnD!$M$16</definedName>
    <definedName name="tlOutput_toolRnD_M18">toolRnD!$M$18</definedName>
    <definedName name="tlOutput_toolRnD_M20">toolRnD!$M$20</definedName>
    <definedName name="tlOutput_toolRnD_M22">toolRnD!$M$22</definedName>
    <definedName name="tlOutput_toolRnD_M26">toolRnD!$M$26</definedName>
    <definedName name="tlOutput_toolRnD_N14">toolRnD!$N$14</definedName>
    <definedName name="tlOutput_toolRnD_N16">toolRnD!$N$16</definedName>
    <definedName name="tlOutput_toolRnD_N18">toolRnD!$N$18</definedName>
    <definedName name="tlOutput_toolRnD_N20">toolRnD!$N$20</definedName>
    <definedName name="tlOutput_toolRnD_N51">toolRnD!$N$51</definedName>
    <definedName name="tlOutput_toolRnD_N54">toolRnD!$N$54</definedName>
    <definedName name="tlOutput_toolRnD_N56">toolRnD!$N$56</definedName>
    <definedName name="tlOutput_toolRnD_N57">toolRnD!$N$57</definedName>
    <definedName name="tlOutput_toolRnD_N59">toolRnD!$N$59</definedName>
    <definedName name="tlOutput_toolRnD_N60">toolRnD!$N$60</definedName>
    <definedName name="tlOutput_toolRnD_N62">toolRnD!$N$62</definedName>
    <definedName name="tlOutput_toolRnD_N64">toolRnD!$N$64</definedName>
    <definedName name="tlOutput_toolRnD_N68">toolRnD!$N$68</definedName>
    <definedName name="tlOutput_toolRnD_N69">toolRnD!$N$69</definedName>
    <definedName name="tlOutput_toolRnD_N71">toolRnD!$N$71</definedName>
    <definedName name="tlOutput_toolRnD_N75">toolRnD!$N$75</definedName>
    <definedName name="tlOutput_toolRnD_N79">toolRnD!$N$79</definedName>
    <definedName name="tlOutput_toolRnD_N81">toolRnD!$N$81</definedName>
    <definedName name="tlOutput_toolRnD_N82">toolRnD!$N$82</definedName>
    <definedName name="tlOutput_toolRnD_N83">toolRnD!$N$83</definedName>
    <definedName name="tlOutput_toolRnD_N85">toolRnD!$N$85</definedName>
    <definedName name="tlOutput_toolRnD_O12">toolRnD!$O$12</definedName>
    <definedName name="tlOutput_toolRnD_O22">toolRnD!$O$22</definedName>
    <definedName name="tlOutput_toolRnD_O26">toolRnD!$O$26</definedName>
    <definedName name="tlOutput_toolRnD_O91">toolRnD!$O$91</definedName>
    <definedName name="tlOutput_toolRnD_O93">toolRnD!$O$93</definedName>
    <definedName name="tlOutput_toolRnD_O95">toolRnD!$O$95</definedName>
    <definedName name="tlOutput_toolRnD_O97">toolRnD!$O$97</definedName>
    <definedName name="tlOutput_toolRnD_O99">toolRnD!$O$99</definedName>
    <definedName name="tlOutput_toolRnD_Q12">toolRnD!$Q$12</definedName>
    <definedName name="tlOutput_toolRnD_Q14">toolRnD!$Q$14</definedName>
    <definedName name="tlOutput_toolRnD_Q16">toolRnD!$Q$16</definedName>
    <definedName name="tlOutput_toolRnD_Q18">toolRnD!$Q$18</definedName>
    <definedName name="tlOutput_toolRnD_Q20">toolRnD!$Q$20</definedName>
    <definedName name="tlOutput_toolRnD_Q26">toolRnD!$Q$26</definedName>
    <definedName name="tlOutput_toolRnD_Q3">toolRnD!$Q$3</definedName>
    <definedName name="tlOutput_toolRnD_Q5">toolRnD!$Q$5</definedName>
    <definedName name="tlOutput_toolRnD_Q7">toolRnD!$Q$7</definedName>
    <definedName name="tlOutput_toolRnD_R36">toolRnD!$R$36</definedName>
    <definedName name="tlOutput_toolRnD_V12">toolRnD!$V$12</definedName>
    <definedName name="tlOutput_toolRnD_V14">toolRnD!$V$14</definedName>
    <definedName name="tlOutput_toolRnD_V16">toolRnD!$V$16</definedName>
    <definedName name="tlOutput_toolRnD_V18">toolRnD!$V$18</definedName>
    <definedName name="tlOutput_toolRnD_V20">toolRnD!$V$20</definedName>
    <definedName name="tlOutput_toolRnD_W12">toolRnD!$W$12</definedName>
    <definedName name="tlOutput_toolRnD_W14">toolRnD!$W$14</definedName>
    <definedName name="tlOutput_toolRnD_W16">toolRnD!$W$16</definedName>
    <definedName name="tlOutput_toolRnD_W18">toolRnD!$W$18</definedName>
    <definedName name="tlOutput_toolRnD_W20">toolRnD!$W$20</definedName>
    <definedName name="tlOutput_toolRnD_X12">toolRnD!$X$12</definedName>
    <definedName name="tlOutput_toolRnD_X14">toolRnD!$X$14</definedName>
    <definedName name="tlOutput_toolRnD_X16">toolRnD!$X$16</definedName>
    <definedName name="tlOutput_toolRnD_X18">toolRnD!$X$18</definedName>
    <definedName name="tlOutput_toolRnD_X20">toolRnD!$X$20</definedName>
    <definedName name="tlOutput_toolRnD_Y12">toolRnD!$Y$12</definedName>
    <definedName name="tlOutput_toolRnD_Y14">toolRnD!$Y$14</definedName>
    <definedName name="tlOutput_toolRnD_Y16">toolRnD!$Y$16</definedName>
    <definedName name="tlOutput_toolRnD_Y18">toolRnD!$Y$18</definedName>
    <definedName name="tlOutput_toolRnD_Y2">toolRnD!$Y$2</definedName>
    <definedName name="tlOutput_toolRnD_Y20">toolRnD!$Y$20</definedName>
    <definedName name="tlOutput_toolRnD_Y3">toolRnD!$Y$3</definedName>
    <definedName name="tlOutput_toolRnD_Y54">toolRnD!$Y$54</definedName>
    <definedName name="tlOutput_toolRnD_Y55">toolRnD!$Y$55</definedName>
    <definedName name="tlOutput_toolRnD_Y56">toolRnD!$Y$56</definedName>
    <definedName name="tlOutput_toolRnD_Y57">toolRnD!$Y$57</definedName>
    <definedName name="tlOutput_toolRnD_Y58">toolRnD!$Y$58</definedName>
    <definedName name="tlOutput_toolRnD_Y59">toolRnD!$Y$59</definedName>
    <definedName name="tlOutput_toolRnD_Y64">toolRnD!$Y$64</definedName>
    <definedName name="tlOutput_toolRnD_Y65">toolRnD!$Y$65</definedName>
    <definedName name="tlOutput_toolRnD_Y66">toolRnD!$Y$66</definedName>
    <definedName name="tlOutput_toolRnD_Y67">toolRnD!$Y$67</definedName>
    <definedName name="tlOutput_toolRnD_Y68">toolRnD!$Y$68</definedName>
    <definedName name="tlOutput_toolRnD_Y69">toolRnD!$Y$69</definedName>
    <definedName name="tlOutput_toolRnD_Y70">toolRnD!$Y$70</definedName>
    <definedName name="tlOutput_toolRnD_Y71">toolRnD!$Y$71</definedName>
    <definedName name="tlOutput_toolRnD_Y72">toolRnD!$Y$72</definedName>
    <definedName name="tlOutput_toolRnD_Y73">toolRnD!$Y$73</definedName>
    <definedName name="tlOutput_toolRnD_Y75">toolRnD!$Y$75</definedName>
    <definedName name="tlOutput_toolRnD_Y76">toolRnD!$Y$76</definedName>
    <definedName name="tlOutput_toolRnD_Y77">toolRnD!$Y$77</definedName>
    <definedName name="tlOutput_toolRnD_Y78">toolRnD!$Y$78</definedName>
    <definedName name="tlOutput_toolRnD_Y79">toolRnD!$Y$79</definedName>
    <definedName name="tlOutput_toolRnD_Y80">toolRnD!$Y$80</definedName>
    <definedName name="tlOutput_toolRnD_Y81">toolRnD!$Y$81</definedName>
    <definedName name="tlOutput_toolRnD_Y82">toolRnD!$Y$82</definedName>
    <definedName name="tlOutput_toolRnD_Y83">toolRnD!$Y$83</definedName>
    <definedName name="tlOutput_toolRnD_Y84">toolRnD!$Y$84</definedName>
    <definedName name="tlOutput_toolRnD_Y85">toolRnD!$Y$85</definedName>
    <definedName name="tlOutput_toolRnD_Y86">toolRnD!$Y$86</definedName>
    <definedName name="tlOutput_toolRnD_Y87">toolRnD!$Y$87</definedName>
    <definedName name="tlOutput_toolRnD_Z12">toolRnD!$Z$12</definedName>
    <definedName name="tlOutput_toolRnD_Z14">toolRnD!$Z$14</definedName>
    <definedName name="tlOutput_toolRnD_Z16">toolRnD!$Z$16</definedName>
    <definedName name="tlOutput_toolRnD_Z18">toolRnD!$Z$18</definedName>
    <definedName name="tlOutput_toolRnD_Z2">toolRnD!$Z$2</definedName>
    <definedName name="tlOutput_toolRnD_Z20">toolRnD!$Z$20</definedName>
    <definedName name="tlOutput_toolRnD_Z3">toolRnD!$Z$3</definedName>
    <definedName name="tlOutput_toolROIC_B2">toolROIC!$B$2</definedName>
    <definedName name="tlOutput_toolROIC_D10">toolROIC!$D$10</definedName>
    <definedName name="tlOutput_toolROIC_D14">toolROIC!$D$14</definedName>
    <definedName name="tlOutput_toolROIC_D15">toolROIC!$D$15</definedName>
    <definedName name="tlOutput_toolROIC_D19">toolROIC!$D$19</definedName>
    <definedName name="tlOutput_toolROIC_D20">toolROIC!$D$20</definedName>
    <definedName name="tlOutput_toolROIC_D7">toolROIC!$D$7</definedName>
    <definedName name="tlOutput_toolROIC_D8">toolROIC!$D$8</definedName>
    <definedName name="tlOutput_toolROIC_D9">toolROIC!$D$9</definedName>
    <definedName name="tlOutput_toolROIC_E15">toolROIC!$E$15</definedName>
    <definedName name="tlOutput_toolROIC_E20">toolROIC!$E$20</definedName>
    <definedName name="tlOutput_toolROIC_G10">toolROIC!$G$10</definedName>
    <definedName name="tlOutput_toolROIC_G13">toolROIC!$G$13</definedName>
    <definedName name="tlOutput_toolROIC_G14">toolROIC!$G$14</definedName>
    <definedName name="tlOutput_toolROIC_G19">toolROIC!$G$19</definedName>
    <definedName name="tlOutput_toolROIC_G20">toolROIC!$G$20</definedName>
    <definedName name="tlOutput_toolROIC_G23">toolROIC!$G$23</definedName>
    <definedName name="tlOutput_toolROIC_G24">toolROIC!$G$24</definedName>
    <definedName name="tlOutput_toolROIC_G25">toolROIC!$G$25</definedName>
    <definedName name="tlOutput_toolROIC_G5">toolROIC!$G$5</definedName>
    <definedName name="tlOutput_toolROIC_G7">toolROIC!$G$7</definedName>
    <definedName name="tlOutput_toolROIC_G8">toolROIC!$G$8</definedName>
    <definedName name="tlOutput_toolROIC_G9">toolROIC!$G$9</definedName>
    <definedName name="tlOutput_toolROIC_H20">toolROIC!$H$20</definedName>
    <definedName name="tlOutput_toolROIC_I16">toolROIC!$I$16</definedName>
    <definedName name="tlOutput_toolROIC_I23">toolROIC!$I$23</definedName>
    <definedName name="tlOutput_toolROIC_I24">toolROIC!$I$24</definedName>
    <definedName name="tlOutput_toolROIC_I25">toolROIC!$I$25</definedName>
    <definedName name="tlOutput_toolROIC_J17">toolROIC!$J$17</definedName>
    <definedName name="tlOutput_toolROIC_J19">toolROIC!$J$19</definedName>
    <definedName name="tlOutput_toolROIC_J20">toolROIC!$J$20</definedName>
    <definedName name="tlOutput_toolROIC_K14">toolROIC!$K$14</definedName>
    <definedName name="tlOutput_toolROIC_K20">toolROIC!$K$20</definedName>
    <definedName name="tlOutput_toolROIC_M10">toolROIC!$M$10</definedName>
    <definedName name="tlOutput_toolROIC_M11">toolROIC!$M$11</definedName>
    <definedName name="tlOutput_toolROIC_M13">toolROIC!$M$13</definedName>
    <definedName name="tlOutput_toolROIC_M14">toolROIC!$M$14</definedName>
    <definedName name="tlOutput_toolROIC_M19">toolROIC!$M$19</definedName>
    <definedName name="tlOutput_toolROIC_M20">toolROIC!$M$20</definedName>
    <definedName name="tlOutput_toolROIC_M7">toolROIC!$M$7</definedName>
    <definedName name="tlOutput_toolROIC_M8">toolROIC!$M$8</definedName>
    <definedName name="tlOutput_toolROIC_M9">toolROIC!$M$9</definedName>
    <definedName name="tlOutput_toolROIC_N20">toolROIC!$N$20</definedName>
    <definedName name="tlOutput_toolROIC_P10">toolROIC!$P$10</definedName>
    <definedName name="tlOutput_toolROIC_P11">toolROIC!$P$11</definedName>
    <definedName name="tlOutput_toolROIC_P19">toolROIC!$P$19</definedName>
    <definedName name="tlOutput_toolROIC_P20">toolROIC!$P$20</definedName>
    <definedName name="tlOutput_toolROIC_P28">toolROIC!$P$28</definedName>
    <definedName name="tlOutput_toolROIC_P5">toolROIC!$P$5</definedName>
    <definedName name="tlOutput_toolROIC_P7">toolROIC!$P$7</definedName>
    <definedName name="tlOutput_toolROIC_P8">toolROIC!$P$8</definedName>
    <definedName name="tlOutput_toolROIC_P9">toolROIC!$P$9</definedName>
    <definedName name="tlOutput_toolROIC_Q28">toolROIC!$Q$28</definedName>
    <definedName name="tlOutput_toolROIC_R2">toolROIC!$R$2</definedName>
    <definedName name="tlOutput_toolROIC_R28">toolROIC!$R$28</definedName>
    <definedName name="tlOutput_toolROIC_Two_B2">toolROIC_Two!$B$2</definedName>
    <definedName name="tlOutput_toolROIC_Two_C15">toolROIC_Two!$C$15</definedName>
    <definedName name="tlOutput_toolROIC_Two_C16">toolROIC_Two!$C$16</definedName>
    <definedName name="tlOutput_toolROIC_Two_C17">toolROIC_Two!$C$17</definedName>
    <definedName name="tlOutput_toolROIC_Two_C18">toolROIC_Two!$C$18</definedName>
    <definedName name="tlOutput_toolROIC_Two_C19">toolROIC_Two!$C$19</definedName>
    <definedName name="tlOutput_toolROIC_Two_C20">toolROIC_Two!$C$20</definedName>
    <definedName name="tlOutput_toolROIC_Two_C21">toolROIC_Two!$C$21</definedName>
    <definedName name="tlOutput_toolROIC_Two_C22">toolROIC_Two!$C$22</definedName>
    <definedName name="tlOutput_toolROIC_Two_C23">toolROIC_Two!$C$23</definedName>
    <definedName name="tlOutput_toolROIC_Two_C24">toolROIC_Two!$C$24</definedName>
    <definedName name="tlOutput_toolROIC_Two_D11">toolROIC_Two!$D$11</definedName>
    <definedName name="tlOutput_toolROIC_Two_D12">toolROIC_Two!$D$12</definedName>
    <definedName name="tlOutput_toolROIC_Two_E16">toolROIC_Two!$E$16</definedName>
    <definedName name="tlOutput_toolROIC_Two_F15">toolROIC_Two!$F$15</definedName>
    <definedName name="tlOutput_toolROIC_Two_F16">toolROIC_Two!$F$16</definedName>
    <definedName name="tlOutput_toolROIC_Two_F17">toolROIC_Two!$F$17</definedName>
    <definedName name="tlOutput_toolROIC_Two_F18">toolROIC_Two!$F$18</definedName>
    <definedName name="tlOutput_toolROIC_Two_F19">toolROIC_Two!$F$19</definedName>
    <definedName name="tlOutput_toolROIC_Two_F20">toolROIC_Two!$F$20</definedName>
    <definedName name="tlOutput_toolROIC_Two_F21">toolROIC_Two!$F$21</definedName>
    <definedName name="tlOutput_toolROIC_Two_F22">toolROIC_Two!$F$22</definedName>
    <definedName name="tlOutput_toolROIC_Two_F23">toolROIC_Two!$F$23</definedName>
    <definedName name="tlOutput_toolROIC_Two_F24">toolROIC_Two!$F$24</definedName>
    <definedName name="tlOutput_toolROIC_Two_G12">toolROIC_Two!$G$12</definedName>
    <definedName name="tlOutput_toolROIC_Two_I11">toolROIC_Two!$I$11</definedName>
    <definedName name="tlOutput_toolROIC_Two_I12">toolROIC_Two!$I$12</definedName>
    <definedName name="tlOutput_toolROIC_Two_I15">toolROIC_Two!$I$15</definedName>
    <definedName name="tlOutput_toolROIC_Two_I16">toolROIC_Two!$I$16</definedName>
    <definedName name="tlOutput_toolROIC_Two_I17">toolROIC_Two!$I$17</definedName>
    <definedName name="tlOutput_toolROIC_Two_I18">toolROIC_Two!$I$18</definedName>
    <definedName name="tlOutput_toolROIC_Two_I19">toolROIC_Two!$I$19</definedName>
    <definedName name="tlOutput_toolROIC_Two_I20">toolROIC_Two!$I$20</definedName>
    <definedName name="tlOutput_toolROIC_Two_I5">toolROIC_Two!$I$5</definedName>
    <definedName name="tlOutput_toolROIC_Two_I7">toolROIC_Two!$I$7</definedName>
    <definedName name="tlOutput_toolROIC_Two_K12">toolROIC_Two!$K$12</definedName>
    <definedName name="tlOutput_toolROIC_Two_L11">toolROIC_Two!$L$11</definedName>
    <definedName name="tlOutput_toolROIC_Two_L12">toolROIC_Two!$L$12</definedName>
    <definedName name="tlOutput_toolROIC_Two_R2">toolROIC_Two!$R$2</definedName>
    <definedName name="tlOutput_toolROIC_Two_U21">toolROIC_Two!$U$21</definedName>
    <definedName name="tlOutput_toolROIC_Two_U22">toolROIC_Two!$U$22</definedName>
    <definedName name="tlOutput_toolROIC_Two_U23">toolROIC_Two!$U$23</definedName>
    <definedName name="tlOutput_toolROIC_Two_X11">toolROIC_Two!$X$11</definedName>
    <definedName name="tlOutput_toolROIC_Two_X12">toolROIC_Two!$X$12</definedName>
    <definedName name="tlOutput_toolROIC_Two_X13">toolROIC_Two!$X$13</definedName>
    <definedName name="tlOutput_toolROIC_Two_X14">toolROIC_Two!$X$14</definedName>
    <definedName name="tlOutput_toolStrategy_A2">toolStrategy!$A$2</definedName>
    <definedName name="tlOutput_toolStrategy_B10">toolStrategy!$B$10</definedName>
    <definedName name="tlOutput_toolStrategy_B11">toolStrategy!$B$11</definedName>
    <definedName name="tlOutput_toolStrategy_B12">toolStrategy!$B$12</definedName>
    <definedName name="tlOutput_toolStrategy_B13">toolStrategy!$B$13</definedName>
    <definedName name="tlOutput_toolStrategy_B15">toolStrategy!$B$15</definedName>
    <definedName name="tlOutput_toolStrategy_B19">toolStrategy!$B$19</definedName>
    <definedName name="tlOutput_toolStrategy_B21">toolStrategy!$B$21</definedName>
    <definedName name="tlOutput_toolStrategy_B24">toolStrategy!$B$24</definedName>
    <definedName name="tlOutput_toolStrategy_B26">toolStrategy!$B$26</definedName>
    <definedName name="tlOutput_toolStrategy_B28">toolStrategy!$B$28</definedName>
    <definedName name="tlOutput_toolStrategy_B5">toolStrategy!$B$5</definedName>
    <definedName name="tlOutput_toolStrategy_B7">toolStrategy!$B$7</definedName>
    <definedName name="tlOutput_toolStrategy_C12">toolStrategy!$C$12</definedName>
    <definedName name="tlOutput_toolStrategy_C23">toolStrategy!$C$23</definedName>
    <definedName name="tlOutput_toolStrategy_C24">toolStrategy!$C$24</definedName>
    <definedName name="tlOutput_toolStrategy_C25">toolStrategy!$C$25</definedName>
    <definedName name="tlOutput_toolStrategy_C26">toolStrategy!$C$26</definedName>
    <definedName name="tlOutput_toolStrategy_C27">toolStrategy!$C$27</definedName>
    <definedName name="tlOutput_toolStrategy_C9">toolStrategy!$C$9</definedName>
    <definedName name="tlOutput_toolStrategy_D12">toolStrategy!$D$12</definedName>
    <definedName name="tlOutput_toolStrategy_D23">toolStrategy!$D$23</definedName>
    <definedName name="tlOutput_toolStrategy_D24">toolStrategy!$D$24</definedName>
    <definedName name="tlOutput_toolStrategy_D25">toolStrategy!$D$25</definedName>
    <definedName name="tlOutput_toolStrategy_D26">toolStrategy!$D$26</definedName>
    <definedName name="tlOutput_toolStrategy_D27">toolStrategy!$D$27</definedName>
    <definedName name="tlOutput_toolStrategy_D9">toolStrategy!$D$9</definedName>
    <definedName name="tlOutput_toolStrategy_E12">toolStrategy!$E$12</definedName>
    <definedName name="tlOutput_toolStrategy_E9">toolStrategy!$E$9</definedName>
    <definedName name="tlOutput_toolStrategy_F10">toolStrategy!$F$10</definedName>
    <definedName name="tlOutput_toolStrategy_F11">toolStrategy!$F$11</definedName>
    <definedName name="tlOutput_toolStrategy_F23">toolStrategy!$F$23</definedName>
    <definedName name="tlOutput_toolStrategy_F9">toolStrategy!$F$9</definedName>
    <definedName name="tlOutput_toolStrategy_G13">toolStrategy!$G$13</definedName>
    <definedName name="tlOutput_toolStrategy_G14">toolStrategy!$G$14</definedName>
    <definedName name="tlOutput_toolStrategy_G15">toolStrategy!$G$15</definedName>
    <definedName name="tlOutput_toolStrategy_G16">toolStrategy!$G$16</definedName>
    <definedName name="tlOutput_toolStrategy_G17">toolStrategy!$G$17</definedName>
    <definedName name="tlOutput_toolStrategy_H12">toolStrategy!$H$12</definedName>
    <definedName name="tlOutput_toolStrategy_H17">toolStrategy!$H$17</definedName>
    <definedName name="tlOutput_toolStrategy_H23">toolStrategy!$H$23</definedName>
    <definedName name="tlOutput_toolStrategy_I12">toolStrategy!$I$12</definedName>
    <definedName name="tlOutput_toolStrategy_I17">toolStrategy!$I$17</definedName>
    <definedName name="tlOutput_toolStrategy_J1">toolStrategy!$J$1</definedName>
    <definedName name="tlOutput_toolStrategy_J12">toolStrategy!$J$12</definedName>
    <definedName name="tlOutput_toolStrategy_J13">toolStrategy!$J$13</definedName>
    <definedName name="tlOutput_toolStrategy_J14">toolStrategy!$J$14</definedName>
    <definedName name="tlOutput_toolStrategy_J15">toolStrategy!$J$15</definedName>
    <definedName name="tlOutput_toolStrategy_J16">toolStrategy!$J$16</definedName>
    <definedName name="tlOutput_toolStrategy_J23">toolStrategy!$J$23</definedName>
    <definedName name="tlOutput_toolStrategy_K12">toolStrategy!$K$12</definedName>
    <definedName name="tlOutput_toolStrategy_K13">toolStrategy!$K$13</definedName>
    <definedName name="tlOutput_toolStrategy_K14">toolStrategy!$K$14</definedName>
    <definedName name="tlOutput_toolStrategy_K15">toolStrategy!$K$15</definedName>
    <definedName name="tlOutput_toolStrategy_K16">toolStrategy!$K$16</definedName>
    <definedName name="tlOutput_toolTEMPLATE_C10">toolTEMPLATE!$C$10</definedName>
    <definedName name="tlOutput_toolTEMPLATE_C27">toolTEMPLATE!$C$27</definedName>
    <definedName name="tlOutput_toolTEMPLATE_G5">toolTEMPLATE!$G$5</definedName>
    <definedName name="tlOutput_toolTEMPLATE_H7">toolTEMPLATE!$H$7</definedName>
    <definedName name="tlOutput_toolTEMPLATE_J3">toolTEMPLATE!$J$3</definedName>
    <definedName name="tlOutput_toolTEMPLATE_O3">toolTEMPLATE!$O$3</definedName>
    <definedName name="tlOutput_toolVetera_B48">toolVetera!$B$48</definedName>
    <definedName name="tlOutput_toolVetera_C10">toolVetera!$C$10</definedName>
    <definedName name="tlOutput_toolVetera_C25">toolVetera!$C$25</definedName>
    <definedName name="tlOutput_toolVetera_C45">toolVetera!$C$45</definedName>
    <definedName name="tlOutput_toolVetera_C51">toolVetera!$C$51</definedName>
    <definedName name="tlOutput_toolVetera_C61">toolVetera!$C$61</definedName>
    <definedName name="tlOutput_toolVetera_C73">toolVetera!$C$73</definedName>
    <definedName name="tlOutput_toolVetera_D15">toolVetera!$D$15</definedName>
    <definedName name="tlOutput_toolVetera_D16">toolVetera!$D$16</definedName>
    <definedName name="tlOutput_toolVetera_D17">toolVetera!$D$17</definedName>
    <definedName name="tlOutput_toolVetera_D19">toolVetera!$D$19</definedName>
    <definedName name="tlOutput_toolVetera_D20">toolVetera!$D$20</definedName>
    <definedName name="tlOutput_toolVetera_D22">toolVetera!$D$22</definedName>
    <definedName name="tlOutput_toolVetera_D23">toolVetera!$D$23</definedName>
    <definedName name="tlOutput_toolVetera_D29">toolVetera!$D$29</definedName>
    <definedName name="tlOutput_toolVetera_D30">toolVetera!$D$30</definedName>
    <definedName name="tlOutput_toolVetera_D32">toolVetera!$D$32</definedName>
    <definedName name="tlOutput_toolVetera_D33">toolVetera!$D$33</definedName>
    <definedName name="tlOutput_toolVetera_D34">toolVetera!$D$34</definedName>
    <definedName name="tlOutput_toolVetera_D36">toolVetera!$D$36</definedName>
    <definedName name="tlOutput_toolVetera_D39">toolVetera!$D$39</definedName>
    <definedName name="tlOutput_toolVetera_D40">toolVetera!$D$40</definedName>
    <definedName name="tlOutput_toolVetera_D41">toolVetera!$D$41</definedName>
    <definedName name="tlOutput_toolVetera_D42">toolVetera!$D$42</definedName>
    <definedName name="tlOutput_toolVetera_D43">toolVetera!$D$43</definedName>
    <definedName name="tlOutput_toolVetera_D53">toolVetera!$D$53</definedName>
    <definedName name="tlOutput_toolVetera_D54">toolVetera!$D$54</definedName>
    <definedName name="tlOutput_toolVetera_D55">toolVetera!$D$55</definedName>
    <definedName name="tlOutput_toolVetera_D57">toolVetera!$D$57</definedName>
    <definedName name="tlOutput_toolVetera_D59">toolVetera!$D$59</definedName>
    <definedName name="tlOutput_toolVetera_D63">toolVetera!$D$63</definedName>
    <definedName name="tlOutput_toolVetera_D64">toolVetera!$D$64</definedName>
    <definedName name="tlOutput_toolVetera_D65">toolVetera!$D$65</definedName>
    <definedName name="tlOutput_toolVetera_D67">toolVetera!$D$67</definedName>
    <definedName name="tlOutput_toolVetera_D69">toolVetera!$D$69</definedName>
    <definedName name="tlOutput_toolVetera_D71">toolVetera!$D$71</definedName>
    <definedName name="tlOutput_toolVetera_D75">toolVetera!$D$75</definedName>
    <definedName name="tlOutput_toolVetera_D76">toolVetera!$D$76</definedName>
    <definedName name="tlOutput_toolVetera_D77">toolVetera!$D$77</definedName>
    <definedName name="tlOutput_toolVetera_D78">toolVetera!$D$78</definedName>
    <definedName name="tlOutput_toolVetera_D79">toolVetera!$D$79</definedName>
    <definedName name="tlOutput_toolVetera_D80">toolVetera!$D$80</definedName>
    <definedName name="tlOutput_toolVetera_D82">toolVetera!$D$82</definedName>
    <definedName name="tlOutput_toolVetera_D84">toolVetera!$D$84</definedName>
    <definedName name="tlOutput_toolVetera_G13">toolVetera!$G$13</definedName>
    <definedName name="tlOutput_toolVetera_G16">toolVetera!$G$16</definedName>
    <definedName name="tlOutput_toolVetera_G17">toolVetera!$G$17</definedName>
    <definedName name="tlOutput_toolVetera_G20">toolVetera!$G$20</definedName>
    <definedName name="tlOutput_toolVetera_G22">toolVetera!$G$22</definedName>
    <definedName name="tlOutput_toolVetera_G23">toolVetera!$G$23</definedName>
    <definedName name="tlOutput_toolVetera_G27">toolVetera!$G$27</definedName>
    <definedName name="tlOutput_toolVetera_G30">toolVetera!$G$30</definedName>
    <definedName name="tlOutput_toolVetera_G33">toolVetera!$G$33</definedName>
    <definedName name="tlOutput_toolVetera_G34">toolVetera!$G$34</definedName>
    <definedName name="tlOutput_toolVetera_G36">toolVetera!$G$36</definedName>
    <definedName name="tlOutput_toolVetera_G40">toolVetera!$G$40</definedName>
    <definedName name="tlOutput_toolVetera_G41">toolVetera!$G$41</definedName>
    <definedName name="tlOutput_toolVetera_G42">toolVetera!$G$42</definedName>
    <definedName name="tlOutput_toolVetera_G43">toolVetera!$G$43</definedName>
    <definedName name="tlOutput_toolVetera_H50">toolVetera!$H$50</definedName>
    <definedName name="tlOutput_toolVetera_H53">toolVetera!$H$53</definedName>
    <definedName name="tlOutput_toolVetera_H54">toolVetera!$H$54</definedName>
    <definedName name="tlOutput_toolVetera_H55">toolVetera!$H$55</definedName>
    <definedName name="tlOutput_toolVetera_H57">toolVetera!$H$57</definedName>
    <definedName name="tlOutput_toolVetera_H59">toolVetera!$H$59</definedName>
    <definedName name="tlOutput_toolVetera_H63">toolVetera!$H$63</definedName>
    <definedName name="tlOutput_toolVetera_H64">toolVetera!$H$64</definedName>
    <definedName name="tlOutput_toolVetera_H65">toolVetera!$H$65</definedName>
    <definedName name="tlOutput_toolVetera_H67">toolVetera!$H$67</definedName>
    <definedName name="tlOutput_toolVetera_H69">toolVetera!$H$69</definedName>
    <definedName name="tlOutput_toolVetera_H71">toolVetera!$H$71</definedName>
    <definedName name="tlOutput_toolVetera_H75">toolVetera!$H$75</definedName>
    <definedName name="tlOutput_toolVetera_H76">toolVetera!$H$76</definedName>
    <definedName name="tlOutput_toolVetera_H77">toolVetera!$H$77</definedName>
    <definedName name="tlOutput_toolVetera_H78">toolVetera!$H$78</definedName>
    <definedName name="tlOutput_toolVetera_H79">toolVetera!$H$79</definedName>
    <definedName name="tlOutput_toolVetera_H80">toolVetera!$H$80</definedName>
    <definedName name="tlOutput_toolVetera_H82">toolVetera!$H$82</definedName>
    <definedName name="tlOutput_toolVetera_H84">toolVetera!$H$84</definedName>
    <definedName name="tlOutput_toolVetera_I13">toolVetera!$I$13</definedName>
    <definedName name="tlOutput_toolVetera_I16">toolVetera!$I$16</definedName>
    <definedName name="tlOutput_toolVetera_I17">toolVetera!$I$17</definedName>
    <definedName name="tlOutput_toolVetera_I20">toolVetera!$I$20</definedName>
    <definedName name="tlOutput_toolVetera_I22">toolVetera!$I$22</definedName>
    <definedName name="tlOutput_toolVetera_I23">toolVetera!$I$23</definedName>
    <definedName name="tlOutput_toolVetera_I27">toolVetera!$I$27</definedName>
    <definedName name="tlOutput_toolVetera_I3">toolVetera!$I$3</definedName>
    <definedName name="tlOutput_toolVetera_I30">toolVetera!$I$30</definedName>
    <definedName name="tlOutput_toolVetera_I33">toolVetera!$I$33</definedName>
    <definedName name="tlOutput_toolVetera_I34">toolVetera!$I$34</definedName>
    <definedName name="tlOutput_toolVetera_I36">toolVetera!$I$36</definedName>
    <definedName name="tlOutput_toolVetera_J38">toolVetera!$J$38</definedName>
    <definedName name="tlOutput_toolVetera_K13">toolVetera!$K$13</definedName>
    <definedName name="tlOutput_toolVetera_K16">toolVetera!$K$16</definedName>
    <definedName name="tlOutput_toolVetera_K17">toolVetera!$K$17</definedName>
    <definedName name="tlOutput_toolVetera_K20">toolVetera!$K$20</definedName>
    <definedName name="tlOutput_toolVetera_K22">toolVetera!$K$22</definedName>
    <definedName name="tlOutput_toolVetera_K23">toolVetera!$K$23</definedName>
    <definedName name="tlOutput_toolVetera_K27">toolVetera!$K$27</definedName>
    <definedName name="tlOutput_toolVetera_K30">toolVetera!$K$30</definedName>
    <definedName name="tlOutput_toolVetera_K33">toolVetera!$K$33</definedName>
    <definedName name="tlOutput_toolVetera_K34">toolVetera!$K$34</definedName>
    <definedName name="tlOutput_toolVetera_K36">toolVetera!$K$36</definedName>
    <definedName name="tlOutput_toolVetera_K50">toolVetera!$K$50</definedName>
    <definedName name="tlOutput_toolVetera_K53">toolVetera!$K$53</definedName>
    <definedName name="tlOutput_toolVetera_K54">toolVetera!$K$54</definedName>
    <definedName name="tlOutput_toolVetera_K55">toolVetera!$K$55</definedName>
    <definedName name="tlOutput_toolVetera_K57">toolVetera!$K$57</definedName>
    <definedName name="tlOutput_toolVetera_K59">toolVetera!$K$59</definedName>
    <definedName name="tlOutput_toolVetera_K63">toolVetera!$K$63</definedName>
    <definedName name="tlOutput_toolVetera_K64">toolVetera!$K$64</definedName>
    <definedName name="tlOutput_toolVetera_K65">toolVetera!$K$65</definedName>
    <definedName name="tlOutput_toolVetera_K67">toolVetera!$K$67</definedName>
    <definedName name="tlOutput_toolVetera_K69">toolVetera!$K$69</definedName>
    <definedName name="tlOutput_toolVetera_K71">toolVetera!$K$71</definedName>
    <definedName name="tlOutput_toolVetera_K75">toolVetera!$K$75</definedName>
    <definedName name="tlOutput_toolVetera_K76">toolVetera!$K$76</definedName>
    <definedName name="tlOutput_toolVetera_K77">toolVetera!$K$77</definedName>
    <definedName name="tlOutput_toolVetera_K78">toolVetera!$K$78</definedName>
    <definedName name="tlOutput_toolVetera_K79">toolVetera!$K$79</definedName>
    <definedName name="tlOutput_toolVetera_K80">toolVetera!$K$80</definedName>
    <definedName name="tlOutput_toolVetera_K82">toolVetera!$K$82</definedName>
    <definedName name="tlOutput_toolVetera_K84">toolVetera!$K$84</definedName>
    <definedName name="tlOutput_toolVetera_N27">toolVetera!$N$27</definedName>
    <definedName name="tlOutput_toolVetera_N40">toolVetera!$N$40</definedName>
    <definedName name="tlOutput_toolVetera_N41">toolVetera!$N$41</definedName>
    <definedName name="tlOutput_toolVetera_N42">toolVetera!$N$42</definedName>
    <definedName name="tlOutput_toolVetera_N43">toolVetera!$N$43</definedName>
    <definedName name="tlOutput_toolVetera_N50">toolVetera!$N$50</definedName>
    <definedName name="tlOutput_toolVetera_N53">toolVetera!$N$53</definedName>
    <definedName name="tlOutput_toolVetera_N54">toolVetera!$N$54</definedName>
    <definedName name="tlOutput_toolVetera_N55">toolVetera!$N$55</definedName>
    <definedName name="tlOutput_toolVetera_N57">toolVetera!$N$57</definedName>
    <definedName name="tlOutput_toolVetera_N59">toolVetera!$N$59</definedName>
    <definedName name="tlOutput_toolVetera_N63">toolVetera!$N$63</definedName>
    <definedName name="tlOutput_toolVetera_N64">toolVetera!$N$64</definedName>
    <definedName name="tlOutput_toolVetera_N65">toolVetera!$N$65</definedName>
    <definedName name="tlOutput_toolVetera_N67">toolVetera!$N$67</definedName>
    <definedName name="tlOutput_toolVetera_N69">toolVetera!$N$69</definedName>
    <definedName name="tlOutput_toolVetera_N71">toolVetera!$N$71</definedName>
    <definedName name="tlOutput_toolVetera_N75">toolVetera!$N$75</definedName>
    <definedName name="tlOutput_toolVetera_N76">toolVetera!$N$76</definedName>
    <definedName name="tlOutput_toolVetera_N77">toolVetera!$N$77</definedName>
    <definedName name="tlOutput_toolVetera_N78">toolVetera!$N$78</definedName>
    <definedName name="tlOutput_toolVetera_N79">toolVetera!$N$79</definedName>
    <definedName name="tlOutput_toolVetera_N80">toolVetera!$N$80</definedName>
    <definedName name="tlOutput_toolVetera_N82">toolVetera!$N$82</definedName>
    <definedName name="tlOutput_toolVetera_N84">toolVetera!$N$84</definedName>
    <definedName name="tlOutput_toolVetera_O12">toolVetera!$O$12</definedName>
    <definedName name="tlOutput_toolVetera_O38">toolVetera!$O$38</definedName>
    <definedName name="tlOutput_toolVetera_O40">toolVetera!$O$40</definedName>
    <definedName name="tlOutput_toolVetera_O41">toolVetera!$O$41</definedName>
    <definedName name="tlOutput_toolVetera_O42">toolVetera!$O$42</definedName>
    <definedName name="tlOutput_toolVetera_O43">toolVetera!$O$43</definedName>
    <definedName name="tlOutput_toolVetera_P3">toolVetera!$P$3</definedName>
    <definedName name="tlOutput_toolVetera_P5">toolVetera!$P$5</definedName>
    <definedName name="tlOutput_toolVetera_P7">toolVetera!$P$7</definedName>
    <definedName name="tlOutput_toolVetera_Q48">toolVetera!$Q$48</definedName>
    <definedName name="tlOutput_toolVetera_W2">toolVetera!$W$2</definedName>
    <definedName name="tlOutput_toolVetera_W3">toolVetera!$W$3</definedName>
    <definedName name="tlOutput_toolVetera_X2">toolVetera!$X$2</definedName>
    <definedName name="tlOutput_toolVetera_X3">toolVetera!$X$3</definedName>
    <definedName name="tlOutputBreakThroughInnov1Unlock">Controls!$K$4</definedName>
    <definedName name="tlOutputBreakThroughInnov1UnlockRd3">Controls!$N$4</definedName>
    <definedName name="tlOutputBreakThroughInnov2UnlockRd3">Controls!$N$7</definedName>
    <definedName name="tlOutputBreakThroughUnlock">Controls!$G$6</definedName>
    <definedName name="tlOutputBreakThroughUnlock1">DataPage!$F$334</definedName>
    <definedName name="tlOutputBreakThroughUnlock2">DataPage!$F$335</definedName>
    <definedName name="tlOutputBreakThroughUnlock3">DataPage!$F$336</definedName>
    <definedName name="tlOutputBreakThroughUnlock4">DataPage!$F$337</definedName>
    <definedName name="tlOutputDisruptionSelectedError">Controls!$K$11</definedName>
    <definedName name="tlOutputInnovationSelectedError">Controls!$K$10</definedName>
    <definedName name="tlOutputLaborUtilizationError">Controls!$K$9</definedName>
    <definedName name="tlOutputNewProdUnlock">Controls!$G$5</definedName>
    <definedName name="tlOutputPlantUtilizationError">Controls!$K$8</definedName>
    <definedName name="tlOutputRnDFocus3Unlock">Controls!$J$4</definedName>
    <definedName name="tlOutputRnDFocus3UnlockRd3">Controls!$M$4</definedName>
    <definedName name="tlOutputRnDFocus4UnlockRd3">Controls!$M$7</definedName>
    <definedName name="tlOutputStrategyCommit">Controls!$G$4</definedName>
    <definedName name="tlPositioningStatements">DataPage!$B$318:$B$338</definedName>
    <definedName name="toolAnalyVisionClear">toolAnalyVision!$B$8:$G$12,toolAnalyVision!$H$8:$M$12,toolAnalyVision!$B$14:$G$18,toolAnalyVision!$H$14:$M$18,toolAnalyVision!$B$22,toolAnalyVision!$B$34</definedName>
    <definedName name="xxAdjustmentMM" localSheetId="42">mmProd2!$E$216:$I$217,mmProd2!$E$192:$I$196</definedName>
    <definedName name="xxAdjustmentMM" localSheetId="43">mmProd3!$E$225:$I$226,mmProd3!$E$201:$I$205</definedName>
    <definedName name="xxAdjustmentMM" localSheetId="44">mmProd4!$E$227:$I$228,mmProd4!$E$203:$I$207</definedName>
    <definedName name="xxAdjustmentMM" localSheetId="45">mmProd5!$E$216:$I$217,mmProd5!$E$192:$I$196</definedName>
    <definedName name="xxAdjustmentMM" localSheetId="46">mmProd6!$E$216:$I$217,mmProd6!$E$192:$I$196</definedName>
    <definedName name="xxAdjustmentMM">mmProd1!$E$226:$I$227,mmProd1!$E$202:$I$206</definedName>
    <definedName name="xxcbalNewYearCopy">cbal!$E$4:$I$366</definedName>
    <definedName name="xxContLangCode">Controls!$E$13</definedName>
    <definedName name="xxControlTeamNames">Controls!$E$11:$I$11</definedName>
    <definedName name="xxDashboard">Controls!$E$21</definedName>
    <definedName name="xxDecErrorCount">dec!$O$1</definedName>
    <definedName name="xxDecErrorRange">dec!$O$3:$O$221</definedName>
    <definedName name="xxDecResetValues">dec!$K$3:$K$221</definedName>
    <definedName name="xxDecValuesCopy">dec!$E$3:$I$223</definedName>
    <definedName name="xxDecValuesPaste">dec!$T$3</definedName>
    <definedName name="xxDecXDataImport">dec!$E$3:$E$223</definedName>
    <definedName name="xxffbResetCopy">feedbackTS!$L$3:$L$510</definedName>
    <definedName name="xxffbResetPaste">feedbackTS!$E$3:$I$3</definedName>
    <definedName name="xxGSSDashboard">Controls!$E$26</definedName>
    <definedName name="xxHoodClose">Controls!$H$14</definedName>
    <definedName name="xxIndexTeam">Controls!$E$9</definedName>
    <definedName name="xxMMProd1Driver1">DataPage!$C$116:$I$116</definedName>
    <definedName name="xxMMProd1Driver10">DataPage!$C$125:$I$125</definedName>
    <definedName name="xxMMProd1Driver2">DataPage!$C$117:$I$117</definedName>
    <definedName name="xxMMProd1Driver3">DataPage!$C$118:$I$118</definedName>
    <definedName name="xxMMProd1Driver4">DataPage!$C$119:$I$119</definedName>
    <definedName name="xxMMProd1Driver5">DataPage!$C$120:$I$120</definedName>
    <definedName name="xxMMProd1Driver6">DataPage!$C$121:$I$121</definedName>
    <definedName name="xxMMProd1Driver7">DataPage!$C$122:$I$122</definedName>
    <definedName name="xxMMProd1Driver8">DataPage!$C$123:$I$123</definedName>
    <definedName name="xxMMProd1Driver9">DataPage!$C$124:$I$124</definedName>
    <definedName name="xxMMProd1Seg1Units">DataPage!$C$106:$J$106</definedName>
    <definedName name="xxMMProd1Seg2Units">DataPage!$C$107:$J$107</definedName>
    <definedName name="xxMMProd1Seg3Units">DataPage!$C$108:$J$108</definedName>
    <definedName name="xxMMProd1Seg4Units">DataPage!$C$109:$J$109</definedName>
    <definedName name="xxMMProd1Seg5Units">DataPage!$C$110:$J$110</definedName>
    <definedName name="xxMMProd1Units">DataPage!$C$105:$J$105</definedName>
    <definedName name="xxMMProd2Driver1">DataPage!$C$160:$I$160</definedName>
    <definedName name="xxMMProd2Driver10">DataPage!$C$169:$I$169</definedName>
    <definedName name="xxMMProd2Driver2">DataPage!$C$161:$I$161</definedName>
    <definedName name="xxMMProd2Driver3">DataPage!$C$162:$I$162</definedName>
    <definedName name="xxMMProd2Driver4">DataPage!$C$163:$I$163</definedName>
    <definedName name="xxMMProd2Driver5">DataPage!$C$164:$I$164</definedName>
    <definedName name="xxMMProd2Driver6">DataPage!$C$165:$I$165</definedName>
    <definedName name="xxMMProd2Driver7">DataPage!$C$166:$I$166</definedName>
    <definedName name="xxMMProd2Driver8">DataPage!$C$167:$I$167</definedName>
    <definedName name="xxMMProd2Driver9">DataPage!$C$168:$I$168</definedName>
    <definedName name="xxMMProd2Seg1Units">DataPage!$C$150:$J$150</definedName>
    <definedName name="xxMMProd2Seg2Units">DataPage!$C$151:$J$151</definedName>
    <definedName name="xxMMProd2Seg3Units">DataPage!$C$152:$J$152</definedName>
    <definedName name="xxMMProd2Seg4Units">DataPage!$C$153:$J$153</definedName>
    <definedName name="xxMMProd2Seg5Units">DataPage!$C$154:$J$154</definedName>
    <definedName name="xxMMProd2Units">DataPage!$C$149:$J$149</definedName>
    <definedName name="xxMMProd3Driver1">DataPage!$C$205:$I$205</definedName>
    <definedName name="xxMMProd3Driver10">DataPage!$C$214:$I$214</definedName>
    <definedName name="xxMMProd3Driver2">DataPage!$C$206:$I$206</definedName>
    <definedName name="xxMMProd3Driver3">DataPage!$C$207:$I$207</definedName>
    <definedName name="xxMMProd3Driver4">DataPage!$C$208:$I$208</definedName>
    <definedName name="xxMMProd3Driver5">DataPage!$C$209:$I$209</definedName>
    <definedName name="xxMMProd3Driver6">DataPage!$C$210:$I$210</definedName>
    <definedName name="xxMMProd3Driver7">DataPage!$C$211:$I$211</definedName>
    <definedName name="xxMMProd3Driver8">DataPage!$C$212:$I$212</definedName>
    <definedName name="xxMMProd3Driver9">DataPage!$C$213:$I$213</definedName>
    <definedName name="xxMMProd3Seg1Units">DataPage!$C$195:$J$195</definedName>
    <definedName name="xxMMProd3Seg2Units">DataPage!$C$196:$J$196</definedName>
    <definedName name="xxMMProd3Seg3Units">DataPage!$C$197:$J$197</definedName>
    <definedName name="xxMMProd3Seg4Units">DataPage!$C$198:$J$198</definedName>
    <definedName name="xxMMProd3Seg5Units">DataPage!$C$199:$J$199</definedName>
    <definedName name="xxMMProd3Units">DataPage!$C$194:$J$194</definedName>
    <definedName name="xxMMProd4Driver1">DataPage!$C$250:$I$250</definedName>
    <definedName name="xxMMProd4Driver10">DataPage!$C$259:$I$259</definedName>
    <definedName name="xxMMProd4Driver2">DataPage!$C$251:$I$251</definedName>
    <definedName name="xxMMProd4Driver3">DataPage!$C$252:$I$252</definedName>
    <definedName name="xxMMProd4Driver4">DataPage!$C$253:$I$253</definedName>
    <definedName name="xxMMProd4Driver5">DataPage!$C$254:$I$254</definedName>
    <definedName name="xxMMProd4Driver6">DataPage!$C$255:$I$255</definedName>
    <definedName name="xxMMProd4Driver7">DataPage!$C$256:$I$256</definedName>
    <definedName name="xxMMProd4Driver8">DataPage!$C$257:$I$257</definedName>
    <definedName name="xxMMProd4Driver9">DataPage!$C$258:$I$258</definedName>
    <definedName name="xxMMProd4Seg1Units">DataPage!$C$240:$J$240</definedName>
    <definedName name="xxMMProd4Seg2Units">DataPage!$C$241:$J$241</definedName>
    <definedName name="xxMMProd4Seg3Units">DataPage!$C$242:$J$242</definedName>
    <definedName name="xxMMProd4Seg4Units">DataPage!$C$243:$J$243</definedName>
    <definedName name="xxMMProd4Seg5Units">DataPage!$C$244:$J$244</definedName>
    <definedName name="xxMMProd4Units">DataPage!$C$239:$J$239</definedName>
    <definedName name="xxMMProd5Driver1">DataPage!$C$275:$I$275</definedName>
    <definedName name="xxMMProd5Driver10">DataPage!$C$284:$I$284</definedName>
    <definedName name="xxMMProd5Driver2">DataPage!$C$276:$I$276</definedName>
    <definedName name="xxMMProd5Driver3">DataPage!$C$277:$I$277</definedName>
    <definedName name="xxMMProd5Driver4">DataPage!$C$278:$I$278</definedName>
    <definedName name="xxMMProd5Driver5">DataPage!$C$279:$I$279</definedName>
    <definedName name="xxMMProd5Driver6">DataPage!$C$280:$I$280</definedName>
    <definedName name="xxMMProd5Driver7">DataPage!$C$281:$I$281</definedName>
    <definedName name="xxMMProd5Driver8">DataPage!$C$282:$I$282</definedName>
    <definedName name="xxMMProd5Driver9">DataPage!$C$283:$I$283</definedName>
    <definedName name="xxMMProd5Seg1Units">DataPage!$C$265:$J$265</definedName>
    <definedName name="xxMMProd5Seg2Units">DataPage!$C$266:$J$266</definedName>
    <definedName name="xxMMProd5Seg3Units">DataPage!$C$267:$J$267</definedName>
    <definedName name="xxMMProd5Seg4Units">DataPage!$C$268:$J$268</definedName>
    <definedName name="xxMMProd5Seg5Units">DataPage!$C$269:$J$269</definedName>
    <definedName name="xxMMProd5Units">DataPage!$C$264:$J$264</definedName>
    <definedName name="xxMMProd6Driver1">DataPage!$C$300:$I$300</definedName>
    <definedName name="xxMMProd6Driver10">DataPage!$C$309:$I$309</definedName>
    <definedName name="xxMMProd6Driver2">DataPage!$C$301:$I$301</definedName>
    <definedName name="xxMMProd6Driver3">DataPage!$C$302:$I$302</definedName>
    <definedName name="xxMMProd6Driver4">DataPage!$C$303:$I$303</definedName>
    <definedName name="xxMMProd6Driver5">DataPage!$C$304:$I$304</definedName>
    <definedName name="xxMMProd6Driver6">DataPage!$C$305:$I$305</definedName>
    <definedName name="xxMMProd6Driver7">DataPage!$C$306:$I$306</definedName>
    <definedName name="xxMMProd6Driver8">DataPage!$C$307:$I$307</definedName>
    <definedName name="xxMMProd6Driver9">DataPage!$C$308:$I$308</definedName>
    <definedName name="xxMMProd6Seg1Units">DataPage!$C$290:$J$290</definedName>
    <definedName name="xxMMProd6Seg2Units">DataPage!$C$291:$J$291</definedName>
    <definedName name="xxMMProd6Seg3Units">DataPage!$C$292:$J$292</definedName>
    <definedName name="xxMMProd6Seg4Units">DataPage!$C$293:$J$293</definedName>
    <definedName name="xxMMProd6Seg5Units">DataPage!$C$294:$J$294</definedName>
    <definedName name="xxMMProd6Units">DataPage!$C$289:$J$289</definedName>
    <definedName name="xxNumOfTeams">Controls!$E$5</definedName>
    <definedName name="xxobalTeam1">obal!$E$4:$E$368</definedName>
    <definedName name="xxobalYear0Copy">obal!$K$4:$K$368</definedName>
    <definedName name="xxobalYear1Copy">obal!$L$4:$L$368</definedName>
    <definedName name="xxOpsDashboard">Controls!$E$25</definedName>
    <definedName name="xxProd1BaseUnits">DataPage!$C$60</definedName>
    <definedName name="xxProd1Year0Vol">DataPage!$C$60</definedName>
    <definedName name="xxProd2BaseUnits">DataPage!$C$61</definedName>
    <definedName name="xxProd3BaseUnits">DataPage!$C$62</definedName>
    <definedName name="xxProd4BaseUnits">DataPage!$C$63</definedName>
    <definedName name="xxProd5BaseUnits">DataPage!$C$64</definedName>
    <definedName name="xxProd6BaseUnits">DataPage!$C$65</definedName>
    <definedName name="xxQAT">Controls!$E$19</definedName>
    <definedName name="xxRankYear0">feedbackTS!$E$479:$I$479</definedName>
    <definedName name="xxRankYear1">feedbackTS!$E$480:$I$480</definedName>
    <definedName name="xxRankYear2">feedbackTS!$E$481:$I$481</definedName>
    <definedName name="xxRankYear3">feedbackTS!$E$482:$I$482</definedName>
    <definedName name="xxRankYear4">feedbackTS!$E$483:$I$483</definedName>
    <definedName name="xxReg1Dashboard">Controls!$E$22</definedName>
    <definedName name="xxReg2Dashboard">Controls!$E$23</definedName>
    <definedName name="xxResetDecXFormulasCopy">dec!$L$3:$L$221</definedName>
    <definedName name="xxRnDDashboard">Controls!$E$24</definedName>
    <definedName name="xxSim0Tool1">Controls!$E$3</definedName>
    <definedName name="xxSpecProgClear">toolPrograms!$D$14:$D$24</definedName>
    <definedName name="xxtlInputColorLocked">Controls!$E$29</definedName>
    <definedName name="xxtlInputColorUnLocked">Controls!$E$31</definedName>
    <definedName name="xxtoolIntroZoom">toolIntro!$A$2:$J$2</definedName>
    <definedName name="xxToolMenuItems">Controls!$I$85:$I$97,Controls!$I$99:$I$100</definedName>
    <definedName name="xxWinMetricYear0">feedbackTS!$E$463:$I$463</definedName>
    <definedName name="xxWinMetricYear1">feedbackTS!$E$472:$I$472</definedName>
    <definedName name="xxWinMetricYear2">feedbackTS!$E$473:$I$473</definedName>
    <definedName name="xxWinMetricYear3">feedbackTS!$E$474:$I$474</definedName>
    <definedName name="xxWinMetricYear4">feedbackTS!$E$475:$I$475</definedName>
    <definedName name="xxWobblersCurrent">dec!$D$128:$D$131</definedName>
    <definedName name="xxWobblersUsed">obal!$E$317:$E$333</definedName>
    <definedName name="xxWobblersValid">adj!$B$1108:$B$1120</definedName>
    <definedName name="xxYear">Controls!$E$7</definedName>
    <definedName name="xxYear0Copy">obal!$K$4:$K$368</definedName>
  </definedNames>
  <calcPr calcId="171027"/>
</workbook>
</file>

<file path=xl/calcChain.xml><?xml version="1.0" encoding="utf-8"?>
<calcChain xmlns="http://schemas.openxmlformats.org/spreadsheetml/2006/main">
  <c r="I556" i="19" l="1"/>
  <c r="H556" i="19"/>
  <c r="G556" i="19"/>
  <c r="F556" i="19"/>
  <c r="E556" i="19"/>
  <c r="Z22" i="52"/>
  <c r="Z20" i="52"/>
  <c r="Z18" i="52"/>
  <c r="Z16" i="52"/>
  <c r="Z14" i="52"/>
  <c r="AA22" i="52"/>
  <c r="AA20" i="52"/>
  <c r="AA18" i="52"/>
  <c r="AA16" i="52"/>
  <c r="AA14" i="52"/>
  <c r="R916" i="7"/>
  <c r="S916" i="7"/>
  <c r="T916" i="7"/>
  <c r="R645" i="7"/>
  <c r="S645" i="7"/>
  <c r="T645" i="7"/>
  <c r="R407" i="7"/>
  <c r="S407" i="7"/>
  <c r="T407" i="7"/>
  <c r="I776" i="19"/>
  <c r="H776" i="19"/>
  <c r="G776" i="19"/>
  <c r="F776" i="19"/>
  <c r="E776" i="19"/>
  <c r="D31" i="55"/>
  <c r="K72" i="52" l="1"/>
  <c r="K71" i="52"/>
  <c r="K70" i="52"/>
  <c r="K69" i="52"/>
  <c r="K68" i="52"/>
  <c r="K62" i="52"/>
  <c r="K61" i="52"/>
  <c r="K60" i="52"/>
  <c r="K59" i="52"/>
  <c r="K58" i="52"/>
  <c r="K52" i="52"/>
  <c r="K51" i="52"/>
  <c r="K50" i="52"/>
  <c r="K49" i="52"/>
  <c r="K48" i="52"/>
  <c r="D28" i="55"/>
  <c r="T401" i="7" l="1"/>
  <c r="S401" i="7"/>
  <c r="R401" i="7"/>
  <c r="I401" i="7"/>
  <c r="H401" i="7"/>
  <c r="G401" i="7"/>
  <c r="F401" i="7"/>
  <c r="E401" i="7"/>
  <c r="D401" i="7"/>
  <c r="T400" i="7"/>
  <c r="S400" i="7"/>
  <c r="R400" i="7"/>
  <c r="I400" i="7"/>
  <c r="H400" i="7"/>
  <c r="G400" i="7"/>
  <c r="F400" i="7"/>
  <c r="E400" i="7"/>
  <c r="D400" i="7"/>
  <c r="T399" i="7"/>
  <c r="S399" i="7"/>
  <c r="R399" i="7"/>
  <c r="I399" i="7"/>
  <c r="H399" i="7"/>
  <c r="G399" i="7"/>
  <c r="F399" i="7"/>
  <c r="E399" i="7"/>
  <c r="D399" i="7"/>
  <c r="T398" i="7"/>
  <c r="S398" i="7"/>
  <c r="R398" i="7"/>
  <c r="I398" i="7"/>
  <c r="H398" i="7"/>
  <c r="G398" i="7"/>
  <c r="F398" i="7"/>
  <c r="E398" i="7"/>
  <c r="D398" i="7"/>
  <c r="T397" i="7"/>
  <c r="S397" i="7"/>
  <c r="R397" i="7"/>
  <c r="I397" i="7"/>
  <c r="H397" i="7"/>
  <c r="G397" i="7"/>
  <c r="F397" i="7"/>
  <c r="E397" i="7"/>
  <c r="D397" i="7"/>
  <c r="T396" i="7"/>
  <c r="S396" i="7"/>
  <c r="R396" i="7"/>
  <c r="I396" i="7"/>
  <c r="H396" i="7"/>
  <c r="G396" i="7"/>
  <c r="F396" i="7"/>
  <c r="E396" i="7"/>
  <c r="D396" i="7"/>
  <c r="N4" i="5" l="1"/>
  <c r="M4" i="5"/>
  <c r="K4" i="5"/>
  <c r="J4" i="5"/>
  <c r="N7" i="5" l="1"/>
  <c r="M7" i="5"/>
  <c r="O334" i="8" l="1"/>
  <c r="F334" i="8" s="1"/>
  <c r="I503" i="12" l="1"/>
  <c r="H503" i="12"/>
  <c r="G503" i="12"/>
  <c r="F503" i="12"/>
  <c r="E503" i="12"/>
  <c r="I497" i="12"/>
  <c r="H497" i="12"/>
  <c r="G497" i="12"/>
  <c r="F497" i="12"/>
  <c r="E497" i="12"/>
  <c r="I491" i="12"/>
  <c r="H491" i="12"/>
  <c r="G491" i="12"/>
  <c r="F491" i="12"/>
  <c r="E491" i="12"/>
  <c r="I485" i="12"/>
  <c r="H485" i="12"/>
  <c r="G485" i="12"/>
  <c r="F485" i="12"/>
  <c r="E485" i="12"/>
  <c r="I479" i="12"/>
  <c r="H479" i="12"/>
  <c r="G479" i="12"/>
  <c r="F479" i="12"/>
  <c r="E479" i="12"/>
  <c r="I478" i="12"/>
  <c r="H478" i="12"/>
  <c r="G478" i="12"/>
  <c r="F478" i="12"/>
  <c r="E478" i="12"/>
  <c r="I475" i="12"/>
  <c r="H475" i="12"/>
  <c r="G475" i="12"/>
  <c r="F475" i="12"/>
  <c r="E475" i="12"/>
  <c r="I470" i="12"/>
  <c r="H470" i="12"/>
  <c r="G470" i="12"/>
  <c r="F470" i="12"/>
  <c r="E470" i="12"/>
  <c r="I467" i="12"/>
  <c r="I483" i="12" s="1"/>
  <c r="H467" i="12"/>
  <c r="H483" i="12" s="1"/>
  <c r="G467" i="12"/>
  <c r="G483" i="12" s="1"/>
  <c r="F467" i="12"/>
  <c r="F483" i="12" s="1"/>
  <c r="E467" i="12"/>
  <c r="E483" i="12" s="1"/>
  <c r="I466" i="12"/>
  <c r="I482" i="12" s="1"/>
  <c r="H466" i="12"/>
  <c r="H482" i="12" s="1"/>
  <c r="G466" i="12"/>
  <c r="G482" i="12" s="1"/>
  <c r="F466" i="12"/>
  <c r="F482" i="12" s="1"/>
  <c r="E466" i="12"/>
  <c r="E482" i="12" s="1"/>
  <c r="I465" i="12"/>
  <c r="I481" i="12" s="1"/>
  <c r="H465" i="12"/>
  <c r="H481" i="12" s="1"/>
  <c r="G465" i="12"/>
  <c r="G481" i="12" s="1"/>
  <c r="F465" i="12"/>
  <c r="F481" i="12" s="1"/>
  <c r="E465" i="12"/>
  <c r="E481" i="12" s="1"/>
  <c r="I462" i="12"/>
  <c r="H462" i="12"/>
  <c r="G462" i="12"/>
  <c r="F462" i="12"/>
  <c r="E462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4" i="12"/>
  <c r="H454" i="12"/>
  <c r="G454" i="12"/>
  <c r="F454" i="12"/>
  <c r="E454" i="12"/>
  <c r="I451" i="12"/>
  <c r="H451" i="12"/>
  <c r="G451" i="12"/>
  <c r="F451" i="12"/>
  <c r="E451" i="12"/>
  <c r="I450" i="12"/>
  <c r="H450" i="12"/>
  <c r="G450" i="12"/>
  <c r="F450" i="12"/>
  <c r="E450" i="12"/>
  <c r="I449" i="12"/>
  <c r="H449" i="12"/>
  <c r="G449" i="12"/>
  <c r="F449" i="12"/>
  <c r="E449" i="12"/>
  <c r="I446" i="12"/>
  <c r="H446" i="12"/>
  <c r="G446" i="12"/>
  <c r="F446" i="12"/>
  <c r="E446" i="12"/>
  <c r="I443" i="12"/>
  <c r="H443" i="12"/>
  <c r="G443" i="12"/>
  <c r="F443" i="12"/>
  <c r="E443" i="12"/>
  <c r="I442" i="12"/>
  <c r="H442" i="12"/>
  <c r="G442" i="12"/>
  <c r="F442" i="12"/>
  <c r="E442" i="12"/>
  <c r="I441" i="12"/>
  <c r="H441" i="12"/>
  <c r="G441" i="12"/>
  <c r="F441" i="12"/>
  <c r="E441" i="12"/>
  <c r="I438" i="12"/>
  <c r="H438" i="12"/>
  <c r="G438" i="12"/>
  <c r="F438" i="12"/>
  <c r="E438" i="12"/>
  <c r="I435" i="12"/>
  <c r="H435" i="12"/>
  <c r="G435" i="12"/>
  <c r="F435" i="12"/>
  <c r="E435" i="12"/>
  <c r="I434" i="12"/>
  <c r="H434" i="12"/>
  <c r="G434" i="12"/>
  <c r="F434" i="12"/>
  <c r="E434" i="12"/>
  <c r="I433" i="12"/>
  <c r="H433" i="12"/>
  <c r="G433" i="12"/>
  <c r="F433" i="12"/>
  <c r="E433" i="12"/>
  <c r="I430" i="12"/>
  <c r="H430" i="12"/>
  <c r="G430" i="12"/>
  <c r="F430" i="12"/>
  <c r="E430" i="12"/>
  <c r="I427" i="12"/>
  <c r="H427" i="12"/>
  <c r="G427" i="12"/>
  <c r="F427" i="12"/>
  <c r="E427" i="12"/>
  <c r="I426" i="12"/>
  <c r="H426" i="12"/>
  <c r="G426" i="12"/>
  <c r="F426" i="12"/>
  <c r="E426" i="12"/>
  <c r="I425" i="12"/>
  <c r="H425" i="12"/>
  <c r="G425" i="12"/>
  <c r="F425" i="12"/>
  <c r="E425" i="12"/>
  <c r="I422" i="12"/>
  <c r="H422" i="12"/>
  <c r="G422" i="12"/>
  <c r="F422" i="12"/>
  <c r="E422" i="12"/>
  <c r="I419" i="12"/>
  <c r="H419" i="12"/>
  <c r="G419" i="12"/>
  <c r="F419" i="12"/>
  <c r="E419" i="12"/>
  <c r="I418" i="12"/>
  <c r="H418" i="12"/>
  <c r="G418" i="12"/>
  <c r="F418" i="12"/>
  <c r="E418" i="12"/>
  <c r="I417" i="12"/>
  <c r="H417" i="12"/>
  <c r="G417" i="12"/>
  <c r="F417" i="12"/>
  <c r="E417" i="12"/>
  <c r="I414" i="12"/>
  <c r="H414" i="12"/>
  <c r="G414" i="12"/>
  <c r="F414" i="12"/>
  <c r="E414" i="12"/>
  <c r="I411" i="12"/>
  <c r="H411" i="12"/>
  <c r="G411" i="12"/>
  <c r="F411" i="12"/>
  <c r="E411" i="12"/>
  <c r="I410" i="12"/>
  <c r="H410" i="12"/>
  <c r="G410" i="12"/>
  <c r="F410" i="12"/>
  <c r="E410" i="12"/>
  <c r="I409" i="12"/>
  <c r="H409" i="12"/>
  <c r="G409" i="12"/>
  <c r="F409" i="12"/>
  <c r="E409" i="12"/>
  <c r="I406" i="12"/>
  <c r="H406" i="12"/>
  <c r="G406" i="12"/>
  <c r="F406" i="12"/>
  <c r="E406" i="12"/>
  <c r="I403" i="12"/>
  <c r="H403" i="12"/>
  <c r="G403" i="12"/>
  <c r="F403" i="12"/>
  <c r="E403" i="12"/>
  <c r="I402" i="12"/>
  <c r="H402" i="12"/>
  <c r="G402" i="12"/>
  <c r="F402" i="12"/>
  <c r="E402" i="12"/>
  <c r="I401" i="12"/>
  <c r="H401" i="12"/>
  <c r="G401" i="12"/>
  <c r="F401" i="12"/>
  <c r="E401" i="12"/>
  <c r="I398" i="12"/>
  <c r="H398" i="12"/>
  <c r="G398" i="12"/>
  <c r="F398" i="12"/>
  <c r="E398" i="12"/>
  <c r="I395" i="12"/>
  <c r="H395" i="12"/>
  <c r="G395" i="12"/>
  <c r="F395" i="12"/>
  <c r="E395" i="12"/>
  <c r="I394" i="12"/>
  <c r="H394" i="12"/>
  <c r="G394" i="12"/>
  <c r="F394" i="12"/>
  <c r="E394" i="12"/>
  <c r="I393" i="12"/>
  <c r="H393" i="12"/>
  <c r="G393" i="12"/>
  <c r="F393" i="12"/>
  <c r="E393" i="12"/>
  <c r="I390" i="12"/>
  <c r="H390" i="12"/>
  <c r="G390" i="12"/>
  <c r="F390" i="12"/>
  <c r="E390" i="12"/>
  <c r="I387" i="12"/>
  <c r="H387" i="12"/>
  <c r="G387" i="12"/>
  <c r="F387" i="12"/>
  <c r="E387" i="12"/>
  <c r="I386" i="12"/>
  <c r="H386" i="12"/>
  <c r="G386" i="12"/>
  <c r="F386" i="12"/>
  <c r="E386" i="12"/>
  <c r="I385" i="12"/>
  <c r="H385" i="12"/>
  <c r="G385" i="12"/>
  <c r="F385" i="12"/>
  <c r="E385" i="12"/>
  <c r="I382" i="12"/>
  <c r="H382" i="12"/>
  <c r="G382" i="12"/>
  <c r="F382" i="12"/>
  <c r="E382" i="12"/>
  <c r="I379" i="12"/>
  <c r="H379" i="12"/>
  <c r="G379" i="12"/>
  <c r="F379" i="12"/>
  <c r="E379" i="12"/>
  <c r="I378" i="12"/>
  <c r="H378" i="12"/>
  <c r="G378" i="12"/>
  <c r="F378" i="12"/>
  <c r="E378" i="12"/>
  <c r="I377" i="12"/>
  <c r="H377" i="12"/>
  <c r="G377" i="12"/>
  <c r="F377" i="12"/>
  <c r="E377" i="12"/>
  <c r="I374" i="12"/>
  <c r="H374" i="12"/>
  <c r="G374" i="12"/>
  <c r="F374" i="12"/>
  <c r="E374" i="12"/>
  <c r="I371" i="12"/>
  <c r="H371" i="12"/>
  <c r="G371" i="12"/>
  <c r="F371" i="12"/>
  <c r="E371" i="12"/>
  <c r="I370" i="12"/>
  <c r="H370" i="12"/>
  <c r="G370" i="12"/>
  <c r="F370" i="12"/>
  <c r="E370" i="12"/>
  <c r="I369" i="12"/>
  <c r="H369" i="12"/>
  <c r="G369" i="12"/>
  <c r="F369" i="12"/>
  <c r="E369" i="12"/>
  <c r="I366" i="12"/>
  <c r="H366" i="12"/>
  <c r="G366" i="12"/>
  <c r="F366" i="12"/>
  <c r="E366" i="12"/>
  <c r="I363" i="12"/>
  <c r="H363" i="12"/>
  <c r="G363" i="12"/>
  <c r="F363" i="12"/>
  <c r="E363" i="12"/>
  <c r="I362" i="12"/>
  <c r="H362" i="12"/>
  <c r="G362" i="12"/>
  <c r="F362" i="12"/>
  <c r="E362" i="12"/>
  <c r="I361" i="12"/>
  <c r="H361" i="12"/>
  <c r="G361" i="12"/>
  <c r="F361" i="12"/>
  <c r="E361" i="12"/>
  <c r="I358" i="12"/>
  <c r="H358" i="12"/>
  <c r="G358" i="12"/>
  <c r="F358" i="12"/>
  <c r="E358" i="12"/>
  <c r="I355" i="12"/>
  <c r="H355" i="12"/>
  <c r="G355" i="12"/>
  <c r="F355" i="12"/>
  <c r="E355" i="12"/>
  <c r="I354" i="12"/>
  <c r="H354" i="12"/>
  <c r="G354" i="12"/>
  <c r="F354" i="12"/>
  <c r="E354" i="12"/>
  <c r="I353" i="12"/>
  <c r="H353" i="12"/>
  <c r="G353" i="12"/>
  <c r="F353" i="12"/>
  <c r="E353" i="12"/>
  <c r="I350" i="12"/>
  <c r="H350" i="12"/>
  <c r="G350" i="12"/>
  <c r="F350" i="12"/>
  <c r="E350" i="12"/>
  <c r="I347" i="12"/>
  <c r="H347" i="12"/>
  <c r="G347" i="12"/>
  <c r="F347" i="12"/>
  <c r="E347" i="12"/>
  <c r="I346" i="12"/>
  <c r="H346" i="12"/>
  <c r="G346" i="12"/>
  <c r="F346" i="12"/>
  <c r="E346" i="12"/>
  <c r="I345" i="12"/>
  <c r="H345" i="12"/>
  <c r="G345" i="12"/>
  <c r="F345" i="12"/>
  <c r="E345" i="12"/>
  <c r="I342" i="12"/>
  <c r="H342" i="12"/>
  <c r="G342" i="12"/>
  <c r="F342" i="12"/>
  <c r="E342" i="12"/>
  <c r="I339" i="12"/>
  <c r="H339" i="12"/>
  <c r="G339" i="12"/>
  <c r="F339" i="12"/>
  <c r="E339" i="12"/>
  <c r="I338" i="12"/>
  <c r="H338" i="12"/>
  <c r="G338" i="12"/>
  <c r="F338" i="12"/>
  <c r="E338" i="12"/>
  <c r="I337" i="12"/>
  <c r="H337" i="12"/>
  <c r="G337" i="12"/>
  <c r="F337" i="12"/>
  <c r="E337" i="12"/>
  <c r="I334" i="12"/>
  <c r="H334" i="12"/>
  <c r="G334" i="12"/>
  <c r="F334" i="12"/>
  <c r="E334" i="12"/>
  <c r="I331" i="12"/>
  <c r="H331" i="12"/>
  <c r="G331" i="12"/>
  <c r="F331" i="12"/>
  <c r="E331" i="12"/>
  <c r="I330" i="12"/>
  <c r="H330" i="12"/>
  <c r="G330" i="12"/>
  <c r="F330" i="12"/>
  <c r="E330" i="12"/>
  <c r="I329" i="12"/>
  <c r="H329" i="12"/>
  <c r="G329" i="12"/>
  <c r="F329" i="12"/>
  <c r="E329" i="12"/>
  <c r="I326" i="12"/>
  <c r="H326" i="12"/>
  <c r="G326" i="12"/>
  <c r="F326" i="12"/>
  <c r="E326" i="12"/>
  <c r="I323" i="12"/>
  <c r="H323" i="12"/>
  <c r="G323" i="12"/>
  <c r="F323" i="12"/>
  <c r="E323" i="12"/>
  <c r="I322" i="12"/>
  <c r="H322" i="12"/>
  <c r="G322" i="12"/>
  <c r="F322" i="12"/>
  <c r="E322" i="12"/>
  <c r="I321" i="12"/>
  <c r="H321" i="12"/>
  <c r="G321" i="12"/>
  <c r="F321" i="12"/>
  <c r="E321" i="12"/>
  <c r="I318" i="12"/>
  <c r="H318" i="12"/>
  <c r="G318" i="12"/>
  <c r="F318" i="12"/>
  <c r="E318" i="12"/>
  <c r="I315" i="12"/>
  <c r="H315" i="12"/>
  <c r="G315" i="12"/>
  <c r="F315" i="12"/>
  <c r="E315" i="12"/>
  <c r="I314" i="12"/>
  <c r="I489" i="12" s="1"/>
  <c r="H314" i="12"/>
  <c r="H489" i="12" s="1"/>
  <c r="G314" i="12"/>
  <c r="G489" i="12" s="1"/>
  <c r="F314" i="12"/>
  <c r="F489" i="12" s="1"/>
  <c r="E314" i="12"/>
  <c r="E489" i="12" s="1"/>
  <c r="I313" i="12"/>
  <c r="I488" i="12" s="1"/>
  <c r="H313" i="12"/>
  <c r="H488" i="12" s="1"/>
  <c r="G313" i="12"/>
  <c r="G488" i="12" s="1"/>
  <c r="F313" i="12"/>
  <c r="F488" i="12" s="1"/>
  <c r="E313" i="12"/>
  <c r="E488" i="12" s="1"/>
  <c r="I310" i="12"/>
  <c r="H310" i="12"/>
  <c r="G310" i="12"/>
  <c r="F310" i="12"/>
  <c r="E310" i="12"/>
  <c r="I307" i="12"/>
  <c r="H307" i="12"/>
  <c r="G307" i="12"/>
  <c r="F307" i="12"/>
  <c r="E307" i="12"/>
  <c r="I306" i="12"/>
  <c r="H306" i="12"/>
  <c r="G306" i="12"/>
  <c r="F306" i="12"/>
  <c r="E306" i="12"/>
  <c r="I305" i="12"/>
  <c r="H305" i="12"/>
  <c r="G305" i="12"/>
  <c r="F305" i="12"/>
  <c r="E305" i="12"/>
  <c r="I302" i="12"/>
  <c r="H302" i="12"/>
  <c r="G302" i="12"/>
  <c r="F302" i="12"/>
  <c r="E302" i="12"/>
  <c r="I299" i="12"/>
  <c r="H299" i="12"/>
  <c r="G299" i="12"/>
  <c r="F299" i="12"/>
  <c r="E299" i="12"/>
  <c r="I298" i="12"/>
  <c r="H298" i="12"/>
  <c r="G298" i="12"/>
  <c r="F298" i="12"/>
  <c r="E298" i="12"/>
  <c r="I297" i="12"/>
  <c r="H297" i="12"/>
  <c r="G297" i="12"/>
  <c r="F297" i="12"/>
  <c r="E297" i="12"/>
  <c r="I294" i="12"/>
  <c r="H294" i="12"/>
  <c r="G294" i="12"/>
  <c r="F294" i="12"/>
  <c r="E294" i="12"/>
  <c r="I291" i="12"/>
  <c r="H291" i="12"/>
  <c r="G291" i="12"/>
  <c r="F291" i="12"/>
  <c r="E291" i="12"/>
  <c r="I290" i="12"/>
  <c r="H290" i="12"/>
  <c r="G290" i="12"/>
  <c r="F290" i="12"/>
  <c r="E290" i="12"/>
  <c r="I289" i="12"/>
  <c r="H289" i="12"/>
  <c r="G289" i="12"/>
  <c r="F289" i="12"/>
  <c r="E289" i="12"/>
  <c r="I286" i="12"/>
  <c r="H286" i="12"/>
  <c r="G286" i="12"/>
  <c r="F286" i="12"/>
  <c r="E286" i="12"/>
  <c r="I283" i="12"/>
  <c r="H283" i="12"/>
  <c r="G283" i="12"/>
  <c r="F283" i="12"/>
  <c r="E283" i="12"/>
  <c r="I282" i="12"/>
  <c r="H282" i="12"/>
  <c r="G282" i="12"/>
  <c r="F282" i="12"/>
  <c r="E282" i="12"/>
  <c r="I281" i="12"/>
  <c r="H281" i="12"/>
  <c r="G281" i="12"/>
  <c r="F281" i="12"/>
  <c r="E281" i="12"/>
  <c r="I278" i="12"/>
  <c r="H278" i="12"/>
  <c r="G278" i="12"/>
  <c r="F278" i="12"/>
  <c r="E278" i="12"/>
  <c r="I275" i="12"/>
  <c r="H275" i="12"/>
  <c r="G275" i="12"/>
  <c r="F275" i="12"/>
  <c r="E275" i="12"/>
  <c r="I274" i="12"/>
  <c r="H274" i="12"/>
  <c r="G274" i="12"/>
  <c r="F274" i="12"/>
  <c r="E274" i="12"/>
  <c r="I273" i="12"/>
  <c r="H273" i="12"/>
  <c r="G273" i="12"/>
  <c r="F273" i="12"/>
  <c r="E273" i="12"/>
  <c r="I270" i="12"/>
  <c r="H270" i="12"/>
  <c r="G270" i="12"/>
  <c r="F270" i="12"/>
  <c r="E270" i="12"/>
  <c r="I265" i="12"/>
  <c r="H265" i="12"/>
  <c r="G265" i="12"/>
  <c r="F265" i="12"/>
  <c r="E265" i="12"/>
  <c r="I264" i="12"/>
  <c r="H264" i="12"/>
  <c r="G264" i="12"/>
  <c r="F264" i="12"/>
  <c r="E264" i="12"/>
  <c r="I263" i="12"/>
  <c r="H263" i="12"/>
  <c r="G263" i="12"/>
  <c r="F263" i="12"/>
  <c r="E263" i="12"/>
  <c r="I260" i="12"/>
  <c r="H260" i="12"/>
  <c r="G260" i="12"/>
  <c r="F260" i="12"/>
  <c r="E260" i="12"/>
  <c r="I257" i="12"/>
  <c r="H257" i="12"/>
  <c r="G257" i="12"/>
  <c r="F257" i="12"/>
  <c r="E257" i="12"/>
  <c r="I256" i="12"/>
  <c r="H256" i="12"/>
  <c r="G256" i="12"/>
  <c r="F256" i="12"/>
  <c r="E256" i="12"/>
  <c r="I255" i="12"/>
  <c r="H255" i="12"/>
  <c r="G255" i="12"/>
  <c r="F255" i="12"/>
  <c r="E255" i="12"/>
  <c r="I252" i="12"/>
  <c r="H252" i="12"/>
  <c r="G252" i="12"/>
  <c r="F252" i="12"/>
  <c r="E252" i="12"/>
  <c r="I251" i="12"/>
  <c r="H251" i="12"/>
  <c r="G251" i="12"/>
  <c r="F251" i="12"/>
  <c r="E251" i="12"/>
  <c r="I249" i="12"/>
  <c r="H249" i="12"/>
  <c r="G249" i="12"/>
  <c r="F249" i="12"/>
  <c r="E249" i="12"/>
  <c r="I248" i="12"/>
  <c r="H248" i="12"/>
  <c r="G248" i="12"/>
  <c r="F248" i="12"/>
  <c r="E248" i="12"/>
  <c r="I247" i="12"/>
  <c r="H247" i="12"/>
  <c r="G247" i="12"/>
  <c r="F247" i="12"/>
  <c r="E247" i="12"/>
  <c r="I244" i="12"/>
  <c r="H244" i="12"/>
  <c r="G244" i="12"/>
  <c r="F244" i="12"/>
  <c r="E244" i="12"/>
  <c r="I241" i="12"/>
  <c r="H241" i="12"/>
  <c r="G241" i="12"/>
  <c r="F241" i="12"/>
  <c r="E241" i="12"/>
  <c r="I240" i="12"/>
  <c r="H240" i="12"/>
  <c r="G240" i="12"/>
  <c r="F240" i="12"/>
  <c r="E240" i="12"/>
  <c r="I239" i="12"/>
  <c r="H239" i="12"/>
  <c r="G239" i="12"/>
  <c r="F239" i="12"/>
  <c r="E239" i="12"/>
  <c r="I238" i="12"/>
  <c r="H238" i="12"/>
  <c r="G238" i="12"/>
  <c r="F238" i="12"/>
  <c r="E238" i="12"/>
  <c r="I236" i="12"/>
  <c r="H236" i="12"/>
  <c r="G236" i="12"/>
  <c r="F236" i="12"/>
  <c r="E236" i="12"/>
  <c r="I235" i="12"/>
  <c r="H235" i="12"/>
  <c r="G235" i="12"/>
  <c r="F235" i="12"/>
  <c r="E235" i="12"/>
  <c r="I233" i="12"/>
  <c r="H233" i="12"/>
  <c r="G233" i="12"/>
  <c r="F233" i="12"/>
  <c r="E233" i="12"/>
  <c r="I232" i="12"/>
  <c r="H232" i="12"/>
  <c r="G232" i="12"/>
  <c r="F232" i="12"/>
  <c r="E232" i="12"/>
  <c r="I231" i="12"/>
  <c r="H231" i="12"/>
  <c r="G231" i="12"/>
  <c r="F231" i="12"/>
  <c r="E231" i="12"/>
  <c r="I228" i="12"/>
  <c r="H228" i="12"/>
  <c r="G228" i="12"/>
  <c r="F228" i="12"/>
  <c r="E228" i="12"/>
  <c r="I225" i="12"/>
  <c r="H225" i="12"/>
  <c r="G225" i="12"/>
  <c r="F225" i="12"/>
  <c r="E225" i="12"/>
  <c r="I224" i="12"/>
  <c r="H224" i="12"/>
  <c r="G224" i="12"/>
  <c r="F224" i="12"/>
  <c r="E224" i="12"/>
  <c r="I223" i="12"/>
  <c r="H223" i="12"/>
  <c r="G223" i="12"/>
  <c r="F223" i="12"/>
  <c r="E223" i="12"/>
  <c r="I220" i="12"/>
  <c r="H220" i="12"/>
  <c r="G220" i="12"/>
  <c r="F220" i="12"/>
  <c r="E220" i="12"/>
  <c r="I219" i="12"/>
  <c r="I222" i="12" s="1"/>
  <c r="H219" i="12"/>
  <c r="H222" i="12" s="1"/>
  <c r="G219" i="12"/>
  <c r="G222" i="12" s="1"/>
  <c r="F219" i="12"/>
  <c r="F222" i="12" s="1"/>
  <c r="E219" i="12"/>
  <c r="E222" i="12" s="1"/>
  <c r="I217" i="12"/>
  <c r="H217" i="12"/>
  <c r="G217" i="12"/>
  <c r="F217" i="12"/>
  <c r="E217" i="12"/>
  <c r="I216" i="12"/>
  <c r="H216" i="12"/>
  <c r="G216" i="12"/>
  <c r="F216" i="12"/>
  <c r="E216" i="12"/>
  <c r="I215" i="12"/>
  <c r="H215" i="12"/>
  <c r="G215" i="12"/>
  <c r="F215" i="12"/>
  <c r="E215" i="12"/>
  <c r="I212" i="12"/>
  <c r="H212" i="12"/>
  <c r="G212" i="12"/>
  <c r="F212" i="12"/>
  <c r="E212" i="12"/>
  <c r="I209" i="12"/>
  <c r="H209" i="12"/>
  <c r="G209" i="12"/>
  <c r="F209" i="12"/>
  <c r="E209" i="12"/>
  <c r="I208" i="12"/>
  <c r="H208" i="12"/>
  <c r="G208" i="12"/>
  <c r="F208" i="12"/>
  <c r="E208" i="12"/>
  <c r="I207" i="12"/>
  <c r="H207" i="12"/>
  <c r="G207" i="12"/>
  <c r="F207" i="12"/>
  <c r="E207" i="12"/>
  <c r="I206" i="12"/>
  <c r="H206" i="12"/>
  <c r="G206" i="12"/>
  <c r="F206" i="12"/>
  <c r="E206" i="12"/>
  <c r="I204" i="12"/>
  <c r="H204" i="12"/>
  <c r="G204" i="12"/>
  <c r="F204" i="12"/>
  <c r="E204" i="12"/>
  <c r="I203" i="12"/>
  <c r="H203" i="12"/>
  <c r="G203" i="12"/>
  <c r="F203" i="12"/>
  <c r="E203" i="12"/>
  <c r="I201" i="12"/>
  <c r="H201" i="12"/>
  <c r="G201" i="12"/>
  <c r="F201" i="12"/>
  <c r="E201" i="12"/>
  <c r="I200" i="12"/>
  <c r="H200" i="12"/>
  <c r="G200" i="12"/>
  <c r="F200" i="12"/>
  <c r="E200" i="12"/>
  <c r="I199" i="12"/>
  <c r="H199" i="12"/>
  <c r="G199" i="12"/>
  <c r="F199" i="12"/>
  <c r="E199" i="12"/>
  <c r="I196" i="12"/>
  <c r="H196" i="12"/>
  <c r="G196" i="12"/>
  <c r="F196" i="12"/>
  <c r="E196" i="12"/>
  <c r="I193" i="12"/>
  <c r="H193" i="12"/>
  <c r="G193" i="12"/>
  <c r="F193" i="12"/>
  <c r="E193" i="12"/>
  <c r="I192" i="12"/>
  <c r="H192" i="12"/>
  <c r="G192" i="12"/>
  <c r="F192" i="12"/>
  <c r="E192" i="12"/>
  <c r="I191" i="12"/>
  <c r="H191" i="12"/>
  <c r="G191" i="12"/>
  <c r="F191" i="12"/>
  <c r="E191" i="12"/>
  <c r="I188" i="12"/>
  <c r="H188" i="12"/>
  <c r="G188" i="12"/>
  <c r="F188" i="12"/>
  <c r="E188" i="12"/>
  <c r="I185" i="12"/>
  <c r="H185" i="12"/>
  <c r="G185" i="12"/>
  <c r="F185" i="12"/>
  <c r="E185" i="12"/>
  <c r="I184" i="12"/>
  <c r="H184" i="12"/>
  <c r="G184" i="12"/>
  <c r="F184" i="12"/>
  <c r="E184" i="12"/>
  <c r="I183" i="12"/>
  <c r="H183" i="12"/>
  <c r="G183" i="12"/>
  <c r="F183" i="12"/>
  <c r="E183" i="12"/>
  <c r="I180" i="12"/>
  <c r="H180" i="12"/>
  <c r="G180" i="12"/>
  <c r="F180" i="12"/>
  <c r="E180" i="12"/>
  <c r="I177" i="12"/>
  <c r="H177" i="12"/>
  <c r="G177" i="12"/>
  <c r="F177" i="12"/>
  <c r="E177" i="12"/>
  <c r="I176" i="12"/>
  <c r="H176" i="12"/>
  <c r="G176" i="12"/>
  <c r="F176" i="12"/>
  <c r="E176" i="12"/>
  <c r="I175" i="12"/>
  <c r="H175" i="12"/>
  <c r="G175" i="12"/>
  <c r="F175" i="12"/>
  <c r="E175" i="12"/>
  <c r="I174" i="12"/>
  <c r="H174" i="12"/>
  <c r="G174" i="12"/>
  <c r="F174" i="12"/>
  <c r="E174" i="12"/>
  <c r="I172" i="12"/>
  <c r="H172" i="12"/>
  <c r="G172" i="12"/>
  <c r="F172" i="12"/>
  <c r="E172" i="12"/>
  <c r="I171" i="12"/>
  <c r="H171" i="12"/>
  <c r="G171" i="12"/>
  <c r="F171" i="12"/>
  <c r="E171" i="12"/>
  <c r="I168" i="12"/>
  <c r="H168" i="12"/>
  <c r="G168" i="12"/>
  <c r="F168" i="12"/>
  <c r="E168" i="12"/>
  <c r="I167" i="12"/>
  <c r="H167" i="12"/>
  <c r="G167" i="12"/>
  <c r="F167" i="12"/>
  <c r="E167" i="12"/>
  <c r="I166" i="12"/>
  <c r="H166" i="12"/>
  <c r="G166" i="12"/>
  <c r="F166" i="12"/>
  <c r="E166" i="12"/>
  <c r="I163" i="12"/>
  <c r="H163" i="12"/>
  <c r="G163" i="12"/>
  <c r="F163" i="12"/>
  <c r="E163" i="12"/>
  <c r="I160" i="12"/>
  <c r="H160" i="12"/>
  <c r="G160" i="12"/>
  <c r="F160" i="12"/>
  <c r="E160" i="12"/>
  <c r="I159" i="12"/>
  <c r="H159" i="12"/>
  <c r="G159" i="12"/>
  <c r="F159" i="12"/>
  <c r="E159" i="12"/>
  <c r="I158" i="12"/>
  <c r="H158" i="12"/>
  <c r="G158" i="12"/>
  <c r="F158" i="12"/>
  <c r="E158" i="12"/>
  <c r="I155" i="12"/>
  <c r="H155" i="12"/>
  <c r="G155" i="12"/>
  <c r="F155" i="12"/>
  <c r="E155" i="12"/>
  <c r="I152" i="12"/>
  <c r="H152" i="12"/>
  <c r="G152" i="12"/>
  <c r="F152" i="12"/>
  <c r="E152" i="12"/>
  <c r="I151" i="12"/>
  <c r="H151" i="12"/>
  <c r="G151" i="12"/>
  <c r="F151" i="12"/>
  <c r="E151" i="12"/>
  <c r="I150" i="12"/>
  <c r="H150" i="12"/>
  <c r="G150" i="12"/>
  <c r="F150" i="12"/>
  <c r="E150" i="12"/>
  <c r="I147" i="12"/>
  <c r="H147" i="12"/>
  <c r="G147" i="12"/>
  <c r="F147" i="12"/>
  <c r="E147" i="12"/>
  <c r="I144" i="12"/>
  <c r="H144" i="12"/>
  <c r="G144" i="12"/>
  <c r="F144" i="12"/>
  <c r="E144" i="12"/>
  <c r="I143" i="12"/>
  <c r="H143" i="12"/>
  <c r="G143" i="12"/>
  <c r="F143" i="12"/>
  <c r="E143" i="12"/>
  <c r="I142" i="12"/>
  <c r="H142" i="12"/>
  <c r="G142" i="12"/>
  <c r="F142" i="12"/>
  <c r="E142" i="12"/>
  <c r="I141" i="12"/>
  <c r="H141" i="12"/>
  <c r="G141" i="12"/>
  <c r="F141" i="12"/>
  <c r="E141" i="12"/>
  <c r="I139" i="12"/>
  <c r="H139" i="12"/>
  <c r="G139" i="12"/>
  <c r="F139" i="12"/>
  <c r="E139" i="12"/>
  <c r="I138" i="12"/>
  <c r="H138" i="12"/>
  <c r="G138" i="12"/>
  <c r="F138" i="12"/>
  <c r="E138" i="12"/>
  <c r="I135" i="12"/>
  <c r="H135" i="12"/>
  <c r="G135" i="12"/>
  <c r="F135" i="12"/>
  <c r="E135" i="12"/>
  <c r="I134" i="12"/>
  <c r="H134" i="12"/>
  <c r="G134" i="12"/>
  <c r="F134" i="12"/>
  <c r="E134" i="12"/>
  <c r="I133" i="12"/>
  <c r="H133" i="12"/>
  <c r="G133" i="12"/>
  <c r="F133" i="12"/>
  <c r="E133" i="12"/>
  <c r="I130" i="12"/>
  <c r="H130" i="12"/>
  <c r="G130" i="12"/>
  <c r="F130" i="12"/>
  <c r="E130" i="12"/>
  <c r="I127" i="12"/>
  <c r="H127" i="12"/>
  <c r="G127" i="12"/>
  <c r="F127" i="12"/>
  <c r="E127" i="12"/>
  <c r="I126" i="12"/>
  <c r="H126" i="12"/>
  <c r="G126" i="12"/>
  <c r="F126" i="12"/>
  <c r="E126" i="12"/>
  <c r="I125" i="12"/>
  <c r="H125" i="12"/>
  <c r="G125" i="12"/>
  <c r="F125" i="12"/>
  <c r="E125" i="12"/>
  <c r="I122" i="12"/>
  <c r="H122" i="12"/>
  <c r="G122" i="12"/>
  <c r="F122" i="12"/>
  <c r="E122" i="12"/>
  <c r="I119" i="12"/>
  <c r="H119" i="12"/>
  <c r="G119" i="12"/>
  <c r="F119" i="12"/>
  <c r="E119" i="12"/>
  <c r="I118" i="12"/>
  <c r="H118" i="12"/>
  <c r="G118" i="12"/>
  <c r="F118" i="12"/>
  <c r="E118" i="12"/>
  <c r="I117" i="12"/>
  <c r="H117" i="12"/>
  <c r="G117" i="12"/>
  <c r="F117" i="12"/>
  <c r="E117" i="12"/>
  <c r="I114" i="12"/>
  <c r="H114" i="12"/>
  <c r="G114" i="12"/>
  <c r="F114" i="12"/>
  <c r="E114" i="12"/>
  <c r="I111" i="12"/>
  <c r="H111" i="12"/>
  <c r="G111" i="12"/>
  <c r="F111" i="12"/>
  <c r="E111" i="12"/>
  <c r="I110" i="12"/>
  <c r="H110" i="12"/>
  <c r="G110" i="12"/>
  <c r="F110" i="12"/>
  <c r="E110" i="12"/>
  <c r="I109" i="12"/>
  <c r="H109" i="12"/>
  <c r="G109" i="12"/>
  <c r="F109" i="12"/>
  <c r="E109" i="12"/>
  <c r="I108" i="12"/>
  <c r="H108" i="12"/>
  <c r="G108" i="12"/>
  <c r="F108" i="12"/>
  <c r="E108" i="12"/>
  <c r="I106" i="12"/>
  <c r="H106" i="12"/>
  <c r="G106" i="12"/>
  <c r="F106" i="12"/>
  <c r="E106" i="12"/>
  <c r="I105" i="12"/>
  <c r="H105" i="12"/>
  <c r="G105" i="12"/>
  <c r="F105" i="12"/>
  <c r="E105" i="12"/>
  <c r="I101" i="12"/>
  <c r="H101" i="12"/>
  <c r="G101" i="12"/>
  <c r="F101" i="12"/>
  <c r="E101" i="12"/>
  <c r="I100" i="12"/>
  <c r="H100" i="12"/>
  <c r="G100" i="12"/>
  <c r="F100" i="12"/>
  <c r="E100" i="12"/>
  <c r="I99" i="12"/>
  <c r="H99" i="12"/>
  <c r="G99" i="12"/>
  <c r="F99" i="12"/>
  <c r="E99" i="12"/>
  <c r="I96" i="12"/>
  <c r="H96" i="12"/>
  <c r="G96" i="12"/>
  <c r="F96" i="12"/>
  <c r="E96" i="12"/>
  <c r="I93" i="12"/>
  <c r="H93" i="12"/>
  <c r="G93" i="12"/>
  <c r="F93" i="12"/>
  <c r="E93" i="12"/>
  <c r="I92" i="12"/>
  <c r="H92" i="12"/>
  <c r="G92" i="12"/>
  <c r="F92" i="12"/>
  <c r="E92" i="12"/>
  <c r="I91" i="12"/>
  <c r="H91" i="12"/>
  <c r="G91" i="12"/>
  <c r="F91" i="12"/>
  <c r="E91" i="12"/>
  <c r="I88" i="12"/>
  <c r="H88" i="12"/>
  <c r="G88" i="12"/>
  <c r="F88" i="12"/>
  <c r="E88" i="12"/>
  <c r="I85" i="12"/>
  <c r="H85" i="12"/>
  <c r="G85" i="12"/>
  <c r="F85" i="12"/>
  <c r="E85" i="12"/>
  <c r="I84" i="12"/>
  <c r="H84" i="12"/>
  <c r="G84" i="12"/>
  <c r="F84" i="12"/>
  <c r="E84" i="12"/>
  <c r="I83" i="12"/>
  <c r="H83" i="12"/>
  <c r="G83" i="12"/>
  <c r="F83" i="12"/>
  <c r="E83" i="12"/>
  <c r="I80" i="12"/>
  <c r="H80" i="12"/>
  <c r="G80" i="12"/>
  <c r="F80" i="12"/>
  <c r="E80" i="12"/>
  <c r="I77" i="12"/>
  <c r="H77" i="12"/>
  <c r="G77" i="12"/>
  <c r="F77" i="12"/>
  <c r="E77" i="12"/>
  <c r="I76" i="12"/>
  <c r="H76" i="12"/>
  <c r="G76" i="12"/>
  <c r="F76" i="12"/>
  <c r="E76" i="12"/>
  <c r="I75" i="12"/>
  <c r="H75" i="12"/>
  <c r="G75" i="12"/>
  <c r="F75" i="12"/>
  <c r="E75" i="12"/>
  <c r="I74" i="12"/>
  <c r="H74" i="12"/>
  <c r="G74" i="12"/>
  <c r="F74" i="12"/>
  <c r="E74" i="12"/>
  <c r="I72" i="12"/>
  <c r="H72" i="12"/>
  <c r="G72" i="12"/>
  <c r="F72" i="12"/>
  <c r="E72" i="12"/>
  <c r="I71" i="12"/>
  <c r="H71" i="12"/>
  <c r="G71" i="12"/>
  <c r="F71" i="12"/>
  <c r="E71" i="12"/>
  <c r="I68" i="12"/>
  <c r="H68" i="12"/>
  <c r="G68" i="12"/>
  <c r="F68" i="12"/>
  <c r="E68" i="12"/>
  <c r="I67" i="12"/>
  <c r="H67" i="12"/>
  <c r="G67" i="12"/>
  <c r="F67" i="12"/>
  <c r="E67" i="12"/>
  <c r="I66" i="12"/>
  <c r="H66" i="12"/>
  <c r="G66" i="12"/>
  <c r="F66" i="12"/>
  <c r="E66" i="12"/>
  <c r="I63" i="12"/>
  <c r="H63" i="12"/>
  <c r="G63" i="12"/>
  <c r="F63" i="12"/>
  <c r="E63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5" i="12"/>
  <c r="H55" i="12"/>
  <c r="G55" i="12"/>
  <c r="F55" i="12"/>
  <c r="E55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I47" i="12"/>
  <c r="H47" i="12"/>
  <c r="G47" i="12"/>
  <c r="F47" i="12"/>
  <c r="E47" i="12"/>
  <c r="I44" i="12"/>
  <c r="H44" i="12"/>
  <c r="G44" i="12"/>
  <c r="F44" i="12"/>
  <c r="E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39" i="12"/>
  <c r="H39" i="12"/>
  <c r="G39" i="12"/>
  <c r="F39" i="12"/>
  <c r="E39" i="12"/>
  <c r="I38" i="12"/>
  <c r="H38" i="12"/>
  <c r="G38" i="12"/>
  <c r="F38" i="12"/>
  <c r="E38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3" i="12"/>
  <c r="H23" i="12"/>
  <c r="G23" i="12"/>
  <c r="F23" i="12"/>
  <c r="E23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5" i="12"/>
  <c r="H15" i="12"/>
  <c r="G15" i="12"/>
  <c r="F15" i="12"/>
  <c r="E15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E9" i="12"/>
  <c r="I7" i="12"/>
  <c r="H7" i="12"/>
  <c r="G7" i="12"/>
  <c r="F7" i="12"/>
  <c r="E7" i="12"/>
  <c r="I6" i="12"/>
  <c r="H6" i="12"/>
  <c r="G6" i="12"/>
  <c r="F6" i="12"/>
  <c r="E6" i="12"/>
  <c r="I221" i="3"/>
  <c r="H221" i="3"/>
  <c r="G221" i="3"/>
  <c r="F221" i="3"/>
  <c r="E221" i="3"/>
  <c r="I220" i="3"/>
  <c r="H220" i="3"/>
  <c r="G220" i="3"/>
  <c r="F220" i="3"/>
  <c r="E220" i="3"/>
  <c r="I219" i="3"/>
  <c r="H219" i="3"/>
  <c r="G219" i="3"/>
  <c r="F219" i="3"/>
  <c r="E219" i="3"/>
  <c r="I218" i="3"/>
  <c r="H218" i="3"/>
  <c r="G218" i="3"/>
  <c r="F218" i="3"/>
  <c r="E218" i="3"/>
  <c r="I217" i="3"/>
  <c r="H217" i="3"/>
  <c r="G217" i="3"/>
  <c r="F217" i="3"/>
  <c r="E217" i="3"/>
  <c r="I216" i="3"/>
  <c r="H216" i="3"/>
  <c r="G216" i="3"/>
  <c r="F216" i="3"/>
  <c r="E216" i="3"/>
  <c r="I215" i="3"/>
  <c r="H215" i="3"/>
  <c r="G215" i="3"/>
  <c r="F215" i="3"/>
  <c r="E215" i="3"/>
  <c r="I214" i="3"/>
  <c r="H214" i="3"/>
  <c r="G214" i="3"/>
  <c r="F214" i="3"/>
  <c r="E214" i="3"/>
  <c r="I213" i="3"/>
  <c r="H213" i="3"/>
  <c r="G213" i="3"/>
  <c r="F213" i="3"/>
  <c r="E213" i="3"/>
  <c r="I212" i="3"/>
  <c r="H212" i="3"/>
  <c r="G212" i="3"/>
  <c r="F212" i="3"/>
  <c r="E212" i="3"/>
  <c r="I211" i="3"/>
  <c r="H211" i="3"/>
  <c r="G211" i="3"/>
  <c r="F211" i="3"/>
  <c r="E211" i="3"/>
  <c r="I210" i="3"/>
  <c r="H210" i="3"/>
  <c r="G210" i="3"/>
  <c r="F210" i="3"/>
  <c r="E210" i="3"/>
  <c r="I207" i="3"/>
  <c r="H207" i="3"/>
  <c r="G207" i="3"/>
  <c r="F207" i="3"/>
  <c r="E207" i="3"/>
  <c r="I206" i="3"/>
  <c r="H206" i="3"/>
  <c r="G206" i="3"/>
  <c r="F206" i="3"/>
  <c r="E206" i="3"/>
  <c r="I205" i="3"/>
  <c r="H205" i="3"/>
  <c r="G205" i="3"/>
  <c r="F205" i="3"/>
  <c r="E205" i="3"/>
  <c r="I204" i="3"/>
  <c r="H204" i="3"/>
  <c r="G204" i="3"/>
  <c r="F204" i="3"/>
  <c r="E204" i="3"/>
  <c r="I203" i="3"/>
  <c r="H203" i="3"/>
  <c r="G203" i="3"/>
  <c r="F203" i="3"/>
  <c r="E203" i="3"/>
  <c r="I202" i="3"/>
  <c r="H202" i="3"/>
  <c r="G202" i="3"/>
  <c r="F202" i="3"/>
  <c r="E202" i="3"/>
  <c r="I199" i="3"/>
  <c r="H199" i="3"/>
  <c r="G199" i="3"/>
  <c r="F199" i="3"/>
  <c r="E199" i="3"/>
  <c r="I198" i="3"/>
  <c r="H198" i="3"/>
  <c r="G198" i="3"/>
  <c r="F198" i="3"/>
  <c r="E198" i="3"/>
  <c r="I196" i="3"/>
  <c r="H196" i="3"/>
  <c r="G196" i="3"/>
  <c r="F196" i="3"/>
  <c r="E196" i="3"/>
  <c r="I195" i="3"/>
  <c r="H195" i="3"/>
  <c r="G195" i="3"/>
  <c r="F195" i="3"/>
  <c r="E195" i="3"/>
  <c r="I194" i="3"/>
  <c r="H194" i="3"/>
  <c r="G194" i="3"/>
  <c r="F194" i="3"/>
  <c r="E194" i="3"/>
  <c r="I193" i="3"/>
  <c r="H193" i="3"/>
  <c r="G193" i="3"/>
  <c r="F193" i="3"/>
  <c r="E193" i="3"/>
  <c r="I192" i="3"/>
  <c r="H192" i="3"/>
  <c r="G192" i="3"/>
  <c r="F192" i="3"/>
  <c r="E192" i="3"/>
  <c r="I190" i="3"/>
  <c r="H190" i="3"/>
  <c r="G190" i="3"/>
  <c r="F190" i="3"/>
  <c r="E190" i="3"/>
  <c r="I189" i="3"/>
  <c r="H189" i="3"/>
  <c r="G189" i="3"/>
  <c r="F189" i="3"/>
  <c r="E189" i="3"/>
  <c r="I188" i="3"/>
  <c r="H188" i="3"/>
  <c r="G188" i="3"/>
  <c r="F188" i="3"/>
  <c r="E188" i="3"/>
  <c r="I187" i="3"/>
  <c r="H187" i="3"/>
  <c r="G187" i="3"/>
  <c r="F187" i="3"/>
  <c r="E187" i="3"/>
  <c r="I186" i="3"/>
  <c r="H186" i="3"/>
  <c r="G186" i="3"/>
  <c r="F186" i="3"/>
  <c r="E186" i="3"/>
  <c r="I184" i="3"/>
  <c r="H184" i="3"/>
  <c r="G184" i="3"/>
  <c r="F184" i="3"/>
  <c r="E184" i="3"/>
  <c r="I183" i="3"/>
  <c r="H183" i="3"/>
  <c r="G183" i="3"/>
  <c r="F183" i="3"/>
  <c r="E183" i="3"/>
  <c r="I182" i="3"/>
  <c r="H182" i="3"/>
  <c r="G182" i="3"/>
  <c r="F182" i="3"/>
  <c r="E182" i="3"/>
  <c r="I181" i="3"/>
  <c r="H181" i="3"/>
  <c r="G181" i="3"/>
  <c r="F181" i="3"/>
  <c r="E181" i="3"/>
  <c r="I180" i="3"/>
  <c r="H180" i="3"/>
  <c r="G180" i="3"/>
  <c r="F180" i="3"/>
  <c r="E180" i="3"/>
  <c r="I178" i="3"/>
  <c r="H178" i="3"/>
  <c r="G178" i="3"/>
  <c r="F178" i="3"/>
  <c r="E178" i="3"/>
  <c r="I177" i="3"/>
  <c r="H177" i="3"/>
  <c r="G177" i="3"/>
  <c r="F177" i="3"/>
  <c r="E177" i="3"/>
  <c r="I176" i="3"/>
  <c r="H176" i="3"/>
  <c r="G176" i="3"/>
  <c r="F176" i="3"/>
  <c r="E176" i="3"/>
  <c r="I175" i="3"/>
  <c r="H175" i="3"/>
  <c r="G175" i="3"/>
  <c r="F175" i="3"/>
  <c r="E175" i="3"/>
  <c r="I174" i="3"/>
  <c r="H174" i="3"/>
  <c r="G174" i="3"/>
  <c r="F174" i="3"/>
  <c r="E174" i="3"/>
  <c r="I169" i="3"/>
  <c r="H169" i="3"/>
  <c r="G169" i="3"/>
  <c r="F169" i="3"/>
  <c r="E169" i="3"/>
  <c r="I168" i="3"/>
  <c r="H168" i="3"/>
  <c r="G168" i="3"/>
  <c r="F168" i="3"/>
  <c r="E168" i="3"/>
  <c r="I167" i="3"/>
  <c r="H167" i="3"/>
  <c r="G167" i="3"/>
  <c r="F167" i="3"/>
  <c r="E167" i="3"/>
  <c r="I163" i="3"/>
  <c r="H163" i="3"/>
  <c r="G163" i="3"/>
  <c r="F163" i="3"/>
  <c r="E163" i="3"/>
  <c r="I162" i="3"/>
  <c r="H162" i="3"/>
  <c r="G162" i="3"/>
  <c r="F162" i="3"/>
  <c r="E162" i="3"/>
  <c r="I161" i="3"/>
  <c r="H161" i="3"/>
  <c r="G161" i="3"/>
  <c r="F161" i="3"/>
  <c r="E161" i="3"/>
  <c r="I159" i="3"/>
  <c r="H159" i="3"/>
  <c r="G159" i="3"/>
  <c r="F159" i="3"/>
  <c r="E159" i="3"/>
  <c r="I158" i="3"/>
  <c r="H158" i="3"/>
  <c r="G158" i="3"/>
  <c r="F158" i="3"/>
  <c r="E158" i="3"/>
  <c r="I157" i="3"/>
  <c r="H157" i="3"/>
  <c r="G157" i="3"/>
  <c r="F157" i="3"/>
  <c r="E157" i="3"/>
  <c r="I153" i="3"/>
  <c r="H153" i="3"/>
  <c r="G153" i="3"/>
  <c r="F153" i="3"/>
  <c r="E153" i="3"/>
  <c r="I152" i="3"/>
  <c r="H152" i="3"/>
  <c r="G152" i="3"/>
  <c r="F152" i="3"/>
  <c r="E152" i="3"/>
  <c r="I151" i="3"/>
  <c r="H151" i="3"/>
  <c r="G151" i="3"/>
  <c r="F151" i="3"/>
  <c r="E151" i="3"/>
  <c r="I150" i="3"/>
  <c r="H150" i="3"/>
  <c r="G150" i="3"/>
  <c r="F150" i="3"/>
  <c r="E150" i="3"/>
  <c r="I148" i="3"/>
  <c r="H148" i="3"/>
  <c r="G148" i="3"/>
  <c r="F148" i="3"/>
  <c r="E148" i="3"/>
  <c r="I147" i="3"/>
  <c r="H147" i="3"/>
  <c r="G147" i="3"/>
  <c r="F147" i="3"/>
  <c r="E147" i="3"/>
  <c r="I146" i="3"/>
  <c r="H146" i="3"/>
  <c r="G146" i="3"/>
  <c r="F146" i="3"/>
  <c r="E146" i="3"/>
  <c r="I145" i="3"/>
  <c r="H145" i="3"/>
  <c r="G145" i="3"/>
  <c r="F145" i="3"/>
  <c r="E145" i="3"/>
  <c r="I142" i="3"/>
  <c r="H142" i="3"/>
  <c r="G142" i="3"/>
  <c r="F142" i="3"/>
  <c r="E142" i="3"/>
  <c r="I141" i="3"/>
  <c r="H141" i="3"/>
  <c r="G141" i="3"/>
  <c r="F141" i="3"/>
  <c r="E141" i="3"/>
  <c r="I140" i="3"/>
  <c r="H140" i="3"/>
  <c r="G140" i="3"/>
  <c r="F140" i="3"/>
  <c r="E140" i="3"/>
  <c r="I138" i="3"/>
  <c r="H138" i="3"/>
  <c r="G138" i="3"/>
  <c r="F138" i="3"/>
  <c r="E138" i="3"/>
  <c r="I137" i="3"/>
  <c r="H137" i="3"/>
  <c r="G137" i="3"/>
  <c r="F137" i="3"/>
  <c r="E137" i="3"/>
  <c r="I136" i="3"/>
  <c r="H136" i="3"/>
  <c r="G136" i="3"/>
  <c r="F136" i="3"/>
  <c r="E136" i="3"/>
  <c r="I131" i="3"/>
  <c r="H131" i="3"/>
  <c r="G131" i="3"/>
  <c r="F131" i="3"/>
  <c r="E131" i="3"/>
  <c r="I130" i="3"/>
  <c r="H130" i="3"/>
  <c r="G130" i="3"/>
  <c r="F130" i="3"/>
  <c r="E130" i="3"/>
  <c r="I129" i="3"/>
  <c r="H129" i="3"/>
  <c r="G129" i="3"/>
  <c r="F129" i="3"/>
  <c r="E129" i="3"/>
  <c r="I128" i="3"/>
  <c r="H128" i="3"/>
  <c r="G128" i="3"/>
  <c r="F128" i="3"/>
  <c r="E128" i="3"/>
  <c r="I119" i="3"/>
  <c r="H119" i="3"/>
  <c r="G119" i="3"/>
  <c r="F119" i="3"/>
  <c r="E119" i="3"/>
  <c r="I118" i="3"/>
  <c r="H118" i="3"/>
  <c r="G118" i="3"/>
  <c r="F118" i="3"/>
  <c r="E118" i="3"/>
  <c r="I117" i="3"/>
  <c r="H117" i="3"/>
  <c r="G117" i="3"/>
  <c r="F117" i="3"/>
  <c r="E117" i="3"/>
  <c r="I116" i="3"/>
  <c r="H116" i="3"/>
  <c r="G116" i="3"/>
  <c r="F116" i="3"/>
  <c r="E116" i="3"/>
  <c r="I113" i="3"/>
  <c r="H113" i="3"/>
  <c r="G113" i="3"/>
  <c r="F113" i="3"/>
  <c r="E113" i="3"/>
  <c r="I112" i="3"/>
  <c r="H112" i="3"/>
  <c r="G112" i="3"/>
  <c r="F112" i="3"/>
  <c r="E112" i="3"/>
  <c r="I111" i="3"/>
  <c r="H111" i="3"/>
  <c r="G111" i="3"/>
  <c r="F111" i="3"/>
  <c r="E111" i="3"/>
  <c r="I110" i="3"/>
  <c r="H110" i="3"/>
  <c r="G110" i="3"/>
  <c r="F110" i="3"/>
  <c r="E110" i="3"/>
  <c r="I107" i="3"/>
  <c r="H107" i="3"/>
  <c r="G107" i="3"/>
  <c r="F107" i="3"/>
  <c r="E107" i="3"/>
  <c r="I106" i="3"/>
  <c r="H106" i="3"/>
  <c r="G106" i="3"/>
  <c r="F106" i="3"/>
  <c r="E106" i="3"/>
  <c r="I105" i="3"/>
  <c r="H105" i="3"/>
  <c r="G105" i="3"/>
  <c r="F105" i="3"/>
  <c r="E105" i="3"/>
  <c r="I104" i="3"/>
  <c r="H104" i="3"/>
  <c r="G104" i="3"/>
  <c r="F104" i="3"/>
  <c r="E104" i="3"/>
  <c r="I103" i="3"/>
  <c r="H103" i="3"/>
  <c r="G103" i="3"/>
  <c r="F103" i="3"/>
  <c r="E103" i="3"/>
  <c r="I99" i="3"/>
  <c r="H99" i="3"/>
  <c r="G99" i="3"/>
  <c r="F99" i="3"/>
  <c r="E99" i="3"/>
  <c r="I98" i="3"/>
  <c r="H98" i="3"/>
  <c r="G98" i="3"/>
  <c r="F98" i="3"/>
  <c r="E98" i="3"/>
  <c r="I95" i="3"/>
  <c r="H95" i="3"/>
  <c r="G95" i="3"/>
  <c r="F95" i="3"/>
  <c r="E95" i="3"/>
  <c r="I94" i="3"/>
  <c r="H94" i="3"/>
  <c r="G94" i="3"/>
  <c r="F94" i="3"/>
  <c r="E94" i="3"/>
  <c r="I93" i="3"/>
  <c r="H93" i="3"/>
  <c r="G93" i="3"/>
  <c r="F93" i="3"/>
  <c r="E93" i="3"/>
  <c r="I92" i="3"/>
  <c r="H92" i="3"/>
  <c r="G92" i="3"/>
  <c r="F92" i="3"/>
  <c r="E92" i="3"/>
  <c r="I91" i="3"/>
  <c r="H91" i="3"/>
  <c r="G91" i="3"/>
  <c r="F91" i="3"/>
  <c r="E91" i="3"/>
  <c r="I87" i="3"/>
  <c r="H87" i="3"/>
  <c r="G87" i="3"/>
  <c r="F87" i="3"/>
  <c r="E87" i="3"/>
  <c r="I85" i="3"/>
  <c r="H85" i="3"/>
  <c r="G85" i="3"/>
  <c r="F85" i="3"/>
  <c r="E85" i="3"/>
  <c r="I82" i="3"/>
  <c r="H82" i="3"/>
  <c r="G82" i="3"/>
  <c r="F82" i="3"/>
  <c r="E82" i="3"/>
  <c r="I81" i="3"/>
  <c r="H81" i="3"/>
  <c r="G81" i="3"/>
  <c r="F81" i="3"/>
  <c r="E81" i="3"/>
  <c r="I78" i="3"/>
  <c r="H78" i="3"/>
  <c r="G78" i="3"/>
  <c r="F78" i="3"/>
  <c r="E78" i="3"/>
  <c r="I75" i="3"/>
  <c r="H75" i="3"/>
  <c r="G75" i="3"/>
  <c r="F75" i="3"/>
  <c r="E75" i="3"/>
  <c r="I74" i="3"/>
  <c r="H74" i="3"/>
  <c r="G74" i="3"/>
  <c r="F74" i="3"/>
  <c r="E74" i="3"/>
  <c r="I73" i="3"/>
  <c r="H73" i="3"/>
  <c r="G73" i="3"/>
  <c r="F73" i="3"/>
  <c r="E73" i="3"/>
  <c r="I72" i="3"/>
  <c r="H72" i="3"/>
  <c r="G72" i="3"/>
  <c r="F72" i="3"/>
  <c r="E72" i="3"/>
  <c r="I71" i="3"/>
  <c r="H71" i="3"/>
  <c r="G71" i="3"/>
  <c r="F71" i="3"/>
  <c r="E71" i="3"/>
  <c r="I70" i="3"/>
  <c r="H70" i="3"/>
  <c r="G70" i="3"/>
  <c r="F70" i="3"/>
  <c r="E70" i="3"/>
  <c r="I69" i="3"/>
  <c r="H69" i="3"/>
  <c r="G69" i="3"/>
  <c r="F69" i="3"/>
  <c r="E69" i="3"/>
  <c r="I68" i="3"/>
  <c r="H68" i="3"/>
  <c r="G68" i="3"/>
  <c r="F68" i="3"/>
  <c r="E68" i="3"/>
  <c r="I67" i="3"/>
  <c r="H67" i="3"/>
  <c r="G67" i="3"/>
  <c r="F67" i="3"/>
  <c r="E67" i="3"/>
  <c r="I66" i="3"/>
  <c r="H66" i="3"/>
  <c r="G66" i="3"/>
  <c r="F66" i="3"/>
  <c r="E66" i="3"/>
  <c r="I65" i="3"/>
  <c r="H65" i="3"/>
  <c r="G65" i="3"/>
  <c r="F65" i="3"/>
  <c r="E65" i="3"/>
  <c r="I64" i="3"/>
  <c r="H64" i="3"/>
  <c r="G64" i="3"/>
  <c r="F64" i="3"/>
  <c r="E64" i="3"/>
  <c r="I63" i="3"/>
  <c r="H63" i="3"/>
  <c r="G63" i="3"/>
  <c r="F63" i="3"/>
  <c r="E63" i="3"/>
  <c r="I62" i="3"/>
  <c r="H62" i="3"/>
  <c r="G62" i="3"/>
  <c r="F62" i="3"/>
  <c r="E62" i="3"/>
  <c r="I61" i="3"/>
  <c r="H61" i="3"/>
  <c r="G61" i="3"/>
  <c r="F61" i="3"/>
  <c r="E61" i="3"/>
  <c r="I60" i="3"/>
  <c r="H60" i="3"/>
  <c r="G60" i="3"/>
  <c r="F60" i="3"/>
  <c r="E60" i="3"/>
  <c r="I56" i="3"/>
  <c r="H56" i="3"/>
  <c r="G56" i="3"/>
  <c r="F56" i="3"/>
  <c r="E56" i="3"/>
  <c r="I55" i="3"/>
  <c r="H55" i="3"/>
  <c r="G55" i="3"/>
  <c r="F55" i="3"/>
  <c r="E55" i="3"/>
  <c r="I54" i="3"/>
  <c r="H54" i="3"/>
  <c r="G54" i="3"/>
  <c r="F54" i="3"/>
  <c r="E54" i="3"/>
  <c r="I53" i="3"/>
  <c r="H53" i="3"/>
  <c r="G53" i="3"/>
  <c r="F53" i="3"/>
  <c r="E53" i="3"/>
  <c r="I52" i="3"/>
  <c r="H52" i="3"/>
  <c r="G52" i="3"/>
  <c r="F52" i="3"/>
  <c r="E52" i="3"/>
  <c r="I51" i="3"/>
  <c r="H51" i="3"/>
  <c r="G51" i="3"/>
  <c r="F51" i="3"/>
  <c r="E51" i="3"/>
  <c r="I50" i="3"/>
  <c r="H50" i="3"/>
  <c r="G50" i="3"/>
  <c r="F50" i="3"/>
  <c r="E50" i="3"/>
  <c r="I49" i="3"/>
  <c r="H49" i="3"/>
  <c r="G49" i="3"/>
  <c r="F49" i="3"/>
  <c r="E49" i="3"/>
  <c r="I48" i="3"/>
  <c r="H48" i="3"/>
  <c r="G48" i="3"/>
  <c r="F48" i="3"/>
  <c r="E48" i="3"/>
  <c r="I47" i="3"/>
  <c r="H47" i="3"/>
  <c r="G47" i="3"/>
  <c r="F47" i="3"/>
  <c r="E47" i="3"/>
  <c r="I46" i="3"/>
  <c r="H46" i="3"/>
  <c r="G46" i="3"/>
  <c r="F46" i="3"/>
  <c r="E46" i="3"/>
  <c r="I45" i="3"/>
  <c r="H45" i="3"/>
  <c r="G45" i="3"/>
  <c r="F45" i="3"/>
  <c r="E45" i="3"/>
  <c r="I44" i="3"/>
  <c r="H44" i="3"/>
  <c r="G44" i="3"/>
  <c r="F44" i="3"/>
  <c r="E44" i="3"/>
  <c r="I43" i="3"/>
  <c r="H43" i="3"/>
  <c r="G43" i="3"/>
  <c r="F43" i="3"/>
  <c r="E43" i="3"/>
  <c r="I40" i="3"/>
  <c r="H40" i="3"/>
  <c r="G40" i="3"/>
  <c r="F40" i="3"/>
  <c r="E40" i="3"/>
  <c r="I38" i="3"/>
  <c r="H38" i="3"/>
  <c r="G38" i="3"/>
  <c r="F38" i="3"/>
  <c r="E38" i="3"/>
  <c r="I37" i="3"/>
  <c r="H37" i="3"/>
  <c r="G37" i="3"/>
  <c r="F37" i="3"/>
  <c r="E37" i="3"/>
  <c r="I36" i="3"/>
  <c r="H36" i="3"/>
  <c r="G36" i="3"/>
  <c r="F36" i="3"/>
  <c r="E36" i="3"/>
  <c r="I35" i="3"/>
  <c r="H35" i="3"/>
  <c r="G35" i="3"/>
  <c r="F35" i="3"/>
  <c r="E35" i="3"/>
  <c r="I34" i="3"/>
  <c r="H34" i="3"/>
  <c r="G34" i="3"/>
  <c r="F34" i="3"/>
  <c r="E34" i="3"/>
  <c r="I33" i="3"/>
  <c r="H33" i="3"/>
  <c r="G33" i="3"/>
  <c r="F33" i="3"/>
  <c r="E33" i="3"/>
  <c r="I32" i="3"/>
  <c r="H32" i="3"/>
  <c r="G32" i="3"/>
  <c r="F32" i="3"/>
  <c r="E32" i="3"/>
  <c r="I31" i="3"/>
  <c r="H31" i="3"/>
  <c r="G31" i="3"/>
  <c r="F31" i="3"/>
  <c r="E31" i="3"/>
  <c r="I30" i="3"/>
  <c r="H30" i="3"/>
  <c r="G30" i="3"/>
  <c r="F30" i="3"/>
  <c r="E30" i="3"/>
  <c r="I29" i="3"/>
  <c r="H29" i="3"/>
  <c r="G29" i="3"/>
  <c r="F29" i="3"/>
  <c r="E29" i="3"/>
  <c r="I25" i="3"/>
  <c r="H25" i="3"/>
  <c r="G25" i="3"/>
  <c r="F25" i="3"/>
  <c r="E25" i="3"/>
  <c r="I24" i="3"/>
  <c r="H24" i="3"/>
  <c r="G24" i="3"/>
  <c r="F24" i="3"/>
  <c r="E24" i="3"/>
  <c r="I23" i="3"/>
  <c r="H23" i="3"/>
  <c r="G23" i="3"/>
  <c r="F23" i="3"/>
  <c r="E23" i="3"/>
  <c r="I22" i="3"/>
  <c r="H22" i="3"/>
  <c r="G22" i="3"/>
  <c r="F22" i="3"/>
  <c r="E22" i="3"/>
  <c r="I21" i="3"/>
  <c r="H21" i="3"/>
  <c r="G21" i="3"/>
  <c r="F21" i="3"/>
  <c r="E21" i="3"/>
  <c r="I20" i="3"/>
  <c r="H20" i="3"/>
  <c r="G20" i="3"/>
  <c r="F20" i="3"/>
  <c r="E20" i="3"/>
  <c r="I19" i="3"/>
  <c r="H19" i="3"/>
  <c r="G19" i="3"/>
  <c r="F19" i="3"/>
  <c r="E19" i="3"/>
  <c r="I18" i="3"/>
  <c r="H18" i="3"/>
  <c r="G18" i="3"/>
  <c r="F18" i="3"/>
  <c r="E18" i="3"/>
  <c r="I17" i="3"/>
  <c r="H17" i="3"/>
  <c r="G17" i="3"/>
  <c r="F17" i="3"/>
  <c r="E17" i="3"/>
  <c r="I16" i="3"/>
  <c r="H16" i="3"/>
  <c r="G16" i="3"/>
  <c r="F16" i="3"/>
  <c r="E16" i="3"/>
  <c r="I15" i="3"/>
  <c r="H15" i="3"/>
  <c r="G15" i="3"/>
  <c r="F15" i="3"/>
  <c r="E15" i="3"/>
  <c r="I14" i="3"/>
  <c r="H14" i="3"/>
  <c r="G14" i="3"/>
  <c r="F14" i="3"/>
  <c r="E14" i="3"/>
  <c r="I13" i="3"/>
  <c r="H13" i="3"/>
  <c r="G13" i="3"/>
  <c r="F13" i="3"/>
  <c r="E13" i="3"/>
  <c r="I12" i="3"/>
  <c r="H12" i="3"/>
  <c r="G12" i="3"/>
  <c r="F12" i="3"/>
  <c r="E12" i="3"/>
  <c r="I11" i="3"/>
  <c r="H11" i="3"/>
  <c r="G11" i="3"/>
  <c r="F11" i="3"/>
  <c r="E11" i="3"/>
  <c r="I10" i="3"/>
  <c r="H10" i="3"/>
  <c r="G10" i="3"/>
  <c r="F10" i="3"/>
  <c r="E10" i="3"/>
  <c r="I5" i="3"/>
  <c r="H5" i="3"/>
  <c r="G5" i="3"/>
  <c r="F5" i="3"/>
  <c r="E5" i="3"/>
  <c r="I4" i="3"/>
  <c r="H4" i="3"/>
  <c r="G4" i="3"/>
  <c r="F4" i="3"/>
  <c r="E4" i="3"/>
  <c r="I3" i="3"/>
  <c r="H3" i="3"/>
  <c r="G3" i="3"/>
  <c r="F3" i="3"/>
  <c r="E3" i="3"/>
  <c r="E769" i="19" l="1"/>
  <c r="E768" i="19"/>
  <c r="E767" i="19"/>
  <c r="E770" i="19"/>
  <c r="I770" i="19"/>
  <c r="I769" i="19"/>
  <c r="I768" i="19"/>
  <c r="I767" i="19"/>
  <c r="G767" i="19"/>
  <c r="G770" i="19"/>
  <c r="G769" i="19"/>
  <c r="G768" i="19"/>
  <c r="H767" i="19"/>
  <c r="H770" i="19"/>
  <c r="H769" i="19"/>
  <c r="H768" i="19"/>
  <c r="F768" i="19"/>
  <c r="F767" i="19"/>
  <c r="F770" i="19"/>
  <c r="F769" i="19"/>
  <c r="T15" i="57"/>
  <c r="T16" i="57"/>
  <c r="T19" i="57" l="1"/>
  <c r="V19" i="57" s="1"/>
  <c r="I17" i="68"/>
  <c r="H774" i="19" l="1"/>
  <c r="G774" i="19"/>
  <c r="F774" i="19"/>
  <c r="I773" i="19"/>
  <c r="H773" i="19"/>
  <c r="G773" i="19"/>
  <c r="E773" i="19"/>
  <c r="I772" i="19"/>
  <c r="H772" i="19"/>
  <c r="F772" i="19"/>
  <c r="E772" i="19"/>
  <c r="I771" i="19"/>
  <c r="H771" i="19"/>
  <c r="G771" i="19"/>
  <c r="I774" i="19"/>
  <c r="E774" i="19"/>
  <c r="F773" i="19"/>
  <c r="G772" i="19"/>
  <c r="F771" i="19"/>
  <c r="E771" i="19"/>
  <c r="V337" i="8" l="1"/>
  <c r="T337" i="8"/>
  <c r="V336" i="8"/>
  <c r="T336" i="8"/>
  <c r="V335" i="8"/>
  <c r="T335" i="8"/>
  <c r="V334" i="8"/>
  <c r="T334" i="8"/>
  <c r="J131" i="33"/>
  <c r="J130" i="33"/>
  <c r="J129" i="33"/>
  <c r="J128" i="33"/>
  <c r="D67" i="33"/>
  <c r="D66" i="33"/>
  <c r="D65" i="33"/>
  <c r="D55" i="33"/>
  <c r="D32" i="33"/>
  <c r="D31" i="33"/>
  <c r="D16" i="33"/>
  <c r="D15" i="33"/>
  <c r="C1087" i="7"/>
  <c r="C1076" i="7"/>
  <c r="C1068" i="7"/>
  <c r="C1061" i="7"/>
  <c r="C1054" i="7"/>
  <c r="C1044" i="7"/>
  <c r="C1028" i="7"/>
  <c r="C1022" i="7"/>
  <c r="C1014" i="7"/>
  <c r="C1005" i="7"/>
  <c r="C997" i="7"/>
  <c r="C989" i="7"/>
  <c r="C980" i="7"/>
  <c r="C973" i="7"/>
  <c r="C961" i="7"/>
  <c r="C953" i="7"/>
  <c r="C941" i="7"/>
  <c r="C924" i="7"/>
  <c r="C915" i="7"/>
  <c r="C904" i="7"/>
  <c r="C896" i="7"/>
  <c r="C888" i="7"/>
  <c r="C875" i="7"/>
  <c r="C860" i="7"/>
  <c r="C848" i="7"/>
  <c r="C836" i="7"/>
  <c r="C828" i="7"/>
  <c r="C813" i="7"/>
  <c r="C794" i="7"/>
  <c r="C775" i="7"/>
  <c r="C760" i="7"/>
  <c r="C748" i="7"/>
  <c r="C736" i="7"/>
  <c r="C726" i="7"/>
  <c r="C716" i="7"/>
  <c r="C707" i="7"/>
  <c r="C696" i="7"/>
  <c r="C684" i="7"/>
  <c r="C674" i="7"/>
  <c r="C667" i="7"/>
  <c r="C655" i="7"/>
  <c r="C644" i="7"/>
  <c r="C630" i="7"/>
  <c r="C616" i="7"/>
  <c r="C603" i="7"/>
  <c r="C587" i="7"/>
  <c r="C575" i="7"/>
  <c r="C563" i="7"/>
  <c r="C552" i="7"/>
  <c r="C540" i="7"/>
  <c r="C531" i="7"/>
  <c r="C522" i="7"/>
  <c r="C513" i="7"/>
  <c r="C504" i="7"/>
  <c r="C490" i="7"/>
  <c r="C481" i="7"/>
  <c r="C469" i="7"/>
  <c r="C460" i="7"/>
  <c r="C439" i="7"/>
  <c r="C428" i="7"/>
  <c r="C417" i="7"/>
  <c r="C406" i="7"/>
  <c r="C395" i="7"/>
  <c r="C381" i="7"/>
  <c r="C369" i="7"/>
  <c r="C357" i="7"/>
  <c r="C345" i="7"/>
  <c r="C333" i="7"/>
  <c r="C322" i="7"/>
  <c r="G754" i="19"/>
  <c r="F754" i="19"/>
  <c r="G745" i="19"/>
  <c r="F745" i="19"/>
  <c r="G732" i="19"/>
  <c r="F732" i="19"/>
  <c r="G731" i="19"/>
  <c r="F731" i="19"/>
  <c r="G719" i="19"/>
  <c r="F719" i="19"/>
  <c r="I315" i="2"/>
  <c r="H315" i="2"/>
  <c r="G315" i="2"/>
  <c r="F315" i="2"/>
  <c r="E315" i="2"/>
  <c r="I314" i="2"/>
  <c r="I731" i="18" s="1"/>
  <c r="H314" i="2"/>
  <c r="H731" i="18" s="1"/>
  <c r="G314" i="2"/>
  <c r="G731" i="18" s="1"/>
  <c r="F314" i="2"/>
  <c r="F731" i="18" s="1"/>
  <c r="E314" i="2"/>
  <c r="E731" i="18" s="1"/>
  <c r="I313" i="2"/>
  <c r="I730" i="18" s="1"/>
  <c r="H313" i="2"/>
  <c r="H730" i="18" s="1"/>
  <c r="G313" i="2"/>
  <c r="G730" i="18" s="1"/>
  <c r="F313" i="2"/>
  <c r="F730" i="18" s="1"/>
  <c r="E313" i="2"/>
  <c r="E730" i="18" s="1"/>
  <c r="I312" i="2"/>
  <c r="I729" i="18" s="1"/>
  <c r="H312" i="2"/>
  <c r="H729" i="18" s="1"/>
  <c r="G312" i="2"/>
  <c r="G729" i="18" s="1"/>
  <c r="F312" i="2"/>
  <c r="F729" i="18" s="1"/>
  <c r="E312" i="2"/>
  <c r="I311" i="2"/>
  <c r="H311" i="2"/>
  <c r="G311" i="2"/>
  <c r="F311" i="2"/>
  <c r="E311" i="2"/>
  <c r="I310" i="2"/>
  <c r="I728" i="18" s="1"/>
  <c r="H310" i="2"/>
  <c r="H728" i="18" s="1"/>
  <c r="G310" i="2"/>
  <c r="G728" i="18" s="1"/>
  <c r="F310" i="2"/>
  <c r="F728" i="18" s="1"/>
  <c r="E310" i="2"/>
  <c r="E728" i="18" s="1"/>
  <c r="I309" i="2"/>
  <c r="I727" i="18" s="1"/>
  <c r="H309" i="2"/>
  <c r="H727" i="18" s="1"/>
  <c r="G309" i="2"/>
  <c r="G727" i="18" s="1"/>
  <c r="F309" i="2"/>
  <c r="F727" i="18" s="1"/>
  <c r="E309" i="2"/>
  <c r="E727" i="18" s="1"/>
  <c r="I308" i="2"/>
  <c r="I726" i="18" s="1"/>
  <c r="H308" i="2"/>
  <c r="H726" i="18" s="1"/>
  <c r="G308" i="2"/>
  <c r="G726" i="18" s="1"/>
  <c r="F308" i="2"/>
  <c r="F726" i="18" s="1"/>
  <c r="E308" i="2"/>
  <c r="F24" i="52"/>
  <c r="F22" i="52"/>
  <c r="F20" i="52"/>
  <c r="F18" i="52"/>
  <c r="F16" i="52"/>
  <c r="F14" i="52"/>
  <c r="Z20" i="55"/>
  <c r="W20" i="55"/>
  <c r="V20" i="55"/>
  <c r="Z18" i="55"/>
  <c r="V18" i="55"/>
  <c r="W18" i="55" s="1"/>
  <c r="Z16" i="55"/>
  <c r="V16" i="55"/>
  <c r="W16" i="55" s="1"/>
  <c r="Z14" i="55"/>
  <c r="V14" i="55"/>
  <c r="W14" i="55" s="1"/>
  <c r="G6" i="5"/>
  <c r="E729" i="18" l="1"/>
  <c r="F19" i="7"/>
  <c r="G19" i="7"/>
  <c r="E726" i="18"/>
  <c r="A211" i="3" l="1"/>
  <c r="D27" i="68" l="1"/>
  <c r="D26" i="68"/>
  <c r="D25" i="68"/>
  <c r="D24" i="68"/>
  <c r="D191" i="7" l="1"/>
  <c r="D104" i="7" l="1"/>
  <c r="D103" i="7"/>
  <c r="D102" i="7"/>
  <c r="D101" i="7"/>
  <c r="T869" i="7" l="1"/>
  <c r="S869" i="7"/>
  <c r="R869" i="7"/>
  <c r="T868" i="7"/>
  <c r="S868" i="7"/>
  <c r="R868" i="7"/>
  <c r="T867" i="7"/>
  <c r="S867" i="7"/>
  <c r="R867" i="7"/>
  <c r="T866" i="7"/>
  <c r="S866" i="7"/>
  <c r="R866" i="7"/>
  <c r="T865" i="7"/>
  <c r="S865" i="7"/>
  <c r="R865" i="7"/>
  <c r="T864" i="7"/>
  <c r="S864" i="7"/>
  <c r="R864" i="7"/>
  <c r="T863" i="7"/>
  <c r="S863" i="7"/>
  <c r="R863" i="7"/>
  <c r="T862" i="7"/>
  <c r="S862" i="7"/>
  <c r="R862" i="7"/>
  <c r="T861" i="7"/>
  <c r="S861" i="7"/>
  <c r="R861" i="7"/>
  <c r="T734" i="7"/>
  <c r="S734" i="7"/>
  <c r="R734" i="7"/>
  <c r="L734" i="7"/>
  <c r="M734" i="7" s="1"/>
  <c r="N734" i="7" s="1"/>
  <c r="O734" i="7" s="1"/>
  <c r="D734" i="7"/>
  <c r="T733" i="7"/>
  <c r="S733" i="7"/>
  <c r="R733" i="7"/>
  <c r="T732" i="7"/>
  <c r="S732" i="7"/>
  <c r="R732" i="7"/>
  <c r="D732" i="7"/>
  <c r="T731" i="7"/>
  <c r="S731" i="7"/>
  <c r="R731" i="7"/>
  <c r="D731" i="7"/>
  <c r="T730" i="7"/>
  <c r="S730" i="7"/>
  <c r="R730" i="7"/>
  <c r="T729" i="7"/>
  <c r="S729" i="7"/>
  <c r="R729" i="7"/>
  <c r="T728" i="7"/>
  <c r="S728" i="7"/>
  <c r="R728" i="7"/>
  <c r="T727" i="7"/>
  <c r="S727" i="7"/>
  <c r="R727" i="7"/>
  <c r="T423" i="7"/>
  <c r="S423" i="7"/>
  <c r="R423" i="7"/>
  <c r="T422" i="7"/>
  <c r="S422" i="7"/>
  <c r="R422" i="7"/>
  <c r="T421" i="7"/>
  <c r="S421" i="7"/>
  <c r="R421" i="7"/>
  <c r="T412" i="7"/>
  <c r="S412" i="7"/>
  <c r="R412" i="7"/>
  <c r="T411" i="7"/>
  <c r="S411" i="7"/>
  <c r="R411" i="7"/>
  <c r="T410" i="7"/>
  <c r="S410" i="7"/>
  <c r="R410" i="7"/>
  <c r="T420" i="7"/>
  <c r="S420" i="7"/>
  <c r="R420" i="7"/>
  <c r="T419" i="7"/>
  <c r="S419" i="7"/>
  <c r="R419" i="7"/>
  <c r="T409" i="7"/>
  <c r="S409" i="7"/>
  <c r="R409" i="7"/>
  <c r="T408" i="7"/>
  <c r="S408" i="7"/>
  <c r="R408" i="7"/>
  <c r="L426" i="7"/>
  <c r="L415" i="7"/>
  <c r="T1089" i="7"/>
  <c r="S1089" i="7"/>
  <c r="R1089" i="7"/>
  <c r="D1090" i="7"/>
  <c r="R1090" i="7"/>
  <c r="S1090" i="7"/>
  <c r="T1090" i="7"/>
  <c r="T1088" i="7"/>
  <c r="S1088" i="7"/>
  <c r="R1088" i="7"/>
  <c r="D1088" i="7"/>
  <c r="T1080" i="7"/>
  <c r="S1080" i="7"/>
  <c r="R1080" i="7"/>
  <c r="T1079" i="7"/>
  <c r="S1079" i="7"/>
  <c r="R1079" i="7"/>
  <c r="T1078" i="7"/>
  <c r="S1078" i="7"/>
  <c r="R1078" i="7"/>
  <c r="T1077" i="7"/>
  <c r="S1077" i="7"/>
  <c r="R1077" i="7"/>
  <c r="T1095" i="7"/>
  <c r="S1095" i="7"/>
  <c r="R1095" i="7"/>
  <c r="D1095" i="7"/>
  <c r="T1094" i="7"/>
  <c r="S1094" i="7"/>
  <c r="R1094" i="7"/>
  <c r="T1093" i="7"/>
  <c r="S1093" i="7"/>
  <c r="R1093" i="7"/>
  <c r="D1093" i="7"/>
  <c r="T1092" i="7"/>
  <c r="S1092" i="7"/>
  <c r="R1092" i="7"/>
  <c r="D1092" i="7"/>
  <c r="T1091" i="7"/>
  <c r="S1091" i="7"/>
  <c r="R1091" i="7"/>
  <c r="D1091" i="7"/>
  <c r="T700" i="7"/>
  <c r="S700" i="7"/>
  <c r="R700" i="7"/>
  <c r="D700" i="7"/>
  <c r="T699" i="7"/>
  <c r="S699" i="7"/>
  <c r="R699" i="7"/>
  <c r="D699" i="7"/>
  <c r="T698" i="7"/>
  <c r="S698" i="7"/>
  <c r="R698" i="7"/>
  <c r="T697" i="7"/>
  <c r="S697" i="7"/>
  <c r="R697" i="7"/>
  <c r="D697" i="7"/>
  <c r="T496" i="7"/>
  <c r="S496" i="7"/>
  <c r="R496" i="7"/>
  <c r="T495" i="7"/>
  <c r="S495" i="7"/>
  <c r="R495" i="7"/>
  <c r="T494" i="7"/>
  <c r="S494" i="7"/>
  <c r="R494" i="7"/>
  <c r="T493" i="7"/>
  <c r="S493" i="7"/>
  <c r="R493" i="7"/>
  <c r="T492" i="7"/>
  <c r="S492" i="7"/>
  <c r="R492" i="7"/>
  <c r="T491" i="7"/>
  <c r="S491" i="7"/>
  <c r="R491" i="7"/>
  <c r="I754" i="19" l="1"/>
  <c r="H754" i="19"/>
  <c r="E754" i="19"/>
  <c r="I745" i="19"/>
  <c r="H745" i="19"/>
  <c r="E745" i="19"/>
  <c r="I732" i="19"/>
  <c r="H732" i="19"/>
  <c r="E732" i="19"/>
  <c r="I731" i="19"/>
  <c r="H731" i="19"/>
  <c r="E731" i="19"/>
  <c r="E19" i="7" s="1"/>
  <c r="I719" i="19"/>
  <c r="H719" i="19"/>
  <c r="E719" i="19"/>
  <c r="H19" i="7" l="1"/>
  <c r="E190" i="7"/>
  <c r="I19" i="7"/>
  <c r="L221" i="3"/>
  <c r="L220" i="3"/>
  <c r="L219" i="3"/>
  <c r="L218" i="3"/>
  <c r="L217" i="3"/>
  <c r="L216" i="3"/>
  <c r="L215" i="3"/>
  <c r="L214" i="3"/>
  <c r="L213" i="3"/>
  <c r="L212" i="3"/>
  <c r="L211" i="3"/>
  <c r="L210" i="3"/>
  <c r="L207" i="3"/>
  <c r="L206" i="3"/>
  <c r="L205" i="3"/>
  <c r="L204" i="3"/>
  <c r="L203" i="3"/>
  <c r="L202" i="3"/>
  <c r="L199" i="3"/>
  <c r="L198" i="3"/>
  <c r="L196" i="3"/>
  <c r="L195" i="3"/>
  <c r="L194" i="3"/>
  <c r="L193" i="3"/>
  <c r="L192" i="3"/>
  <c r="L190" i="3"/>
  <c r="L189" i="3"/>
  <c r="L188" i="3"/>
  <c r="L187" i="3"/>
  <c r="L186" i="3"/>
  <c r="L184" i="3"/>
  <c r="L183" i="3"/>
  <c r="L182" i="3"/>
  <c r="L181" i="3"/>
  <c r="L180" i="3"/>
  <c r="L178" i="3"/>
  <c r="L177" i="3"/>
  <c r="L176" i="3"/>
  <c r="L175" i="3"/>
  <c r="L174" i="3"/>
  <c r="L169" i="3"/>
  <c r="L168" i="3"/>
  <c r="L167" i="3"/>
  <c r="L163" i="3"/>
  <c r="L162" i="3"/>
  <c r="L161" i="3"/>
  <c r="L159" i="3"/>
  <c r="L158" i="3"/>
  <c r="L157" i="3"/>
  <c r="L153" i="3"/>
  <c r="L152" i="3"/>
  <c r="L151" i="3"/>
  <c r="L150" i="3"/>
  <c r="L148" i="3"/>
  <c r="L147" i="3"/>
  <c r="L146" i="3"/>
  <c r="L145" i="3"/>
  <c r="L142" i="3"/>
  <c r="L141" i="3"/>
  <c r="L140" i="3"/>
  <c r="L138" i="3"/>
  <c r="L137" i="3"/>
  <c r="L136" i="3"/>
  <c r="L131" i="3"/>
  <c r="L130" i="3"/>
  <c r="L129" i="3"/>
  <c r="L128" i="3"/>
  <c r="L127" i="3"/>
  <c r="L126" i="3"/>
  <c r="L125" i="3"/>
  <c r="L124" i="3"/>
  <c r="L123" i="3"/>
  <c r="L122" i="3"/>
  <c r="L113" i="3"/>
  <c r="L112" i="3"/>
  <c r="L111" i="3"/>
  <c r="L110" i="3"/>
  <c r="L107" i="3"/>
  <c r="L106" i="3"/>
  <c r="L105" i="3"/>
  <c r="L104" i="3"/>
  <c r="L103" i="3"/>
  <c r="L99" i="3"/>
  <c r="L98" i="3"/>
  <c r="L95" i="3"/>
  <c r="L94" i="3"/>
  <c r="L93" i="3"/>
  <c r="L92" i="3"/>
  <c r="L91" i="3"/>
  <c r="L87" i="3"/>
  <c r="L85" i="3"/>
  <c r="L82" i="3"/>
  <c r="L81" i="3"/>
  <c r="L78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38" i="3"/>
  <c r="L37" i="3"/>
  <c r="L36" i="3"/>
  <c r="L35" i="3"/>
  <c r="L34" i="3"/>
  <c r="L33" i="3"/>
  <c r="L32" i="3"/>
  <c r="L31" i="3"/>
  <c r="L30" i="3"/>
  <c r="L29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5" i="3"/>
  <c r="L4" i="3"/>
  <c r="L3" i="3"/>
  <c r="K796" i="19" l="1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I766" i="19"/>
  <c r="H766" i="19"/>
  <c r="G766" i="19"/>
  <c r="F766" i="19"/>
  <c r="I765" i="19"/>
  <c r="H765" i="19"/>
  <c r="G765" i="19"/>
  <c r="F765" i="19"/>
  <c r="E766" i="19"/>
  <c r="E765" i="19"/>
  <c r="I761" i="19"/>
  <c r="H761" i="19"/>
  <c r="G761" i="19"/>
  <c r="F761" i="19"/>
  <c r="E761" i="19"/>
  <c r="I760" i="19"/>
  <c r="I87" i="7" s="1"/>
  <c r="H760" i="19"/>
  <c r="F760" i="19"/>
  <c r="F118" i="28" s="1"/>
  <c r="I759" i="19"/>
  <c r="I191" i="7" s="1"/>
  <c r="H759" i="19"/>
  <c r="H191" i="7" s="1"/>
  <c r="G759" i="19"/>
  <c r="G191" i="7" s="1"/>
  <c r="F759" i="19"/>
  <c r="F191" i="7" s="1"/>
  <c r="E760" i="19"/>
  <c r="E93" i="7" s="1"/>
  <c r="E759" i="19"/>
  <c r="G760" i="19"/>
  <c r="G117" i="27" s="1"/>
  <c r="E191" i="7" l="1"/>
  <c r="E50" i="7"/>
  <c r="E130" i="28"/>
  <c r="E129" i="10"/>
  <c r="E129" i="27"/>
  <c r="E75" i="7"/>
  <c r="E54" i="7"/>
  <c r="E65" i="7"/>
  <c r="E60" i="7"/>
  <c r="E55" i="7"/>
  <c r="E73" i="7"/>
  <c r="E68" i="7"/>
  <c r="E63" i="7"/>
  <c r="E72" i="7"/>
  <c r="E67" i="7"/>
  <c r="E62" i="7"/>
  <c r="E53" i="7"/>
  <c r="E57" i="7"/>
  <c r="E71" i="7"/>
  <c r="E66" i="7"/>
  <c r="E61" i="7"/>
  <c r="E308" i="7"/>
  <c r="E74" i="7"/>
  <c r="E69" i="7"/>
  <c r="E59" i="7"/>
  <c r="E56" i="7"/>
  <c r="H130" i="28"/>
  <c r="H129" i="27"/>
  <c r="H129" i="10"/>
  <c r="H57" i="7"/>
  <c r="H54" i="7"/>
  <c r="H75" i="7"/>
  <c r="H73" i="7"/>
  <c r="H71" i="7"/>
  <c r="H68" i="7"/>
  <c r="H66" i="7"/>
  <c r="H63" i="7"/>
  <c r="H62" i="7"/>
  <c r="H61" i="7"/>
  <c r="H60" i="7"/>
  <c r="H59" i="7"/>
  <c r="H56" i="7"/>
  <c r="H55" i="7"/>
  <c r="H53" i="7"/>
  <c r="H74" i="7"/>
  <c r="H72" i="7"/>
  <c r="H69" i="7"/>
  <c r="H67" i="7"/>
  <c r="H65" i="7"/>
  <c r="G129" i="10"/>
  <c r="G130" i="28"/>
  <c r="G129" i="27"/>
  <c r="G62" i="7"/>
  <c r="G60" i="7"/>
  <c r="G56" i="7"/>
  <c r="G54" i="7"/>
  <c r="G74" i="7"/>
  <c r="G72" i="7"/>
  <c r="G69" i="7"/>
  <c r="G68" i="7"/>
  <c r="G67" i="7"/>
  <c r="G66" i="7"/>
  <c r="G65" i="7"/>
  <c r="G63" i="7"/>
  <c r="G61" i="7"/>
  <c r="G59" i="7"/>
  <c r="G57" i="7"/>
  <c r="G55" i="7"/>
  <c r="G53" i="7"/>
  <c r="G75" i="7"/>
  <c r="G73" i="7"/>
  <c r="G71" i="7"/>
  <c r="I130" i="28"/>
  <c r="I129" i="27"/>
  <c r="I129" i="10"/>
  <c r="I75" i="7"/>
  <c r="I74" i="7"/>
  <c r="I72" i="7"/>
  <c r="I69" i="7"/>
  <c r="I67" i="7"/>
  <c r="I65" i="7"/>
  <c r="I62" i="7"/>
  <c r="I60" i="7"/>
  <c r="I57" i="7"/>
  <c r="I56" i="7"/>
  <c r="I55" i="7"/>
  <c r="I54" i="7"/>
  <c r="I53" i="7"/>
  <c r="I73" i="7"/>
  <c r="I71" i="7"/>
  <c r="I68" i="7"/>
  <c r="I66" i="7"/>
  <c r="I63" i="7"/>
  <c r="I61" i="7"/>
  <c r="I59" i="7"/>
  <c r="F129" i="27"/>
  <c r="F130" i="28"/>
  <c r="F129" i="10"/>
  <c r="F69" i="7"/>
  <c r="F67" i="7"/>
  <c r="F65" i="7"/>
  <c r="F62" i="7"/>
  <c r="F60" i="7"/>
  <c r="F57" i="7"/>
  <c r="F55" i="7"/>
  <c r="F53" i="7"/>
  <c r="F75" i="7"/>
  <c r="F74" i="7"/>
  <c r="F73" i="7"/>
  <c r="F72" i="7"/>
  <c r="F71" i="7"/>
  <c r="F68" i="7"/>
  <c r="F66" i="7"/>
  <c r="F63" i="7"/>
  <c r="F61" i="7"/>
  <c r="F59" i="7"/>
  <c r="F56" i="7"/>
  <c r="F54" i="7"/>
  <c r="K766" i="19"/>
  <c r="K765" i="19"/>
  <c r="F308" i="7"/>
  <c r="F85" i="7"/>
  <c r="F79" i="7"/>
  <c r="F35" i="64"/>
  <c r="H50" i="7"/>
  <c r="H117" i="10"/>
  <c r="H98" i="7"/>
  <c r="H82" i="7"/>
  <c r="H93" i="64"/>
  <c r="H117" i="27"/>
  <c r="H88" i="7"/>
  <c r="H94" i="7"/>
  <c r="K761" i="19"/>
  <c r="E283" i="18"/>
  <c r="G26" i="39"/>
  <c r="E81" i="7"/>
  <c r="G95" i="7"/>
  <c r="G173" i="2"/>
  <c r="G118" i="28"/>
  <c r="G90" i="7"/>
  <c r="F96" i="7"/>
  <c r="F465" i="18"/>
  <c r="G51" i="7"/>
  <c r="G78" i="7"/>
  <c r="G84" i="7"/>
  <c r="F91" i="7"/>
  <c r="I97" i="7"/>
  <c r="E117" i="10"/>
  <c r="I81" i="7"/>
  <c r="E87" i="7"/>
  <c r="I117" i="10"/>
  <c r="I308" i="7"/>
  <c r="I35" i="64"/>
  <c r="I51" i="7"/>
  <c r="I50" i="7"/>
  <c r="I283" i="18"/>
  <c r="G47" i="39"/>
  <c r="E465" i="18"/>
  <c r="E96" i="7"/>
  <c r="E91" i="7"/>
  <c r="E85" i="7"/>
  <c r="E79" i="7"/>
  <c r="E118" i="28"/>
  <c r="E173" i="2"/>
  <c r="E95" i="7"/>
  <c r="E90" i="7"/>
  <c r="E84" i="7"/>
  <c r="E78" i="7"/>
  <c r="E117" i="27"/>
  <c r="E98" i="7"/>
  <c r="E94" i="7"/>
  <c r="E88" i="7"/>
  <c r="E82" i="7"/>
  <c r="E93" i="64"/>
  <c r="I465" i="18"/>
  <c r="I96" i="7"/>
  <c r="I91" i="7"/>
  <c r="I85" i="7"/>
  <c r="I79" i="7"/>
  <c r="I118" i="28"/>
  <c r="I173" i="2"/>
  <c r="I95" i="7"/>
  <c r="I90" i="7"/>
  <c r="I84" i="7"/>
  <c r="I78" i="7"/>
  <c r="I117" i="27"/>
  <c r="I98" i="7"/>
  <c r="I94" i="7"/>
  <c r="I88" i="7"/>
  <c r="I82" i="7"/>
  <c r="I93" i="64"/>
  <c r="I93" i="7"/>
  <c r="E97" i="7"/>
  <c r="G35" i="64"/>
  <c r="F283" i="18"/>
  <c r="H51" i="7"/>
  <c r="G308" i="7"/>
  <c r="H78" i="7"/>
  <c r="G79" i="7"/>
  <c r="F81" i="7"/>
  <c r="H84" i="7"/>
  <c r="G85" i="7"/>
  <c r="F87" i="7"/>
  <c r="H90" i="7"/>
  <c r="G91" i="7"/>
  <c r="F93" i="7"/>
  <c r="H95" i="7"/>
  <c r="G96" i="7"/>
  <c r="F97" i="7"/>
  <c r="H173" i="2"/>
  <c r="G465" i="18"/>
  <c r="F117" i="10"/>
  <c r="H118" i="28"/>
  <c r="H35" i="64"/>
  <c r="G283" i="18"/>
  <c r="F50" i="7"/>
  <c r="E51" i="7"/>
  <c r="H308" i="7"/>
  <c r="F93" i="64"/>
  <c r="H79" i="7"/>
  <c r="G81" i="7"/>
  <c r="F82" i="7"/>
  <c r="H85" i="7"/>
  <c r="G87" i="7"/>
  <c r="F88" i="7"/>
  <c r="H91" i="7"/>
  <c r="G93" i="7"/>
  <c r="F94" i="7"/>
  <c r="H96" i="7"/>
  <c r="G97" i="7"/>
  <c r="F98" i="7"/>
  <c r="H465" i="18"/>
  <c r="G117" i="10"/>
  <c r="F117" i="27"/>
  <c r="E35" i="64"/>
  <c r="H283" i="18"/>
  <c r="G50" i="7"/>
  <c r="F51" i="7"/>
  <c r="G93" i="64"/>
  <c r="F78" i="7"/>
  <c r="H81" i="7"/>
  <c r="G82" i="7"/>
  <c r="F84" i="7"/>
  <c r="H87" i="7"/>
  <c r="G88" i="7"/>
  <c r="F90" i="7"/>
  <c r="H93" i="7"/>
  <c r="G94" i="7"/>
  <c r="F95" i="7"/>
  <c r="H97" i="7"/>
  <c r="G98" i="7"/>
  <c r="F173" i="2"/>
  <c r="K759" i="19"/>
  <c r="K760" i="19"/>
  <c r="I758" i="19"/>
  <c r="H758" i="19"/>
  <c r="G758" i="19"/>
  <c r="F758" i="19"/>
  <c r="I757" i="19"/>
  <c r="H757" i="19"/>
  <c r="G757" i="19"/>
  <c r="F757" i="19"/>
  <c r="I756" i="19"/>
  <c r="H756" i="19"/>
  <c r="G756" i="19"/>
  <c r="F756" i="19"/>
  <c r="I755" i="19"/>
  <c r="E758" i="19"/>
  <c r="E757" i="19"/>
  <c r="E756" i="19"/>
  <c r="E755" i="19"/>
  <c r="I751" i="19"/>
  <c r="I243" i="2" s="1"/>
  <c r="H751" i="19"/>
  <c r="G751" i="19"/>
  <c r="G538" i="18" s="1"/>
  <c r="F751" i="19"/>
  <c r="I750" i="19"/>
  <c r="H750" i="19"/>
  <c r="H242" i="2" s="1"/>
  <c r="G750" i="19"/>
  <c r="G26" i="28" s="1"/>
  <c r="F750" i="19"/>
  <c r="E751" i="19"/>
  <c r="N55" i="60" s="1"/>
  <c r="E750" i="19"/>
  <c r="K16" i="39" s="1"/>
  <c r="K770" i="19" l="1"/>
  <c r="H755" i="19"/>
  <c r="H624" i="19" s="1"/>
  <c r="G755" i="19"/>
  <c r="G67" i="64" s="1"/>
  <c r="F755" i="19"/>
  <c r="F279" i="6" s="1"/>
  <c r="K767" i="19"/>
  <c r="K768" i="19"/>
  <c r="K769" i="19"/>
  <c r="I372" i="18"/>
  <c r="I624" i="19"/>
  <c r="I67" i="64"/>
  <c r="E372" i="18"/>
  <c r="E624" i="19"/>
  <c r="K20" i="39"/>
  <c r="E279" i="6"/>
  <c r="E67" i="64"/>
  <c r="E67" i="28"/>
  <c r="F630" i="19"/>
  <c r="F68" i="64"/>
  <c r="F373" i="18"/>
  <c r="F263" i="6"/>
  <c r="F80" i="28"/>
  <c r="H551" i="18"/>
  <c r="H534" i="6"/>
  <c r="H125" i="64"/>
  <c r="H68" i="28"/>
  <c r="F125" i="64"/>
  <c r="F534" i="6"/>
  <c r="F68" i="28"/>
  <c r="F551" i="18"/>
  <c r="I534" i="6"/>
  <c r="I551" i="18"/>
  <c r="I125" i="64"/>
  <c r="I68" i="28"/>
  <c r="H630" i="19"/>
  <c r="H263" i="6"/>
  <c r="H373" i="18"/>
  <c r="H80" i="28"/>
  <c r="H68" i="64"/>
  <c r="G81" i="28"/>
  <c r="G552" i="18"/>
  <c r="G518" i="6"/>
  <c r="G126" i="64"/>
  <c r="I67" i="28"/>
  <c r="G373" i="18"/>
  <c r="G263" i="6"/>
  <c r="G68" i="64"/>
  <c r="G80" i="28"/>
  <c r="G630" i="19"/>
  <c r="E534" i="6"/>
  <c r="E125" i="64"/>
  <c r="E68" i="28"/>
  <c r="E551" i="18"/>
  <c r="K22" i="39"/>
  <c r="E630" i="19"/>
  <c r="E80" i="28"/>
  <c r="E68" i="64"/>
  <c r="E373" i="18"/>
  <c r="E263" i="6"/>
  <c r="I373" i="18"/>
  <c r="I263" i="6"/>
  <c r="I80" i="28"/>
  <c r="I68" i="64"/>
  <c r="I630" i="19"/>
  <c r="H552" i="18"/>
  <c r="H518" i="6"/>
  <c r="H126" i="64"/>
  <c r="H81" i="28"/>
  <c r="I279" i="6"/>
  <c r="F126" i="64"/>
  <c r="F81" i="28"/>
  <c r="F552" i="18"/>
  <c r="F518" i="6"/>
  <c r="G68" i="28"/>
  <c r="G551" i="18"/>
  <c r="G125" i="64"/>
  <c r="G534" i="6"/>
  <c r="E518" i="6"/>
  <c r="K43" i="39"/>
  <c r="E126" i="64"/>
  <c r="E81" i="28"/>
  <c r="K758" i="19"/>
  <c r="E552" i="18"/>
  <c r="I518" i="6"/>
  <c r="I126" i="64"/>
  <c r="I81" i="28"/>
  <c r="I552" i="18"/>
  <c r="K41" i="39"/>
  <c r="F243" i="2"/>
  <c r="H27" i="28"/>
  <c r="H538" i="18"/>
  <c r="H120" i="64"/>
  <c r="I242" i="2"/>
  <c r="H26" i="28"/>
  <c r="E27" i="28"/>
  <c r="K37" i="39"/>
  <c r="I27" i="28"/>
  <c r="E26" i="28"/>
  <c r="I26" i="28"/>
  <c r="H62" i="64"/>
  <c r="F242" i="2"/>
  <c r="H359" i="18"/>
  <c r="N55" i="57"/>
  <c r="F27" i="28"/>
  <c r="E120" i="64"/>
  <c r="I120" i="64"/>
  <c r="G243" i="2"/>
  <c r="E538" i="18"/>
  <c r="I538" i="18"/>
  <c r="G359" i="18"/>
  <c r="F26" i="28"/>
  <c r="E62" i="64"/>
  <c r="I62" i="64"/>
  <c r="G242" i="2"/>
  <c r="E359" i="18"/>
  <c r="I359" i="18"/>
  <c r="G27" i="28"/>
  <c r="F120" i="64"/>
  <c r="H243" i="2"/>
  <c r="F538" i="18"/>
  <c r="G62" i="64"/>
  <c r="E242" i="2"/>
  <c r="F62" i="64"/>
  <c r="F359" i="18"/>
  <c r="G120" i="64"/>
  <c r="E243" i="2"/>
  <c r="I749" i="19"/>
  <c r="I467" i="6" s="1"/>
  <c r="G749" i="19"/>
  <c r="G80" i="27" s="1"/>
  <c r="F749" i="19"/>
  <c r="F115" i="64" s="1"/>
  <c r="I748" i="19"/>
  <c r="H748" i="19"/>
  <c r="H629" i="19" s="1"/>
  <c r="G748" i="19"/>
  <c r="I746" i="19"/>
  <c r="F746" i="19"/>
  <c r="E749" i="19"/>
  <c r="E467" i="6" s="1"/>
  <c r="E748" i="19"/>
  <c r="E746" i="19"/>
  <c r="K744" i="19"/>
  <c r="K757" i="19"/>
  <c r="K756" i="19"/>
  <c r="K751" i="19"/>
  <c r="K750" i="19"/>
  <c r="I741" i="19"/>
  <c r="H741" i="19"/>
  <c r="G741" i="19"/>
  <c r="F741" i="19"/>
  <c r="E741" i="19"/>
  <c r="H372" i="18" l="1"/>
  <c r="H279" i="6"/>
  <c r="G372" i="18"/>
  <c r="G67" i="28"/>
  <c r="F67" i="28"/>
  <c r="F372" i="18"/>
  <c r="F624" i="19"/>
  <c r="F67" i="64"/>
  <c r="H67" i="64"/>
  <c r="H67" i="28"/>
  <c r="G279" i="6"/>
  <c r="K755" i="19"/>
  <c r="G624" i="19"/>
  <c r="H749" i="19"/>
  <c r="H80" i="27" s="1"/>
  <c r="F748" i="19"/>
  <c r="F212" i="6" s="1"/>
  <c r="G747" i="19"/>
  <c r="G516" i="18" s="1"/>
  <c r="H747" i="19"/>
  <c r="H483" i="6" s="1"/>
  <c r="E747" i="19"/>
  <c r="E114" i="64" s="1"/>
  <c r="I747" i="19"/>
  <c r="I483" i="6" s="1"/>
  <c r="F747" i="19"/>
  <c r="F67" i="27" s="1"/>
  <c r="H746" i="19"/>
  <c r="H335" i="18" s="1"/>
  <c r="G746" i="19"/>
  <c r="G56" i="64" s="1"/>
  <c r="I228" i="6"/>
  <c r="I66" i="27"/>
  <c r="I623" i="19"/>
  <c r="I335" i="18"/>
  <c r="I56" i="64"/>
  <c r="I336" i="18"/>
  <c r="I79" i="27"/>
  <c r="I629" i="19"/>
  <c r="E115" i="64"/>
  <c r="E80" i="27"/>
  <c r="G115" i="64"/>
  <c r="I517" i="18"/>
  <c r="E517" i="18"/>
  <c r="I80" i="27"/>
  <c r="I115" i="64"/>
  <c r="I20" i="39"/>
  <c r="E228" i="6"/>
  <c r="E623" i="19"/>
  <c r="E335" i="18"/>
  <c r="E66" i="27"/>
  <c r="E56" i="64"/>
  <c r="E336" i="18"/>
  <c r="E57" i="64"/>
  <c r="I22" i="39"/>
  <c r="E212" i="6"/>
  <c r="E629" i="19"/>
  <c r="E79" i="27"/>
  <c r="H212" i="6"/>
  <c r="G467" i="6"/>
  <c r="F517" i="18"/>
  <c r="F66" i="27"/>
  <c r="F228" i="6"/>
  <c r="G212" i="6"/>
  <c r="F467" i="6"/>
  <c r="F56" i="64"/>
  <c r="F335" i="18"/>
  <c r="G57" i="64"/>
  <c r="G336" i="18"/>
  <c r="F623" i="19"/>
  <c r="H57" i="64"/>
  <c r="G79" i="27"/>
  <c r="I212" i="6"/>
  <c r="H336" i="18"/>
  <c r="G629" i="19"/>
  <c r="F80" i="27"/>
  <c r="G517" i="18"/>
  <c r="I57" i="64"/>
  <c r="H79" i="27"/>
  <c r="I43" i="39"/>
  <c r="I37" i="39"/>
  <c r="K55" i="60"/>
  <c r="I740" i="19"/>
  <c r="I322" i="18" s="1"/>
  <c r="H740" i="19"/>
  <c r="H322" i="18" s="1"/>
  <c r="G740" i="19"/>
  <c r="G51" i="64" s="1"/>
  <c r="F740" i="19"/>
  <c r="F225" i="2" s="1"/>
  <c r="E740" i="19"/>
  <c r="I737" i="19"/>
  <c r="H737" i="19"/>
  <c r="G737" i="19"/>
  <c r="F737" i="19"/>
  <c r="G736" i="19"/>
  <c r="I734" i="19"/>
  <c r="H734" i="19"/>
  <c r="G734" i="19"/>
  <c r="F734" i="19"/>
  <c r="E737" i="19"/>
  <c r="C739" i="19"/>
  <c r="C738" i="19"/>
  <c r="K733" i="19"/>
  <c r="K730" i="19"/>
  <c r="K729" i="19"/>
  <c r="K728" i="19"/>
  <c r="K748" i="19" l="1"/>
  <c r="F79" i="27"/>
  <c r="H516" i="18"/>
  <c r="K747" i="19"/>
  <c r="E483" i="6"/>
  <c r="G66" i="27"/>
  <c r="E67" i="27"/>
  <c r="E516" i="18"/>
  <c r="I41" i="39"/>
  <c r="F336" i="18"/>
  <c r="G335" i="18"/>
  <c r="F629" i="19"/>
  <c r="F57" i="64"/>
  <c r="H228" i="6"/>
  <c r="H623" i="19"/>
  <c r="K746" i="19"/>
  <c r="H56" i="64"/>
  <c r="H66" i="27"/>
  <c r="H517" i="18"/>
  <c r="H115" i="64"/>
  <c r="K749" i="19"/>
  <c r="H467" i="6"/>
  <c r="F516" i="18"/>
  <c r="F483" i="6"/>
  <c r="G483" i="6"/>
  <c r="G114" i="64"/>
  <c r="F114" i="64"/>
  <c r="G67" i="27"/>
  <c r="H114" i="64"/>
  <c r="H67" i="27"/>
  <c r="I114" i="64"/>
  <c r="I516" i="18"/>
  <c r="I67" i="27"/>
  <c r="G623" i="19"/>
  <c r="G228" i="6"/>
  <c r="G628" i="19"/>
  <c r="I736" i="19"/>
  <c r="I79" i="26" s="1"/>
  <c r="F736" i="19"/>
  <c r="F79" i="26" s="1"/>
  <c r="H736" i="19"/>
  <c r="H79" i="26" s="1"/>
  <c r="E736" i="19"/>
  <c r="E735" i="19"/>
  <c r="I62" i="39" s="1"/>
  <c r="I735" i="19"/>
  <c r="I67" i="26" s="1"/>
  <c r="F735" i="19"/>
  <c r="F67" i="26" s="1"/>
  <c r="G735" i="19"/>
  <c r="H735" i="19"/>
  <c r="H67" i="26" s="1"/>
  <c r="E734" i="19"/>
  <c r="I60" i="39" s="1"/>
  <c r="H26" i="27"/>
  <c r="F322" i="18"/>
  <c r="H51" i="64"/>
  <c r="G322" i="18"/>
  <c r="G225" i="2"/>
  <c r="K740" i="19"/>
  <c r="I26" i="27"/>
  <c r="I51" i="64"/>
  <c r="K55" i="57"/>
  <c r="F26" i="27"/>
  <c r="F51" i="64"/>
  <c r="H225" i="2"/>
  <c r="I16" i="39"/>
  <c r="E26" i="27"/>
  <c r="G26" i="27"/>
  <c r="E225" i="2"/>
  <c r="I225" i="2"/>
  <c r="E51" i="64"/>
  <c r="E322" i="18"/>
  <c r="G79" i="26"/>
  <c r="K737" i="19"/>
  <c r="I727" i="19"/>
  <c r="H727" i="19"/>
  <c r="G727" i="19"/>
  <c r="F727" i="19"/>
  <c r="I726" i="19"/>
  <c r="H726" i="19"/>
  <c r="G726" i="19"/>
  <c r="F726" i="19"/>
  <c r="G725" i="19"/>
  <c r="F725" i="19"/>
  <c r="F197" i="2" s="1"/>
  <c r="I724" i="19"/>
  <c r="I26" i="26" s="1"/>
  <c r="H724" i="19"/>
  <c r="H196" i="2" s="1"/>
  <c r="G724" i="19"/>
  <c r="F724" i="19"/>
  <c r="F26" i="26" s="1"/>
  <c r="E727" i="19"/>
  <c r="M62" i="39" s="1"/>
  <c r="E726" i="19"/>
  <c r="M60" i="39" s="1"/>
  <c r="E725" i="19"/>
  <c r="E724" i="19"/>
  <c r="I725" i="19"/>
  <c r="I197" i="2" s="1"/>
  <c r="H725" i="19"/>
  <c r="F723" i="19"/>
  <c r="F721" i="19"/>
  <c r="I720" i="19"/>
  <c r="H720" i="19"/>
  <c r="G720" i="19"/>
  <c r="F720" i="19"/>
  <c r="E720" i="19"/>
  <c r="E67" i="26" l="1"/>
  <c r="K736" i="19"/>
  <c r="I628" i="19"/>
  <c r="E628" i="19"/>
  <c r="H628" i="19"/>
  <c r="K60" i="39"/>
  <c r="F628" i="19"/>
  <c r="E79" i="26"/>
  <c r="K735" i="19"/>
  <c r="G67" i="26"/>
  <c r="H723" i="19"/>
  <c r="H366" i="6" s="1"/>
  <c r="G723" i="19"/>
  <c r="G104" i="64" s="1"/>
  <c r="E723" i="19"/>
  <c r="E104" i="64" s="1"/>
  <c r="I723" i="19"/>
  <c r="I104" i="64" s="1"/>
  <c r="H721" i="19"/>
  <c r="H103" i="64" s="1"/>
  <c r="E721" i="19"/>
  <c r="E481" i="18" s="1"/>
  <c r="G721" i="19"/>
  <c r="G382" i="6" s="1"/>
  <c r="I721" i="19"/>
  <c r="I67" i="10" s="1"/>
  <c r="I722" i="19"/>
  <c r="I111" i="6" s="1"/>
  <c r="F722" i="19"/>
  <c r="F46" i="64" s="1"/>
  <c r="G722" i="19"/>
  <c r="G300" i="18" s="1"/>
  <c r="E722" i="19"/>
  <c r="E46" i="64" s="1"/>
  <c r="H722" i="19"/>
  <c r="H111" i="6" s="1"/>
  <c r="E197" i="2"/>
  <c r="E27" i="26"/>
  <c r="I27" i="26"/>
  <c r="J54" i="55"/>
  <c r="E26" i="26"/>
  <c r="E60" i="39"/>
  <c r="E196" i="2"/>
  <c r="I196" i="2"/>
  <c r="G26" i="26"/>
  <c r="F196" i="2"/>
  <c r="F27" i="26"/>
  <c r="G197" i="2"/>
  <c r="E62" i="39"/>
  <c r="H26" i="26"/>
  <c r="G196" i="2"/>
  <c r="G27" i="26"/>
  <c r="H197" i="2"/>
  <c r="N54" i="55"/>
  <c r="H27" i="26"/>
  <c r="K724" i="19"/>
  <c r="K725" i="19"/>
  <c r="G20" i="39"/>
  <c r="F481" i="18"/>
  <c r="F67" i="10"/>
  <c r="F382" i="6"/>
  <c r="F103" i="64"/>
  <c r="F80" i="10"/>
  <c r="F482" i="18"/>
  <c r="F104" i="64"/>
  <c r="F366" i="6"/>
  <c r="G46" i="64"/>
  <c r="I716" i="19"/>
  <c r="I27" i="10" s="1"/>
  <c r="H716" i="19"/>
  <c r="H426" i="11" s="1"/>
  <c r="G716" i="19"/>
  <c r="G468" i="18" s="1"/>
  <c r="F716" i="19"/>
  <c r="F180" i="2" s="1"/>
  <c r="E716" i="19"/>
  <c r="G37" i="39" s="1"/>
  <c r="I715" i="19"/>
  <c r="H715" i="19"/>
  <c r="G715" i="19"/>
  <c r="F715" i="19"/>
  <c r="E715" i="19"/>
  <c r="K713" i="19"/>
  <c r="K712" i="19"/>
  <c r="E67" i="10" l="1"/>
  <c r="I627" i="19"/>
  <c r="I46" i="64"/>
  <c r="I300" i="18"/>
  <c r="I79" i="10"/>
  <c r="H627" i="19"/>
  <c r="H46" i="64"/>
  <c r="H300" i="18"/>
  <c r="G627" i="19"/>
  <c r="G79" i="10"/>
  <c r="G111" i="6"/>
  <c r="H79" i="10"/>
  <c r="E103" i="64"/>
  <c r="G366" i="6"/>
  <c r="E382" i="6"/>
  <c r="H104" i="64"/>
  <c r="H482" i="18"/>
  <c r="H80" i="10"/>
  <c r="G43" i="39"/>
  <c r="E80" i="10"/>
  <c r="E482" i="18"/>
  <c r="E366" i="6"/>
  <c r="K723" i="19"/>
  <c r="F111" i="6"/>
  <c r="I382" i="6"/>
  <c r="G67" i="10"/>
  <c r="G41" i="39"/>
  <c r="G481" i="18"/>
  <c r="I103" i="64"/>
  <c r="K721" i="19"/>
  <c r="I481" i="18"/>
  <c r="I366" i="6"/>
  <c r="G482" i="18"/>
  <c r="I80" i="10"/>
  <c r="I482" i="18"/>
  <c r="G80" i="10"/>
  <c r="H67" i="10"/>
  <c r="G103" i="64"/>
  <c r="H481" i="18"/>
  <c r="H382" i="6"/>
  <c r="E111" i="6"/>
  <c r="F627" i="19"/>
  <c r="K722" i="19"/>
  <c r="F79" i="10"/>
  <c r="E627" i="19"/>
  <c r="E79" i="10"/>
  <c r="G22" i="39"/>
  <c r="F300" i="18"/>
  <c r="E300" i="18"/>
  <c r="H98" i="64"/>
  <c r="E426" i="11"/>
  <c r="F27" i="10"/>
  <c r="H55" i="60"/>
  <c r="G180" i="2"/>
  <c r="I426" i="11"/>
  <c r="H468" i="18"/>
  <c r="G27" i="10"/>
  <c r="E98" i="64"/>
  <c r="I98" i="64"/>
  <c r="H180" i="2"/>
  <c r="F426" i="11"/>
  <c r="E468" i="18"/>
  <c r="I468" i="18"/>
  <c r="H27" i="10"/>
  <c r="F98" i="64"/>
  <c r="E180" i="2"/>
  <c r="I180" i="2"/>
  <c r="G426" i="11"/>
  <c r="F468" i="18"/>
  <c r="E27" i="10"/>
  <c r="G98" i="64"/>
  <c r="K716" i="19"/>
  <c r="H55" i="57"/>
  <c r="G16" i="39"/>
  <c r="I332" i="2"/>
  <c r="H332" i="2"/>
  <c r="G332" i="2"/>
  <c r="F332" i="2"/>
  <c r="E332" i="2"/>
  <c r="I331" i="2"/>
  <c r="H331" i="2"/>
  <c r="G331" i="2"/>
  <c r="F331" i="2"/>
  <c r="E331" i="2"/>
  <c r="I330" i="2"/>
  <c r="H330" i="2"/>
  <c r="G330" i="2"/>
  <c r="F330" i="2"/>
  <c r="E330" i="2"/>
  <c r="I329" i="2"/>
  <c r="H329" i="2"/>
  <c r="G329" i="2"/>
  <c r="F329" i="2"/>
  <c r="E329" i="2"/>
  <c r="I328" i="2"/>
  <c r="H328" i="2"/>
  <c r="G328" i="2"/>
  <c r="F328" i="2"/>
  <c r="E328" i="2"/>
  <c r="I327" i="2"/>
  <c r="H327" i="2"/>
  <c r="G327" i="2"/>
  <c r="F327" i="2"/>
  <c r="E327" i="2"/>
  <c r="I326" i="2"/>
  <c r="H326" i="2"/>
  <c r="G326" i="2"/>
  <c r="F326" i="2"/>
  <c r="E326" i="2"/>
  <c r="I325" i="2"/>
  <c r="H325" i="2"/>
  <c r="G325" i="2"/>
  <c r="F325" i="2"/>
  <c r="E325" i="2"/>
  <c r="I324" i="2"/>
  <c r="H324" i="2"/>
  <c r="G324" i="2"/>
  <c r="F324" i="2"/>
  <c r="E324" i="2"/>
  <c r="I323" i="2"/>
  <c r="H323" i="2"/>
  <c r="G323" i="2"/>
  <c r="F323" i="2"/>
  <c r="E323" i="2"/>
  <c r="I322" i="2"/>
  <c r="H322" i="2"/>
  <c r="G322" i="2"/>
  <c r="F322" i="2"/>
  <c r="E322" i="2"/>
  <c r="I321" i="2"/>
  <c r="H321" i="2"/>
  <c r="G321" i="2"/>
  <c r="F321" i="2"/>
  <c r="E321" i="2"/>
  <c r="I297" i="2"/>
  <c r="I751" i="18" s="1"/>
  <c r="H297" i="2"/>
  <c r="H751" i="18" s="1"/>
  <c r="G297" i="2"/>
  <c r="G751" i="18" s="1"/>
  <c r="F297" i="2"/>
  <c r="F751" i="18" s="1"/>
  <c r="E297" i="2"/>
  <c r="E751" i="18" s="1"/>
  <c r="I296" i="2"/>
  <c r="I750" i="18" s="1"/>
  <c r="H296" i="2"/>
  <c r="H750" i="18" s="1"/>
  <c r="G296" i="2"/>
  <c r="G750" i="18" s="1"/>
  <c r="F296" i="2"/>
  <c r="F750" i="18" s="1"/>
  <c r="E296" i="2"/>
  <c r="E750" i="18" s="1"/>
  <c r="I295" i="2"/>
  <c r="I749" i="18" s="1"/>
  <c r="H295" i="2"/>
  <c r="H749" i="18" s="1"/>
  <c r="G295" i="2"/>
  <c r="G749" i="18" s="1"/>
  <c r="F295" i="2"/>
  <c r="F749" i="18" s="1"/>
  <c r="E295" i="2"/>
  <c r="E749" i="18" s="1"/>
  <c r="I294" i="2"/>
  <c r="H294" i="2"/>
  <c r="G294" i="2"/>
  <c r="F294" i="2"/>
  <c r="E294" i="2"/>
  <c r="I293" i="2"/>
  <c r="H293" i="2"/>
  <c r="G293" i="2"/>
  <c r="F293" i="2"/>
  <c r="E293" i="2"/>
  <c r="I292" i="2"/>
  <c r="H292" i="2"/>
  <c r="G292" i="2"/>
  <c r="F292" i="2"/>
  <c r="E292" i="2"/>
  <c r="I291" i="2"/>
  <c r="H291" i="2"/>
  <c r="G291" i="2"/>
  <c r="F291" i="2"/>
  <c r="E291" i="2"/>
  <c r="I290" i="2"/>
  <c r="H290" i="2"/>
  <c r="G290" i="2"/>
  <c r="F290" i="2"/>
  <c r="E290" i="2"/>
  <c r="I289" i="2"/>
  <c r="H289" i="2"/>
  <c r="G289" i="2"/>
  <c r="F289" i="2"/>
  <c r="E289" i="2"/>
  <c r="I288" i="2"/>
  <c r="H288" i="2"/>
  <c r="G288" i="2"/>
  <c r="F288" i="2"/>
  <c r="E288" i="2"/>
  <c r="I287" i="2"/>
  <c r="H287" i="2"/>
  <c r="G287" i="2"/>
  <c r="F287" i="2"/>
  <c r="E287" i="2"/>
  <c r="I286" i="2"/>
  <c r="H286" i="2"/>
  <c r="G286" i="2"/>
  <c r="F286" i="2"/>
  <c r="E286" i="2"/>
  <c r="I285" i="2"/>
  <c r="H285" i="2"/>
  <c r="G285" i="2"/>
  <c r="F285" i="2"/>
  <c r="E285" i="2"/>
  <c r="I284" i="2"/>
  <c r="H284" i="2"/>
  <c r="G284" i="2"/>
  <c r="F284" i="2"/>
  <c r="E284" i="2"/>
  <c r="I283" i="2"/>
  <c r="H283" i="2"/>
  <c r="G283" i="2"/>
  <c r="F283" i="2"/>
  <c r="E283" i="2"/>
  <c r="I282" i="2"/>
  <c r="H282" i="2"/>
  <c r="G282" i="2"/>
  <c r="F282" i="2"/>
  <c r="E282" i="2"/>
  <c r="I281" i="2"/>
  <c r="H281" i="2"/>
  <c r="G281" i="2"/>
  <c r="F281" i="2"/>
  <c r="E281" i="2"/>
  <c r="I280" i="2"/>
  <c r="H280" i="2"/>
  <c r="G280" i="2"/>
  <c r="F280" i="2"/>
  <c r="E280" i="2"/>
  <c r="I166" i="2"/>
  <c r="H166" i="2"/>
  <c r="G166" i="2"/>
  <c r="F166" i="2"/>
  <c r="E166" i="2"/>
  <c r="I162" i="2"/>
  <c r="H162" i="2"/>
  <c r="G162" i="2"/>
  <c r="F162" i="2"/>
  <c r="E162" i="2"/>
  <c r="H739" i="18" l="1"/>
  <c r="H75" i="31"/>
  <c r="H91" i="31"/>
  <c r="F745" i="18"/>
  <c r="F81" i="31"/>
  <c r="F97" i="31"/>
  <c r="E739" i="18"/>
  <c r="E91" i="31"/>
  <c r="E75" i="31"/>
  <c r="I739" i="18"/>
  <c r="I91" i="31"/>
  <c r="I75" i="31"/>
  <c r="G745" i="18"/>
  <c r="G81" i="31"/>
  <c r="G97" i="31"/>
  <c r="F739" i="18"/>
  <c r="F91" i="31"/>
  <c r="F75" i="31"/>
  <c r="H745" i="18"/>
  <c r="H97" i="31"/>
  <c r="H81" i="31"/>
  <c r="G739" i="18"/>
  <c r="G75" i="31"/>
  <c r="G91" i="31"/>
  <c r="E745" i="18"/>
  <c r="E97" i="31"/>
  <c r="E81" i="31"/>
  <c r="I745" i="18"/>
  <c r="I97" i="31"/>
  <c r="I81" i="31"/>
  <c r="E738" i="18"/>
  <c r="E74" i="31"/>
  <c r="E90" i="31"/>
  <c r="I738" i="18"/>
  <c r="I90" i="31"/>
  <c r="I74" i="31"/>
  <c r="G744" i="18"/>
  <c r="G96" i="31"/>
  <c r="G80" i="31"/>
  <c r="F738" i="18"/>
  <c r="F90" i="31"/>
  <c r="F74" i="31"/>
  <c r="H744" i="18"/>
  <c r="H96" i="31"/>
  <c r="H80" i="31"/>
  <c r="G738" i="18"/>
  <c r="G74" i="31"/>
  <c r="G90" i="31"/>
  <c r="E744" i="18"/>
  <c r="E96" i="31"/>
  <c r="E80" i="31"/>
  <c r="I744" i="18"/>
  <c r="I96" i="31"/>
  <c r="I80" i="31"/>
  <c r="H738" i="18"/>
  <c r="H90" i="31"/>
  <c r="H74" i="31"/>
  <c r="F744" i="18"/>
  <c r="F96" i="31"/>
  <c r="F80" i="31"/>
  <c r="F737" i="18"/>
  <c r="F89" i="31"/>
  <c r="F73" i="31"/>
  <c r="H743" i="18"/>
  <c r="H79" i="31"/>
  <c r="H95" i="31"/>
  <c r="G737" i="18"/>
  <c r="G73" i="31"/>
  <c r="G89" i="31"/>
  <c r="E743" i="18"/>
  <c r="E79" i="31"/>
  <c r="E95" i="31"/>
  <c r="I743" i="18"/>
  <c r="I79" i="31"/>
  <c r="I95" i="31"/>
  <c r="H737" i="18"/>
  <c r="H73" i="31"/>
  <c r="H89" i="31"/>
  <c r="F743" i="18"/>
  <c r="F95" i="31"/>
  <c r="F79" i="31"/>
  <c r="E737" i="18"/>
  <c r="E89" i="31"/>
  <c r="E73" i="31"/>
  <c r="I737" i="18"/>
  <c r="I73" i="31"/>
  <c r="I89" i="31"/>
  <c r="G743" i="18"/>
  <c r="G95" i="31"/>
  <c r="G79" i="31"/>
  <c r="G736" i="18"/>
  <c r="G88" i="31"/>
  <c r="G72" i="31"/>
  <c r="E742" i="18"/>
  <c r="E94" i="31"/>
  <c r="E78" i="31"/>
  <c r="I742" i="18"/>
  <c r="I94" i="31"/>
  <c r="I78" i="31"/>
  <c r="G748" i="18"/>
  <c r="G100" i="31"/>
  <c r="G84" i="31"/>
  <c r="H736" i="18"/>
  <c r="H88" i="31"/>
  <c r="H72" i="31"/>
  <c r="F742" i="18"/>
  <c r="F78" i="31"/>
  <c r="F94" i="31"/>
  <c r="H748" i="18"/>
  <c r="H100" i="31"/>
  <c r="H84" i="31"/>
  <c r="E736" i="18"/>
  <c r="E88" i="31"/>
  <c r="E72" i="31"/>
  <c r="I736" i="18"/>
  <c r="I88" i="31"/>
  <c r="I72" i="31"/>
  <c r="G742" i="18"/>
  <c r="G94" i="31"/>
  <c r="G78" i="31"/>
  <c r="E748" i="18"/>
  <c r="E100" i="31"/>
  <c r="E84" i="31"/>
  <c r="I748" i="18"/>
  <c r="I100" i="31"/>
  <c r="I84" i="31"/>
  <c r="F736" i="18"/>
  <c r="F72" i="31"/>
  <c r="F88" i="31"/>
  <c r="H742" i="18"/>
  <c r="H94" i="31"/>
  <c r="H78" i="31"/>
  <c r="F748" i="18"/>
  <c r="F84" i="31"/>
  <c r="F100" i="31"/>
  <c r="H735" i="18"/>
  <c r="H87" i="31"/>
  <c r="H71" i="31"/>
  <c r="F741" i="18"/>
  <c r="F93" i="31"/>
  <c r="F77" i="31"/>
  <c r="H747" i="18"/>
  <c r="H99" i="31"/>
  <c r="H83" i="31"/>
  <c r="E735" i="18"/>
  <c r="E71" i="31"/>
  <c r="E87" i="31"/>
  <c r="I735" i="18"/>
  <c r="I87" i="31"/>
  <c r="I71" i="31"/>
  <c r="G741" i="18"/>
  <c r="G93" i="31"/>
  <c r="G77" i="31"/>
  <c r="E747" i="18"/>
  <c r="E99" i="31"/>
  <c r="E83" i="31"/>
  <c r="I747" i="18"/>
  <c r="I99" i="31"/>
  <c r="I83" i="31"/>
  <c r="F735" i="18"/>
  <c r="F71" i="31"/>
  <c r="F87" i="31"/>
  <c r="H741" i="18"/>
  <c r="H93" i="31"/>
  <c r="H77" i="31"/>
  <c r="F747" i="18"/>
  <c r="F99" i="31"/>
  <c r="F83" i="31"/>
  <c r="G735" i="18"/>
  <c r="G87" i="31"/>
  <c r="G71" i="31"/>
  <c r="E741" i="18"/>
  <c r="E93" i="31"/>
  <c r="E77" i="31"/>
  <c r="I741" i="18"/>
  <c r="I93" i="31"/>
  <c r="I77" i="31"/>
  <c r="G747" i="18"/>
  <c r="G99" i="31"/>
  <c r="G83" i="31"/>
  <c r="E734" i="18"/>
  <c r="E49" i="51"/>
  <c r="E45" i="51"/>
  <c r="E41" i="51"/>
  <c r="E37" i="51"/>
  <c r="E33" i="51"/>
  <c r="E29" i="51"/>
  <c r="E25" i="51"/>
  <c r="E21" i="51"/>
  <c r="E17" i="51"/>
  <c r="E13" i="51"/>
  <c r="E9" i="51"/>
  <c r="E5" i="51"/>
  <c r="E15" i="51"/>
  <c r="E48" i="51"/>
  <c r="E44" i="51"/>
  <c r="E40" i="51"/>
  <c r="E36" i="51"/>
  <c r="E32" i="51"/>
  <c r="E28" i="51"/>
  <c r="E24" i="51"/>
  <c r="E20" i="51"/>
  <c r="E16" i="51"/>
  <c r="E12" i="51"/>
  <c r="E8" i="51"/>
  <c r="E23" i="51"/>
  <c r="E19" i="51"/>
  <c r="E11" i="51"/>
  <c r="E70" i="31"/>
  <c r="E47" i="51"/>
  <c r="E43" i="51"/>
  <c r="E39" i="51"/>
  <c r="E35" i="51"/>
  <c r="E31" i="51"/>
  <c r="E27" i="51"/>
  <c r="E46" i="51"/>
  <c r="E42" i="51"/>
  <c r="E38" i="51"/>
  <c r="E34" i="51"/>
  <c r="E30" i="51"/>
  <c r="E26" i="51"/>
  <c r="E22" i="51"/>
  <c r="E18" i="51"/>
  <c r="E14" i="51"/>
  <c r="E10" i="51"/>
  <c r="E6" i="51"/>
  <c r="E86" i="31"/>
  <c r="E7" i="51"/>
  <c r="I734" i="18"/>
  <c r="I49" i="51"/>
  <c r="I45" i="51"/>
  <c r="I41" i="51"/>
  <c r="I37" i="51"/>
  <c r="I33" i="51"/>
  <c r="I29" i="51"/>
  <c r="I25" i="51"/>
  <c r="I21" i="51"/>
  <c r="I17" i="51"/>
  <c r="I13" i="51"/>
  <c r="I9" i="51"/>
  <c r="I5" i="51"/>
  <c r="I23" i="51"/>
  <c r="I19" i="51"/>
  <c r="I48" i="51"/>
  <c r="I44" i="51"/>
  <c r="I40" i="51"/>
  <c r="I36" i="51"/>
  <c r="I32" i="51"/>
  <c r="I28" i="51"/>
  <c r="I24" i="51"/>
  <c r="I20" i="51"/>
  <c r="I16" i="51"/>
  <c r="I12" i="51"/>
  <c r="I8" i="51"/>
  <c r="I7" i="51"/>
  <c r="I47" i="51"/>
  <c r="I43" i="51"/>
  <c r="I39" i="51"/>
  <c r="I35" i="51"/>
  <c r="I31" i="51"/>
  <c r="I27" i="51"/>
  <c r="I46" i="51"/>
  <c r="I42" i="51"/>
  <c r="I38" i="51"/>
  <c r="I34" i="51"/>
  <c r="I30" i="51"/>
  <c r="I26" i="51"/>
  <c r="I22" i="51"/>
  <c r="I18" i="51"/>
  <c r="I14" i="51"/>
  <c r="I10" i="51"/>
  <c r="I6" i="51"/>
  <c r="I86" i="31"/>
  <c r="I15" i="51"/>
  <c r="I11" i="51"/>
  <c r="I70" i="31"/>
  <c r="G740" i="18"/>
  <c r="G76" i="31"/>
  <c r="G92" i="31"/>
  <c r="E746" i="18"/>
  <c r="E98" i="31"/>
  <c r="E82" i="31"/>
  <c r="I746" i="18"/>
  <c r="I82" i="31"/>
  <c r="I98" i="31"/>
  <c r="F734" i="18"/>
  <c r="F48" i="51"/>
  <c r="F44" i="51"/>
  <c r="F40" i="51"/>
  <c r="F36" i="51"/>
  <c r="F32" i="51"/>
  <c r="F28" i="51"/>
  <c r="F24" i="51"/>
  <c r="F20" i="51"/>
  <c r="F16" i="51"/>
  <c r="F12" i="51"/>
  <c r="F8" i="51"/>
  <c r="F70" i="31"/>
  <c r="F22" i="51"/>
  <c r="F47" i="51"/>
  <c r="F43" i="51"/>
  <c r="F39" i="51"/>
  <c r="F35" i="51"/>
  <c r="F31" i="51"/>
  <c r="F27" i="51"/>
  <c r="F23" i="51"/>
  <c r="F19" i="51"/>
  <c r="F15" i="51"/>
  <c r="F11" i="51"/>
  <c r="F7" i="51"/>
  <c r="F14" i="51"/>
  <c r="F6" i="51"/>
  <c r="F46" i="51"/>
  <c r="F42" i="51"/>
  <c r="F38" i="51"/>
  <c r="F34" i="51"/>
  <c r="F30" i="51"/>
  <c r="F26" i="51"/>
  <c r="F86" i="31"/>
  <c r="F49" i="51"/>
  <c r="F45" i="51"/>
  <c r="F41" i="51"/>
  <c r="F37" i="51"/>
  <c r="F33" i="51"/>
  <c r="F29" i="51"/>
  <c r="F25" i="51"/>
  <c r="F21" i="51"/>
  <c r="F17" i="51"/>
  <c r="F13" i="51"/>
  <c r="F9" i="51"/>
  <c r="F5" i="51"/>
  <c r="F18" i="51"/>
  <c r="F10" i="51"/>
  <c r="H740" i="18"/>
  <c r="H76" i="31"/>
  <c r="H92" i="31"/>
  <c r="F746" i="18"/>
  <c r="F82" i="31"/>
  <c r="F98" i="31"/>
  <c r="G734" i="18"/>
  <c r="G47" i="51"/>
  <c r="G43" i="51"/>
  <c r="G39" i="51"/>
  <c r="G35" i="51"/>
  <c r="G31" i="51"/>
  <c r="G27" i="51"/>
  <c r="G23" i="51"/>
  <c r="G19" i="51"/>
  <c r="G15" i="51"/>
  <c r="G11" i="51"/>
  <c r="G7" i="51"/>
  <c r="G70" i="31"/>
  <c r="G17" i="51"/>
  <c r="G46" i="51"/>
  <c r="G42" i="51"/>
  <c r="G38" i="51"/>
  <c r="G34" i="51"/>
  <c r="G30" i="51"/>
  <c r="G26" i="51"/>
  <c r="G22" i="51"/>
  <c r="G18" i="51"/>
  <c r="G14" i="51"/>
  <c r="G10" i="51"/>
  <c r="G6" i="51"/>
  <c r="G86" i="31"/>
  <c r="G21" i="51"/>
  <c r="G9" i="51"/>
  <c r="G49" i="51"/>
  <c r="G45" i="51"/>
  <c r="G41" i="51"/>
  <c r="G37" i="51"/>
  <c r="G33" i="51"/>
  <c r="G29" i="51"/>
  <c r="G25" i="51"/>
  <c r="G48" i="51"/>
  <c r="G44" i="51"/>
  <c r="G40" i="51"/>
  <c r="G36" i="51"/>
  <c r="G32" i="51"/>
  <c r="G28" i="51"/>
  <c r="G24" i="51"/>
  <c r="G20" i="51"/>
  <c r="G16" i="51"/>
  <c r="G12" i="51"/>
  <c r="G8" i="51"/>
  <c r="G13" i="51"/>
  <c r="G5" i="51"/>
  <c r="E740" i="18"/>
  <c r="E76" i="31"/>
  <c r="E92" i="31"/>
  <c r="I740" i="18"/>
  <c r="I76" i="31"/>
  <c r="I92" i="31"/>
  <c r="G746" i="18"/>
  <c r="G82" i="31"/>
  <c r="G98" i="31"/>
  <c r="H734" i="18"/>
  <c r="H46" i="51"/>
  <c r="H42" i="51"/>
  <c r="H38" i="51"/>
  <c r="H34" i="51"/>
  <c r="H30" i="51"/>
  <c r="H26" i="51"/>
  <c r="H22" i="51"/>
  <c r="H18" i="51"/>
  <c r="H14" i="51"/>
  <c r="H10" i="51"/>
  <c r="H6" i="51"/>
  <c r="H86" i="31"/>
  <c r="H49" i="51"/>
  <c r="H45" i="51"/>
  <c r="H41" i="51"/>
  <c r="H37" i="51"/>
  <c r="H33" i="51"/>
  <c r="H29" i="51"/>
  <c r="H25" i="51"/>
  <c r="H21" i="51"/>
  <c r="H17" i="51"/>
  <c r="H13" i="51"/>
  <c r="H9" i="51"/>
  <c r="H5" i="51"/>
  <c r="H24" i="51"/>
  <c r="H16" i="51"/>
  <c r="H12" i="51"/>
  <c r="H48" i="51"/>
  <c r="H44" i="51"/>
  <c r="H40" i="51"/>
  <c r="H36" i="51"/>
  <c r="H32" i="51"/>
  <c r="H28" i="51"/>
  <c r="H47" i="51"/>
  <c r="H43" i="51"/>
  <c r="H39" i="51"/>
  <c r="H35" i="51"/>
  <c r="H31" i="51"/>
  <c r="H27" i="51"/>
  <c r="H23" i="51"/>
  <c r="H19" i="51"/>
  <c r="H15" i="51"/>
  <c r="H11" i="51"/>
  <c r="H7" i="51"/>
  <c r="H70" i="31"/>
  <c r="H20" i="51"/>
  <c r="H8" i="51"/>
  <c r="F740" i="18"/>
  <c r="F92" i="31"/>
  <c r="F76" i="31"/>
  <c r="H746" i="18"/>
  <c r="H98" i="31"/>
  <c r="H82" i="31"/>
  <c r="G33" i="31"/>
  <c r="G46" i="31"/>
  <c r="F34" i="31"/>
  <c r="F47" i="31"/>
  <c r="E35" i="31"/>
  <c r="E48" i="31"/>
  <c r="I35" i="31"/>
  <c r="I48" i="31"/>
  <c r="G50" i="31"/>
  <c r="G37" i="31"/>
  <c r="F51" i="31"/>
  <c r="F38" i="31"/>
  <c r="E52" i="31"/>
  <c r="E39" i="31"/>
  <c r="I52" i="31"/>
  <c r="I39" i="31"/>
  <c r="H46" i="31"/>
  <c r="H33" i="31"/>
  <c r="G47" i="31"/>
  <c r="G34" i="31"/>
  <c r="F48" i="31"/>
  <c r="F35" i="31"/>
  <c r="H37" i="31"/>
  <c r="H50" i="31"/>
  <c r="G38" i="31"/>
  <c r="G51" i="31"/>
  <c r="F39" i="31"/>
  <c r="F52" i="31"/>
  <c r="E46" i="31"/>
  <c r="E33" i="31"/>
  <c r="I46" i="31"/>
  <c r="I33" i="31"/>
  <c r="H47" i="31"/>
  <c r="H34" i="31"/>
  <c r="G48" i="31"/>
  <c r="G35" i="31"/>
  <c r="E50" i="31"/>
  <c r="E37" i="31"/>
  <c r="I50" i="31"/>
  <c r="I37" i="31"/>
  <c r="H51" i="31"/>
  <c r="H38" i="31"/>
  <c r="G52" i="31"/>
  <c r="G39" i="31"/>
  <c r="F46" i="31"/>
  <c r="F33" i="31"/>
  <c r="E47" i="31"/>
  <c r="E34" i="31"/>
  <c r="I47" i="31"/>
  <c r="I34" i="31"/>
  <c r="H48" i="31"/>
  <c r="H35" i="31"/>
  <c r="F50" i="31"/>
  <c r="F37" i="31"/>
  <c r="E51" i="31"/>
  <c r="E38" i="31"/>
  <c r="I51" i="31"/>
  <c r="I38" i="31"/>
  <c r="H52" i="31"/>
  <c r="H39" i="31"/>
  <c r="G45" i="31"/>
  <c r="G32" i="31"/>
  <c r="G49" i="31"/>
  <c r="G36" i="31"/>
  <c r="H45" i="31"/>
  <c r="H32" i="31"/>
  <c r="H49" i="31"/>
  <c r="H36" i="31"/>
  <c r="E45" i="31"/>
  <c r="E32" i="31"/>
  <c r="I45" i="31"/>
  <c r="I32" i="31"/>
  <c r="E49" i="31"/>
  <c r="E36" i="31"/>
  <c r="I49" i="31"/>
  <c r="I36" i="31"/>
  <c r="F45" i="31"/>
  <c r="F32" i="31"/>
  <c r="F36" i="31"/>
  <c r="F49" i="31"/>
  <c r="F866" i="7"/>
  <c r="F865" i="7"/>
  <c r="F864" i="7"/>
  <c r="F863" i="7"/>
  <c r="F862" i="7"/>
  <c r="F861" i="7"/>
  <c r="F734" i="7"/>
  <c r="F423" i="7"/>
  <c r="F422" i="7"/>
  <c r="F421" i="7"/>
  <c r="F412" i="7"/>
  <c r="F411" i="7"/>
  <c r="F410" i="7"/>
  <c r="F420" i="7"/>
  <c r="F419" i="7"/>
  <c r="F409" i="7"/>
  <c r="F408" i="7"/>
  <c r="F1088" i="7"/>
  <c r="F1091" i="7"/>
  <c r="F698" i="7"/>
  <c r="F697" i="7"/>
  <c r="F495" i="7"/>
  <c r="F494" i="7"/>
  <c r="F492" i="7"/>
  <c r="F731" i="7"/>
  <c r="F733" i="7"/>
  <c r="F732" i="7"/>
  <c r="F1080" i="7"/>
  <c r="F1079" i="7"/>
  <c r="F1078" i="7"/>
  <c r="F1077" i="7"/>
  <c r="F1095" i="7"/>
  <c r="F496" i="7"/>
  <c r="F493" i="7"/>
  <c r="F491" i="7"/>
  <c r="F699" i="7"/>
  <c r="F728" i="7"/>
  <c r="F1090" i="7"/>
  <c r="F1094" i="7"/>
  <c r="F700" i="7"/>
  <c r="F1092" i="7"/>
  <c r="F869" i="7"/>
  <c r="F868" i="7"/>
  <c r="F867" i="7"/>
  <c r="F730" i="7"/>
  <c r="F729" i="7"/>
  <c r="F727" i="7"/>
  <c r="F1089" i="7"/>
  <c r="F1093" i="7"/>
  <c r="F1087" i="7"/>
  <c r="G733" i="7"/>
  <c r="G732" i="7"/>
  <c r="G1090" i="7"/>
  <c r="G1080" i="7"/>
  <c r="G1079" i="7"/>
  <c r="G1078" i="7"/>
  <c r="G1077" i="7"/>
  <c r="G1095" i="7"/>
  <c r="G496" i="7"/>
  <c r="G495" i="7"/>
  <c r="G494" i="7"/>
  <c r="G493" i="7"/>
  <c r="G492" i="7"/>
  <c r="G491" i="7"/>
  <c r="G868" i="7"/>
  <c r="G729" i="7"/>
  <c r="G727" i="7"/>
  <c r="G731" i="7"/>
  <c r="G1094" i="7"/>
  <c r="G1093" i="7"/>
  <c r="G1087" i="7"/>
  <c r="G700" i="7"/>
  <c r="G869" i="7"/>
  <c r="G867" i="7"/>
  <c r="G730" i="7"/>
  <c r="G728" i="7"/>
  <c r="G1089" i="7"/>
  <c r="G423" i="7"/>
  <c r="G422" i="7"/>
  <c r="G421" i="7"/>
  <c r="G412" i="7"/>
  <c r="G411" i="7"/>
  <c r="G410" i="7"/>
  <c r="G420" i="7"/>
  <c r="G419" i="7"/>
  <c r="G409" i="7"/>
  <c r="G408" i="7"/>
  <c r="G1088" i="7"/>
  <c r="G1091" i="7"/>
  <c r="G699" i="7"/>
  <c r="G697" i="7"/>
  <c r="G1092" i="7"/>
  <c r="G698" i="7"/>
  <c r="G866" i="7"/>
  <c r="G865" i="7"/>
  <c r="G864" i="7"/>
  <c r="G863" i="7"/>
  <c r="G862" i="7"/>
  <c r="G861" i="7"/>
  <c r="G734" i="7"/>
  <c r="E869" i="7"/>
  <c r="E868" i="7"/>
  <c r="E867" i="7"/>
  <c r="E730" i="7"/>
  <c r="E729" i="7"/>
  <c r="E728" i="7"/>
  <c r="E727" i="7"/>
  <c r="E1089" i="7"/>
  <c r="E1092" i="7"/>
  <c r="E699" i="7"/>
  <c r="E1090" i="7"/>
  <c r="E866" i="7"/>
  <c r="E865" i="7"/>
  <c r="E864" i="7"/>
  <c r="E863" i="7"/>
  <c r="E862" i="7"/>
  <c r="E861" i="7"/>
  <c r="E734" i="7"/>
  <c r="E423" i="7"/>
  <c r="E422" i="7"/>
  <c r="E421" i="7"/>
  <c r="E412" i="7"/>
  <c r="E411" i="7"/>
  <c r="E410" i="7"/>
  <c r="E420" i="7"/>
  <c r="E419" i="7"/>
  <c r="E409" i="7"/>
  <c r="E408" i="7"/>
  <c r="E1088" i="7"/>
  <c r="E1091" i="7"/>
  <c r="E698" i="7"/>
  <c r="E697" i="7"/>
  <c r="E733" i="7"/>
  <c r="E732" i="7"/>
  <c r="E1093" i="7"/>
  <c r="E1087" i="7"/>
  <c r="E495" i="7"/>
  <c r="E493" i="7"/>
  <c r="E491" i="7"/>
  <c r="E1080" i="7"/>
  <c r="E1078" i="7"/>
  <c r="E1095" i="7"/>
  <c r="E1079" i="7"/>
  <c r="E1077" i="7"/>
  <c r="E731" i="7"/>
  <c r="E1094" i="7"/>
  <c r="E700" i="7"/>
  <c r="E496" i="7"/>
  <c r="E494" i="7"/>
  <c r="E492" i="7"/>
  <c r="I869" i="7"/>
  <c r="I868" i="7"/>
  <c r="I867" i="7"/>
  <c r="I730" i="7"/>
  <c r="I729" i="7"/>
  <c r="I728" i="7"/>
  <c r="I727" i="7"/>
  <c r="I1089" i="7"/>
  <c r="I1092" i="7"/>
  <c r="I699" i="7"/>
  <c r="I733" i="7"/>
  <c r="I732" i="7"/>
  <c r="I866" i="7"/>
  <c r="I865" i="7"/>
  <c r="I864" i="7"/>
  <c r="I863" i="7"/>
  <c r="I862" i="7"/>
  <c r="I861" i="7"/>
  <c r="I734" i="7"/>
  <c r="I423" i="7"/>
  <c r="I422" i="7"/>
  <c r="I421" i="7"/>
  <c r="I412" i="7"/>
  <c r="I411" i="7"/>
  <c r="I410" i="7"/>
  <c r="I420" i="7"/>
  <c r="I419" i="7"/>
  <c r="I409" i="7"/>
  <c r="I408" i="7"/>
  <c r="I1088" i="7"/>
  <c r="I1091" i="7"/>
  <c r="I698" i="7"/>
  <c r="I697" i="7"/>
  <c r="I1090" i="7"/>
  <c r="I1094" i="7"/>
  <c r="I700" i="7"/>
  <c r="I496" i="7"/>
  <c r="I494" i="7"/>
  <c r="I492" i="7"/>
  <c r="I731" i="7"/>
  <c r="I1080" i="7"/>
  <c r="I1078" i="7"/>
  <c r="I1095" i="7"/>
  <c r="I1093" i="7"/>
  <c r="I1087" i="7"/>
  <c r="I495" i="7"/>
  <c r="I493" i="7"/>
  <c r="I491" i="7"/>
  <c r="I1079" i="7"/>
  <c r="I1077" i="7"/>
  <c r="H731" i="7"/>
  <c r="H1094" i="7"/>
  <c r="H1093" i="7"/>
  <c r="H1087" i="7"/>
  <c r="H700" i="7"/>
  <c r="H866" i="7"/>
  <c r="H864" i="7"/>
  <c r="H862" i="7"/>
  <c r="H734" i="7"/>
  <c r="H422" i="7"/>
  <c r="H412" i="7"/>
  <c r="H410" i="7"/>
  <c r="H419" i="7"/>
  <c r="H408" i="7"/>
  <c r="H1088" i="7"/>
  <c r="H869" i="7"/>
  <c r="H868" i="7"/>
  <c r="H867" i="7"/>
  <c r="H730" i="7"/>
  <c r="H729" i="7"/>
  <c r="H728" i="7"/>
  <c r="H727" i="7"/>
  <c r="H1089" i="7"/>
  <c r="H1090" i="7"/>
  <c r="H1092" i="7"/>
  <c r="H699" i="7"/>
  <c r="H865" i="7"/>
  <c r="H863" i="7"/>
  <c r="H861" i="7"/>
  <c r="H423" i="7"/>
  <c r="H421" i="7"/>
  <c r="H411" i="7"/>
  <c r="H420" i="7"/>
  <c r="H409" i="7"/>
  <c r="H733" i="7"/>
  <c r="H732" i="7"/>
  <c r="H1079" i="7"/>
  <c r="H1077" i="7"/>
  <c r="H1091" i="7"/>
  <c r="H493" i="7"/>
  <c r="H698" i="7"/>
  <c r="H496" i="7"/>
  <c r="H494" i="7"/>
  <c r="H492" i="7"/>
  <c r="H1080" i="7"/>
  <c r="H1078" i="7"/>
  <c r="H1095" i="7"/>
  <c r="H697" i="7"/>
  <c r="H495" i="7"/>
  <c r="H491" i="7"/>
  <c r="O38" i="60"/>
  <c r="I351" i="2" l="1"/>
  <c r="H351" i="2"/>
  <c r="G351" i="2"/>
  <c r="F351" i="2"/>
  <c r="E351" i="2"/>
  <c r="I350" i="2"/>
  <c r="H350" i="2"/>
  <c r="G350" i="2"/>
  <c r="F350" i="2"/>
  <c r="E350" i="2"/>
  <c r="I346" i="2"/>
  <c r="H346" i="2"/>
  <c r="G346" i="2"/>
  <c r="F346" i="2"/>
  <c r="E346" i="2"/>
  <c r="I345" i="2"/>
  <c r="H345" i="2"/>
  <c r="G345" i="2"/>
  <c r="F345" i="2"/>
  <c r="E345" i="2"/>
  <c r="I342" i="2"/>
  <c r="H342" i="2"/>
  <c r="G342" i="2"/>
  <c r="F342" i="2"/>
  <c r="E342" i="2"/>
  <c r="I341" i="2"/>
  <c r="H341" i="2"/>
  <c r="G341" i="2"/>
  <c r="F341" i="2"/>
  <c r="E341" i="2"/>
  <c r="I340" i="2"/>
  <c r="H340" i="2"/>
  <c r="G340" i="2"/>
  <c r="F340" i="2"/>
  <c r="E340" i="2"/>
  <c r="I338" i="2"/>
  <c r="H338" i="2"/>
  <c r="G338" i="2"/>
  <c r="F338" i="2"/>
  <c r="E338" i="2"/>
  <c r="I337" i="2"/>
  <c r="H337" i="2"/>
  <c r="G337" i="2"/>
  <c r="F337" i="2"/>
  <c r="E337" i="2"/>
  <c r="I336" i="2"/>
  <c r="H336" i="2"/>
  <c r="G336" i="2"/>
  <c r="F336" i="2"/>
  <c r="E336" i="2"/>
  <c r="I320" i="2"/>
  <c r="H320" i="2"/>
  <c r="G320" i="2"/>
  <c r="F320" i="2"/>
  <c r="E320" i="2"/>
  <c r="I319" i="2"/>
  <c r="H319" i="2"/>
  <c r="G319" i="2"/>
  <c r="F319" i="2"/>
  <c r="E319" i="2"/>
  <c r="I318" i="2"/>
  <c r="H318" i="2"/>
  <c r="G318" i="2"/>
  <c r="F318" i="2"/>
  <c r="E318" i="2"/>
  <c r="I317" i="2"/>
  <c r="H317" i="2"/>
  <c r="G317" i="2"/>
  <c r="F317" i="2"/>
  <c r="E317" i="2"/>
  <c r="I176" i="2"/>
  <c r="I299" i="2" s="1"/>
  <c r="I300" i="2" s="1"/>
  <c r="H176" i="2"/>
  <c r="H299" i="2" s="1"/>
  <c r="H300" i="2" s="1"/>
  <c r="G176" i="2"/>
  <c r="G299" i="2" s="1"/>
  <c r="G300" i="2" s="1"/>
  <c r="F176" i="2"/>
  <c r="F299" i="2" s="1"/>
  <c r="F300" i="2" s="1"/>
  <c r="E176" i="2"/>
  <c r="E299" i="2" s="1"/>
  <c r="E300" i="2" s="1"/>
  <c r="I753" i="19"/>
  <c r="H753" i="19"/>
  <c r="G753" i="19"/>
  <c r="F753" i="19"/>
  <c r="E753" i="19"/>
  <c r="I752" i="19"/>
  <c r="H752" i="19"/>
  <c r="G752" i="19"/>
  <c r="F752" i="19"/>
  <c r="E752" i="19"/>
  <c r="I743" i="19"/>
  <c r="H743" i="19"/>
  <c r="G743" i="19"/>
  <c r="F743" i="19"/>
  <c r="E743" i="19"/>
  <c r="I742" i="19"/>
  <c r="H742" i="19"/>
  <c r="G742" i="19"/>
  <c r="F742" i="19"/>
  <c r="E742" i="19"/>
  <c r="I717" i="19"/>
  <c r="H717" i="19"/>
  <c r="G717" i="19"/>
  <c r="F717" i="19"/>
  <c r="E717" i="19"/>
  <c r="H804" i="18" l="1"/>
  <c r="H795" i="18"/>
  <c r="E795" i="18"/>
  <c r="E804" i="18"/>
  <c r="I795" i="18"/>
  <c r="I804" i="18"/>
  <c r="F795" i="18"/>
  <c r="F804" i="18"/>
  <c r="G804" i="18"/>
  <c r="G795" i="18"/>
  <c r="K754" i="19"/>
  <c r="K752" i="19"/>
  <c r="K753" i="19"/>
  <c r="G786" i="18"/>
  <c r="G777" i="18"/>
  <c r="K745" i="19"/>
  <c r="H786" i="18"/>
  <c r="H777" i="18"/>
  <c r="F786" i="18"/>
  <c r="F777" i="18"/>
  <c r="E786" i="18"/>
  <c r="E777" i="18"/>
  <c r="I786" i="18"/>
  <c r="I777" i="18"/>
  <c r="K742" i="19"/>
  <c r="K743" i="19"/>
  <c r="K731" i="19"/>
  <c r="K732" i="19"/>
  <c r="G13" i="7"/>
  <c r="G9" i="7"/>
  <c r="G188" i="2"/>
  <c r="G12" i="7"/>
  <c r="G40" i="10"/>
  <c r="G8" i="7"/>
  <c r="G11" i="7"/>
  <c r="G7" i="7"/>
  <c r="G14" i="7"/>
  <c r="G10" i="7"/>
  <c r="G6" i="7"/>
  <c r="F14" i="7"/>
  <c r="F10" i="7"/>
  <c r="F6" i="7"/>
  <c r="F9" i="7"/>
  <c r="F13" i="7"/>
  <c r="F188" i="2"/>
  <c r="F12" i="7"/>
  <c r="F8" i="7"/>
  <c r="F40" i="10"/>
  <c r="F11" i="7"/>
  <c r="F7" i="7"/>
  <c r="H12" i="7"/>
  <c r="H8" i="7"/>
  <c r="H40" i="10"/>
  <c r="H7" i="7"/>
  <c r="H188" i="2"/>
  <c r="H11" i="7"/>
  <c r="H14" i="7"/>
  <c r="H10" i="7"/>
  <c r="H6" i="7"/>
  <c r="H13" i="7"/>
  <c r="H9" i="7"/>
  <c r="G75" i="39"/>
  <c r="E11" i="7"/>
  <c r="E7" i="7"/>
  <c r="E14" i="7"/>
  <c r="E6" i="7"/>
  <c r="E40" i="10"/>
  <c r="E10" i="7"/>
  <c r="E13" i="7"/>
  <c r="E9" i="7"/>
  <c r="E188" i="2"/>
  <c r="E12" i="7"/>
  <c r="E8" i="7"/>
  <c r="K719" i="19"/>
  <c r="I11" i="7"/>
  <c r="I7" i="7"/>
  <c r="I10" i="7"/>
  <c r="I14" i="7"/>
  <c r="I6" i="7"/>
  <c r="I13" i="7"/>
  <c r="I9" i="7"/>
  <c r="I188" i="2"/>
  <c r="I12" i="7"/>
  <c r="I8" i="7"/>
  <c r="I40" i="10"/>
  <c r="I221" i="10"/>
  <c r="F221" i="10"/>
  <c r="E718" i="19"/>
  <c r="E759" i="18" s="1"/>
  <c r="I718" i="19"/>
  <c r="I768" i="18" s="1"/>
  <c r="E221" i="10"/>
  <c r="K717" i="19"/>
  <c r="G16" i="57"/>
  <c r="G221" i="10"/>
  <c r="F718" i="19"/>
  <c r="F768" i="18" s="1"/>
  <c r="H718" i="19"/>
  <c r="H768" i="18" s="1"/>
  <c r="H221" i="10"/>
  <c r="G718" i="19"/>
  <c r="G768" i="18" s="1"/>
  <c r="H348" i="2"/>
  <c r="H347" i="2"/>
  <c r="H353" i="2"/>
  <c r="H352" i="2"/>
  <c r="E348" i="2"/>
  <c r="E347" i="2"/>
  <c r="I348" i="2"/>
  <c r="I347" i="2"/>
  <c r="E353" i="2"/>
  <c r="E352" i="2"/>
  <c r="I353" i="2"/>
  <c r="I352" i="2"/>
  <c r="F347" i="2"/>
  <c r="F348" i="2"/>
  <c r="F352" i="2"/>
  <c r="F353" i="2"/>
  <c r="G347" i="2"/>
  <c r="G348" i="2"/>
  <c r="G352" i="2"/>
  <c r="G353" i="2"/>
  <c r="E675" i="19"/>
  <c r="E707" i="19" s="1"/>
  <c r="H759" i="18" l="1"/>
  <c r="I759" i="18"/>
  <c r="G759" i="18"/>
  <c r="F759" i="18"/>
  <c r="E768" i="18"/>
  <c r="I46" i="54"/>
  <c r="H236" i="10"/>
  <c r="G16" i="60"/>
  <c r="E236" i="10"/>
  <c r="G236" i="10"/>
  <c r="F236" i="10"/>
  <c r="I236" i="10"/>
  <c r="K718" i="19"/>
  <c r="R936" i="7"/>
  <c r="S936" i="7"/>
  <c r="T936" i="7"/>
  <c r="R937" i="7"/>
  <c r="S937" i="7"/>
  <c r="T937" i="7"/>
  <c r="R938" i="7"/>
  <c r="S938" i="7"/>
  <c r="T938" i="7"/>
  <c r="R939" i="7"/>
  <c r="S939" i="7"/>
  <c r="T939" i="7"/>
  <c r="R942" i="7"/>
  <c r="S942" i="7"/>
  <c r="T942" i="7"/>
  <c r="R943" i="7"/>
  <c r="S943" i="7"/>
  <c r="T943" i="7"/>
  <c r="R944" i="7"/>
  <c r="S944" i="7"/>
  <c r="T944" i="7"/>
  <c r="R945" i="7"/>
  <c r="S945" i="7"/>
  <c r="T945" i="7"/>
  <c r="R946" i="7"/>
  <c r="S946" i="7"/>
  <c r="T946" i="7"/>
  <c r="R947" i="7"/>
  <c r="S947" i="7"/>
  <c r="T947" i="7"/>
  <c r="R948" i="7"/>
  <c r="S948" i="7"/>
  <c r="T948" i="7"/>
  <c r="R949" i="7"/>
  <c r="S949" i="7"/>
  <c r="T949" i="7"/>
  <c r="R950" i="7"/>
  <c r="S950" i="7"/>
  <c r="T950" i="7"/>
  <c r="R951" i="7"/>
  <c r="S951" i="7"/>
  <c r="T951" i="7"/>
  <c r="R954" i="7"/>
  <c r="S954" i="7"/>
  <c r="T954" i="7"/>
  <c r="R955" i="7"/>
  <c r="S955" i="7"/>
  <c r="T955" i="7"/>
  <c r="R956" i="7"/>
  <c r="S956" i="7"/>
  <c r="T956" i="7"/>
  <c r="R957" i="7"/>
  <c r="S957" i="7"/>
  <c r="T957" i="7"/>
  <c r="R958" i="7"/>
  <c r="S958" i="7"/>
  <c r="T958" i="7"/>
  <c r="R959" i="7"/>
  <c r="S959" i="7"/>
  <c r="T959" i="7"/>
  <c r="R962" i="7"/>
  <c r="S962" i="7"/>
  <c r="T962" i="7"/>
  <c r="R963" i="7"/>
  <c r="S963" i="7"/>
  <c r="T963" i="7"/>
  <c r="R964" i="7"/>
  <c r="S964" i="7"/>
  <c r="T964" i="7"/>
  <c r="R965" i="7"/>
  <c r="S965" i="7"/>
  <c r="T965" i="7"/>
  <c r="R966" i="7"/>
  <c r="S966" i="7"/>
  <c r="T966" i="7"/>
  <c r="R967" i="7"/>
  <c r="S967" i="7"/>
  <c r="T967" i="7"/>
  <c r="R968" i="7"/>
  <c r="S968" i="7"/>
  <c r="T968" i="7"/>
  <c r="R969" i="7"/>
  <c r="S969" i="7"/>
  <c r="T969" i="7"/>
  <c r="R970" i="7"/>
  <c r="S970" i="7"/>
  <c r="T970" i="7"/>
  <c r="R971" i="7"/>
  <c r="S971" i="7"/>
  <c r="T971" i="7"/>
  <c r="R974" i="7"/>
  <c r="S974" i="7"/>
  <c r="T974" i="7"/>
  <c r="R975" i="7"/>
  <c r="S975" i="7"/>
  <c r="T975" i="7"/>
  <c r="R976" i="7"/>
  <c r="S976" i="7"/>
  <c r="T976" i="7"/>
  <c r="R977" i="7"/>
  <c r="S977" i="7"/>
  <c r="T977" i="7"/>
  <c r="R978" i="7"/>
  <c r="S978" i="7"/>
  <c r="T978" i="7"/>
  <c r="R981" i="7"/>
  <c r="S981" i="7"/>
  <c r="T981" i="7"/>
  <c r="R982" i="7"/>
  <c r="S982" i="7"/>
  <c r="T982" i="7"/>
  <c r="R983" i="7"/>
  <c r="S983" i="7"/>
  <c r="T983" i="7"/>
  <c r="R984" i="7"/>
  <c r="S984" i="7"/>
  <c r="T984" i="7"/>
  <c r="R985" i="7"/>
  <c r="S985" i="7"/>
  <c r="T985" i="7"/>
  <c r="R986" i="7"/>
  <c r="S986" i="7"/>
  <c r="T986" i="7"/>
  <c r="R987" i="7"/>
  <c r="S987" i="7"/>
  <c r="T987" i="7"/>
  <c r="R990" i="7"/>
  <c r="S990" i="7"/>
  <c r="T990" i="7"/>
  <c r="R991" i="7"/>
  <c r="S991" i="7"/>
  <c r="T991" i="7"/>
  <c r="R992" i="7"/>
  <c r="S992" i="7"/>
  <c r="T992" i="7"/>
  <c r="R993" i="7"/>
  <c r="S993" i="7"/>
  <c r="T993" i="7"/>
  <c r="R994" i="7"/>
  <c r="S994" i="7"/>
  <c r="T994" i="7"/>
  <c r="R995" i="7"/>
  <c r="S995" i="7"/>
  <c r="T995" i="7"/>
  <c r="R998" i="7"/>
  <c r="S998" i="7"/>
  <c r="T998" i="7"/>
  <c r="R999" i="7"/>
  <c r="S999" i="7"/>
  <c r="T999" i="7"/>
  <c r="R1000" i="7"/>
  <c r="S1000" i="7"/>
  <c r="T1000" i="7"/>
  <c r="R1001" i="7"/>
  <c r="S1001" i="7"/>
  <c r="T1001" i="7"/>
  <c r="R1002" i="7"/>
  <c r="S1002" i="7"/>
  <c r="T1002" i="7"/>
  <c r="R1003" i="7"/>
  <c r="S1003" i="7"/>
  <c r="T1003" i="7"/>
  <c r="R1006" i="7"/>
  <c r="S1006" i="7"/>
  <c r="T1006" i="7"/>
  <c r="R1007" i="7"/>
  <c r="S1007" i="7"/>
  <c r="T1007" i="7"/>
  <c r="R1008" i="7"/>
  <c r="S1008" i="7"/>
  <c r="T1008" i="7"/>
  <c r="R1009" i="7"/>
  <c r="S1009" i="7"/>
  <c r="T1009" i="7"/>
  <c r="R1010" i="7"/>
  <c r="S1010" i="7"/>
  <c r="T1010" i="7"/>
  <c r="R1011" i="7"/>
  <c r="S1011" i="7"/>
  <c r="T1011" i="7"/>
  <c r="R1012" i="7"/>
  <c r="S1012" i="7"/>
  <c r="T1012" i="7"/>
  <c r="R1015" i="7"/>
  <c r="S1015" i="7"/>
  <c r="T1015" i="7"/>
  <c r="R1016" i="7"/>
  <c r="S1016" i="7"/>
  <c r="T1016" i="7"/>
  <c r="R1017" i="7"/>
  <c r="S1017" i="7"/>
  <c r="T1017" i="7"/>
  <c r="R1018" i="7"/>
  <c r="S1018" i="7"/>
  <c r="T1018" i="7"/>
  <c r="R1019" i="7"/>
  <c r="S1019" i="7"/>
  <c r="T1019" i="7"/>
  <c r="R1020" i="7"/>
  <c r="S1020" i="7"/>
  <c r="T1020" i="7"/>
  <c r="R1023" i="7"/>
  <c r="S1023" i="7"/>
  <c r="T1023" i="7"/>
  <c r="R1024" i="7"/>
  <c r="S1024" i="7"/>
  <c r="T1024" i="7"/>
  <c r="R1025" i="7"/>
  <c r="S1025" i="7"/>
  <c r="T1025" i="7"/>
  <c r="R1026" i="7"/>
  <c r="S1026" i="7"/>
  <c r="T1026" i="7"/>
  <c r="R1029" i="7"/>
  <c r="S1029" i="7"/>
  <c r="T1029" i="7"/>
  <c r="R1030" i="7"/>
  <c r="S1030" i="7"/>
  <c r="T1030" i="7"/>
  <c r="R1031" i="7"/>
  <c r="S1031" i="7"/>
  <c r="T1031" i="7"/>
  <c r="R1032" i="7"/>
  <c r="S1032" i="7"/>
  <c r="T1032" i="7"/>
  <c r="R1033" i="7"/>
  <c r="S1033" i="7"/>
  <c r="T1033" i="7"/>
  <c r="R1034" i="7"/>
  <c r="S1034" i="7"/>
  <c r="T1034" i="7"/>
  <c r="R1035" i="7"/>
  <c r="S1035" i="7"/>
  <c r="T1035" i="7"/>
  <c r="R1036" i="7"/>
  <c r="S1036" i="7"/>
  <c r="T1036" i="7"/>
  <c r="R1037" i="7"/>
  <c r="S1037" i="7"/>
  <c r="T1037" i="7"/>
  <c r="R1038" i="7"/>
  <c r="S1038" i="7"/>
  <c r="T1038" i="7"/>
  <c r="R1039" i="7"/>
  <c r="S1039" i="7"/>
  <c r="T1039" i="7"/>
  <c r="R1040" i="7"/>
  <c r="S1040" i="7"/>
  <c r="T1040" i="7"/>
  <c r="R1041" i="7"/>
  <c r="S1041" i="7"/>
  <c r="T1041" i="7"/>
  <c r="R1042" i="7"/>
  <c r="S1042" i="7"/>
  <c r="T1042" i="7"/>
  <c r="R1045" i="7"/>
  <c r="S1045" i="7"/>
  <c r="T1045" i="7"/>
  <c r="R1046" i="7"/>
  <c r="S1046" i="7"/>
  <c r="T1046" i="7"/>
  <c r="R1047" i="7"/>
  <c r="S1047" i="7"/>
  <c r="T1047" i="7"/>
  <c r="R1048" i="7"/>
  <c r="S1048" i="7"/>
  <c r="T1048" i="7"/>
  <c r="R1049" i="7"/>
  <c r="S1049" i="7"/>
  <c r="T1049" i="7"/>
  <c r="R1050" i="7"/>
  <c r="S1050" i="7"/>
  <c r="T1050" i="7"/>
  <c r="R1051" i="7"/>
  <c r="S1051" i="7"/>
  <c r="T1051" i="7"/>
  <c r="R1052" i="7"/>
  <c r="S1052" i="7"/>
  <c r="T1052" i="7"/>
  <c r="R1055" i="7"/>
  <c r="S1055" i="7"/>
  <c r="T1055" i="7"/>
  <c r="R1056" i="7"/>
  <c r="S1056" i="7"/>
  <c r="T1056" i="7"/>
  <c r="R1057" i="7"/>
  <c r="S1057" i="7"/>
  <c r="T1057" i="7"/>
  <c r="R1058" i="7"/>
  <c r="S1058" i="7"/>
  <c r="T1058" i="7"/>
  <c r="R1059" i="7"/>
  <c r="S1059" i="7"/>
  <c r="T1059" i="7"/>
  <c r="R1062" i="7"/>
  <c r="S1062" i="7"/>
  <c r="T1062" i="7"/>
  <c r="R1063" i="7"/>
  <c r="S1063" i="7"/>
  <c r="T1063" i="7"/>
  <c r="R1064" i="7"/>
  <c r="S1064" i="7"/>
  <c r="T1064" i="7"/>
  <c r="R1065" i="7"/>
  <c r="S1065" i="7"/>
  <c r="T1065" i="7"/>
  <c r="R1066" i="7"/>
  <c r="S1066" i="7"/>
  <c r="T1066" i="7"/>
  <c r="R1069" i="7"/>
  <c r="S1069" i="7"/>
  <c r="T1069" i="7"/>
  <c r="R1070" i="7"/>
  <c r="S1070" i="7"/>
  <c r="T1070" i="7"/>
  <c r="R1071" i="7"/>
  <c r="S1071" i="7"/>
  <c r="T1071" i="7"/>
  <c r="R1072" i="7"/>
  <c r="S1072" i="7"/>
  <c r="T1072" i="7"/>
  <c r="R1073" i="7"/>
  <c r="S1073" i="7"/>
  <c r="T1073" i="7"/>
  <c r="R1074" i="7"/>
  <c r="S1074" i="7"/>
  <c r="T1074" i="7"/>
  <c r="R1081" i="7"/>
  <c r="S1081" i="7"/>
  <c r="T1081" i="7"/>
  <c r="R1082" i="7"/>
  <c r="S1082" i="7"/>
  <c r="T1082" i="7"/>
  <c r="R1083" i="7"/>
  <c r="S1083" i="7"/>
  <c r="T1083" i="7"/>
  <c r="R1084" i="7"/>
  <c r="S1084" i="7"/>
  <c r="T1084" i="7"/>
  <c r="R925" i="7"/>
  <c r="S925" i="7"/>
  <c r="T925" i="7"/>
  <c r="R926" i="7"/>
  <c r="S926" i="7"/>
  <c r="T926" i="7"/>
  <c r="R927" i="7"/>
  <c r="S927" i="7"/>
  <c r="T927" i="7"/>
  <c r="R928" i="7"/>
  <c r="S928" i="7"/>
  <c r="T928" i="7"/>
  <c r="R929" i="7"/>
  <c r="S929" i="7"/>
  <c r="T929" i="7"/>
  <c r="R930" i="7"/>
  <c r="S930" i="7"/>
  <c r="T930" i="7"/>
  <c r="R931" i="7"/>
  <c r="S931" i="7"/>
  <c r="T931" i="7"/>
  <c r="R932" i="7"/>
  <c r="S932" i="7"/>
  <c r="T932" i="7"/>
  <c r="R933" i="7"/>
  <c r="S933" i="7"/>
  <c r="T933" i="7"/>
  <c r="R934" i="7"/>
  <c r="S934" i="7"/>
  <c r="T934" i="7"/>
  <c r="R935" i="7"/>
  <c r="S935" i="7"/>
  <c r="T935" i="7"/>
  <c r="R911" i="7"/>
  <c r="S911" i="7"/>
  <c r="T911" i="7"/>
  <c r="R912" i="7"/>
  <c r="S912" i="7"/>
  <c r="T912" i="7"/>
  <c r="R913" i="7"/>
  <c r="S913" i="7"/>
  <c r="T913" i="7"/>
  <c r="R917" i="7"/>
  <c r="S917" i="7"/>
  <c r="T917" i="7"/>
  <c r="R918" i="7"/>
  <c r="S918" i="7"/>
  <c r="T918" i="7"/>
  <c r="R919" i="7"/>
  <c r="S919" i="7"/>
  <c r="T919" i="7"/>
  <c r="R920" i="7"/>
  <c r="S920" i="7"/>
  <c r="T920" i="7"/>
  <c r="R921" i="7"/>
  <c r="S921" i="7"/>
  <c r="T921" i="7"/>
  <c r="R922" i="7"/>
  <c r="S922" i="7"/>
  <c r="T922" i="7"/>
  <c r="R900" i="7"/>
  <c r="S900" i="7"/>
  <c r="T900" i="7"/>
  <c r="R901" i="7"/>
  <c r="S901" i="7"/>
  <c r="T901" i="7"/>
  <c r="R902" i="7"/>
  <c r="S902" i="7"/>
  <c r="T902" i="7"/>
  <c r="R905" i="7"/>
  <c r="S905" i="7"/>
  <c r="T905" i="7"/>
  <c r="R906" i="7"/>
  <c r="S906" i="7"/>
  <c r="T906" i="7"/>
  <c r="R907" i="7"/>
  <c r="S907" i="7"/>
  <c r="T907" i="7"/>
  <c r="R908" i="7"/>
  <c r="S908" i="7"/>
  <c r="T908" i="7"/>
  <c r="R909" i="7"/>
  <c r="S909" i="7"/>
  <c r="T909" i="7"/>
  <c r="R910" i="7"/>
  <c r="S910" i="7"/>
  <c r="T910" i="7"/>
  <c r="R894" i="7"/>
  <c r="S894" i="7"/>
  <c r="T894" i="7"/>
  <c r="R897" i="7"/>
  <c r="S897" i="7"/>
  <c r="T897" i="7"/>
  <c r="R898" i="7"/>
  <c r="S898" i="7"/>
  <c r="T898" i="7"/>
  <c r="R899" i="7"/>
  <c r="S899" i="7"/>
  <c r="T899" i="7"/>
  <c r="R889" i="7"/>
  <c r="S889" i="7"/>
  <c r="T889" i="7"/>
  <c r="R890" i="7"/>
  <c r="S890" i="7"/>
  <c r="T890" i="7"/>
  <c r="R891" i="7"/>
  <c r="S891" i="7"/>
  <c r="T891" i="7"/>
  <c r="R892" i="7"/>
  <c r="S892" i="7"/>
  <c r="T892" i="7"/>
  <c r="R893" i="7"/>
  <c r="S893" i="7"/>
  <c r="T893" i="7"/>
  <c r="R876" i="7"/>
  <c r="S876" i="7"/>
  <c r="T876" i="7"/>
  <c r="R877" i="7"/>
  <c r="S877" i="7"/>
  <c r="T877" i="7"/>
  <c r="R878" i="7"/>
  <c r="S878" i="7"/>
  <c r="T878" i="7"/>
  <c r="R879" i="7"/>
  <c r="S879" i="7"/>
  <c r="T879" i="7"/>
  <c r="R880" i="7"/>
  <c r="S880" i="7"/>
  <c r="T880" i="7"/>
  <c r="R881" i="7"/>
  <c r="S881" i="7"/>
  <c r="T881" i="7"/>
  <c r="R882" i="7"/>
  <c r="S882" i="7"/>
  <c r="T882" i="7"/>
  <c r="R883" i="7"/>
  <c r="S883" i="7"/>
  <c r="T883" i="7"/>
  <c r="R884" i="7"/>
  <c r="S884" i="7"/>
  <c r="T884" i="7"/>
  <c r="R885" i="7"/>
  <c r="S885" i="7"/>
  <c r="T885" i="7"/>
  <c r="R886" i="7"/>
  <c r="S886" i="7"/>
  <c r="T886" i="7"/>
  <c r="O294" i="7" l="1"/>
  <c r="N294" i="7"/>
  <c r="M294" i="7"/>
  <c r="L294" i="7"/>
  <c r="O293" i="7"/>
  <c r="N293" i="7"/>
  <c r="M293" i="7"/>
  <c r="L293" i="7"/>
  <c r="C292" i="7"/>
  <c r="D1126" i="7"/>
  <c r="D1084" i="7"/>
  <c r="D1074" i="7"/>
  <c r="D1066" i="7"/>
  <c r="D1059" i="7"/>
  <c r="D1052" i="7"/>
  <c r="D1026" i="7"/>
  <c r="D1020" i="7"/>
  <c r="D1012" i="7"/>
  <c r="D1003" i="7"/>
  <c r="D995" i="7"/>
  <c r="D886" i="7"/>
  <c r="L857" i="7"/>
  <c r="L858" i="7" s="1"/>
  <c r="T857" i="7"/>
  <c r="S857" i="7"/>
  <c r="R857" i="7"/>
  <c r="M857" i="7"/>
  <c r="N857" i="7" s="1"/>
  <c r="O857" i="7" s="1"/>
  <c r="D857" i="7"/>
  <c r="L845" i="7"/>
  <c r="L846" i="7" s="1"/>
  <c r="T845" i="7"/>
  <c r="S845" i="7"/>
  <c r="R845" i="7"/>
  <c r="M845" i="7"/>
  <c r="N845" i="7" s="1"/>
  <c r="O845" i="7" s="1"/>
  <c r="D845" i="7"/>
  <c r="L572" i="7"/>
  <c r="L573" i="7" s="1"/>
  <c r="T572" i="7"/>
  <c r="S572" i="7"/>
  <c r="R572" i="7"/>
  <c r="M572" i="7"/>
  <c r="N572" i="7" s="1"/>
  <c r="O572" i="7" s="1"/>
  <c r="D572" i="7"/>
  <c r="L537" i="7"/>
  <c r="L538" i="7" s="1"/>
  <c r="T537" i="7"/>
  <c r="S537" i="7"/>
  <c r="R537" i="7"/>
  <c r="M537" i="7"/>
  <c r="N537" i="7" s="1"/>
  <c r="O537" i="7" s="1"/>
  <c r="D537" i="7"/>
  <c r="T533" i="7"/>
  <c r="S533" i="7"/>
  <c r="R533" i="7"/>
  <c r="D533" i="7"/>
  <c r="L528" i="7"/>
  <c r="L529" i="7" s="1"/>
  <c r="L519" i="7"/>
  <c r="L520" i="7" s="1"/>
  <c r="T519" i="7"/>
  <c r="S519" i="7"/>
  <c r="R519" i="7"/>
  <c r="M519" i="7"/>
  <c r="N519" i="7" s="1"/>
  <c r="O519" i="7" s="1"/>
  <c r="D519" i="7"/>
  <c r="L378" i="7"/>
  <c r="L379" i="7" s="1"/>
  <c r="M379" i="7" s="1"/>
  <c r="N379" i="7" s="1"/>
  <c r="O379" i="7" s="1"/>
  <c r="T379" i="7"/>
  <c r="S379" i="7"/>
  <c r="R379" i="7"/>
  <c r="D379" i="7"/>
  <c r="L366" i="7"/>
  <c r="L367" i="7" s="1"/>
  <c r="T366" i="7"/>
  <c r="S366" i="7"/>
  <c r="R366" i="7"/>
  <c r="D366" i="7"/>
  <c r="M366" i="7" l="1"/>
  <c r="N366" i="7" s="1"/>
  <c r="O366" i="7" s="1"/>
  <c r="F669" i="19"/>
  <c r="F703" i="19" s="1"/>
  <c r="F668" i="19"/>
  <c r="F702" i="19" s="1"/>
  <c r="E667" i="19"/>
  <c r="E701" i="19" s="1"/>
  <c r="E669" i="19"/>
  <c r="E703" i="19" s="1"/>
  <c r="E668" i="19"/>
  <c r="E702" i="19" s="1"/>
  <c r="K714" i="19"/>
  <c r="I666" i="19"/>
  <c r="I700" i="19" s="1"/>
  <c r="H666" i="19"/>
  <c r="H700" i="19" s="1"/>
  <c r="G666" i="19"/>
  <c r="G700" i="19" s="1"/>
  <c r="F666" i="19"/>
  <c r="F700" i="19" s="1"/>
  <c r="I45" i="18" l="1"/>
  <c r="H45" i="18"/>
  <c r="G45" i="18"/>
  <c r="F45" i="18"/>
  <c r="E45" i="18"/>
  <c r="I48" i="18"/>
  <c r="H48" i="18"/>
  <c r="G48" i="18"/>
  <c r="F48" i="18"/>
  <c r="E48" i="18"/>
  <c r="I544" i="11"/>
  <c r="H544" i="11"/>
  <c r="G544" i="11"/>
  <c r="F544" i="11"/>
  <c r="E544" i="11"/>
  <c r="I540" i="11"/>
  <c r="H540" i="11"/>
  <c r="G540" i="11"/>
  <c r="F540" i="11"/>
  <c r="E540" i="11"/>
  <c r="D24" i="11"/>
  <c r="D18" i="11"/>
  <c r="D1030" i="7"/>
  <c r="D1046" i="7"/>
  <c r="D987" i="7"/>
  <c r="D978" i="7"/>
  <c r="D971" i="7"/>
  <c r="D959" i="7"/>
  <c r="D951" i="7"/>
  <c r="D939" i="7"/>
  <c r="D913" i="7"/>
  <c r="D902" i="7"/>
  <c r="D894" i="7"/>
  <c r="D922" i="7"/>
  <c r="E524" i="11" l="1"/>
  <c r="E512" i="11"/>
  <c r="D957" i="7"/>
  <c r="D949" i="7"/>
  <c r="D1082" i="7"/>
  <c r="D1081" i="7"/>
  <c r="D1072" i="7"/>
  <c r="D1071" i="7"/>
  <c r="D1070" i="7"/>
  <c r="D1069" i="7"/>
  <c r="D1064" i="7"/>
  <c r="D1063" i="7"/>
  <c r="D1057" i="7"/>
  <c r="D1056" i="7"/>
  <c r="D1050" i="7"/>
  <c r="D1049" i="7"/>
  <c r="D1048" i="7"/>
  <c r="D1045" i="7"/>
  <c r="D1042" i="7"/>
  <c r="D1040" i="7"/>
  <c r="D1032" i="7"/>
  <c r="D1031" i="7"/>
  <c r="D1029" i="7"/>
  <c r="D1024" i="7"/>
  <c r="D1018" i="7"/>
  <c r="D1017" i="7"/>
  <c r="D1015" i="7"/>
  <c r="D1008" i="7"/>
  <c r="D1009" i="7"/>
  <c r="D1010" i="7"/>
  <c r="D1006" i="7"/>
  <c r="D1001" i="7"/>
  <c r="D998" i="7"/>
  <c r="D993" i="7"/>
  <c r="D990" i="7"/>
  <c r="D985" i="7"/>
  <c r="D984" i="7"/>
  <c r="D969" i="7"/>
  <c r="D976" i="7"/>
  <c r="D968" i="7"/>
  <c r="D948" i="7"/>
  <c r="D937" i="7"/>
  <c r="D920" i="7" l="1"/>
  <c r="D919" i="7"/>
  <c r="D911" i="7"/>
  <c r="D900" i="7"/>
  <c r="D892" i="7"/>
  <c r="D882" i="7"/>
  <c r="D883" i="7"/>
  <c r="D884" i="7"/>
  <c r="R872" i="7"/>
  <c r="S872" i="7"/>
  <c r="T872" i="7"/>
  <c r="E674" i="19" l="1"/>
  <c r="E706" i="19" s="1"/>
  <c r="I673" i="19"/>
  <c r="I705" i="19" s="1"/>
  <c r="H673" i="19"/>
  <c r="H705" i="19" s="1"/>
  <c r="G673" i="19"/>
  <c r="G705" i="19" s="1"/>
  <c r="F673" i="19"/>
  <c r="F705" i="19" s="1"/>
  <c r="E673" i="19"/>
  <c r="E705" i="19" s="1"/>
  <c r="I669" i="19"/>
  <c r="I703" i="19" s="1"/>
  <c r="H669" i="19"/>
  <c r="H703" i="19" s="1"/>
  <c r="G669" i="19"/>
  <c r="G703" i="19" s="1"/>
  <c r="I668" i="19"/>
  <c r="I702" i="19" s="1"/>
  <c r="H668" i="19"/>
  <c r="H702" i="19" s="1"/>
  <c r="G668" i="19"/>
  <c r="G702" i="19" s="1"/>
  <c r="I667" i="19"/>
  <c r="I701" i="19" s="1"/>
  <c r="H667" i="19"/>
  <c r="H701" i="19" s="1"/>
  <c r="G667" i="19"/>
  <c r="G701" i="19" s="1"/>
  <c r="F667" i="19"/>
  <c r="F701" i="19" s="1"/>
  <c r="K669" i="19" l="1"/>
  <c r="G528" i="11"/>
  <c r="G518" i="11"/>
  <c r="H528" i="11"/>
  <c r="H518" i="11"/>
  <c r="I518" i="11"/>
  <c r="I528" i="11"/>
  <c r="F518" i="11"/>
  <c r="F528" i="11"/>
  <c r="E679" i="19"/>
  <c r="K673" i="19"/>
  <c r="H679" i="19"/>
  <c r="I679" i="19"/>
  <c r="F679" i="19"/>
  <c r="G679" i="19"/>
  <c r="K701" i="19" l="1"/>
  <c r="F512" i="11"/>
  <c r="F524" i="11"/>
  <c r="H524" i="11"/>
  <c r="H512" i="11"/>
  <c r="G512" i="11"/>
  <c r="G524" i="11"/>
  <c r="I512" i="11"/>
  <c r="I524" i="11"/>
  <c r="K705" i="19"/>
  <c r="E518" i="11"/>
  <c r="E528" i="11"/>
  <c r="K679" i="19"/>
  <c r="I18" i="68"/>
  <c r="H17" i="68"/>
  <c r="H18" i="68" s="1"/>
  <c r="J16" i="68" l="1"/>
  <c r="C32" i="8" l="1"/>
  <c r="C31" i="8"/>
  <c r="C30" i="8"/>
  <c r="C29" i="8"/>
  <c r="C285" i="7"/>
  <c r="C278" i="7"/>
  <c r="C274" i="7"/>
  <c r="C270" i="7"/>
  <c r="C266" i="7"/>
  <c r="C260" i="7"/>
  <c r="C255" i="7"/>
  <c r="C247" i="7"/>
  <c r="C241" i="7"/>
  <c r="C233" i="7"/>
  <c r="D6" i="33" s="1"/>
  <c r="C226" i="7"/>
  <c r="C222" i="7"/>
  <c r="C214" i="7"/>
  <c r="C210" i="7"/>
  <c r="C8" i="8"/>
  <c r="C547" i="6" s="1"/>
  <c r="C7" i="8"/>
  <c r="C6" i="8"/>
  <c r="C5" i="8"/>
  <c r="I27" i="7"/>
  <c r="I118" i="7"/>
  <c r="I52" i="28"/>
  <c r="I220" i="27"/>
  <c r="E220" i="27"/>
  <c r="F220" i="27"/>
  <c r="I235" i="27"/>
  <c r="E235" i="27"/>
  <c r="H235" i="27"/>
  <c r="I222" i="28"/>
  <c r="K16" i="57"/>
  <c r="G222" i="28"/>
  <c r="H222" i="28"/>
  <c r="E237" i="28"/>
  <c r="F237" i="28"/>
  <c r="G237" i="28"/>
  <c r="I173" i="7"/>
  <c r="I30" i="7"/>
  <c r="I40" i="7"/>
  <c r="I126" i="7"/>
  <c r="H27" i="7"/>
  <c r="H118" i="7"/>
  <c r="H248" i="2"/>
  <c r="H173" i="7"/>
  <c r="H316" i="7"/>
  <c r="G27" i="7"/>
  <c r="G37" i="7"/>
  <c r="G110" i="7"/>
  <c r="G118" i="7"/>
  <c r="G31" i="7"/>
  <c r="G173" i="7"/>
  <c r="G219" i="19"/>
  <c r="G226" i="19" s="1"/>
  <c r="F40" i="26"/>
  <c r="F36" i="7"/>
  <c r="F118" i="7"/>
  <c r="F173" i="7"/>
  <c r="F552" i="19"/>
  <c r="E27" i="7"/>
  <c r="E31" i="7"/>
  <c r="E118" i="7"/>
  <c r="E144" i="7"/>
  <c r="E109" i="7"/>
  <c r="E173" i="7"/>
  <c r="E67" i="39"/>
  <c r="E316" i="7"/>
  <c r="I117" i="7"/>
  <c r="I29" i="7"/>
  <c r="I115" i="7"/>
  <c r="I35" i="7"/>
  <c r="I116" i="7"/>
  <c r="I134" i="7"/>
  <c r="I138" i="7"/>
  <c r="I139" i="7"/>
  <c r="I32" i="7"/>
  <c r="I55" i="28"/>
  <c r="I33" i="7"/>
  <c r="I34" i="7"/>
  <c r="I411" i="18"/>
  <c r="I576" i="18"/>
  <c r="I602" i="18"/>
  <c r="I234" i="2"/>
  <c r="H117" i="7"/>
  <c r="H162" i="7"/>
  <c r="H115" i="7"/>
  <c r="H25" i="7"/>
  <c r="H116" i="7"/>
  <c r="H22" i="7"/>
  <c r="H138" i="7"/>
  <c r="H165" i="7"/>
  <c r="H23" i="7"/>
  <c r="H139" i="7"/>
  <c r="H167" i="7"/>
  <c r="H164" i="7"/>
  <c r="H170" i="7"/>
  <c r="H204" i="7"/>
  <c r="H205" i="7"/>
  <c r="H198" i="7"/>
  <c r="H158" i="7"/>
  <c r="H161" i="7"/>
  <c r="H398" i="18"/>
  <c r="H411" i="18"/>
  <c r="H576" i="18"/>
  <c r="H589" i="18"/>
  <c r="H602" i="18"/>
  <c r="H719" i="6"/>
  <c r="H97" i="2" s="1"/>
  <c r="H735" i="6"/>
  <c r="G117" i="7"/>
  <c r="G29" i="7"/>
  <c r="G162" i="7"/>
  <c r="G115" i="7"/>
  <c r="G35" i="7"/>
  <c r="G116" i="7"/>
  <c r="G163" i="7"/>
  <c r="G138" i="7"/>
  <c r="G165" i="7"/>
  <c r="G139" i="7"/>
  <c r="G166" i="7"/>
  <c r="G32" i="7"/>
  <c r="G167" i="7"/>
  <c r="G169" i="7"/>
  <c r="G164" i="7"/>
  <c r="G33" i="7"/>
  <c r="G168" i="7"/>
  <c r="G170" i="7"/>
  <c r="G205" i="7"/>
  <c r="G197" i="7"/>
  <c r="G158" i="7"/>
  <c r="G34" i="7"/>
  <c r="G160" i="7"/>
  <c r="G161" i="7"/>
  <c r="G424" i="18"/>
  <c r="G576" i="18"/>
  <c r="G234" i="2"/>
  <c r="G719" i="6"/>
  <c r="G97" i="2" s="1"/>
  <c r="F117" i="7"/>
  <c r="F29" i="7"/>
  <c r="F115" i="7"/>
  <c r="F35" i="7"/>
  <c r="F45" i="7"/>
  <c r="F116" i="7"/>
  <c r="F138" i="7"/>
  <c r="F139" i="7"/>
  <c r="F32" i="7"/>
  <c r="F33" i="7"/>
  <c r="F168" i="7"/>
  <c r="F204" i="7"/>
  <c r="F205" i="7"/>
  <c r="F198" i="7"/>
  <c r="F34" i="7"/>
  <c r="F30" i="28"/>
  <c r="F31" i="28" s="1"/>
  <c r="F411" i="18"/>
  <c r="F424" i="18"/>
  <c r="F602" i="18"/>
  <c r="F234" i="2"/>
  <c r="E117" i="7"/>
  <c r="E29" i="7"/>
  <c r="E115" i="7"/>
  <c r="E110" i="7"/>
  <c r="E25" i="7"/>
  <c r="E116" i="7"/>
  <c r="E134" i="7"/>
  <c r="E22" i="7"/>
  <c r="E138" i="7"/>
  <c r="E139" i="7"/>
  <c r="E32" i="7"/>
  <c r="E135" i="7"/>
  <c r="E164" i="7"/>
  <c r="E143" i="7"/>
  <c r="E168" i="7"/>
  <c r="K31" i="43"/>
  <c r="E204" i="7"/>
  <c r="E205" i="7"/>
  <c r="E136" i="7"/>
  <c r="E34" i="7"/>
  <c r="E160" i="7"/>
  <c r="E44" i="7"/>
  <c r="E398" i="18"/>
  <c r="E424" i="18"/>
  <c r="E576" i="18"/>
  <c r="E589" i="18"/>
  <c r="K12" i="45"/>
  <c r="E234" i="2"/>
  <c r="D234" i="1" s="1"/>
  <c r="M83" i="39"/>
  <c r="I210" i="10"/>
  <c r="I219" i="10" s="1"/>
  <c r="I319" i="18" s="1"/>
  <c r="I290" i="18" s="1"/>
  <c r="J210" i="10"/>
  <c r="E210" i="10"/>
  <c r="E219" i="10" s="1"/>
  <c r="E319" i="18" s="1"/>
  <c r="E290" i="18" s="1"/>
  <c r="F210" i="10"/>
  <c r="G210" i="10"/>
  <c r="G219" i="10" s="1"/>
  <c r="G319" i="18" s="1"/>
  <c r="G290" i="18" s="1"/>
  <c r="H210" i="10"/>
  <c r="I209" i="27"/>
  <c r="I218" i="27" s="1"/>
  <c r="I356" i="18" s="1"/>
  <c r="I326" i="18" s="1"/>
  <c r="J209" i="27"/>
  <c r="E209" i="27"/>
  <c r="E218" i="27" s="1"/>
  <c r="E356" i="18" s="1"/>
  <c r="E326" i="18" s="1"/>
  <c r="F209" i="27"/>
  <c r="G209" i="27"/>
  <c r="G218" i="27" s="1"/>
  <c r="G356" i="18" s="1"/>
  <c r="G326" i="18" s="1"/>
  <c r="H209" i="27"/>
  <c r="H219" i="27" s="1"/>
  <c r="I211" i="28"/>
  <c r="I220" i="28" s="1"/>
  <c r="I392" i="18" s="1"/>
  <c r="I363" i="18" s="1"/>
  <c r="J211" i="28"/>
  <c r="E211" i="28"/>
  <c r="E220" i="28" s="1"/>
  <c r="E392" i="18" s="1"/>
  <c r="E363" i="18" s="1"/>
  <c r="F211" i="28"/>
  <c r="F220" i="28" s="1"/>
  <c r="F392" i="18" s="1"/>
  <c r="F363" i="18" s="1"/>
  <c r="G211" i="28"/>
  <c r="G220" i="28" s="1"/>
  <c r="G392" i="18" s="1"/>
  <c r="G363" i="18" s="1"/>
  <c r="H211" i="28"/>
  <c r="H220" i="28" s="1"/>
  <c r="H392" i="18" s="1"/>
  <c r="H363" i="18" s="1"/>
  <c r="I211" i="10"/>
  <c r="J211" i="10"/>
  <c r="E211" i="10"/>
  <c r="E234" i="10" s="1"/>
  <c r="E500" i="18" s="1"/>
  <c r="E472" i="18" s="1"/>
  <c r="F211" i="10"/>
  <c r="F234" i="10" s="1"/>
  <c r="F500" i="18" s="1"/>
  <c r="F472" i="18" s="1"/>
  <c r="G211" i="10"/>
  <c r="G234" i="10" s="1"/>
  <c r="G500" i="18" s="1"/>
  <c r="G472" i="18" s="1"/>
  <c r="H211" i="10"/>
  <c r="H234" i="10" s="1"/>
  <c r="H500" i="18" s="1"/>
  <c r="H472" i="18" s="1"/>
  <c r="I210" i="27"/>
  <c r="J210" i="27"/>
  <c r="E210" i="27"/>
  <c r="E233" i="27" s="1"/>
  <c r="E535" i="18" s="1"/>
  <c r="E507" i="18" s="1"/>
  <c r="F210" i="27"/>
  <c r="G210" i="27"/>
  <c r="H210" i="27"/>
  <c r="I212" i="28"/>
  <c r="J212" i="28"/>
  <c r="E212" i="28"/>
  <c r="E235" i="28" s="1"/>
  <c r="E570" i="18" s="1"/>
  <c r="E542" i="18" s="1"/>
  <c r="F212" i="28"/>
  <c r="G212" i="28"/>
  <c r="H212" i="28"/>
  <c r="H235" i="28" s="1"/>
  <c r="H570" i="18" s="1"/>
  <c r="H542" i="18" s="1"/>
  <c r="I206" i="2"/>
  <c r="I207" i="2"/>
  <c r="H206" i="2"/>
  <c r="H207" i="2"/>
  <c r="G206" i="2"/>
  <c r="G207" i="2"/>
  <c r="F206" i="2"/>
  <c r="F207" i="2"/>
  <c r="E206" i="2"/>
  <c r="D206" i="1" s="1"/>
  <c r="E207" i="2"/>
  <c r="D207" i="1" s="1"/>
  <c r="I675" i="19"/>
  <c r="I707" i="19" s="1"/>
  <c r="H675" i="19"/>
  <c r="H707" i="19" s="1"/>
  <c r="F675" i="19"/>
  <c r="F707" i="19" s="1"/>
  <c r="I674" i="19"/>
  <c r="I706" i="19" s="1"/>
  <c r="G674" i="19"/>
  <c r="G706" i="19" s="1"/>
  <c r="F674" i="19"/>
  <c r="F706" i="19" s="1"/>
  <c r="H672" i="19"/>
  <c r="H704" i="19" s="1"/>
  <c r="G672" i="19"/>
  <c r="G704" i="19" s="1"/>
  <c r="F672" i="19"/>
  <c r="F704" i="19" s="1"/>
  <c r="I526" i="11"/>
  <c r="F526" i="11"/>
  <c r="F525" i="11"/>
  <c r="I523" i="11"/>
  <c r="H523" i="11"/>
  <c r="E666" i="19"/>
  <c r="E700" i="19" s="1"/>
  <c r="H651" i="19"/>
  <c r="G651" i="19"/>
  <c r="G502" i="11" s="1"/>
  <c r="I650" i="19"/>
  <c r="G650" i="19"/>
  <c r="H649" i="19"/>
  <c r="H500" i="11" s="1"/>
  <c r="F649" i="19"/>
  <c r="G644" i="19"/>
  <c r="F644" i="19"/>
  <c r="F499" i="11" s="1"/>
  <c r="E644" i="19"/>
  <c r="H643" i="19"/>
  <c r="I642" i="19"/>
  <c r="G642" i="19"/>
  <c r="E97" i="39"/>
  <c r="G97" i="39" s="1"/>
  <c r="E89" i="39"/>
  <c r="G89" i="39" s="1"/>
  <c r="F170" i="2"/>
  <c r="G123" i="64"/>
  <c r="G169" i="2"/>
  <c r="H333" i="18"/>
  <c r="I80" i="26"/>
  <c r="H80" i="26"/>
  <c r="G80" i="26"/>
  <c r="E80" i="26"/>
  <c r="I41" i="26"/>
  <c r="H210" i="2"/>
  <c r="G210" i="2"/>
  <c r="F210" i="2"/>
  <c r="E210" i="2"/>
  <c r="D210" i="1" s="1"/>
  <c r="G62" i="39"/>
  <c r="G60" i="39"/>
  <c r="H167" i="2"/>
  <c r="I297" i="18"/>
  <c r="E297" i="18"/>
  <c r="G4" i="11"/>
  <c r="F166" i="28"/>
  <c r="D181" i="28" s="1"/>
  <c r="I30" i="28"/>
  <c r="I31" i="28" s="1"/>
  <c r="G30" i="28"/>
  <c r="G31" i="28" s="1"/>
  <c r="C25" i="8"/>
  <c r="C24" i="8"/>
  <c r="B85" i="8" s="1"/>
  <c r="F164" i="10"/>
  <c r="D179" i="10" s="1"/>
  <c r="J24" i="10"/>
  <c r="E298" i="10"/>
  <c r="D321" i="2"/>
  <c r="D325" i="2"/>
  <c r="D282" i="2"/>
  <c r="D286" i="2"/>
  <c r="D289" i="2"/>
  <c r="D290" i="2"/>
  <c r="D288" i="2"/>
  <c r="D287" i="2"/>
  <c r="D280" i="2"/>
  <c r="D283" i="2"/>
  <c r="D281" i="2"/>
  <c r="D284" i="2"/>
  <c r="I211" i="26"/>
  <c r="J211" i="26"/>
  <c r="E211" i="26"/>
  <c r="E234" i="26" s="1"/>
  <c r="F211" i="26"/>
  <c r="G211" i="26"/>
  <c r="H211" i="26"/>
  <c r="H235" i="26" s="1"/>
  <c r="H236" i="26" s="1"/>
  <c r="H237" i="26" s="1"/>
  <c r="H238" i="26" s="1"/>
  <c r="H239" i="26" s="1"/>
  <c r="I114" i="7"/>
  <c r="I140" i="7"/>
  <c r="F151" i="8"/>
  <c r="E151" i="8" s="1"/>
  <c r="E5" i="26" s="1"/>
  <c r="I672" i="19"/>
  <c r="I704" i="19" s="1"/>
  <c r="H674" i="19"/>
  <c r="H706" i="19" s="1"/>
  <c r="G525" i="11"/>
  <c r="E672" i="19"/>
  <c r="E704" i="19" s="1"/>
  <c r="C1115" i="7"/>
  <c r="C1116" i="7" s="1"/>
  <c r="C1109" i="7"/>
  <c r="D1109" i="7" s="1"/>
  <c r="C766" i="7"/>
  <c r="C767" i="7" s="1"/>
  <c r="C768" i="7" s="1"/>
  <c r="C580" i="7"/>
  <c r="C581" i="7" s="1"/>
  <c r="R581" i="7" s="1"/>
  <c r="C168" i="7"/>
  <c r="C170" i="7" s="1"/>
  <c r="C167" i="7"/>
  <c r="L436" i="7"/>
  <c r="L437" i="7" s="1"/>
  <c r="M437" i="7" s="1"/>
  <c r="N437" i="7" s="1"/>
  <c r="O437" i="7" s="1"/>
  <c r="B680" i="7"/>
  <c r="B681" i="7" s="1"/>
  <c r="B682" i="7" s="1"/>
  <c r="L772" i="7"/>
  <c r="M772" i="7" s="1"/>
  <c r="N772" i="7" s="1"/>
  <c r="O772" i="7" s="1"/>
  <c r="L429" i="12"/>
  <c r="L431" i="12" s="1"/>
  <c r="L503" i="12"/>
  <c r="L453" i="12"/>
  <c r="L456" i="12" s="1"/>
  <c r="I210" i="26"/>
  <c r="I219" i="26" s="1"/>
  <c r="J210" i="26"/>
  <c r="E210" i="26"/>
  <c r="F210" i="26"/>
  <c r="F219" i="26" s="1"/>
  <c r="G210" i="26"/>
  <c r="G219" i="26" s="1"/>
  <c r="H210" i="26"/>
  <c r="H219" i="26" s="1"/>
  <c r="G114" i="7"/>
  <c r="G140" i="7"/>
  <c r="F114" i="7"/>
  <c r="F140" i="7"/>
  <c r="E114" i="7"/>
  <c r="E140" i="7"/>
  <c r="L309" i="12"/>
  <c r="L311" i="12" s="1"/>
  <c r="L313" i="12"/>
  <c r="L488" i="12" s="1"/>
  <c r="L314" i="12"/>
  <c r="L489" i="12" s="1"/>
  <c r="L497" i="12"/>
  <c r="L491" i="12"/>
  <c r="L485" i="12"/>
  <c r="D458" i="11"/>
  <c r="B671" i="7"/>
  <c r="B693" i="7"/>
  <c r="B694" i="7" s="1"/>
  <c r="H532" i="11"/>
  <c r="F532" i="11"/>
  <c r="E232" i="2"/>
  <c r="D232" i="1" s="1"/>
  <c r="I649" i="19"/>
  <c r="I500" i="11" s="1"/>
  <c r="G643" i="19"/>
  <c r="G498" i="11" s="1"/>
  <c r="H549" i="18"/>
  <c r="F297" i="18"/>
  <c r="F4" i="11"/>
  <c r="J1" i="68"/>
  <c r="I1" i="67"/>
  <c r="L1" i="66"/>
  <c r="L6" i="12"/>
  <c r="L8" i="12" s="1"/>
  <c r="L7" i="12"/>
  <c r="L10" i="12"/>
  <c r="L11" i="12"/>
  <c r="L12" i="12"/>
  <c r="L14" i="12"/>
  <c r="L16" i="12" s="1"/>
  <c r="L15" i="12"/>
  <c r="L18" i="12"/>
  <c r="L19" i="12"/>
  <c r="L20" i="12"/>
  <c r="L22" i="12"/>
  <c r="L24" i="12" s="1"/>
  <c r="L23" i="12"/>
  <c r="L28" i="12"/>
  <c r="L30" i="12"/>
  <c r="L32" i="12" s="1"/>
  <c r="L31" i="12"/>
  <c r="L36" i="12"/>
  <c r="L38" i="12"/>
  <c r="L40" i="12" s="1"/>
  <c r="L39" i="12"/>
  <c r="L42" i="12"/>
  <c r="L43" i="12"/>
  <c r="L44" i="12"/>
  <c r="L46" i="12"/>
  <c r="L48" i="12" s="1"/>
  <c r="L47" i="12"/>
  <c r="L52" i="12"/>
  <c r="L54" i="12"/>
  <c r="L56" i="12" s="1"/>
  <c r="L55" i="12"/>
  <c r="L60" i="12"/>
  <c r="L62" i="12"/>
  <c r="L64" i="12" s="1"/>
  <c r="L63" i="12"/>
  <c r="L68" i="12"/>
  <c r="L71" i="12"/>
  <c r="L73" i="12" s="1"/>
  <c r="L72" i="12"/>
  <c r="L77" i="12"/>
  <c r="L79" i="12"/>
  <c r="L81" i="12" s="1"/>
  <c r="L80" i="12"/>
  <c r="L83" i="12"/>
  <c r="L84" i="12"/>
  <c r="L85" i="12"/>
  <c r="L87" i="12"/>
  <c r="L89" i="12" s="1"/>
  <c r="L88" i="12"/>
  <c r="L93" i="12"/>
  <c r="L95" i="12"/>
  <c r="L97" i="12" s="1"/>
  <c r="L96" i="12"/>
  <c r="L101" i="12"/>
  <c r="L105" i="12"/>
  <c r="L107" i="12" s="1"/>
  <c r="L106" i="12"/>
  <c r="L109" i="12"/>
  <c r="L110" i="12"/>
  <c r="L111" i="12"/>
  <c r="L113" i="12"/>
  <c r="L115" i="12" s="1"/>
  <c r="L114" i="12"/>
  <c r="L119" i="12"/>
  <c r="L121" i="12"/>
  <c r="L123" i="12" s="1"/>
  <c r="L122" i="12"/>
  <c r="L127" i="12"/>
  <c r="L129" i="12"/>
  <c r="L131" i="12" s="1"/>
  <c r="L130" i="12"/>
  <c r="L135" i="12"/>
  <c r="L138" i="12"/>
  <c r="L140" i="12" s="1"/>
  <c r="L139" i="12"/>
  <c r="L144" i="12"/>
  <c r="L146" i="12"/>
  <c r="L148" i="12" s="1"/>
  <c r="L147" i="12"/>
  <c r="L150" i="12"/>
  <c r="L151" i="12"/>
  <c r="L152" i="12"/>
  <c r="L154" i="12"/>
  <c r="L156" i="12" s="1"/>
  <c r="L155" i="12"/>
  <c r="L160" i="12"/>
  <c r="L162" i="12"/>
  <c r="L164" i="12" s="1"/>
  <c r="L163" i="12"/>
  <c r="L168" i="12"/>
  <c r="L171" i="12"/>
  <c r="L173" i="12" s="1"/>
  <c r="L172" i="12"/>
  <c r="L175" i="12"/>
  <c r="L176" i="12"/>
  <c r="L177" i="12"/>
  <c r="L179" i="12"/>
  <c r="L181" i="12" s="1"/>
  <c r="L180" i="12"/>
  <c r="L185" i="12"/>
  <c r="L187" i="12"/>
  <c r="L189" i="12" s="1"/>
  <c r="L188" i="12"/>
  <c r="L193" i="12"/>
  <c r="L195" i="12"/>
  <c r="L198" i="12" s="1"/>
  <c r="L196" i="12"/>
  <c r="L201" i="12"/>
  <c r="L203" i="12"/>
  <c r="L205" i="12" s="1"/>
  <c r="L204" i="12"/>
  <c r="L209" i="12"/>
  <c r="L211" i="12"/>
  <c r="L213" i="12" s="1"/>
  <c r="L212" i="12"/>
  <c r="L215" i="12"/>
  <c r="L216" i="12"/>
  <c r="L217" i="12"/>
  <c r="L219" i="12"/>
  <c r="L221" i="12" s="1"/>
  <c r="L220" i="12"/>
  <c r="L225" i="12"/>
  <c r="L227" i="12"/>
  <c r="L231" i="12" s="1"/>
  <c r="L228" i="12"/>
  <c r="L233" i="12"/>
  <c r="L235" i="12"/>
  <c r="L237" i="12" s="1"/>
  <c r="L236" i="12"/>
  <c r="L239" i="12"/>
  <c r="L240" i="12"/>
  <c r="L241" i="12"/>
  <c r="L243" i="12"/>
  <c r="L245" i="12" s="1"/>
  <c r="L244" i="12"/>
  <c r="L249" i="12"/>
  <c r="L251" i="12"/>
  <c r="L255" i="12" s="1"/>
  <c r="L252" i="12"/>
  <c r="L257" i="12"/>
  <c r="L259" i="12"/>
  <c r="L261" i="12" s="1"/>
  <c r="L260" i="12"/>
  <c r="L265" i="12"/>
  <c r="L269" i="12"/>
  <c r="L271" i="12" s="1"/>
  <c r="L274" i="12"/>
  <c r="L270" i="12"/>
  <c r="L273" i="12"/>
  <c r="L275" i="12"/>
  <c r="L277" i="12"/>
  <c r="L279" i="12"/>
  <c r="L282" i="12"/>
  <c r="L278" i="12"/>
  <c r="L280" i="12"/>
  <c r="L281" i="12"/>
  <c r="L283" i="12"/>
  <c r="L285" i="12"/>
  <c r="L287" i="12" s="1"/>
  <c r="L290" i="12"/>
  <c r="L286" i="12"/>
  <c r="L289" i="12"/>
  <c r="L291" i="12"/>
  <c r="L293" i="12"/>
  <c r="L295" i="12" s="1"/>
  <c r="L294" i="12"/>
  <c r="L297" i="12"/>
  <c r="L298" i="12"/>
  <c r="L299" i="12"/>
  <c r="L301" i="12"/>
  <c r="L303" i="12" s="1"/>
  <c r="L306" i="12"/>
  <c r="L302" i="12"/>
  <c r="L305" i="12"/>
  <c r="L307" i="12"/>
  <c r="L310" i="12"/>
  <c r="L315" i="12"/>
  <c r="L317" i="12"/>
  <c r="L319" i="12" s="1"/>
  <c r="L318" i="12"/>
  <c r="L321" i="12"/>
  <c r="L322" i="12"/>
  <c r="L323" i="12"/>
  <c r="L325" i="12"/>
  <c r="L327" i="12" s="1"/>
  <c r="L326" i="12"/>
  <c r="L329" i="12"/>
  <c r="L330" i="12"/>
  <c r="L331" i="12"/>
  <c r="L333" i="12"/>
  <c r="L336" i="12" s="1"/>
  <c r="L335" i="12"/>
  <c r="L334" i="12"/>
  <c r="L337" i="12"/>
  <c r="L338" i="12"/>
  <c r="L339" i="12"/>
  <c r="L341" i="12"/>
  <c r="L343" i="12" s="1"/>
  <c r="L342" i="12"/>
  <c r="L345" i="12"/>
  <c r="L346" i="12"/>
  <c r="L347" i="12"/>
  <c r="L349" i="12"/>
  <c r="L351" i="12" s="1"/>
  <c r="L350" i="12"/>
  <c r="L353" i="12"/>
  <c r="L354" i="12"/>
  <c r="L355" i="12"/>
  <c r="L357" i="12"/>
  <c r="L359" i="12" s="1"/>
  <c r="L358" i="12"/>
  <c r="L361" i="12"/>
  <c r="L362" i="12"/>
  <c r="L363" i="12"/>
  <c r="L365" i="12"/>
  <c r="L367" i="12" s="1"/>
  <c r="L366" i="12"/>
  <c r="L369" i="12"/>
  <c r="L370" i="12"/>
  <c r="L371" i="12"/>
  <c r="L373" i="12"/>
  <c r="L376" i="12" s="1"/>
  <c r="L375" i="12"/>
  <c r="L374" i="12"/>
  <c r="L377" i="12"/>
  <c r="L378" i="12"/>
  <c r="L379" i="12"/>
  <c r="L381" i="12"/>
  <c r="L383" i="12" s="1"/>
  <c r="L382" i="12"/>
  <c r="L385" i="12"/>
  <c r="L386" i="12"/>
  <c r="L387" i="12"/>
  <c r="L389" i="12"/>
  <c r="L391" i="12" s="1"/>
  <c r="L390" i="12"/>
  <c r="L393" i="12"/>
  <c r="L394" i="12"/>
  <c r="L395" i="12"/>
  <c r="L397" i="12"/>
  <c r="L400" i="12" s="1"/>
  <c r="L399" i="12"/>
  <c r="L398" i="12"/>
  <c r="L401" i="12"/>
  <c r="L402" i="12"/>
  <c r="L403" i="12"/>
  <c r="L405" i="12"/>
  <c r="L407" i="12" s="1"/>
  <c r="L406" i="12"/>
  <c r="L409" i="12"/>
  <c r="L410" i="12"/>
  <c r="L411" i="12"/>
  <c r="L413" i="12"/>
  <c r="L415" i="12" s="1"/>
  <c r="L414" i="12"/>
  <c r="L417" i="12"/>
  <c r="L418" i="12"/>
  <c r="L419" i="12"/>
  <c r="L421" i="12"/>
  <c r="L423" i="12" s="1"/>
  <c r="L426" i="12"/>
  <c r="L422" i="12"/>
  <c r="L425" i="12"/>
  <c r="L427" i="12"/>
  <c r="L434" i="12"/>
  <c r="L430" i="12"/>
  <c r="L433" i="12"/>
  <c r="L435" i="12"/>
  <c r="L437" i="12"/>
  <c r="L439" i="12" s="1"/>
  <c r="L438" i="12"/>
  <c r="L441" i="12"/>
  <c r="L442" i="12"/>
  <c r="L443" i="12"/>
  <c r="L445" i="12"/>
  <c r="L447" i="12" s="1"/>
  <c r="L446" i="12"/>
  <c r="L449" i="12"/>
  <c r="L450" i="12"/>
  <c r="L451" i="12"/>
  <c r="L454" i="12"/>
  <c r="L455" i="12"/>
  <c r="L457" i="12"/>
  <c r="L458" i="12"/>
  <c r="L459" i="12"/>
  <c r="L461" i="12"/>
  <c r="L464" i="12" s="1"/>
  <c r="L462" i="12"/>
  <c r="L465" i="12"/>
  <c r="L481" i="12" s="1"/>
  <c r="L466" i="12"/>
  <c r="L482" i="12" s="1"/>
  <c r="L467" i="12"/>
  <c r="L483" i="12" s="1"/>
  <c r="L470" i="12"/>
  <c r="L475" i="12"/>
  <c r="L477" i="12"/>
  <c r="L478" i="12"/>
  <c r="L479" i="12"/>
  <c r="H4" i="11"/>
  <c r="G13" i="11"/>
  <c r="F19" i="11"/>
  <c r="G19" i="11"/>
  <c r="H19" i="11"/>
  <c r="I19" i="11"/>
  <c r="G25" i="11"/>
  <c r="F30" i="11"/>
  <c r="G30" i="11"/>
  <c r="H30" i="11"/>
  <c r="G36" i="11"/>
  <c r="F44" i="11"/>
  <c r="H44" i="11"/>
  <c r="F53" i="11"/>
  <c r="G53" i="11"/>
  <c r="H53" i="11"/>
  <c r="F61" i="11"/>
  <c r="G61" i="11"/>
  <c r="H61" i="11"/>
  <c r="F70" i="11"/>
  <c r="G70" i="11"/>
  <c r="H70" i="11"/>
  <c r="E72" i="11"/>
  <c r="F72" i="11"/>
  <c r="G72" i="11"/>
  <c r="H72" i="11"/>
  <c r="I72" i="11"/>
  <c r="F80" i="11"/>
  <c r="G80" i="11"/>
  <c r="H80" i="11"/>
  <c r="F89" i="11"/>
  <c r="H89" i="11"/>
  <c r="F94" i="11"/>
  <c r="H94" i="11"/>
  <c r="F99" i="11"/>
  <c r="H99" i="11"/>
  <c r="F103" i="11"/>
  <c r="G103" i="11"/>
  <c r="H103" i="11"/>
  <c r="F109" i="11"/>
  <c r="G109" i="11"/>
  <c r="H109" i="11"/>
  <c r="F117" i="11"/>
  <c r="G117" i="11"/>
  <c r="H117" i="11"/>
  <c r="F125" i="11"/>
  <c r="G125" i="11"/>
  <c r="H125" i="11"/>
  <c r="I125" i="11"/>
  <c r="F133" i="11"/>
  <c r="G133" i="11"/>
  <c r="H133" i="11"/>
  <c r="I133" i="11"/>
  <c r="D134" i="11"/>
  <c r="M134" i="11"/>
  <c r="D135" i="11"/>
  <c r="M135" i="11"/>
  <c r="M136" i="11"/>
  <c r="D137" i="11"/>
  <c r="M137" i="11"/>
  <c r="D138" i="11"/>
  <c r="M138" i="11"/>
  <c r="M139" i="11"/>
  <c r="F143" i="11"/>
  <c r="G143" i="11"/>
  <c r="H143" i="11"/>
  <c r="D144" i="11"/>
  <c r="D149" i="11"/>
  <c r="F154" i="11"/>
  <c r="G154" i="11"/>
  <c r="H154" i="11"/>
  <c r="D155" i="11"/>
  <c r="M155" i="11"/>
  <c r="D156" i="11"/>
  <c r="M156" i="11"/>
  <c r="M157" i="11"/>
  <c r="D158" i="11"/>
  <c r="M158" i="11"/>
  <c r="D159" i="11"/>
  <c r="M159" i="11"/>
  <c r="E164" i="11"/>
  <c r="F164" i="11"/>
  <c r="G164" i="11"/>
  <c r="H164" i="11"/>
  <c r="I164" i="11"/>
  <c r="M165" i="11"/>
  <c r="M166" i="11"/>
  <c r="M167" i="11"/>
  <c r="M168" i="11"/>
  <c r="M169" i="11"/>
  <c r="M170" i="11"/>
  <c r="F175" i="11"/>
  <c r="G175" i="11"/>
  <c r="H175" i="11"/>
  <c r="F180" i="11"/>
  <c r="G180" i="11"/>
  <c r="H180" i="11"/>
  <c r="E185" i="11"/>
  <c r="F185" i="11"/>
  <c r="G185" i="11"/>
  <c r="H185" i="11"/>
  <c r="E191" i="11"/>
  <c r="F191" i="11"/>
  <c r="G191" i="11"/>
  <c r="H191" i="11"/>
  <c r="E199" i="11"/>
  <c r="F199" i="11"/>
  <c r="G199" i="11"/>
  <c r="H199" i="11"/>
  <c r="I199" i="11"/>
  <c r="F204" i="11"/>
  <c r="G204" i="11"/>
  <c r="H204" i="11"/>
  <c r="I204" i="11"/>
  <c r="F216" i="11"/>
  <c r="G216" i="11"/>
  <c r="H216" i="11"/>
  <c r="F225" i="11"/>
  <c r="G225" i="11"/>
  <c r="H225" i="11"/>
  <c r="F232" i="11"/>
  <c r="G232" i="11"/>
  <c r="H232" i="11"/>
  <c r="E233" i="11"/>
  <c r="E236" i="11" s="1"/>
  <c r="F233" i="11"/>
  <c r="G233" i="11"/>
  <c r="G236" i="11" s="1"/>
  <c r="H233" i="11"/>
  <c r="H236" i="11" s="1"/>
  <c r="I233" i="11"/>
  <c r="I236" i="11" s="1"/>
  <c r="F236" i="11"/>
  <c r="F238" i="11"/>
  <c r="G238" i="11"/>
  <c r="H238" i="11"/>
  <c r="E239" i="11"/>
  <c r="F239" i="11"/>
  <c r="G239" i="11"/>
  <c r="H239" i="11"/>
  <c r="I239" i="11"/>
  <c r="F242" i="11"/>
  <c r="G242" i="11"/>
  <c r="H242" i="11"/>
  <c r="F250" i="11"/>
  <c r="G250" i="11"/>
  <c r="H250" i="11"/>
  <c r="F255" i="11"/>
  <c r="G255" i="11"/>
  <c r="H255" i="11"/>
  <c r="F264" i="11"/>
  <c r="G264" i="11"/>
  <c r="H264" i="11"/>
  <c r="I264" i="11"/>
  <c r="F274" i="11"/>
  <c r="G274" i="11"/>
  <c r="H274" i="11"/>
  <c r="I274" i="11"/>
  <c r="F283" i="11"/>
  <c r="G283" i="11"/>
  <c r="H283" i="11"/>
  <c r="F293" i="11"/>
  <c r="G293" i="11"/>
  <c r="H293" i="11"/>
  <c r="F302" i="11"/>
  <c r="G302" i="11"/>
  <c r="H302" i="11"/>
  <c r="E312" i="11"/>
  <c r="F312" i="11"/>
  <c r="G312" i="11"/>
  <c r="H312" i="11"/>
  <c r="I312" i="11"/>
  <c r="F321" i="11"/>
  <c r="G321" i="11"/>
  <c r="H321" i="11"/>
  <c r="F331" i="11"/>
  <c r="G331" i="11"/>
  <c r="H331" i="11"/>
  <c r="F341" i="11"/>
  <c r="G341" i="11"/>
  <c r="H341" i="11"/>
  <c r="F351" i="11"/>
  <c r="G351" i="11"/>
  <c r="H351" i="11"/>
  <c r="F361" i="11"/>
  <c r="G361" i="11"/>
  <c r="H361" i="11"/>
  <c r="F371" i="11"/>
  <c r="G371" i="11"/>
  <c r="H371" i="11"/>
  <c r="F377" i="11"/>
  <c r="G377" i="11"/>
  <c r="H377" i="11"/>
  <c r="I377" i="11"/>
  <c r="E383" i="11"/>
  <c r="F383" i="11"/>
  <c r="G383" i="11"/>
  <c r="H383" i="11"/>
  <c r="I383" i="11"/>
  <c r="F389" i="11"/>
  <c r="G389" i="11"/>
  <c r="H389" i="11"/>
  <c r="F395" i="11"/>
  <c r="G395" i="11"/>
  <c r="H395" i="11"/>
  <c r="E396" i="11"/>
  <c r="F396" i="11"/>
  <c r="G396" i="11"/>
  <c r="H396" i="11"/>
  <c r="I396" i="11"/>
  <c r="E397" i="11"/>
  <c r="F397" i="11"/>
  <c r="G397" i="11"/>
  <c r="H397" i="11"/>
  <c r="I397" i="11"/>
  <c r="F401" i="11"/>
  <c r="G401" i="11"/>
  <c r="H401" i="11"/>
  <c r="E402" i="11"/>
  <c r="F402" i="11"/>
  <c r="G402" i="11"/>
  <c r="H402" i="11"/>
  <c r="I402" i="11"/>
  <c r="E403" i="11"/>
  <c r="F403" i="11"/>
  <c r="G403" i="11"/>
  <c r="H403" i="11"/>
  <c r="I403" i="11"/>
  <c r="F406" i="11"/>
  <c r="G406" i="11"/>
  <c r="H406" i="11"/>
  <c r="E407" i="11"/>
  <c r="F407" i="11"/>
  <c r="G407" i="11"/>
  <c r="H407" i="11"/>
  <c r="I407" i="11"/>
  <c r="E408" i="11"/>
  <c r="F408" i="11"/>
  <c r="G408" i="11"/>
  <c r="H408" i="11"/>
  <c r="I408" i="11"/>
  <c r="E409" i="11"/>
  <c r="F409" i="11"/>
  <c r="G409" i="11"/>
  <c r="H409" i="11"/>
  <c r="I409" i="11"/>
  <c r="F419" i="11"/>
  <c r="G419" i="11"/>
  <c r="H419" i="11"/>
  <c r="I419" i="11"/>
  <c r="F425" i="11"/>
  <c r="G425" i="11"/>
  <c r="H425" i="11"/>
  <c r="F431" i="11"/>
  <c r="G431" i="11"/>
  <c r="H431" i="11"/>
  <c r="F437" i="11"/>
  <c r="G437" i="11"/>
  <c r="H437" i="11"/>
  <c r="F444" i="11"/>
  <c r="G444" i="11"/>
  <c r="H444" i="11"/>
  <c r="D445" i="11"/>
  <c r="D446" i="11"/>
  <c r="D447" i="11"/>
  <c r="D448" i="11"/>
  <c r="D449" i="11"/>
  <c r="F452" i="11"/>
  <c r="G452" i="11"/>
  <c r="H452" i="11"/>
  <c r="I452" i="11"/>
  <c r="D460" i="11"/>
  <c r="D462" i="11"/>
  <c r="F469" i="11"/>
  <c r="G469" i="11"/>
  <c r="H469" i="11"/>
  <c r="D470" i="11"/>
  <c r="M470" i="11"/>
  <c r="D471" i="11"/>
  <c r="M471" i="11"/>
  <c r="D472" i="11"/>
  <c r="M472" i="11"/>
  <c r="D473" i="11"/>
  <c r="M473" i="11"/>
  <c r="D474" i="11"/>
  <c r="M474" i="11"/>
  <c r="F479" i="11"/>
  <c r="G479" i="11"/>
  <c r="H479" i="11"/>
  <c r="M480" i="11"/>
  <c r="M481" i="11"/>
  <c r="M482" i="11"/>
  <c r="D483" i="11"/>
  <c r="M483" i="11"/>
  <c r="M484" i="11"/>
  <c r="M485" i="11"/>
  <c r="F490" i="11"/>
  <c r="G490" i="11"/>
  <c r="H490" i="11"/>
  <c r="F496" i="11"/>
  <c r="G496" i="11"/>
  <c r="H496" i="11"/>
  <c r="F504" i="11"/>
  <c r="G504" i="11"/>
  <c r="H504" i="11"/>
  <c r="F510" i="11"/>
  <c r="G510" i="11"/>
  <c r="H510" i="11"/>
  <c r="F516" i="11"/>
  <c r="G516" i="11"/>
  <c r="H516" i="11"/>
  <c r="F522" i="11"/>
  <c r="G522" i="11"/>
  <c r="H522" i="11"/>
  <c r="I522" i="11"/>
  <c r="D5" i="30"/>
  <c r="E5" i="30"/>
  <c r="F5" i="30"/>
  <c r="D14" i="30" s="1"/>
  <c r="G5" i="30"/>
  <c r="H5" i="30"/>
  <c r="I5" i="30"/>
  <c r="J5" i="30"/>
  <c r="D6" i="30"/>
  <c r="E6" i="30"/>
  <c r="F6" i="30"/>
  <c r="D15" i="30" s="1"/>
  <c r="G6" i="30"/>
  <c r="H6" i="30"/>
  <c r="I6" i="30"/>
  <c r="J6" i="30"/>
  <c r="D7" i="30"/>
  <c r="E7" i="30"/>
  <c r="F7" i="30"/>
  <c r="G7" i="30"/>
  <c r="H7" i="30"/>
  <c r="I7" i="30"/>
  <c r="J7" i="30"/>
  <c r="D8" i="30"/>
  <c r="E8" i="30"/>
  <c r="F8" i="30"/>
  <c r="D17" i="30" s="1"/>
  <c r="G8" i="30"/>
  <c r="H8" i="30"/>
  <c r="I8" i="30"/>
  <c r="J8" i="30"/>
  <c r="E24" i="30"/>
  <c r="E149" i="30" s="1"/>
  <c r="E150" i="30" s="1"/>
  <c r="F24" i="30"/>
  <c r="F125" i="30" s="1"/>
  <c r="F126" i="30" s="1"/>
  <c r="G24" i="30"/>
  <c r="H24" i="30"/>
  <c r="H101" i="30" s="1"/>
  <c r="H102" i="30" s="1"/>
  <c r="E153" i="30"/>
  <c r="D168" i="30" s="1"/>
  <c r="I24" i="30"/>
  <c r="I149" i="30" s="1"/>
  <c r="I150" i="30" s="1"/>
  <c r="C26" i="30"/>
  <c r="E26" i="30"/>
  <c r="E28" i="30" s="1"/>
  <c r="F26" i="30"/>
  <c r="F28" i="30" s="1"/>
  <c r="G26" i="30"/>
  <c r="G28" i="30" s="1"/>
  <c r="H26" i="30"/>
  <c r="H28" i="30" s="1"/>
  <c r="I26" i="30"/>
  <c r="I28" i="30" s="1"/>
  <c r="C38" i="30"/>
  <c r="E38" i="30"/>
  <c r="E40" i="30" s="1"/>
  <c r="F38" i="30"/>
  <c r="F40" i="30" s="1"/>
  <c r="G38" i="30"/>
  <c r="G40" i="30" s="1"/>
  <c r="H38" i="30"/>
  <c r="H40" i="30" s="1"/>
  <c r="I38" i="30"/>
  <c r="I40" i="30" s="1"/>
  <c r="F41" i="30"/>
  <c r="F42" i="30" s="1"/>
  <c r="E154" i="30"/>
  <c r="D169" i="30" s="1"/>
  <c r="C50" i="30"/>
  <c r="E52" i="30"/>
  <c r="F52" i="30"/>
  <c r="G52" i="30"/>
  <c r="H52" i="30"/>
  <c r="I52" i="30"/>
  <c r="H53" i="30"/>
  <c r="H54" i="30" s="1"/>
  <c r="C62" i="30"/>
  <c r="E64" i="30"/>
  <c r="F64" i="30"/>
  <c r="G64" i="30"/>
  <c r="H64" i="30"/>
  <c r="I64" i="30"/>
  <c r="C74" i="30"/>
  <c r="E76" i="30"/>
  <c r="F76" i="30"/>
  <c r="G76" i="30"/>
  <c r="H76" i="30"/>
  <c r="I76" i="30"/>
  <c r="C86" i="30"/>
  <c r="E88" i="30"/>
  <c r="F88" i="30"/>
  <c r="G88" i="30"/>
  <c r="H88" i="30"/>
  <c r="I88" i="30"/>
  <c r="C98" i="30"/>
  <c r="E100" i="30"/>
  <c r="F100" i="30"/>
  <c r="G100" i="30"/>
  <c r="H100" i="30"/>
  <c r="I100" i="30"/>
  <c r="C110" i="30"/>
  <c r="E112" i="30"/>
  <c r="F112" i="30"/>
  <c r="G112" i="30"/>
  <c r="H112" i="30"/>
  <c r="I112" i="30"/>
  <c r="E160" i="30"/>
  <c r="D175" i="30" s="1"/>
  <c r="C122" i="30"/>
  <c r="E124" i="30"/>
  <c r="F124" i="30"/>
  <c r="G124" i="30"/>
  <c r="H124" i="30"/>
  <c r="I124" i="30"/>
  <c r="C134" i="30"/>
  <c r="E136" i="30"/>
  <c r="F136" i="30"/>
  <c r="G136" i="30"/>
  <c r="H136" i="30"/>
  <c r="I136" i="30"/>
  <c r="F137" i="30"/>
  <c r="F138" i="30" s="1"/>
  <c r="E146" i="30"/>
  <c r="E148" i="30" s="1"/>
  <c r="F146" i="30"/>
  <c r="F148" i="30" s="1"/>
  <c r="G146" i="30"/>
  <c r="G148" i="30" s="1"/>
  <c r="H146" i="30"/>
  <c r="H148" i="30" s="1"/>
  <c r="I146" i="30"/>
  <c r="I148" i="30" s="1"/>
  <c r="C153" i="30"/>
  <c r="C168" i="30" s="1"/>
  <c r="F153" i="30"/>
  <c r="G153" i="30"/>
  <c r="H153" i="30"/>
  <c r="I153" i="30"/>
  <c r="C154" i="30"/>
  <c r="C169" i="30" s="1"/>
  <c r="F154" i="30"/>
  <c r="G154" i="30"/>
  <c r="H154" i="30"/>
  <c r="I154" i="30"/>
  <c r="C155" i="30"/>
  <c r="C170" i="30" s="1"/>
  <c r="E155" i="30"/>
  <c r="D170" i="30" s="1"/>
  <c r="F155" i="30"/>
  <c r="G155" i="30"/>
  <c r="H155" i="30"/>
  <c r="I155" i="30"/>
  <c r="C156" i="30"/>
  <c r="C171" i="30" s="1"/>
  <c r="E156" i="30"/>
  <c r="D171" i="30" s="1"/>
  <c r="F156" i="30"/>
  <c r="G156" i="30"/>
  <c r="H156" i="30"/>
  <c r="I156" i="30"/>
  <c r="C157" i="30"/>
  <c r="C172" i="30" s="1"/>
  <c r="E157" i="30"/>
  <c r="D172" i="30" s="1"/>
  <c r="F157" i="30"/>
  <c r="G157" i="30"/>
  <c r="H157" i="30"/>
  <c r="I157" i="30"/>
  <c r="C158" i="30"/>
  <c r="C173" i="30" s="1"/>
  <c r="E158" i="30"/>
  <c r="D173" i="30" s="1"/>
  <c r="F158" i="30"/>
  <c r="G158" i="30"/>
  <c r="H158" i="30"/>
  <c r="I158" i="30"/>
  <c r="C159" i="30"/>
  <c r="C174" i="30" s="1"/>
  <c r="E159" i="30"/>
  <c r="D174" i="30" s="1"/>
  <c r="F159" i="30"/>
  <c r="G159" i="30"/>
  <c r="H159" i="30"/>
  <c r="I159" i="30"/>
  <c r="C160" i="30"/>
  <c r="C175" i="30" s="1"/>
  <c r="F160" i="30"/>
  <c r="G160" i="30"/>
  <c r="H160" i="30"/>
  <c r="I160" i="30"/>
  <c r="C161" i="30"/>
  <c r="C176" i="30" s="1"/>
  <c r="E161" i="30"/>
  <c r="D176" i="30" s="1"/>
  <c r="F161" i="30"/>
  <c r="G161" i="30"/>
  <c r="H161" i="30"/>
  <c r="I161" i="30"/>
  <c r="C162" i="30"/>
  <c r="C177" i="30" s="1"/>
  <c r="E162" i="30"/>
  <c r="D177" i="30" s="1"/>
  <c r="F162" i="30"/>
  <c r="G162" i="30"/>
  <c r="H162" i="30"/>
  <c r="I162" i="30"/>
  <c r="E200" i="30"/>
  <c r="F200" i="30"/>
  <c r="G200" i="30"/>
  <c r="H200" i="30"/>
  <c r="I200" i="30"/>
  <c r="J200" i="30"/>
  <c r="D226" i="30" s="1"/>
  <c r="E201" i="30"/>
  <c r="F201" i="30"/>
  <c r="G201" i="30"/>
  <c r="H201" i="30"/>
  <c r="I201" i="30"/>
  <c r="J201" i="30"/>
  <c r="D227" i="30" s="1"/>
  <c r="E202" i="30"/>
  <c r="F202" i="30"/>
  <c r="G202" i="30"/>
  <c r="H202" i="30"/>
  <c r="J202" i="30"/>
  <c r="D228" i="30" s="1"/>
  <c r="I202" i="30"/>
  <c r="E203" i="30"/>
  <c r="J203" i="30"/>
  <c r="D229" i="30" s="1"/>
  <c r="F203" i="30"/>
  <c r="G203" i="30"/>
  <c r="H203" i="30"/>
  <c r="H204" i="30"/>
  <c r="J204" i="30"/>
  <c r="D230" i="30" s="1"/>
  <c r="I203" i="30"/>
  <c r="E204" i="30"/>
  <c r="F204" i="30"/>
  <c r="G204" i="30"/>
  <c r="I204" i="30"/>
  <c r="E211" i="30"/>
  <c r="J211" i="30" s="1"/>
  <c r="F211" i="30"/>
  <c r="G211" i="30"/>
  <c r="H211" i="30"/>
  <c r="I211" i="30"/>
  <c r="D5" i="29"/>
  <c r="E5" i="29"/>
  <c r="F5" i="29"/>
  <c r="D14" i="29" s="1"/>
  <c r="G5" i="29"/>
  <c r="H5" i="29"/>
  <c r="I5" i="29"/>
  <c r="J5" i="29"/>
  <c r="D6" i="29"/>
  <c r="E6" i="29"/>
  <c r="F6" i="29"/>
  <c r="D15" i="29" s="1"/>
  <c r="G6" i="29"/>
  <c r="H6" i="29"/>
  <c r="I6" i="29"/>
  <c r="J6" i="29"/>
  <c r="D7" i="29"/>
  <c r="E7" i="29"/>
  <c r="F7" i="29"/>
  <c r="D16" i="29" s="1"/>
  <c r="G7" i="29"/>
  <c r="H7" i="29"/>
  <c r="I7" i="29"/>
  <c r="J7" i="29"/>
  <c r="D8" i="29"/>
  <c r="E8" i="29"/>
  <c r="F8" i="29"/>
  <c r="D17" i="29" s="1"/>
  <c r="G8" i="29"/>
  <c r="H8" i="29"/>
  <c r="I8" i="29"/>
  <c r="J8" i="29"/>
  <c r="E24" i="29"/>
  <c r="E41" i="29" s="1"/>
  <c r="D42" i="29" s="1"/>
  <c r="F24" i="29"/>
  <c r="F149" i="29" s="1"/>
  <c r="F150" i="29" s="1"/>
  <c r="G24" i="29"/>
  <c r="G29" i="29" s="1"/>
  <c r="G30" i="29" s="1"/>
  <c r="H24" i="29"/>
  <c r="H137" i="29" s="1"/>
  <c r="H138" i="29" s="1"/>
  <c r="I24" i="29"/>
  <c r="I53" i="29" s="1"/>
  <c r="I54" i="29" s="1"/>
  <c r="C26" i="29"/>
  <c r="E26" i="29"/>
  <c r="E28" i="29" s="1"/>
  <c r="F26" i="29"/>
  <c r="F28" i="29" s="1"/>
  <c r="G26" i="29"/>
  <c r="G28" i="29" s="1"/>
  <c r="H26" i="29"/>
  <c r="H28" i="29" s="1"/>
  <c r="I26" i="29"/>
  <c r="I28" i="29" s="1"/>
  <c r="C38" i="29"/>
  <c r="E38" i="29"/>
  <c r="E40" i="29" s="1"/>
  <c r="F38" i="29"/>
  <c r="F40" i="29" s="1"/>
  <c r="G38" i="29"/>
  <c r="G40" i="29" s="1"/>
  <c r="H38" i="29"/>
  <c r="H40" i="29" s="1"/>
  <c r="I38" i="29"/>
  <c r="I40" i="29" s="1"/>
  <c r="C50" i="29"/>
  <c r="E52" i="29"/>
  <c r="F52" i="29"/>
  <c r="G52" i="29"/>
  <c r="H52" i="29"/>
  <c r="I52" i="29"/>
  <c r="E155" i="29"/>
  <c r="D170" i="29" s="1"/>
  <c r="C62" i="29"/>
  <c r="E64" i="29"/>
  <c r="F64" i="29"/>
  <c r="G64" i="29"/>
  <c r="H64" i="29"/>
  <c r="I64" i="29"/>
  <c r="C74" i="29"/>
  <c r="E76" i="29"/>
  <c r="F76" i="29"/>
  <c r="G76" i="29"/>
  <c r="H76" i="29"/>
  <c r="I76" i="29"/>
  <c r="C86" i="29"/>
  <c r="E88" i="29"/>
  <c r="F88" i="29"/>
  <c r="G88" i="29"/>
  <c r="H88" i="29"/>
  <c r="I88" i="29"/>
  <c r="C98" i="29"/>
  <c r="E100" i="29"/>
  <c r="F100" i="29"/>
  <c r="G100" i="29"/>
  <c r="H100" i="29"/>
  <c r="I100" i="29"/>
  <c r="C110" i="29"/>
  <c r="E112" i="29"/>
  <c r="F112" i="29"/>
  <c r="G112" i="29"/>
  <c r="H112" i="29"/>
  <c r="I112" i="29"/>
  <c r="C122" i="29"/>
  <c r="E124" i="29"/>
  <c r="F124" i="29"/>
  <c r="G124" i="29"/>
  <c r="H124" i="29"/>
  <c r="I124" i="29"/>
  <c r="C134" i="29"/>
  <c r="E136" i="29"/>
  <c r="F136" i="29"/>
  <c r="G136" i="29"/>
  <c r="H136" i="29"/>
  <c r="I136" i="29"/>
  <c r="E146" i="29"/>
  <c r="E148" i="29" s="1"/>
  <c r="F146" i="29"/>
  <c r="F148" i="29" s="1"/>
  <c r="G146" i="29"/>
  <c r="G148" i="29" s="1"/>
  <c r="H146" i="29"/>
  <c r="H148" i="29" s="1"/>
  <c r="I146" i="29"/>
  <c r="I148" i="29" s="1"/>
  <c r="G149" i="29"/>
  <c r="G150" i="29" s="1"/>
  <c r="C153" i="29"/>
  <c r="C168" i="29" s="1"/>
  <c r="E153" i="29"/>
  <c r="D168" i="29" s="1"/>
  <c r="F153" i="29"/>
  <c r="G153" i="29"/>
  <c r="H153" i="29"/>
  <c r="I153" i="29"/>
  <c r="C154" i="29"/>
  <c r="C169" i="29" s="1"/>
  <c r="E154" i="29"/>
  <c r="D169" i="29" s="1"/>
  <c r="F154" i="29"/>
  <c r="G154" i="29"/>
  <c r="H154" i="29"/>
  <c r="I154" i="29"/>
  <c r="C155" i="29"/>
  <c r="C170" i="29" s="1"/>
  <c r="F155" i="29"/>
  <c r="G155" i="29"/>
  <c r="H155" i="29"/>
  <c r="I155" i="29"/>
  <c r="C156" i="29"/>
  <c r="C171" i="29" s="1"/>
  <c r="E156" i="29"/>
  <c r="D171" i="29" s="1"/>
  <c r="F156" i="29"/>
  <c r="G156" i="29"/>
  <c r="H156" i="29"/>
  <c r="I156" i="29"/>
  <c r="C157" i="29"/>
  <c r="C172" i="29" s="1"/>
  <c r="E157" i="29"/>
  <c r="D172" i="29" s="1"/>
  <c r="F157" i="29"/>
  <c r="G157" i="29"/>
  <c r="H157" i="29"/>
  <c r="I157" i="29"/>
  <c r="C158" i="29"/>
  <c r="C173" i="29" s="1"/>
  <c r="E158" i="29"/>
  <c r="D173" i="29" s="1"/>
  <c r="F158" i="29"/>
  <c r="G158" i="29"/>
  <c r="H158" i="29"/>
  <c r="I158" i="29"/>
  <c r="C159" i="29"/>
  <c r="C174" i="29" s="1"/>
  <c r="E159" i="29"/>
  <c r="D174" i="29" s="1"/>
  <c r="F159" i="29"/>
  <c r="G159" i="29"/>
  <c r="H159" i="29"/>
  <c r="I159" i="29"/>
  <c r="C160" i="29"/>
  <c r="C175" i="29" s="1"/>
  <c r="E160" i="29"/>
  <c r="D175" i="29" s="1"/>
  <c r="F160" i="29"/>
  <c r="G160" i="29"/>
  <c r="H160" i="29"/>
  <c r="I160" i="29"/>
  <c r="C161" i="29"/>
  <c r="C176" i="29" s="1"/>
  <c r="E161" i="29"/>
  <c r="D176" i="29" s="1"/>
  <c r="F161" i="29"/>
  <c r="G161" i="29"/>
  <c r="H161" i="29"/>
  <c r="I161" i="29"/>
  <c r="C162" i="29"/>
  <c r="C177" i="29" s="1"/>
  <c r="E162" i="29"/>
  <c r="D177" i="29" s="1"/>
  <c r="F162" i="29"/>
  <c r="G162" i="29"/>
  <c r="H162" i="29"/>
  <c r="I162" i="29"/>
  <c r="E200" i="29"/>
  <c r="F200" i="29"/>
  <c r="G200" i="29"/>
  <c r="H200" i="29"/>
  <c r="I200" i="29"/>
  <c r="J200" i="29"/>
  <c r="D226" i="29" s="1"/>
  <c r="E201" i="29"/>
  <c r="F201" i="29"/>
  <c r="G201" i="29"/>
  <c r="H201" i="29"/>
  <c r="I201" i="29"/>
  <c r="J201" i="29"/>
  <c r="D227" i="29" s="1"/>
  <c r="E202" i="29"/>
  <c r="J202" i="29"/>
  <c r="D228" i="29" s="1"/>
  <c r="F202" i="29"/>
  <c r="G202" i="29"/>
  <c r="H202" i="29"/>
  <c r="I202" i="29"/>
  <c r="E203" i="29"/>
  <c r="F203" i="29"/>
  <c r="G203" i="29"/>
  <c r="J203" i="29"/>
  <c r="D229" i="29" s="1"/>
  <c r="H203" i="29"/>
  <c r="I203" i="29"/>
  <c r="E204" i="29"/>
  <c r="J204" i="29"/>
  <c r="D230" i="29" s="1"/>
  <c r="F204" i="29"/>
  <c r="G204" i="29"/>
  <c r="H204" i="29"/>
  <c r="I204" i="29"/>
  <c r="I230" i="29" s="1"/>
  <c r="I240" i="29" s="1"/>
  <c r="E211" i="29"/>
  <c r="J211" i="29" s="1"/>
  <c r="F211" i="29"/>
  <c r="G211" i="29"/>
  <c r="H211" i="29"/>
  <c r="I211" i="29"/>
  <c r="D8" i="28"/>
  <c r="E8" i="28"/>
  <c r="F8" i="28"/>
  <c r="D17" i="28" s="1"/>
  <c r="G8" i="28"/>
  <c r="H8" i="28"/>
  <c r="I8" i="28"/>
  <c r="J24" i="28"/>
  <c r="C40" i="28"/>
  <c r="E40" i="28"/>
  <c r="E42" i="28" s="1"/>
  <c r="E43" i="28" s="1"/>
  <c r="G40" i="28"/>
  <c r="G42" i="28" s="1"/>
  <c r="G43" i="28" s="1"/>
  <c r="I40" i="28"/>
  <c r="I42" i="28" s="1"/>
  <c r="I43" i="28" s="1"/>
  <c r="C52" i="28"/>
  <c r="I53" i="28"/>
  <c r="E54" i="28"/>
  <c r="F54" i="28"/>
  <c r="H54" i="28"/>
  <c r="I54" i="28"/>
  <c r="F55" i="28"/>
  <c r="H55" i="28"/>
  <c r="C93" i="28"/>
  <c r="C94" i="28"/>
  <c r="C106" i="28"/>
  <c r="C118" i="28"/>
  <c r="E120" i="28"/>
  <c r="E121" i="28" s="1"/>
  <c r="F120" i="28"/>
  <c r="F121" i="28" s="1"/>
  <c r="G120" i="28"/>
  <c r="G121" i="28" s="1"/>
  <c r="H120" i="28"/>
  <c r="H121" i="28" s="1"/>
  <c r="I120" i="28"/>
  <c r="I121" i="28" s="1"/>
  <c r="C130" i="28"/>
  <c r="E132" i="28"/>
  <c r="E133" i="28" s="1"/>
  <c r="F132" i="28"/>
  <c r="F133" i="28" s="1"/>
  <c r="G132" i="28"/>
  <c r="G133" i="28" s="1"/>
  <c r="H132" i="28"/>
  <c r="H133" i="28" s="1"/>
  <c r="I132" i="28"/>
  <c r="I133" i="28" s="1"/>
  <c r="C142" i="28"/>
  <c r="E144" i="28"/>
  <c r="E145" i="28" s="1"/>
  <c r="F144" i="28"/>
  <c r="F145" i="28" s="1"/>
  <c r="F146" i="28" s="1"/>
  <c r="G144" i="28"/>
  <c r="G145" i="28" s="1"/>
  <c r="G146" i="28" s="1"/>
  <c r="H144" i="28"/>
  <c r="H145" i="28" s="1"/>
  <c r="H146" i="28" s="1"/>
  <c r="I144" i="28"/>
  <c r="I145" i="28" s="1"/>
  <c r="I146" i="28" s="1"/>
  <c r="C162" i="28"/>
  <c r="C177" i="28" s="1"/>
  <c r="E162" i="28"/>
  <c r="B27" i="28" s="1"/>
  <c r="F162" i="28"/>
  <c r="B28" i="28" s="1"/>
  <c r="G162" i="28"/>
  <c r="H162" i="28"/>
  <c r="I162" i="28"/>
  <c r="C163" i="28"/>
  <c r="C178" i="28" s="1"/>
  <c r="E163" i="28"/>
  <c r="B41" i="28" s="1"/>
  <c r="F163" i="28"/>
  <c r="G163" i="28"/>
  <c r="H163" i="28"/>
  <c r="I163" i="28"/>
  <c r="C164" i="28"/>
  <c r="C179" i="28" s="1"/>
  <c r="E164" i="28"/>
  <c r="B53" i="28" s="1"/>
  <c r="F164" i="28"/>
  <c r="G164" i="28"/>
  <c r="H164" i="28"/>
  <c r="I164" i="28"/>
  <c r="C165" i="28"/>
  <c r="C180" i="28" s="1"/>
  <c r="E165" i="28"/>
  <c r="B68" i="28" s="1"/>
  <c r="F165" i="28"/>
  <c r="D180" i="28" s="1"/>
  <c r="G165" i="28"/>
  <c r="H165" i="28"/>
  <c r="I165" i="28"/>
  <c r="C166" i="28"/>
  <c r="C181" i="28" s="1"/>
  <c r="E166" i="28"/>
  <c r="B81" i="28" s="1"/>
  <c r="G166" i="28"/>
  <c r="H166" i="28"/>
  <c r="I166" i="28"/>
  <c r="C167" i="28"/>
  <c r="C182" i="28" s="1"/>
  <c r="E167" i="28"/>
  <c r="B94" i="28" s="1"/>
  <c r="F167" i="28"/>
  <c r="B95" i="28" s="1"/>
  <c r="G167" i="28"/>
  <c r="H167" i="28"/>
  <c r="I167" i="28"/>
  <c r="C168" i="28"/>
  <c r="C183" i="28" s="1"/>
  <c r="E168" i="28"/>
  <c r="F168" i="28"/>
  <c r="D183" i="28" s="1"/>
  <c r="G168" i="28"/>
  <c r="H168" i="28"/>
  <c r="I168" i="28"/>
  <c r="C169" i="28"/>
  <c r="C184" i="28" s="1"/>
  <c r="E169" i="28"/>
  <c r="F169" i="28"/>
  <c r="D184" i="28" s="1"/>
  <c r="G169" i="28"/>
  <c r="H169" i="28"/>
  <c r="I169" i="28"/>
  <c r="C170" i="28"/>
  <c r="C185" i="28" s="1"/>
  <c r="E170" i="28"/>
  <c r="F170" i="28"/>
  <c r="D185" i="28" s="1"/>
  <c r="G170" i="28"/>
  <c r="H170" i="28"/>
  <c r="I170" i="28"/>
  <c r="C171" i="28"/>
  <c r="C186" i="28" s="1"/>
  <c r="E171" i="28"/>
  <c r="F171" i="28"/>
  <c r="G171" i="28"/>
  <c r="H171" i="28"/>
  <c r="I171" i="28"/>
  <c r="D186" i="28"/>
  <c r="E191" i="28"/>
  <c r="F191" i="28"/>
  <c r="G191" i="28"/>
  <c r="H191" i="28"/>
  <c r="I191" i="28"/>
  <c r="E213" i="28"/>
  <c r="F213" i="28"/>
  <c r="G213" i="28"/>
  <c r="H213" i="28"/>
  <c r="I213" i="28"/>
  <c r="J213" i="28"/>
  <c r="E214" i="28"/>
  <c r="F214" i="28"/>
  <c r="G214" i="28"/>
  <c r="H214" i="28"/>
  <c r="I214" i="28"/>
  <c r="J214" i="28"/>
  <c r="E215" i="28"/>
  <c r="F215" i="28"/>
  <c r="G215" i="28"/>
  <c r="H215" i="28"/>
  <c r="I215" i="28"/>
  <c r="J215" i="28"/>
  <c r="D296" i="28"/>
  <c r="C377" i="18" s="1"/>
  <c r="J296" i="28"/>
  <c r="J377" i="18" s="1"/>
  <c r="C298" i="28"/>
  <c r="B379" i="18" s="1"/>
  <c r="D298" i="28"/>
  <c r="C379" i="18" s="1"/>
  <c r="E298" i="28"/>
  <c r="F298" i="28"/>
  <c r="F379" i="18" s="1"/>
  <c r="G298" i="28"/>
  <c r="H298" i="28"/>
  <c r="H379" i="18" s="1"/>
  <c r="I298" i="28"/>
  <c r="J298" i="28"/>
  <c r="J379" i="18" s="1"/>
  <c r="C299" i="28"/>
  <c r="B380" i="18" s="1"/>
  <c r="D299" i="28"/>
  <c r="C380" i="18" s="1"/>
  <c r="E299" i="28"/>
  <c r="F299" i="28"/>
  <c r="F380" i="18" s="1"/>
  <c r="G299" i="28"/>
  <c r="G380" i="18" s="1"/>
  <c r="H299" i="28"/>
  <c r="I299" i="28"/>
  <c r="I380" i="18" s="1"/>
  <c r="J299" i="28"/>
  <c r="J380" i="18" s="1"/>
  <c r="C300" i="28"/>
  <c r="D300" i="28"/>
  <c r="E300" i="28"/>
  <c r="F300" i="28"/>
  <c r="G300" i="28"/>
  <c r="H300" i="28"/>
  <c r="I300" i="28"/>
  <c r="J300" i="28"/>
  <c r="C301" i="28"/>
  <c r="B381" i="18" s="1"/>
  <c r="D301" i="28"/>
  <c r="C381" i="18" s="1"/>
  <c r="E301" i="28"/>
  <c r="F301" i="28"/>
  <c r="G301" i="28"/>
  <c r="G381" i="18" s="1"/>
  <c r="H301" i="28"/>
  <c r="H381" i="18" s="1"/>
  <c r="I301" i="28"/>
  <c r="I381" i="18" s="1"/>
  <c r="J301" i="28"/>
  <c r="J381" i="18" s="1"/>
  <c r="C302" i="28"/>
  <c r="B382" i="18" s="1"/>
  <c r="D302" i="28"/>
  <c r="C382" i="18" s="1"/>
  <c r="E302" i="28"/>
  <c r="E382" i="18" s="1"/>
  <c r="F302" i="28"/>
  <c r="F382" i="18" s="1"/>
  <c r="G302" i="28"/>
  <c r="G382" i="18" s="1"/>
  <c r="H302" i="28"/>
  <c r="H382" i="18" s="1"/>
  <c r="I302" i="28"/>
  <c r="I382" i="18" s="1"/>
  <c r="J302" i="28"/>
  <c r="J382" i="18" s="1"/>
  <c r="C303" i="28"/>
  <c r="B383" i="18" s="1"/>
  <c r="D303" i="28"/>
  <c r="C383" i="18" s="1"/>
  <c r="E303" i="28"/>
  <c r="E383" i="18" s="1"/>
  <c r="F303" i="28"/>
  <c r="G303" i="28"/>
  <c r="G383" i="18" s="1"/>
  <c r="I303" i="28"/>
  <c r="H303" i="28"/>
  <c r="H383" i="18" s="1"/>
  <c r="J303" i="28"/>
  <c r="J383" i="18" s="1"/>
  <c r="C304" i="28"/>
  <c r="B384" i="18" s="1"/>
  <c r="D304" i="28"/>
  <c r="C384" i="18" s="1"/>
  <c r="E304" i="28"/>
  <c r="E384" i="18" s="1"/>
  <c r="F304" i="28"/>
  <c r="G304" i="28"/>
  <c r="G384" i="18" s="1"/>
  <c r="H304" i="28"/>
  <c r="I304" i="28"/>
  <c r="I384" i="18" s="1"/>
  <c r="J304" i="28"/>
  <c r="J384" i="18" s="1"/>
  <c r="C305" i="28"/>
  <c r="B385" i="18" s="1"/>
  <c r="D305" i="28"/>
  <c r="C385" i="18" s="1"/>
  <c r="E305" i="28"/>
  <c r="E385" i="18" s="1"/>
  <c r="F305" i="28"/>
  <c r="F385" i="18" s="1"/>
  <c r="G305" i="28"/>
  <c r="G385" i="18" s="1"/>
  <c r="H305" i="28"/>
  <c r="H385" i="18" s="1"/>
  <c r="I305" i="28"/>
  <c r="I385" i="18" s="1"/>
  <c r="J305" i="28"/>
  <c r="J385" i="18" s="1"/>
  <c r="C306" i="28"/>
  <c r="B386" i="18" s="1"/>
  <c r="D306" i="28"/>
  <c r="C386" i="18" s="1"/>
  <c r="E306" i="28"/>
  <c r="E386" i="18" s="1"/>
  <c r="F306" i="28"/>
  <c r="F386" i="18" s="1"/>
  <c r="G306" i="28"/>
  <c r="G386" i="18" s="1"/>
  <c r="H306" i="28"/>
  <c r="H386" i="18" s="1"/>
  <c r="I306" i="28"/>
  <c r="I386" i="18" s="1"/>
  <c r="J306" i="28"/>
  <c r="J386" i="18" s="1"/>
  <c r="C307" i="28"/>
  <c r="D307" i="28"/>
  <c r="E307" i="28"/>
  <c r="F307" i="28"/>
  <c r="G307" i="28"/>
  <c r="H307" i="28"/>
  <c r="I307" i="28"/>
  <c r="J307" i="28"/>
  <c r="C308" i="28"/>
  <c r="B387" i="18" s="1"/>
  <c r="D308" i="28"/>
  <c r="C387" i="18" s="1"/>
  <c r="E308" i="28"/>
  <c r="E387" i="18" s="1"/>
  <c r="F308" i="28"/>
  <c r="F387" i="18" s="1"/>
  <c r="G308" i="28"/>
  <c r="G387" i="18" s="1"/>
  <c r="H308" i="28"/>
  <c r="H387" i="18" s="1"/>
  <c r="I308" i="28"/>
  <c r="I387" i="18" s="1"/>
  <c r="J308" i="28"/>
  <c r="J387" i="18" s="1"/>
  <c r="C309" i="28"/>
  <c r="J309" i="28"/>
  <c r="J388" i="18" s="1"/>
  <c r="C310" i="28"/>
  <c r="E310" i="28"/>
  <c r="E389" i="18" s="1"/>
  <c r="F310" i="28"/>
  <c r="F389" i="18" s="1"/>
  <c r="G310" i="28"/>
  <c r="G389" i="18" s="1"/>
  <c r="H310" i="28"/>
  <c r="H389" i="18" s="1"/>
  <c r="I310" i="28"/>
  <c r="I389" i="18" s="1"/>
  <c r="J310" i="28"/>
  <c r="E311" i="28"/>
  <c r="E390" i="18" s="1"/>
  <c r="F311" i="28"/>
  <c r="F390" i="18" s="1"/>
  <c r="G311" i="28"/>
  <c r="G390" i="18" s="1"/>
  <c r="H311" i="28"/>
  <c r="H390" i="18" s="1"/>
  <c r="I311" i="28"/>
  <c r="I390" i="18" s="1"/>
  <c r="J311" i="28"/>
  <c r="J390" i="18" s="1"/>
  <c r="E312" i="28"/>
  <c r="E391" i="18" s="1"/>
  <c r="F312" i="28"/>
  <c r="F391" i="18" s="1"/>
  <c r="G312" i="28"/>
  <c r="G391" i="18" s="1"/>
  <c r="H312" i="28"/>
  <c r="H391" i="18" s="1"/>
  <c r="I312" i="28"/>
  <c r="I391" i="18" s="1"/>
  <c r="J312" i="28"/>
  <c r="J391" i="18" s="1"/>
  <c r="E313" i="28"/>
  <c r="F313" i="28"/>
  <c r="G313" i="28"/>
  <c r="H313" i="28"/>
  <c r="I313" i="28"/>
  <c r="J313" i="28"/>
  <c r="J392" i="18" s="1"/>
  <c r="D318" i="28"/>
  <c r="C556" i="18" s="1"/>
  <c r="J318" i="28"/>
  <c r="J556" i="18" s="1"/>
  <c r="C320" i="28"/>
  <c r="D320" i="28"/>
  <c r="C558" i="18" s="1"/>
  <c r="E320" i="28"/>
  <c r="E558" i="18" s="1"/>
  <c r="F320" i="28"/>
  <c r="F558" i="18" s="1"/>
  <c r="G320" i="28"/>
  <c r="G558" i="18" s="1"/>
  <c r="H320" i="28"/>
  <c r="H558" i="18" s="1"/>
  <c r="I320" i="28"/>
  <c r="J320" i="28"/>
  <c r="C321" i="28"/>
  <c r="B559" i="18" s="1"/>
  <c r="D321" i="28"/>
  <c r="C559" i="18" s="1"/>
  <c r="E321" i="28"/>
  <c r="E559" i="18" s="1"/>
  <c r="F321" i="28"/>
  <c r="F559" i="18" s="1"/>
  <c r="G321" i="28"/>
  <c r="G559" i="18" s="1"/>
  <c r="H321" i="28"/>
  <c r="I321" i="28"/>
  <c r="I559" i="18" s="1"/>
  <c r="J321" i="28"/>
  <c r="J559" i="18" s="1"/>
  <c r="C322" i="28"/>
  <c r="D322" i="28"/>
  <c r="E322" i="28"/>
  <c r="F322" i="28"/>
  <c r="G322" i="28"/>
  <c r="H322" i="28"/>
  <c r="I322" i="28"/>
  <c r="J322" i="28"/>
  <c r="C323" i="28"/>
  <c r="D323" i="28"/>
  <c r="C560" i="18" s="1"/>
  <c r="E323" i="28"/>
  <c r="E560" i="18" s="1"/>
  <c r="F323" i="28"/>
  <c r="F560" i="18" s="1"/>
  <c r="G323" i="28"/>
  <c r="G560" i="18" s="1"/>
  <c r="H323" i="28"/>
  <c r="H560" i="18" s="1"/>
  <c r="I323" i="28"/>
  <c r="I560" i="18" s="1"/>
  <c r="J323" i="28"/>
  <c r="J560" i="18" s="1"/>
  <c r="C324" i="28"/>
  <c r="B561" i="18" s="1"/>
  <c r="D324" i="28"/>
  <c r="C561" i="18" s="1"/>
  <c r="E324" i="28"/>
  <c r="F324" i="28"/>
  <c r="F561" i="18" s="1"/>
  <c r="G324" i="28"/>
  <c r="H324" i="28"/>
  <c r="H561" i="18" s="1"/>
  <c r="I324" i="28"/>
  <c r="I561" i="18" s="1"/>
  <c r="J324" i="28"/>
  <c r="C325" i="28"/>
  <c r="D482" i="11" s="1"/>
  <c r="D325" i="28"/>
  <c r="C562" i="18" s="1"/>
  <c r="E325" i="28"/>
  <c r="E562" i="18" s="1"/>
  <c r="F325" i="28"/>
  <c r="F562" i="18" s="1"/>
  <c r="G325" i="28"/>
  <c r="G562" i="18" s="1"/>
  <c r="H325" i="28"/>
  <c r="H562" i="18" s="1"/>
  <c r="I325" i="28"/>
  <c r="I562" i="18" s="1"/>
  <c r="J325" i="28"/>
  <c r="J562" i="18" s="1"/>
  <c r="C326" i="28"/>
  <c r="D485" i="11" s="1"/>
  <c r="D326" i="28"/>
  <c r="C563" i="18" s="1"/>
  <c r="E326" i="28"/>
  <c r="E563" i="18" s="1"/>
  <c r="F326" i="28"/>
  <c r="F563" i="18" s="1"/>
  <c r="G326" i="28"/>
  <c r="H326" i="28"/>
  <c r="H563" i="18" s="1"/>
  <c r="I326" i="28"/>
  <c r="I563" i="18" s="1"/>
  <c r="J326" i="28"/>
  <c r="J563" i="18" s="1"/>
  <c r="C327" i="28"/>
  <c r="D327" i="28"/>
  <c r="C564" i="18" s="1"/>
  <c r="E327" i="28"/>
  <c r="E564" i="18" s="1"/>
  <c r="F327" i="28"/>
  <c r="G327" i="28"/>
  <c r="G564" i="18" s="1"/>
  <c r="H327" i="28"/>
  <c r="I327" i="28"/>
  <c r="I564" i="18" s="1"/>
  <c r="J327" i="28"/>
  <c r="J564" i="18" s="1"/>
  <c r="C328" i="28"/>
  <c r="D328" i="28"/>
  <c r="E328" i="28"/>
  <c r="F328" i="28"/>
  <c r="G328" i="28"/>
  <c r="H328" i="28"/>
  <c r="I328" i="28"/>
  <c r="J328" i="28"/>
  <c r="C329" i="28"/>
  <c r="D329" i="28"/>
  <c r="E329" i="28"/>
  <c r="F329" i="28"/>
  <c r="G329" i="28"/>
  <c r="H329" i="28"/>
  <c r="I329" i="28"/>
  <c r="J329" i="28"/>
  <c r="C330" i="28"/>
  <c r="B565" i="18" s="1"/>
  <c r="D330" i="28"/>
  <c r="E330" i="28"/>
  <c r="E565" i="18" s="1"/>
  <c r="F330" i="28"/>
  <c r="F565" i="18" s="1"/>
  <c r="G330" i="28"/>
  <c r="G565" i="18" s="1"/>
  <c r="H330" i="28"/>
  <c r="H565" i="18" s="1"/>
  <c r="I330" i="28"/>
  <c r="I565" i="18" s="1"/>
  <c r="J330" i="28"/>
  <c r="C331" i="28"/>
  <c r="J331" i="28"/>
  <c r="J566" i="18" s="1"/>
  <c r="C332" i="28"/>
  <c r="E332" i="28"/>
  <c r="E567" i="18" s="1"/>
  <c r="F332" i="28"/>
  <c r="F567" i="18" s="1"/>
  <c r="G332" i="28"/>
  <c r="G567" i="18" s="1"/>
  <c r="H332" i="28"/>
  <c r="H567" i="18" s="1"/>
  <c r="I332" i="28"/>
  <c r="I567" i="18" s="1"/>
  <c r="J332" i="28"/>
  <c r="E333" i="28"/>
  <c r="E568" i="18" s="1"/>
  <c r="F333" i="28"/>
  <c r="F568" i="18" s="1"/>
  <c r="G333" i="28"/>
  <c r="G568" i="18" s="1"/>
  <c r="H333" i="28"/>
  <c r="H568" i="18" s="1"/>
  <c r="I333" i="28"/>
  <c r="I568" i="18" s="1"/>
  <c r="J333" i="28"/>
  <c r="J568" i="18" s="1"/>
  <c r="E334" i="28"/>
  <c r="E569" i="18" s="1"/>
  <c r="F334" i="28"/>
  <c r="G334" i="28"/>
  <c r="G569" i="18" s="1"/>
  <c r="H334" i="28"/>
  <c r="H569" i="18" s="1"/>
  <c r="I334" i="28"/>
  <c r="I569" i="18" s="1"/>
  <c r="J334" i="28"/>
  <c r="J569" i="18" s="1"/>
  <c r="E335" i="28"/>
  <c r="F335" i="28"/>
  <c r="G335" i="28"/>
  <c r="H335" i="28"/>
  <c r="I335" i="28"/>
  <c r="J335" i="28"/>
  <c r="J570" i="18" s="1"/>
  <c r="D8" i="27"/>
  <c r="E8" i="27"/>
  <c r="F8" i="27"/>
  <c r="D17" i="27" s="1"/>
  <c r="G8" i="27"/>
  <c r="H8" i="27"/>
  <c r="I8" i="27"/>
  <c r="J24" i="27"/>
  <c r="C40" i="27"/>
  <c r="E40" i="27"/>
  <c r="E42" i="27" s="1"/>
  <c r="E43" i="27" s="1"/>
  <c r="F40" i="27"/>
  <c r="F42" i="27" s="1"/>
  <c r="F43" i="27" s="1"/>
  <c r="G40" i="27"/>
  <c r="G42" i="27" s="1"/>
  <c r="G43" i="27" s="1"/>
  <c r="H40" i="27"/>
  <c r="H42" i="27" s="1"/>
  <c r="H43" i="27" s="1"/>
  <c r="I40" i="27"/>
  <c r="I42" i="27" s="1"/>
  <c r="I43" i="27" s="1"/>
  <c r="C52" i="27"/>
  <c r="E53" i="27"/>
  <c r="F54" i="27"/>
  <c r="G53" i="27"/>
  <c r="H53" i="27"/>
  <c r="E54" i="27"/>
  <c r="G54" i="27"/>
  <c r="H54" i="27"/>
  <c r="I54" i="27"/>
  <c r="C105" i="27"/>
  <c r="C117" i="27"/>
  <c r="E119" i="27"/>
  <c r="E120" i="27" s="1"/>
  <c r="F119" i="27"/>
  <c r="F120" i="27" s="1"/>
  <c r="G119" i="27"/>
  <c r="G120" i="27" s="1"/>
  <c r="H119" i="27"/>
  <c r="H120" i="27" s="1"/>
  <c r="I119" i="27"/>
  <c r="I120" i="27" s="1"/>
  <c r="C129" i="27"/>
  <c r="E131" i="27"/>
  <c r="E132" i="27" s="1"/>
  <c r="F131" i="27"/>
  <c r="G131" i="27"/>
  <c r="G132" i="27" s="1"/>
  <c r="H131" i="27"/>
  <c r="H132" i="27" s="1"/>
  <c r="I131" i="27"/>
  <c r="I132" i="27" s="1"/>
  <c r="F132" i="27"/>
  <c r="C141" i="27"/>
  <c r="E143" i="27"/>
  <c r="E144" i="27"/>
  <c r="E145" i="27" s="1"/>
  <c r="F143" i="27"/>
  <c r="F144" i="27" s="1"/>
  <c r="G143" i="27"/>
  <c r="G144" i="27" s="1"/>
  <c r="H143" i="27"/>
  <c r="H144" i="27" s="1"/>
  <c r="H145" i="27" s="1"/>
  <c r="I143" i="27"/>
  <c r="I144" i="27" s="1"/>
  <c r="I145" i="27" s="1"/>
  <c r="F169" i="27"/>
  <c r="D184" i="27" s="1"/>
  <c r="C160" i="27"/>
  <c r="C175" i="27" s="1"/>
  <c r="E160" i="27"/>
  <c r="B27" i="27" s="1"/>
  <c r="F160" i="27"/>
  <c r="B28" i="27" s="1"/>
  <c r="G160" i="27"/>
  <c r="H160" i="27"/>
  <c r="I160" i="27"/>
  <c r="C161" i="27"/>
  <c r="C176" i="27" s="1"/>
  <c r="E161" i="27"/>
  <c r="B41" i="27" s="1"/>
  <c r="F161" i="27"/>
  <c r="G161" i="27"/>
  <c r="H161" i="27"/>
  <c r="I161" i="27"/>
  <c r="C162" i="27"/>
  <c r="C177" i="27" s="1"/>
  <c r="E162" i="27"/>
  <c r="B53" i="27" s="1"/>
  <c r="F162" i="27"/>
  <c r="G162" i="27"/>
  <c r="H162" i="27"/>
  <c r="I162" i="27"/>
  <c r="C163" i="27"/>
  <c r="C178" i="27" s="1"/>
  <c r="E163" i="27"/>
  <c r="B67" i="27" s="1"/>
  <c r="F163" i="27"/>
  <c r="G163" i="27"/>
  <c r="H163" i="27"/>
  <c r="I163" i="27"/>
  <c r="C164" i="27"/>
  <c r="C179" i="27" s="1"/>
  <c r="E164" i="27"/>
  <c r="B80" i="27" s="1"/>
  <c r="F164" i="27"/>
  <c r="D179" i="27" s="1"/>
  <c r="G164" i="27"/>
  <c r="H164" i="27"/>
  <c r="I164" i="27"/>
  <c r="C165" i="27"/>
  <c r="C180" i="27" s="1"/>
  <c r="E165" i="27"/>
  <c r="B93" i="27" s="1"/>
  <c r="F165" i="27"/>
  <c r="B94" i="27" s="1"/>
  <c r="G165" i="27"/>
  <c r="H165" i="27"/>
  <c r="I165" i="27"/>
  <c r="C166" i="27"/>
  <c r="C181" i="27" s="1"/>
  <c r="E166" i="27"/>
  <c r="F166" i="27"/>
  <c r="D181" i="27" s="1"/>
  <c r="G166" i="27"/>
  <c r="H166" i="27"/>
  <c r="I166" i="27"/>
  <c r="C167" i="27"/>
  <c r="C182" i="27" s="1"/>
  <c r="E167" i="27"/>
  <c r="F167" i="27"/>
  <c r="D182" i="27" s="1"/>
  <c r="G167" i="27"/>
  <c r="H167" i="27"/>
  <c r="I167" i="27"/>
  <c r="C168" i="27"/>
  <c r="C183" i="27" s="1"/>
  <c r="E168" i="27"/>
  <c r="F168" i="27"/>
  <c r="D183" i="27" s="1"/>
  <c r="G168" i="27"/>
  <c r="H168" i="27"/>
  <c r="I168" i="27"/>
  <c r="C169" i="27"/>
  <c r="C184" i="27" s="1"/>
  <c r="E169" i="27"/>
  <c r="G169" i="27"/>
  <c r="H169" i="27"/>
  <c r="I169" i="27"/>
  <c r="E189" i="27"/>
  <c r="F189" i="27"/>
  <c r="G189" i="27"/>
  <c r="H189" i="27"/>
  <c r="I189" i="27"/>
  <c r="J189" i="27"/>
  <c r="E211" i="27"/>
  <c r="F211" i="27"/>
  <c r="G211" i="27"/>
  <c r="H211" i="27"/>
  <c r="I211" i="27"/>
  <c r="J211" i="27"/>
  <c r="E212" i="27"/>
  <c r="F212" i="27"/>
  <c r="G212" i="27"/>
  <c r="H212" i="27"/>
  <c r="I212" i="27"/>
  <c r="J212" i="27"/>
  <c r="E213" i="27"/>
  <c r="F213" i="27"/>
  <c r="G213" i="27"/>
  <c r="H213" i="27"/>
  <c r="I213" i="27"/>
  <c r="J213" i="27"/>
  <c r="D290" i="27"/>
  <c r="C341" i="18" s="1"/>
  <c r="J290" i="27"/>
  <c r="J341" i="18" s="1"/>
  <c r="C292" i="27"/>
  <c r="B343" i="18" s="1"/>
  <c r="D292" i="27"/>
  <c r="C343" i="18" s="1"/>
  <c r="E292" i="27"/>
  <c r="E343" i="18" s="1"/>
  <c r="F292" i="27"/>
  <c r="F343" i="18" s="1"/>
  <c r="G292" i="27"/>
  <c r="G343" i="18" s="1"/>
  <c r="H292" i="27"/>
  <c r="H343" i="18" s="1"/>
  <c r="I292" i="27"/>
  <c r="I343" i="18" s="1"/>
  <c r="J292" i="27"/>
  <c r="J343" i="18" s="1"/>
  <c r="C293" i="27"/>
  <c r="B344" i="18" s="1"/>
  <c r="D293" i="27"/>
  <c r="C344" i="18" s="1"/>
  <c r="E293" i="27"/>
  <c r="E344" i="18" s="1"/>
  <c r="F293" i="27"/>
  <c r="F344" i="18" s="1"/>
  <c r="G293" i="27"/>
  <c r="G344" i="18" s="1"/>
  <c r="H293" i="27"/>
  <c r="H344" i="18" s="1"/>
  <c r="I293" i="27"/>
  <c r="I344" i="18" s="1"/>
  <c r="J293" i="27"/>
  <c r="J344" i="18" s="1"/>
  <c r="C294" i="27"/>
  <c r="D294" i="27"/>
  <c r="E294" i="27"/>
  <c r="F294" i="27"/>
  <c r="G294" i="27"/>
  <c r="H294" i="27"/>
  <c r="I294" i="27"/>
  <c r="J294" i="27"/>
  <c r="C295" i="27"/>
  <c r="B345" i="18" s="1"/>
  <c r="D295" i="27"/>
  <c r="C345" i="18" s="1"/>
  <c r="E295" i="27"/>
  <c r="E345" i="18" s="1"/>
  <c r="F295" i="27"/>
  <c r="F345" i="18" s="1"/>
  <c r="G295" i="27"/>
  <c r="G345" i="18" s="1"/>
  <c r="H295" i="27"/>
  <c r="H345" i="18" s="1"/>
  <c r="I295" i="27"/>
  <c r="I345" i="18" s="1"/>
  <c r="J295" i="27"/>
  <c r="J345" i="18" s="1"/>
  <c r="C296" i="27"/>
  <c r="B346" i="18" s="1"/>
  <c r="D296" i="27"/>
  <c r="C346" i="18" s="1"/>
  <c r="E296" i="27"/>
  <c r="E346" i="18" s="1"/>
  <c r="F296" i="27"/>
  <c r="F346" i="18" s="1"/>
  <c r="G296" i="27"/>
  <c r="G346" i="18" s="1"/>
  <c r="H296" i="27"/>
  <c r="H346" i="18" s="1"/>
  <c r="I296" i="27"/>
  <c r="J296" i="27"/>
  <c r="J346" i="18" s="1"/>
  <c r="C297" i="27"/>
  <c r="B347" i="18" s="1"/>
  <c r="D297" i="27"/>
  <c r="C347" i="18" s="1"/>
  <c r="E297" i="27"/>
  <c r="E347" i="18" s="1"/>
  <c r="F297" i="27"/>
  <c r="F347" i="18" s="1"/>
  <c r="G297" i="27"/>
  <c r="G347" i="18" s="1"/>
  <c r="H297" i="27"/>
  <c r="I297" i="27"/>
  <c r="I347" i="18" s="1"/>
  <c r="J297" i="27"/>
  <c r="J347" i="18" s="1"/>
  <c r="C298" i="27"/>
  <c r="B348" i="18" s="1"/>
  <c r="D298" i="27"/>
  <c r="C348" i="18" s="1"/>
  <c r="E298" i="27"/>
  <c r="E348" i="18" s="1"/>
  <c r="F298" i="27"/>
  <c r="F348" i="18" s="1"/>
  <c r="G298" i="27"/>
  <c r="G348" i="18" s="1"/>
  <c r="H298" i="27"/>
  <c r="H348" i="18" s="1"/>
  <c r="I298" i="27"/>
  <c r="I348" i="18" s="1"/>
  <c r="J298" i="27"/>
  <c r="J348" i="18" s="1"/>
  <c r="C299" i="27"/>
  <c r="B349" i="18" s="1"/>
  <c r="D299" i="27"/>
  <c r="C349" i="18" s="1"/>
  <c r="E299" i="27"/>
  <c r="E349" i="18" s="1"/>
  <c r="F299" i="27"/>
  <c r="F349" i="18" s="1"/>
  <c r="G299" i="27"/>
  <c r="G349" i="18" s="1"/>
  <c r="H299" i="27"/>
  <c r="H349" i="18" s="1"/>
  <c r="I299" i="27"/>
  <c r="I349" i="18" s="1"/>
  <c r="J299" i="27"/>
  <c r="J349" i="18" s="1"/>
  <c r="C300" i="27"/>
  <c r="B350" i="18" s="1"/>
  <c r="D300" i="27"/>
  <c r="C350" i="18" s="1"/>
  <c r="E300" i="27"/>
  <c r="E350" i="18" s="1"/>
  <c r="F300" i="27"/>
  <c r="F350" i="18" s="1"/>
  <c r="G300" i="27"/>
  <c r="G350" i="18" s="1"/>
  <c r="H300" i="27"/>
  <c r="H350" i="18" s="1"/>
  <c r="I300" i="27"/>
  <c r="I350" i="18" s="1"/>
  <c r="J300" i="27"/>
  <c r="J350" i="18" s="1"/>
  <c r="C301" i="27"/>
  <c r="D301" i="27"/>
  <c r="E301" i="27"/>
  <c r="F301" i="27"/>
  <c r="G301" i="27"/>
  <c r="H301" i="27"/>
  <c r="I301" i="27"/>
  <c r="J301" i="27"/>
  <c r="C302" i="27"/>
  <c r="B351" i="18" s="1"/>
  <c r="E302" i="27"/>
  <c r="E351" i="18" s="1"/>
  <c r="F302" i="27"/>
  <c r="F351" i="18" s="1"/>
  <c r="G302" i="27"/>
  <c r="G351" i="18" s="1"/>
  <c r="H302" i="27"/>
  <c r="H351" i="18" s="1"/>
  <c r="I302" i="27"/>
  <c r="I351" i="18" s="1"/>
  <c r="J303" i="27"/>
  <c r="J352" i="18" s="1"/>
  <c r="E304" i="27"/>
  <c r="E353" i="18" s="1"/>
  <c r="F304" i="27"/>
  <c r="F353" i="18" s="1"/>
  <c r="G304" i="27"/>
  <c r="G353" i="18" s="1"/>
  <c r="H304" i="27"/>
  <c r="H353" i="18" s="1"/>
  <c r="I304" i="27"/>
  <c r="I353" i="18" s="1"/>
  <c r="J304" i="27"/>
  <c r="E305" i="27"/>
  <c r="E354" i="18" s="1"/>
  <c r="F305" i="27"/>
  <c r="F354" i="18" s="1"/>
  <c r="G305" i="27"/>
  <c r="G354" i="18" s="1"/>
  <c r="H305" i="27"/>
  <c r="H354" i="18" s="1"/>
  <c r="I305" i="27"/>
  <c r="I354" i="18" s="1"/>
  <c r="J305" i="27"/>
  <c r="J354" i="18" s="1"/>
  <c r="E306" i="27"/>
  <c r="E355" i="18" s="1"/>
  <c r="F306" i="27"/>
  <c r="F355" i="18" s="1"/>
  <c r="G306" i="27"/>
  <c r="G355" i="18" s="1"/>
  <c r="H306" i="27"/>
  <c r="H355" i="18" s="1"/>
  <c r="I306" i="27"/>
  <c r="I355" i="18" s="1"/>
  <c r="J306" i="27"/>
  <c r="J355" i="18" s="1"/>
  <c r="E307" i="27"/>
  <c r="F307" i="27"/>
  <c r="G307" i="27"/>
  <c r="H307" i="27"/>
  <c r="I307" i="27"/>
  <c r="J307" i="27"/>
  <c r="J356" i="18" s="1"/>
  <c r="C310" i="27"/>
  <c r="D311" i="27"/>
  <c r="C521" i="18" s="1"/>
  <c r="J311" i="27"/>
  <c r="J521" i="18" s="1"/>
  <c r="C313" i="27"/>
  <c r="D313" i="27"/>
  <c r="C523" i="18" s="1"/>
  <c r="E313" i="27"/>
  <c r="E523" i="18" s="1"/>
  <c r="F313" i="27"/>
  <c r="G313" i="27"/>
  <c r="G523" i="18" s="1"/>
  <c r="H313" i="27"/>
  <c r="H523" i="18" s="1"/>
  <c r="I313" i="27"/>
  <c r="I523" i="18" s="1"/>
  <c r="J313" i="27"/>
  <c r="J523" i="18" s="1"/>
  <c r="C314" i="27"/>
  <c r="D170" i="11" s="1"/>
  <c r="D314" i="27"/>
  <c r="C524" i="18" s="1"/>
  <c r="E314" i="27"/>
  <c r="E524" i="18" s="1"/>
  <c r="F314" i="27"/>
  <c r="F524" i="18" s="1"/>
  <c r="G314" i="27"/>
  <c r="G524" i="18" s="1"/>
  <c r="H314" i="27"/>
  <c r="H524" i="18" s="1"/>
  <c r="I314" i="27"/>
  <c r="I524" i="18" s="1"/>
  <c r="J314" i="27"/>
  <c r="J524" i="18" s="1"/>
  <c r="C315" i="27"/>
  <c r="D315" i="27"/>
  <c r="E315" i="27"/>
  <c r="F315" i="27"/>
  <c r="G315" i="27"/>
  <c r="H315" i="27"/>
  <c r="I315" i="27"/>
  <c r="J315" i="27"/>
  <c r="C316" i="27"/>
  <c r="B525" i="18" s="1"/>
  <c r="D316" i="27"/>
  <c r="C525" i="18" s="1"/>
  <c r="E316" i="27"/>
  <c r="E525" i="18" s="1"/>
  <c r="F316" i="27"/>
  <c r="F525" i="18" s="1"/>
  <c r="G316" i="27"/>
  <c r="G525" i="18" s="1"/>
  <c r="H316" i="27"/>
  <c r="H525" i="18" s="1"/>
  <c r="I316" i="27"/>
  <c r="I525" i="18" s="1"/>
  <c r="J316" i="27"/>
  <c r="J525" i="18" s="1"/>
  <c r="C317" i="27"/>
  <c r="B526" i="18" s="1"/>
  <c r="D317" i="27"/>
  <c r="C526" i="18" s="1"/>
  <c r="E317" i="27"/>
  <c r="E526" i="18" s="1"/>
  <c r="F317" i="27"/>
  <c r="F526" i="18" s="1"/>
  <c r="G317" i="27"/>
  <c r="G526" i="18" s="1"/>
  <c r="H317" i="27"/>
  <c r="H526" i="18" s="1"/>
  <c r="I317" i="27"/>
  <c r="I526" i="18" s="1"/>
  <c r="J317" i="27"/>
  <c r="J526" i="18" s="1"/>
  <c r="C318" i="27"/>
  <c r="D169" i="11" s="1"/>
  <c r="D318" i="27"/>
  <c r="C527" i="18" s="1"/>
  <c r="E318" i="27"/>
  <c r="E527" i="18" s="1"/>
  <c r="F318" i="27"/>
  <c r="F527" i="18" s="1"/>
  <c r="G318" i="27"/>
  <c r="G527" i="18" s="1"/>
  <c r="H318" i="27"/>
  <c r="H527" i="18" s="1"/>
  <c r="I318" i="27"/>
  <c r="I527" i="18" s="1"/>
  <c r="J318" i="27"/>
  <c r="J527" i="18" s="1"/>
  <c r="C319" i="27"/>
  <c r="B528" i="18" s="1"/>
  <c r="D319" i="27"/>
  <c r="C528" i="18" s="1"/>
  <c r="E319" i="27"/>
  <c r="E528" i="18" s="1"/>
  <c r="F319" i="27"/>
  <c r="G319" i="27"/>
  <c r="G528" i="18" s="1"/>
  <c r="H319" i="27"/>
  <c r="H528" i="18" s="1"/>
  <c r="I319" i="27"/>
  <c r="I528" i="18" s="1"/>
  <c r="J319" i="27"/>
  <c r="J528" i="18" s="1"/>
  <c r="C320" i="27"/>
  <c r="D166" i="11" s="1"/>
  <c r="D320" i="27"/>
  <c r="C529" i="18" s="1"/>
  <c r="E320" i="27"/>
  <c r="E529" i="18" s="1"/>
  <c r="F320" i="27"/>
  <c r="F529" i="18" s="1"/>
  <c r="G320" i="27"/>
  <c r="G529" i="18" s="1"/>
  <c r="H320" i="27"/>
  <c r="I320" i="27"/>
  <c r="I529" i="18" s="1"/>
  <c r="J320" i="27"/>
  <c r="J529" i="18" s="1"/>
  <c r="C321" i="27"/>
  <c r="D321" i="27"/>
  <c r="E321" i="27"/>
  <c r="F321" i="27"/>
  <c r="G321" i="27"/>
  <c r="H321" i="27"/>
  <c r="I321" i="27"/>
  <c r="J321" i="27"/>
  <c r="C322" i="27"/>
  <c r="D322" i="27"/>
  <c r="E322" i="27"/>
  <c r="F322" i="27"/>
  <c r="G322" i="27"/>
  <c r="H322" i="27"/>
  <c r="I322" i="27"/>
  <c r="J322" i="27"/>
  <c r="C323" i="27"/>
  <c r="B530" i="18" s="1"/>
  <c r="D323" i="27"/>
  <c r="C530" i="18" s="1"/>
  <c r="E323" i="27"/>
  <c r="E530" i="18" s="1"/>
  <c r="F323" i="27"/>
  <c r="F530" i="18" s="1"/>
  <c r="G323" i="27"/>
  <c r="G530" i="18" s="1"/>
  <c r="H323" i="27"/>
  <c r="H530" i="18" s="1"/>
  <c r="I323" i="27"/>
  <c r="I530" i="18" s="1"/>
  <c r="J323" i="27"/>
  <c r="J530" i="18" s="1"/>
  <c r="J324" i="27"/>
  <c r="J531" i="18" s="1"/>
  <c r="E325" i="27"/>
  <c r="E532" i="18" s="1"/>
  <c r="F325" i="27"/>
  <c r="F532" i="18" s="1"/>
  <c r="G325" i="27"/>
  <c r="G532" i="18" s="1"/>
  <c r="H325" i="27"/>
  <c r="H532" i="18" s="1"/>
  <c r="I325" i="27"/>
  <c r="I532" i="18" s="1"/>
  <c r="J325" i="27"/>
  <c r="J532" i="18" s="1"/>
  <c r="E326" i="27"/>
  <c r="E533" i="18" s="1"/>
  <c r="F326" i="27"/>
  <c r="F533" i="18" s="1"/>
  <c r="G326" i="27"/>
  <c r="G533" i="18" s="1"/>
  <c r="H326" i="27"/>
  <c r="H533" i="18" s="1"/>
  <c r="I326" i="27"/>
  <c r="I533" i="18" s="1"/>
  <c r="J326" i="27"/>
  <c r="J533" i="18" s="1"/>
  <c r="E327" i="27"/>
  <c r="E534" i="18" s="1"/>
  <c r="F327" i="27"/>
  <c r="F534" i="18" s="1"/>
  <c r="G327" i="27"/>
  <c r="G534" i="18" s="1"/>
  <c r="H327" i="27"/>
  <c r="H534" i="18" s="1"/>
  <c r="I327" i="27"/>
  <c r="I534" i="18" s="1"/>
  <c r="J327" i="27"/>
  <c r="J534" i="18" s="1"/>
  <c r="E328" i="27"/>
  <c r="F328" i="27"/>
  <c r="G328" i="27"/>
  <c r="H328" i="27"/>
  <c r="I328" i="27"/>
  <c r="J328" i="27"/>
  <c r="J535" i="18" s="1"/>
  <c r="D8" i="26"/>
  <c r="E8" i="26"/>
  <c r="F8" i="26"/>
  <c r="D17" i="26" s="1"/>
  <c r="G8" i="26"/>
  <c r="H8" i="26"/>
  <c r="I8" i="26"/>
  <c r="J8" i="26"/>
  <c r="C26" i="26"/>
  <c r="C27" i="26"/>
  <c r="C40" i="26"/>
  <c r="E40" i="26"/>
  <c r="C41" i="26"/>
  <c r="G41" i="26"/>
  <c r="C52" i="26"/>
  <c r="E53" i="26"/>
  <c r="F53" i="26"/>
  <c r="F54" i="26"/>
  <c r="G53" i="26"/>
  <c r="H53" i="26"/>
  <c r="H54" i="26"/>
  <c r="I53" i="26"/>
  <c r="E54" i="26"/>
  <c r="G54" i="26"/>
  <c r="I54" i="26"/>
  <c r="C66" i="26"/>
  <c r="C67" i="26"/>
  <c r="C79" i="26"/>
  <c r="C80" i="26"/>
  <c r="C92" i="26"/>
  <c r="C93" i="26"/>
  <c r="C105" i="26"/>
  <c r="E107" i="26"/>
  <c r="F107" i="26"/>
  <c r="G107" i="26"/>
  <c r="H107" i="26"/>
  <c r="I107" i="26"/>
  <c r="C117" i="26"/>
  <c r="E119" i="26"/>
  <c r="F119" i="26"/>
  <c r="G119" i="26"/>
  <c r="H119" i="26"/>
  <c r="I119" i="26"/>
  <c r="C129" i="26"/>
  <c r="E131" i="26"/>
  <c r="F131" i="26"/>
  <c r="G131" i="26"/>
  <c r="H131" i="26"/>
  <c r="I131" i="26"/>
  <c r="C141" i="26"/>
  <c r="E143" i="26"/>
  <c r="F143" i="26"/>
  <c r="G143" i="26"/>
  <c r="H143" i="26"/>
  <c r="I143" i="26"/>
  <c r="C161" i="26"/>
  <c r="C176" i="26" s="1"/>
  <c r="E161" i="26"/>
  <c r="B27" i="26" s="1"/>
  <c r="F161" i="26"/>
  <c r="B28" i="26" s="1"/>
  <c r="G161" i="26"/>
  <c r="H161" i="26"/>
  <c r="D176" i="26" s="1"/>
  <c r="I161" i="26"/>
  <c r="C162" i="26"/>
  <c r="C177" i="26" s="1"/>
  <c r="E162" i="26"/>
  <c r="B41" i="26" s="1"/>
  <c r="F162" i="26"/>
  <c r="B42" i="26" s="1"/>
  <c r="G162" i="26"/>
  <c r="H162" i="26"/>
  <c r="D177" i="26" s="1"/>
  <c r="I162" i="26"/>
  <c r="C163" i="26"/>
  <c r="C178" i="26" s="1"/>
  <c r="E163" i="26"/>
  <c r="B53" i="26" s="1"/>
  <c r="F163" i="26"/>
  <c r="B54" i="26" s="1"/>
  <c r="G163" i="26"/>
  <c r="H163" i="26"/>
  <c r="D178" i="26" s="1"/>
  <c r="I163" i="26"/>
  <c r="C164" i="26"/>
  <c r="C179" i="26" s="1"/>
  <c r="E164" i="26"/>
  <c r="B68" i="26" s="1"/>
  <c r="F164" i="26"/>
  <c r="B69" i="26" s="1"/>
  <c r="G164" i="26"/>
  <c r="H164" i="26"/>
  <c r="D179" i="26" s="1"/>
  <c r="I164" i="26"/>
  <c r="C165" i="26"/>
  <c r="C180" i="26" s="1"/>
  <c r="E165" i="26"/>
  <c r="B81" i="26" s="1"/>
  <c r="F165" i="26"/>
  <c r="B82" i="26" s="1"/>
  <c r="G165" i="26"/>
  <c r="H165" i="26"/>
  <c r="D180" i="26" s="1"/>
  <c r="I165" i="26"/>
  <c r="C166" i="26"/>
  <c r="C181" i="26" s="1"/>
  <c r="E166" i="26"/>
  <c r="B93" i="26" s="1"/>
  <c r="F166" i="26"/>
  <c r="B94" i="26" s="1"/>
  <c r="G166" i="26"/>
  <c r="H166" i="26"/>
  <c r="D181" i="26" s="1"/>
  <c r="I166" i="26"/>
  <c r="C167" i="26"/>
  <c r="E167" i="26"/>
  <c r="F167" i="26"/>
  <c r="G167" i="26"/>
  <c r="H167" i="26"/>
  <c r="D182" i="26" s="1"/>
  <c r="I167" i="26"/>
  <c r="C168" i="26"/>
  <c r="C183" i="26" s="1"/>
  <c r="E168" i="26"/>
  <c r="F168" i="26"/>
  <c r="G168" i="26"/>
  <c r="H168" i="26"/>
  <c r="D183" i="26" s="1"/>
  <c r="I168" i="26"/>
  <c r="C169" i="26"/>
  <c r="C184" i="26" s="1"/>
  <c r="E169" i="26"/>
  <c r="F169" i="26"/>
  <c r="G169" i="26"/>
  <c r="H169" i="26"/>
  <c r="D184" i="26" s="1"/>
  <c r="I169" i="26"/>
  <c r="C170" i="26"/>
  <c r="C185" i="26" s="1"/>
  <c r="E170" i="26"/>
  <c r="F170" i="26"/>
  <c r="G170" i="26"/>
  <c r="H170" i="26"/>
  <c r="D185" i="26" s="1"/>
  <c r="I170" i="26"/>
  <c r="C182" i="26"/>
  <c r="E190" i="26"/>
  <c r="F190" i="26"/>
  <c r="G190" i="26"/>
  <c r="H190" i="26"/>
  <c r="I190" i="26"/>
  <c r="E212" i="26"/>
  <c r="E249" i="26" s="1"/>
  <c r="F212" i="26"/>
  <c r="F249" i="26" s="1"/>
  <c r="G212" i="26"/>
  <c r="G249" i="26" s="1"/>
  <c r="H212" i="26"/>
  <c r="H249" i="26" s="1"/>
  <c r="I212" i="26"/>
  <c r="I249" i="26" s="1"/>
  <c r="J212" i="26"/>
  <c r="E213" i="26"/>
  <c r="E264" i="26" s="1"/>
  <c r="F213" i="26"/>
  <c r="F264" i="26" s="1"/>
  <c r="G213" i="26"/>
  <c r="G264" i="26" s="1"/>
  <c r="H213" i="26"/>
  <c r="H264" i="26" s="1"/>
  <c r="I213" i="26"/>
  <c r="I264" i="26" s="1"/>
  <c r="J213" i="26"/>
  <c r="E214" i="26"/>
  <c r="F214" i="26"/>
  <c r="G214" i="26"/>
  <c r="H214" i="26"/>
  <c r="I214" i="26"/>
  <c r="J214" i="26"/>
  <c r="C368" i="26"/>
  <c r="D369" i="26"/>
  <c r="C195" i="18" s="1"/>
  <c r="J369" i="26"/>
  <c r="J195" i="18" s="1"/>
  <c r="Q188" i="18" s="1"/>
  <c r="C371" i="26"/>
  <c r="B197" i="18" s="1"/>
  <c r="D371" i="26"/>
  <c r="C197" i="18" s="1"/>
  <c r="E371" i="26"/>
  <c r="E197" i="18" s="1"/>
  <c r="F371" i="26"/>
  <c r="F197" i="18" s="1"/>
  <c r="G371" i="26"/>
  <c r="H371" i="26"/>
  <c r="H197" i="18" s="1"/>
  <c r="I371" i="26"/>
  <c r="J371" i="26"/>
  <c r="J197" i="18" s="1"/>
  <c r="C372" i="26"/>
  <c r="B198" i="18" s="1"/>
  <c r="D372" i="26"/>
  <c r="C198" i="18" s="1"/>
  <c r="E372" i="26"/>
  <c r="E198" i="18" s="1"/>
  <c r="F372" i="26"/>
  <c r="F198" i="18" s="1"/>
  <c r="G372" i="26"/>
  <c r="G198" i="18" s="1"/>
  <c r="H372" i="26"/>
  <c r="H198" i="18" s="1"/>
  <c r="I372" i="26"/>
  <c r="I198" i="18" s="1"/>
  <c r="J372" i="26"/>
  <c r="J198" i="18" s="1"/>
  <c r="C373" i="26"/>
  <c r="D373" i="26"/>
  <c r="E373" i="26"/>
  <c r="F373" i="26"/>
  <c r="G373" i="26"/>
  <c r="H373" i="26"/>
  <c r="I373" i="26"/>
  <c r="J373" i="26"/>
  <c r="C374" i="26"/>
  <c r="B199" i="18" s="1"/>
  <c r="D374" i="26"/>
  <c r="C199" i="18" s="1"/>
  <c r="E374" i="26"/>
  <c r="E199" i="18" s="1"/>
  <c r="F374" i="26"/>
  <c r="F199" i="18" s="1"/>
  <c r="G374" i="26"/>
  <c r="G199" i="18" s="1"/>
  <c r="H374" i="26"/>
  <c r="H199" i="18" s="1"/>
  <c r="I374" i="26"/>
  <c r="I199" i="18" s="1"/>
  <c r="J374" i="26"/>
  <c r="J199" i="18" s="1"/>
  <c r="C375" i="26"/>
  <c r="B200" i="18" s="1"/>
  <c r="D375" i="26"/>
  <c r="C200" i="18" s="1"/>
  <c r="E375" i="26"/>
  <c r="E200" i="18" s="1"/>
  <c r="F375" i="26"/>
  <c r="F200" i="18" s="1"/>
  <c r="G375" i="26"/>
  <c r="G200" i="18" s="1"/>
  <c r="H375" i="26"/>
  <c r="H200" i="18" s="1"/>
  <c r="I375" i="26"/>
  <c r="I200" i="18" s="1"/>
  <c r="J375" i="26"/>
  <c r="J200" i="18" s="1"/>
  <c r="C376" i="26"/>
  <c r="B201" i="18" s="1"/>
  <c r="D376" i="26"/>
  <c r="C201" i="18" s="1"/>
  <c r="E376" i="26"/>
  <c r="E201" i="18" s="1"/>
  <c r="F376" i="26"/>
  <c r="F201" i="18" s="1"/>
  <c r="G376" i="26"/>
  <c r="G201" i="18" s="1"/>
  <c r="H376" i="26"/>
  <c r="H201" i="18" s="1"/>
  <c r="I376" i="26"/>
  <c r="I201" i="18" s="1"/>
  <c r="J376" i="26"/>
  <c r="J201" i="18" s="1"/>
  <c r="C377" i="26"/>
  <c r="D377" i="26"/>
  <c r="E377" i="26"/>
  <c r="F377" i="26"/>
  <c r="G377" i="26"/>
  <c r="H377" i="26"/>
  <c r="I377" i="26"/>
  <c r="J377" i="26"/>
  <c r="C378" i="26"/>
  <c r="D378" i="26"/>
  <c r="E378" i="26"/>
  <c r="F378" i="26"/>
  <c r="G378" i="26"/>
  <c r="H378" i="26"/>
  <c r="I378" i="26"/>
  <c r="J378" i="26"/>
  <c r="C379" i="26"/>
  <c r="D379" i="26"/>
  <c r="E379" i="26"/>
  <c r="F379" i="26"/>
  <c r="G379" i="26"/>
  <c r="H379" i="26"/>
  <c r="I379" i="26"/>
  <c r="J379" i="26"/>
  <c r="C380" i="26"/>
  <c r="D380" i="26"/>
  <c r="E380" i="26"/>
  <c r="F380" i="26"/>
  <c r="G380" i="26"/>
  <c r="H380" i="26"/>
  <c r="I380" i="26"/>
  <c r="J380" i="26"/>
  <c r="C381" i="26"/>
  <c r="B202" i="18" s="1"/>
  <c r="D381" i="26"/>
  <c r="E381" i="26"/>
  <c r="E202" i="18" s="1"/>
  <c r="F381" i="26"/>
  <c r="F202" i="18" s="1"/>
  <c r="G381" i="26"/>
  <c r="G202" i="18" s="1"/>
  <c r="H381" i="26"/>
  <c r="H202" i="18" s="1"/>
  <c r="I381" i="26"/>
  <c r="I202" i="18" s="1"/>
  <c r="J381" i="26"/>
  <c r="J202" i="18" s="1"/>
  <c r="C382" i="26"/>
  <c r="B203" i="18" s="1"/>
  <c r="J382" i="26"/>
  <c r="J203" i="18" s="1"/>
  <c r="C383" i="26"/>
  <c r="E383" i="26"/>
  <c r="E423" i="26" s="1"/>
  <c r="E252" i="18" s="1"/>
  <c r="F383" i="26"/>
  <c r="F204" i="18" s="1"/>
  <c r="G383" i="26"/>
  <c r="G423" i="26" s="1"/>
  <c r="G252" i="18" s="1"/>
  <c r="H383" i="26"/>
  <c r="H423" i="26" s="1"/>
  <c r="H252" i="18" s="1"/>
  <c r="I383" i="26"/>
  <c r="I423" i="26" s="1"/>
  <c r="I252" i="18" s="1"/>
  <c r="E384" i="26"/>
  <c r="F384" i="26"/>
  <c r="G384" i="26"/>
  <c r="H384" i="26"/>
  <c r="I384" i="26"/>
  <c r="J384" i="26"/>
  <c r="E385" i="26"/>
  <c r="F385" i="26"/>
  <c r="G385" i="26"/>
  <c r="H385" i="26"/>
  <c r="I385" i="26"/>
  <c r="J385" i="26"/>
  <c r="E386" i="26"/>
  <c r="E189" i="18" s="1"/>
  <c r="F386" i="26"/>
  <c r="F205" i="18" s="1"/>
  <c r="G386" i="26"/>
  <c r="G189" i="18" s="1"/>
  <c r="H386" i="26"/>
  <c r="H189" i="18" s="1"/>
  <c r="I386" i="26"/>
  <c r="I205" i="18" s="1"/>
  <c r="J386" i="26"/>
  <c r="J205" i="18" s="1"/>
  <c r="C388" i="26"/>
  <c r="D389" i="26"/>
  <c r="C219" i="18" s="1"/>
  <c r="J389" i="26"/>
  <c r="J219" i="18" s="1"/>
  <c r="Q216" i="18" s="1"/>
  <c r="C391" i="26"/>
  <c r="B221" i="18" s="1"/>
  <c r="D391" i="26"/>
  <c r="C221" i="18" s="1"/>
  <c r="E391" i="26"/>
  <c r="F391" i="26"/>
  <c r="F221" i="18" s="1"/>
  <c r="G391" i="26"/>
  <c r="G221" i="18" s="1"/>
  <c r="H391" i="26"/>
  <c r="H221" i="18" s="1"/>
  <c r="I391" i="26"/>
  <c r="J391" i="26"/>
  <c r="J221" i="18" s="1"/>
  <c r="C392" i="26"/>
  <c r="B222" i="18" s="1"/>
  <c r="D392" i="26"/>
  <c r="C222" i="18" s="1"/>
  <c r="E392" i="26"/>
  <c r="E222" i="18" s="1"/>
  <c r="F392" i="26"/>
  <c r="F222" i="18" s="1"/>
  <c r="G392" i="26"/>
  <c r="G222" i="18" s="1"/>
  <c r="H392" i="26"/>
  <c r="H222" i="18" s="1"/>
  <c r="I392" i="26"/>
  <c r="I222" i="18" s="1"/>
  <c r="J392" i="26"/>
  <c r="J222" i="18" s="1"/>
  <c r="C393" i="26"/>
  <c r="D393" i="26"/>
  <c r="E393" i="26"/>
  <c r="F393" i="26"/>
  <c r="G393" i="26"/>
  <c r="H393" i="26"/>
  <c r="I393" i="26"/>
  <c r="J393" i="26"/>
  <c r="C394" i="26"/>
  <c r="B223" i="18" s="1"/>
  <c r="D394" i="26"/>
  <c r="C223" i="18" s="1"/>
  <c r="E394" i="26"/>
  <c r="E223" i="18" s="1"/>
  <c r="F394" i="26"/>
  <c r="F223" i="18" s="1"/>
  <c r="G394" i="26"/>
  <c r="G223" i="18" s="1"/>
  <c r="H394" i="26"/>
  <c r="H223" i="18" s="1"/>
  <c r="I394" i="26"/>
  <c r="I223" i="18" s="1"/>
  <c r="J394" i="26"/>
  <c r="J223" i="18" s="1"/>
  <c r="C395" i="26"/>
  <c r="B224" i="18" s="1"/>
  <c r="D395" i="26"/>
  <c r="E395" i="26"/>
  <c r="E224" i="18" s="1"/>
  <c r="F395" i="26"/>
  <c r="G395" i="26"/>
  <c r="H395" i="26"/>
  <c r="H224" i="18" s="1"/>
  <c r="I395" i="26"/>
  <c r="I224" i="18" s="1"/>
  <c r="J395" i="26"/>
  <c r="J224" i="18" s="1"/>
  <c r="C396" i="26"/>
  <c r="B225" i="18" s="1"/>
  <c r="D396" i="26"/>
  <c r="C225" i="18" s="1"/>
  <c r="E396" i="26"/>
  <c r="E225" i="18" s="1"/>
  <c r="F396" i="26"/>
  <c r="F225" i="18" s="1"/>
  <c r="G396" i="26"/>
  <c r="G225" i="18" s="1"/>
  <c r="H396" i="26"/>
  <c r="H225" i="18" s="1"/>
  <c r="I396" i="26"/>
  <c r="I225" i="18" s="1"/>
  <c r="J396" i="26"/>
  <c r="J225" i="18" s="1"/>
  <c r="C397" i="26"/>
  <c r="D397" i="26"/>
  <c r="E397" i="26"/>
  <c r="F397" i="26"/>
  <c r="G397" i="26"/>
  <c r="H397" i="26"/>
  <c r="I397" i="26"/>
  <c r="J397" i="26"/>
  <c r="C398" i="26"/>
  <c r="D398" i="26"/>
  <c r="E398" i="26"/>
  <c r="F398" i="26"/>
  <c r="G398" i="26"/>
  <c r="H398" i="26"/>
  <c r="I398" i="26"/>
  <c r="J398" i="26"/>
  <c r="C399" i="26"/>
  <c r="D399" i="26"/>
  <c r="E399" i="26"/>
  <c r="F399" i="26"/>
  <c r="G399" i="26"/>
  <c r="H399" i="26"/>
  <c r="I399" i="26"/>
  <c r="J399" i="26"/>
  <c r="C400" i="26"/>
  <c r="D400" i="26"/>
  <c r="E400" i="26"/>
  <c r="F400" i="26"/>
  <c r="G400" i="26"/>
  <c r="H400" i="26"/>
  <c r="I400" i="26"/>
  <c r="J400" i="26"/>
  <c r="C401" i="26"/>
  <c r="B226" i="18" s="1"/>
  <c r="D401" i="26"/>
  <c r="E401" i="26"/>
  <c r="E226" i="18" s="1"/>
  <c r="F401" i="26"/>
  <c r="F226" i="18" s="1"/>
  <c r="G401" i="26"/>
  <c r="G226" i="18" s="1"/>
  <c r="H401" i="26"/>
  <c r="H226" i="18" s="1"/>
  <c r="I401" i="26"/>
  <c r="I226" i="18" s="1"/>
  <c r="J401" i="26"/>
  <c r="J226" i="18" s="1"/>
  <c r="C402" i="26"/>
  <c r="B227" i="18" s="1"/>
  <c r="J402" i="26"/>
  <c r="J227" i="18" s="1"/>
  <c r="C403" i="26"/>
  <c r="C443" i="26" s="1"/>
  <c r="B276" i="18" s="1"/>
  <c r="E403" i="26"/>
  <c r="E443" i="26" s="1"/>
  <c r="E276" i="18" s="1"/>
  <c r="F403" i="26"/>
  <c r="F443" i="26" s="1"/>
  <c r="F276" i="18" s="1"/>
  <c r="G403" i="26"/>
  <c r="G443" i="26" s="1"/>
  <c r="G276" i="18" s="1"/>
  <c r="H403" i="26"/>
  <c r="H228" i="18" s="1"/>
  <c r="I403" i="26"/>
  <c r="E404" i="26"/>
  <c r="F404" i="26"/>
  <c r="G404" i="26"/>
  <c r="H404" i="26"/>
  <c r="I404" i="26"/>
  <c r="J404" i="26"/>
  <c r="E405" i="26"/>
  <c r="F405" i="26"/>
  <c r="G405" i="26"/>
  <c r="H405" i="26"/>
  <c r="I405" i="26"/>
  <c r="J405" i="26"/>
  <c r="E406" i="26"/>
  <c r="E213" i="18" s="1"/>
  <c r="F406" i="26"/>
  <c r="F213" i="18" s="1"/>
  <c r="G406" i="26"/>
  <c r="G229" i="18" s="1"/>
  <c r="H406" i="26"/>
  <c r="I406" i="26"/>
  <c r="I229" i="18" s="1"/>
  <c r="J406" i="26"/>
  <c r="J229" i="18" s="1"/>
  <c r="C408" i="26"/>
  <c r="D409" i="26"/>
  <c r="C243" i="18" s="1"/>
  <c r="J409" i="26"/>
  <c r="J243" i="18" s="1"/>
  <c r="Q247" i="18" s="1"/>
  <c r="C411" i="26"/>
  <c r="B245" i="18" s="1"/>
  <c r="D411" i="26"/>
  <c r="C245" i="18" s="1"/>
  <c r="E411" i="26"/>
  <c r="E245" i="18" s="1"/>
  <c r="F411" i="26"/>
  <c r="F245" i="18" s="1"/>
  <c r="G411" i="26"/>
  <c r="G245" i="18" s="1"/>
  <c r="H411" i="26"/>
  <c r="H245" i="18" s="1"/>
  <c r="I411" i="26"/>
  <c r="I245" i="18" s="1"/>
  <c r="J411" i="26"/>
  <c r="J245" i="18" s="1"/>
  <c r="C412" i="26"/>
  <c r="B246" i="18" s="1"/>
  <c r="D412" i="26"/>
  <c r="C246" i="18" s="1"/>
  <c r="E412" i="26"/>
  <c r="E246" i="18" s="1"/>
  <c r="F412" i="26"/>
  <c r="F246" i="18" s="1"/>
  <c r="G412" i="26"/>
  <c r="G246" i="18" s="1"/>
  <c r="H412" i="26"/>
  <c r="I412" i="26"/>
  <c r="I246" i="18" s="1"/>
  <c r="J412" i="26"/>
  <c r="J246" i="18" s="1"/>
  <c r="C413" i="26"/>
  <c r="D413" i="26"/>
  <c r="E413" i="26"/>
  <c r="F413" i="26"/>
  <c r="G413" i="26"/>
  <c r="H413" i="26"/>
  <c r="I413" i="26"/>
  <c r="J413" i="26"/>
  <c r="C414" i="26"/>
  <c r="B247" i="18" s="1"/>
  <c r="D414" i="26"/>
  <c r="C247" i="18" s="1"/>
  <c r="E414" i="26"/>
  <c r="E247" i="18" s="1"/>
  <c r="F414" i="26"/>
  <c r="F247" i="18" s="1"/>
  <c r="G414" i="26"/>
  <c r="G247" i="18" s="1"/>
  <c r="H414" i="26"/>
  <c r="H247" i="18" s="1"/>
  <c r="I414" i="26"/>
  <c r="I247" i="18" s="1"/>
  <c r="J414" i="26"/>
  <c r="J247" i="18" s="1"/>
  <c r="C415" i="26"/>
  <c r="B248" i="18" s="1"/>
  <c r="D415" i="26"/>
  <c r="C248" i="18" s="1"/>
  <c r="E415" i="26"/>
  <c r="E248" i="18" s="1"/>
  <c r="F415" i="26"/>
  <c r="F248" i="18" s="1"/>
  <c r="G415" i="26"/>
  <c r="G248" i="18" s="1"/>
  <c r="H415" i="26"/>
  <c r="H248" i="18" s="1"/>
  <c r="I415" i="26"/>
  <c r="I248" i="18" s="1"/>
  <c r="J415" i="26"/>
  <c r="J248" i="18" s="1"/>
  <c r="C416" i="26"/>
  <c r="B249" i="18" s="1"/>
  <c r="D416" i="26"/>
  <c r="C249" i="18" s="1"/>
  <c r="E416" i="26"/>
  <c r="E249" i="18" s="1"/>
  <c r="F416" i="26"/>
  <c r="F249" i="18" s="1"/>
  <c r="G416" i="26"/>
  <c r="G249" i="18" s="1"/>
  <c r="H416" i="26"/>
  <c r="H249" i="18" s="1"/>
  <c r="I416" i="26"/>
  <c r="I249" i="18" s="1"/>
  <c r="J416" i="26"/>
  <c r="J249" i="18" s="1"/>
  <c r="C417" i="26"/>
  <c r="D417" i="26"/>
  <c r="E417" i="26"/>
  <c r="F417" i="26"/>
  <c r="G417" i="26"/>
  <c r="H417" i="26"/>
  <c r="I417" i="26"/>
  <c r="J417" i="26"/>
  <c r="C418" i="26"/>
  <c r="D418" i="26"/>
  <c r="E418" i="26"/>
  <c r="F418" i="26"/>
  <c r="G418" i="26"/>
  <c r="H418" i="26"/>
  <c r="I418" i="26"/>
  <c r="J418" i="26"/>
  <c r="C419" i="26"/>
  <c r="D419" i="26"/>
  <c r="E419" i="26"/>
  <c r="F419" i="26"/>
  <c r="G419" i="26"/>
  <c r="H419" i="26"/>
  <c r="I419" i="26"/>
  <c r="J419" i="26"/>
  <c r="C420" i="26"/>
  <c r="D420" i="26"/>
  <c r="E420" i="26"/>
  <c r="F420" i="26"/>
  <c r="G420" i="26"/>
  <c r="H420" i="26"/>
  <c r="I420" i="26"/>
  <c r="J420" i="26"/>
  <c r="C421" i="26"/>
  <c r="B250" i="18" s="1"/>
  <c r="D421" i="26"/>
  <c r="E421" i="26"/>
  <c r="E250" i="18" s="1"/>
  <c r="F421" i="26"/>
  <c r="F250" i="18" s="1"/>
  <c r="G421" i="26"/>
  <c r="G250" i="18" s="1"/>
  <c r="H421" i="26"/>
  <c r="H250" i="18" s="1"/>
  <c r="I421" i="26"/>
  <c r="I250" i="18" s="1"/>
  <c r="J421" i="26"/>
  <c r="J250" i="18" s="1"/>
  <c r="J422" i="26"/>
  <c r="J251" i="18" s="1"/>
  <c r="E424" i="26"/>
  <c r="F424" i="26"/>
  <c r="G424" i="26"/>
  <c r="H424" i="26"/>
  <c r="I424" i="26"/>
  <c r="J424" i="26"/>
  <c r="E425" i="26"/>
  <c r="F425" i="26"/>
  <c r="G425" i="26"/>
  <c r="H425" i="26"/>
  <c r="I425" i="26"/>
  <c r="J425" i="26"/>
  <c r="E426" i="26"/>
  <c r="E253" i="18" s="1"/>
  <c r="F426" i="26"/>
  <c r="F253" i="18" s="1"/>
  <c r="G426" i="26"/>
  <c r="H426" i="26"/>
  <c r="H237" i="18" s="1"/>
  <c r="I426" i="26"/>
  <c r="I237" i="18" s="1"/>
  <c r="J426" i="26"/>
  <c r="J253" i="18" s="1"/>
  <c r="C428" i="26"/>
  <c r="D429" i="26"/>
  <c r="C267" i="18" s="1"/>
  <c r="J429" i="26"/>
  <c r="J267" i="18" s="1"/>
  <c r="C431" i="26"/>
  <c r="B269" i="18" s="1"/>
  <c r="D431" i="26"/>
  <c r="C269" i="18" s="1"/>
  <c r="E431" i="26"/>
  <c r="E269" i="18" s="1"/>
  <c r="F431" i="26"/>
  <c r="G431" i="26"/>
  <c r="H431" i="26"/>
  <c r="I431" i="26"/>
  <c r="I269" i="18" s="1"/>
  <c r="J431" i="26"/>
  <c r="J269" i="18" s="1"/>
  <c r="C432" i="26"/>
  <c r="B270" i="18" s="1"/>
  <c r="D432" i="26"/>
  <c r="C270" i="18" s="1"/>
  <c r="E432" i="26"/>
  <c r="E270" i="18" s="1"/>
  <c r="F432" i="26"/>
  <c r="F270" i="18" s="1"/>
  <c r="G432" i="26"/>
  <c r="G270" i="18" s="1"/>
  <c r="H432" i="26"/>
  <c r="H270" i="18" s="1"/>
  <c r="I432" i="26"/>
  <c r="I270" i="18" s="1"/>
  <c r="J432" i="26"/>
  <c r="J270" i="18" s="1"/>
  <c r="C433" i="26"/>
  <c r="D433" i="26"/>
  <c r="E433" i="26"/>
  <c r="F433" i="26"/>
  <c r="G433" i="26"/>
  <c r="H433" i="26"/>
  <c r="I433" i="26"/>
  <c r="J433" i="26"/>
  <c r="C434" i="26"/>
  <c r="B271" i="18" s="1"/>
  <c r="D434" i="26"/>
  <c r="C271" i="18" s="1"/>
  <c r="E434" i="26"/>
  <c r="E271" i="18" s="1"/>
  <c r="F434" i="26"/>
  <c r="F271" i="18" s="1"/>
  <c r="G434" i="26"/>
  <c r="G271" i="18" s="1"/>
  <c r="H434" i="26"/>
  <c r="H271" i="18" s="1"/>
  <c r="I434" i="26"/>
  <c r="I271" i="18" s="1"/>
  <c r="J434" i="26"/>
  <c r="J271" i="18" s="1"/>
  <c r="C435" i="26"/>
  <c r="B272" i="18" s="1"/>
  <c r="D435" i="26"/>
  <c r="C272" i="18" s="1"/>
  <c r="E435" i="26"/>
  <c r="E272" i="18" s="1"/>
  <c r="F435" i="26"/>
  <c r="F272" i="18" s="1"/>
  <c r="G435" i="26"/>
  <c r="G272" i="18" s="1"/>
  <c r="H435" i="26"/>
  <c r="H272" i="18" s="1"/>
  <c r="I435" i="26"/>
  <c r="I272" i="18" s="1"/>
  <c r="J435" i="26"/>
  <c r="J272" i="18" s="1"/>
  <c r="C436" i="26"/>
  <c r="B273" i="18" s="1"/>
  <c r="D436" i="26"/>
  <c r="C273" i="18" s="1"/>
  <c r="E436" i="26"/>
  <c r="E273" i="18" s="1"/>
  <c r="F436" i="26"/>
  <c r="F273" i="18" s="1"/>
  <c r="G436" i="26"/>
  <c r="G273" i="18" s="1"/>
  <c r="H436" i="26"/>
  <c r="H273" i="18" s="1"/>
  <c r="I436" i="26"/>
  <c r="I273" i="18" s="1"/>
  <c r="J436" i="26"/>
  <c r="J273" i="18" s="1"/>
  <c r="C437" i="26"/>
  <c r="D437" i="26"/>
  <c r="E437" i="26"/>
  <c r="F437" i="26"/>
  <c r="G437" i="26"/>
  <c r="H437" i="26"/>
  <c r="H438" i="26"/>
  <c r="H439" i="26"/>
  <c r="H440" i="26"/>
  <c r="H441" i="26"/>
  <c r="H274" i="18" s="1"/>
  <c r="I437" i="26"/>
  <c r="J437" i="26"/>
  <c r="C438" i="26"/>
  <c r="D438" i="26"/>
  <c r="E438" i="26"/>
  <c r="F438" i="26"/>
  <c r="G438" i="26"/>
  <c r="I438" i="26"/>
  <c r="J438" i="26"/>
  <c r="C439" i="26"/>
  <c r="D439" i="26"/>
  <c r="E439" i="26"/>
  <c r="F439" i="26"/>
  <c r="G439" i="26"/>
  <c r="I439" i="26"/>
  <c r="J439" i="26"/>
  <c r="C440" i="26"/>
  <c r="D440" i="26"/>
  <c r="E440" i="26"/>
  <c r="F440" i="26"/>
  <c r="G440" i="26"/>
  <c r="I440" i="26"/>
  <c r="J440" i="26"/>
  <c r="C441" i="26"/>
  <c r="B274" i="18" s="1"/>
  <c r="D441" i="26"/>
  <c r="E441" i="26"/>
  <c r="E274" i="18" s="1"/>
  <c r="F441" i="26"/>
  <c r="F274" i="18" s="1"/>
  <c r="G441" i="26"/>
  <c r="G274" i="18" s="1"/>
  <c r="I441" i="26"/>
  <c r="I274" i="18" s="1"/>
  <c r="J441" i="26"/>
  <c r="J274" i="18" s="1"/>
  <c r="J442" i="26"/>
  <c r="J275" i="18" s="1"/>
  <c r="E444" i="26"/>
  <c r="F444" i="26"/>
  <c r="G444" i="26"/>
  <c r="H444" i="26"/>
  <c r="I444" i="26"/>
  <c r="J444" i="26"/>
  <c r="E445" i="26"/>
  <c r="F445" i="26"/>
  <c r="G445" i="26"/>
  <c r="H445" i="26"/>
  <c r="I445" i="26"/>
  <c r="J445" i="26"/>
  <c r="E446" i="26"/>
  <c r="E277" i="18" s="1"/>
  <c r="F446" i="26"/>
  <c r="F277" i="18" s="1"/>
  <c r="G446" i="26"/>
  <c r="G277" i="18" s="1"/>
  <c r="H446" i="26"/>
  <c r="H277" i="18" s="1"/>
  <c r="I446" i="26"/>
  <c r="I277" i="18" s="1"/>
  <c r="J446" i="26"/>
  <c r="J277" i="18" s="1"/>
  <c r="D8" i="10"/>
  <c r="E8" i="10"/>
  <c r="F8" i="10"/>
  <c r="D17" i="10" s="1"/>
  <c r="G8" i="10"/>
  <c r="H8" i="10"/>
  <c r="I8" i="10"/>
  <c r="J8" i="10"/>
  <c r="C40" i="10"/>
  <c r="F42" i="10"/>
  <c r="F43" i="10" s="1"/>
  <c r="G42" i="10"/>
  <c r="G43" i="10" s="1"/>
  <c r="H42" i="10"/>
  <c r="H43" i="10" s="1"/>
  <c r="C52" i="10"/>
  <c r="E53" i="10"/>
  <c r="E54" i="10"/>
  <c r="F53" i="10"/>
  <c r="H53" i="10"/>
  <c r="I53" i="10"/>
  <c r="G54" i="10"/>
  <c r="I54" i="10"/>
  <c r="C105" i="10"/>
  <c r="C117" i="10"/>
  <c r="E119" i="10"/>
  <c r="E120" i="10" s="1"/>
  <c r="F119" i="10"/>
  <c r="F120" i="10" s="1"/>
  <c r="G119" i="10"/>
  <c r="G120" i="10" s="1"/>
  <c r="H119" i="10"/>
  <c r="H120" i="10" s="1"/>
  <c r="I119" i="10"/>
  <c r="I120" i="10" s="1"/>
  <c r="C129" i="10"/>
  <c r="E131" i="10"/>
  <c r="E132" i="10" s="1"/>
  <c r="F131" i="10"/>
  <c r="F132" i="10" s="1"/>
  <c r="G131" i="10"/>
  <c r="G132" i="10" s="1"/>
  <c r="H131" i="10"/>
  <c r="H132" i="10" s="1"/>
  <c r="I131" i="10"/>
  <c r="I132" i="10" s="1"/>
  <c r="F169" i="10"/>
  <c r="C141" i="10"/>
  <c r="E143" i="10"/>
  <c r="E144" i="10" s="1"/>
  <c r="E145" i="10" s="1"/>
  <c r="F143" i="10"/>
  <c r="F144" i="10" s="1"/>
  <c r="F145" i="10" s="1"/>
  <c r="F170" i="10"/>
  <c r="D185" i="10" s="1"/>
  <c r="G143" i="10"/>
  <c r="G144" i="10" s="1"/>
  <c r="G145" i="10" s="1"/>
  <c r="H143" i="10"/>
  <c r="H144" i="10" s="1"/>
  <c r="H145" i="10" s="1"/>
  <c r="I143" i="10"/>
  <c r="I144" i="10" s="1"/>
  <c r="C161" i="10"/>
  <c r="C176" i="10" s="1"/>
  <c r="E161" i="10"/>
  <c r="B27" i="10" s="1"/>
  <c r="F161" i="10"/>
  <c r="B28" i="10" s="1"/>
  <c r="G161" i="10"/>
  <c r="H161" i="10"/>
  <c r="I161" i="10"/>
  <c r="C162" i="10"/>
  <c r="C177" i="10" s="1"/>
  <c r="E162" i="10"/>
  <c r="B41" i="10" s="1"/>
  <c r="F162" i="10"/>
  <c r="G162" i="10"/>
  <c r="H162" i="10"/>
  <c r="I162" i="10"/>
  <c r="C163" i="10"/>
  <c r="C178" i="10" s="1"/>
  <c r="E163" i="10"/>
  <c r="B53" i="10" s="1"/>
  <c r="F163" i="10"/>
  <c r="B54" i="10" s="1"/>
  <c r="G163" i="10"/>
  <c r="H163" i="10"/>
  <c r="I163" i="10"/>
  <c r="C164" i="10"/>
  <c r="C179" i="10" s="1"/>
  <c r="E164" i="10"/>
  <c r="B68" i="10" s="1"/>
  <c r="G164" i="10"/>
  <c r="H164" i="10"/>
  <c r="I164" i="10"/>
  <c r="C165" i="10"/>
  <c r="C180" i="10" s="1"/>
  <c r="E165" i="10"/>
  <c r="B81" i="10" s="1"/>
  <c r="F165" i="10"/>
  <c r="B82" i="10" s="1"/>
  <c r="G165" i="10"/>
  <c r="H165" i="10"/>
  <c r="I165" i="10"/>
  <c r="C166" i="10"/>
  <c r="C181" i="10" s="1"/>
  <c r="E166" i="10"/>
  <c r="B93" i="10" s="1"/>
  <c r="F166" i="10"/>
  <c r="D181" i="10" s="1"/>
  <c r="G166" i="10"/>
  <c r="H166" i="10"/>
  <c r="I166" i="10"/>
  <c r="C167" i="10"/>
  <c r="C182" i="10" s="1"/>
  <c r="E167" i="10"/>
  <c r="F167" i="10"/>
  <c r="D182" i="10" s="1"/>
  <c r="G167" i="10"/>
  <c r="H167" i="10"/>
  <c r="I167" i="10"/>
  <c r="C168" i="10"/>
  <c r="C183" i="10" s="1"/>
  <c r="E168" i="10"/>
  <c r="F168" i="10"/>
  <c r="D183" i="10" s="1"/>
  <c r="G168" i="10"/>
  <c r="H168" i="10"/>
  <c r="I168" i="10"/>
  <c r="C169" i="10"/>
  <c r="C184" i="10" s="1"/>
  <c r="E169" i="10"/>
  <c r="G169" i="10"/>
  <c r="H169" i="10"/>
  <c r="I169" i="10"/>
  <c r="C170" i="10"/>
  <c r="C185" i="10" s="1"/>
  <c r="E170" i="10"/>
  <c r="G170" i="10"/>
  <c r="H170" i="10"/>
  <c r="I170" i="10"/>
  <c r="E190" i="10"/>
  <c r="F190" i="10"/>
  <c r="G190" i="10"/>
  <c r="H190" i="10"/>
  <c r="I190" i="10"/>
  <c r="E212" i="10"/>
  <c r="E213" i="10"/>
  <c r="E214" i="10"/>
  <c r="J212" i="10"/>
  <c r="J213" i="10"/>
  <c r="J214" i="10"/>
  <c r="F212" i="10"/>
  <c r="G212" i="10"/>
  <c r="H212" i="10"/>
  <c r="I212" i="10"/>
  <c r="F213" i="10"/>
  <c r="G213" i="10"/>
  <c r="H213" i="10"/>
  <c r="I213" i="10"/>
  <c r="F214" i="10"/>
  <c r="G214" i="10"/>
  <c r="H214" i="10"/>
  <c r="I214" i="10"/>
  <c r="D292" i="10"/>
  <c r="J292" i="10"/>
  <c r="J304" i="18" s="1"/>
  <c r="C294" i="10"/>
  <c r="B306" i="18" s="1"/>
  <c r="D294" i="10"/>
  <c r="C306" i="18" s="1"/>
  <c r="E294" i="10"/>
  <c r="F294" i="10"/>
  <c r="F306" i="18" s="1"/>
  <c r="G294" i="10"/>
  <c r="G306" i="18" s="1"/>
  <c r="H294" i="10"/>
  <c r="H306" i="18" s="1"/>
  <c r="I294" i="10"/>
  <c r="I306" i="18" s="1"/>
  <c r="J294" i="10"/>
  <c r="J306" i="18" s="1"/>
  <c r="C295" i="10"/>
  <c r="B307" i="18" s="1"/>
  <c r="D295" i="10"/>
  <c r="C307" i="18" s="1"/>
  <c r="E295" i="10"/>
  <c r="E307" i="18" s="1"/>
  <c r="F295" i="10"/>
  <c r="F307" i="18" s="1"/>
  <c r="G295" i="10"/>
  <c r="H295" i="10"/>
  <c r="H307" i="18" s="1"/>
  <c r="I295" i="10"/>
  <c r="I307" i="18" s="1"/>
  <c r="J295" i="10"/>
  <c r="J307" i="18" s="1"/>
  <c r="C296" i="10"/>
  <c r="D296" i="10"/>
  <c r="E296" i="10"/>
  <c r="F296" i="10"/>
  <c r="G296" i="10"/>
  <c r="H296" i="10"/>
  <c r="I296" i="10"/>
  <c r="J296" i="10"/>
  <c r="C297" i="10"/>
  <c r="B308" i="18" s="1"/>
  <c r="D297" i="10"/>
  <c r="C308" i="18" s="1"/>
  <c r="E297" i="10"/>
  <c r="E308" i="18" s="1"/>
  <c r="F297" i="10"/>
  <c r="F308" i="18" s="1"/>
  <c r="G297" i="10"/>
  <c r="G308" i="18" s="1"/>
  <c r="H297" i="10"/>
  <c r="H308" i="18" s="1"/>
  <c r="I297" i="10"/>
  <c r="J297" i="10"/>
  <c r="J308" i="18" s="1"/>
  <c r="C298" i="10"/>
  <c r="B309" i="18" s="1"/>
  <c r="D298" i="10"/>
  <c r="C309" i="18" s="1"/>
  <c r="F298" i="10"/>
  <c r="F309" i="18" s="1"/>
  <c r="G298" i="10"/>
  <c r="G309" i="18" s="1"/>
  <c r="H298" i="10"/>
  <c r="H309" i="18" s="1"/>
  <c r="I298" i="10"/>
  <c r="I309" i="18" s="1"/>
  <c r="J298" i="10"/>
  <c r="J309" i="18" s="1"/>
  <c r="C299" i="10"/>
  <c r="B310" i="18" s="1"/>
  <c r="D299" i="10"/>
  <c r="C310" i="18" s="1"/>
  <c r="E299" i="10"/>
  <c r="E310" i="18" s="1"/>
  <c r="F299" i="10"/>
  <c r="F310" i="18" s="1"/>
  <c r="G299" i="10"/>
  <c r="G310" i="18" s="1"/>
  <c r="H299" i="10"/>
  <c r="H310" i="18" s="1"/>
  <c r="I299" i="10"/>
  <c r="I310" i="18" s="1"/>
  <c r="J299" i="10"/>
  <c r="J310" i="18" s="1"/>
  <c r="C300" i="10"/>
  <c r="B311" i="18" s="1"/>
  <c r="D300" i="10"/>
  <c r="C311" i="18" s="1"/>
  <c r="E300" i="10"/>
  <c r="E311" i="18" s="1"/>
  <c r="F300" i="10"/>
  <c r="F311" i="18" s="1"/>
  <c r="G300" i="10"/>
  <c r="G311" i="18" s="1"/>
  <c r="H300" i="10"/>
  <c r="H311" i="18" s="1"/>
  <c r="I300" i="10"/>
  <c r="I311" i="18" s="1"/>
  <c r="J300" i="10"/>
  <c r="C301" i="10"/>
  <c r="B312" i="18" s="1"/>
  <c r="D301" i="10"/>
  <c r="C312" i="18" s="1"/>
  <c r="E301" i="10"/>
  <c r="E312" i="18" s="1"/>
  <c r="F301" i="10"/>
  <c r="F312" i="18" s="1"/>
  <c r="G301" i="10"/>
  <c r="G312" i="18" s="1"/>
  <c r="H301" i="10"/>
  <c r="I301" i="10"/>
  <c r="I312" i="18" s="1"/>
  <c r="J301" i="10"/>
  <c r="C302" i="10"/>
  <c r="B313" i="18" s="1"/>
  <c r="D302" i="10"/>
  <c r="C313" i="18" s="1"/>
  <c r="E302" i="10"/>
  <c r="E313" i="18" s="1"/>
  <c r="F302" i="10"/>
  <c r="F313" i="18" s="1"/>
  <c r="G302" i="10"/>
  <c r="G313" i="18" s="1"/>
  <c r="H302" i="10"/>
  <c r="H313" i="18" s="1"/>
  <c r="I302" i="10"/>
  <c r="I313" i="18" s="1"/>
  <c r="J302" i="10"/>
  <c r="C303" i="10"/>
  <c r="D303" i="10"/>
  <c r="E303" i="10"/>
  <c r="F303" i="10"/>
  <c r="G303" i="10"/>
  <c r="H303" i="10"/>
  <c r="I303" i="10"/>
  <c r="J303" i="10"/>
  <c r="C304" i="10"/>
  <c r="B314" i="18" s="1"/>
  <c r="D304" i="10"/>
  <c r="C314" i="18" s="1"/>
  <c r="E304" i="10"/>
  <c r="E314" i="18" s="1"/>
  <c r="F304" i="10"/>
  <c r="F314" i="18" s="1"/>
  <c r="G304" i="10"/>
  <c r="G314" i="18" s="1"/>
  <c r="H304" i="10"/>
  <c r="H314" i="18" s="1"/>
  <c r="I304" i="10"/>
  <c r="I314" i="18" s="1"/>
  <c r="J304" i="10"/>
  <c r="J314" i="18" s="1"/>
  <c r="C305" i="10"/>
  <c r="J305" i="10"/>
  <c r="J315" i="18" s="1"/>
  <c r="C306" i="10"/>
  <c r="E306" i="10"/>
  <c r="E316" i="18" s="1"/>
  <c r="F306" i="10"/>
  <c r="F316" i="18" s="1"/>
  <c r="G306" i="10"/>
  <c r="G316" i="18" s="1"/>
  <c r="H306" i="10"/>
  <c r="H316" i="18" s="1"/>
  <c r="I306" i="10"/>
  <c r="I316" i="18" s="1"/>
  <c r="E307" i="10"/>
  <c r="E317" i="18" s="1"/>
  <c r="F307" i="10"/>
  <c r="F317" i="18" s="1"/>
  <c r="G307" i="10"/>
  <c r="G317" i="18" s="1"/>
  <c r="H307" i="10"/>
  <c r="H317" i="18" s="1"/>
  <c r="I307" i="10"/>
  <c r="I317" i="18" s="1"/>
  <c r="J307" i="10"/>
  <c r="J317" i="18" s="1"/>
  <c r="E308" i="10"/>
  <c r="E318" i="18" s="1"/>
  <c r="F308" i="10"/>
  <c r="F318" i="18" s="1"/>
  <c r="G308" i="10"/>
  <c r="G318" i="18" s="1"/>
  <c r="H308" i="10"/>
  <c r="H318" i="18" s="1"/>
  <c r="I308" i="10"/>
  <c r="I318" i="18" s="1"/>
  <c r="J308" i="10"/>
  <c r="J318" i="18" s="1"/>
  <c r="E309" i="10"/>
  <c r="F309" i="10"/>
  <c r="G309" i="10"/>
  <c r="H309" i="10"/>
  <c r="I309" i="10"/>
  <c r="J309" i="10"/>
  <c r="J319" i="18" s="1"/>
  <c r="D312" i="10"/>
  <c r="J312" i="10"/>
  <c r="C314" i="10"/>
  <c r="B488" i="18" s="1"/>
  <c r="D314" i="10"/>
  <c r="C488" i="18" s="1"/>
  <c r="E314" i="10"/>
  <c r="F314" i="10"/>
  <c r="F488" i="18" s="1"/>
  <c r="G314" i="10"/>
  <c r="G488" i="18" s="1"/>
  <c r="H314" i="10"/>
  <c r="I314" i="10"/>
  <c r="I488" i="18" s="1"/>
  <c r="J314" i="10"/>
  <c r="J488" i="18" s="1"/>
  <c r="C315" i="10"/>
  <c r="B489" i="18" s="1"/>
  <c r="D315" i="10"/>
  <c r="C489" i="18" s="1"/>
  <c r="E315" i="10"/>
  <c r="F315" i="10"/>
  <c r="F489" i="18" s="1"/>
  <c r="G315" i="10"/>
  <c r="H315" i="10"/>
  <c r="H489" i="18" s="1"/>
  <c r="I315" i="10"/>
  <c r="I489" i="18" s="1"/>
  <c r="J315" i="10"/>
  <c r="J489" i="18" s="1"/>
  <c r="C316" i="10"/>
  <c r="D316" i="10"/>
  <c r="E316" i="10"/>
  <c r="F316" i="10"/>
  <c r="G316" i="10"/>
  <c r="H316" i="10"/>
  <c r="I316" i="10"/>
  <c r="J316" i="10"/>
  <c r="C317" i="10"/>
  <c r="B490" i="18" s="1"/>
  <c r="D317" i="10"/>
  <c r="C490" i="18" s="1"/>
  <c r="E317" i="10"/>
  <c r="E490" i="18" s="1"/>
  <c r="F317" i="10"/>
  <c r="F490" i="18" s="1"/>
  <c r="G317" i="10"/>
  <c r="G490" i="18" s="1"/>
  <c r="H317" i="10"/>
  <c r="H490" i="18" s="1"/>
  <c r="I317" i="10"/>
  <c r="I490" i="18" s="1"/>
  <c r="J317" i="10"/>
  <c r="J490" i="18" s="1"/>
  <c r="C318" i="10"/>
  <c r="B491" i="18" s="1"/>
  <c r="D318" i="10"/>
  <c r="C491" i="18" s="1"/>
  <c r="E318" i="10"/>
  <c r="F318" i="10"/>
  <c r="F491" i="18" s="1"/>
  <c r="G318" i="10"/>
  <c r="G151" i="11" s="1"/>
  <c r="H318" i="10"/>
  <c r="H491" i="18" s="1"/>
  <c r="I318" i="10"/>
  <c r="I491" i="18" s="1"/>
  <c r="J318" i="10"/>
  <c r="J491" i="18" s="1"/>
  <c r="C319" i="10"/>
  <c r="B492" i="18" s="1"/>
  <c r="D319" i="10"/>
  <c r="C492" i="18" s="1"/>
  <c r="E319" i="10"/>
  <c r="E492" i="18" s="1"/>
  <c r="F319" i="10"/>
  <c r="F492" i="18" s="1"/>
  <c r="G319" i="10"/>
  <c r="G492" i="18" s="1"/>
  <c r="H319" i="10"/>
  <c r="H492" i="18" s="1"/>
  <c r="I319" i="10"/>
  <c r="I492" i="18" s="1"/>
  <c r="J319" i="10"/>
  <c r="J492" i="18" s="1"/>
  <c r="C320" i="10"/>
  <c r="B493" i="18" s="1"/>
  <c r="D320" i="10"/>
  <c r="C493" i="18" s="1"/>
  <c r="E320" i="10"/>
  <c r="E493" i="18" s="1"/>
  <c r="F320" i="10"/>
  <c r="F493" i="18" s="1"/>
  <c r="G320" i="10"/>
  <c r="G493" i="18" s="1"/>
  <c r="H320" i="10"/>
  <c r="H493" i="18" s="1"/>
  <c r="I320" i="10"/>
  <c r="I493" i="18" s="1"/>
  <c r="J320" i="10"/>
  <c r="J493" i="18" s="1"/>
  <c r="C321" i="10"/>
  <c r="B494" i="18" s="1"/>
  <c r="D321" i="10"/>
  <c r="C494" i="18" s="1"/>
  <c r="E321" i="10"/>
  <c r="E494" i="18" s="1"/>
  <c r="F321" i="10"/>
  <c r="G321" i="10"/>
  <c r="G494" i="18" s="1"/>
  <c r="H321" i="10"/>
  <c r="H494" i="18" s="1"/>
  <c r="I321" i="10"/>
  <c r="I494" i="18" s="1"/>
  <c r="J321" i="10"/>
  <c r="J494" i="18" s="1"/>
  <c r="C322" i="10"/>
  <c r="D322" i="10"/>
  <c r="E322" i="10"/>
  <c r="F322" i="10"/>
  <c r="G322" i="10"/>
  <c r="H322" i="10"/>
  <c r="I322" i="10"/>
  <c r="J322" i="10"/>
  <c r="C323" i="10"/>
  <c r="D323" i="10"/>
  <c r="E323" i="10"/>
  <c r="F323" i="10"/>
  <c r="G323" i="10"/>
  <c r="H323" i="10"/>
  <c r="I323" i="10"/>
  <c r="J323" i="10"/>
  <c r="C324" i="10"/>
  <c r="B495" i="18" s="1"/>
  <c r="D324" i="10"/>
  <c r="C495" i="18" s="1"/>
  <c r="E324" i="10"/>
  <c r="E495" i="18" s="1"/>
  <c r="F324" i="10"/>
  <c r="F495" i="18" s="1"/>
  <c r="G324" i="10"/>
  <c r="G495" i="18" s="1"/>
  <c r="H324" i="10"/>
  <c r="H495" i="18" s="1"/>
  <c r="I324" i="10"/>
  <c r="I495" i="18" s="1"/>
  <c r="J324" i="10"/>
  <c r="J495" i="18" s="1"/>
  <c r="C325" i="10"/>
  <c r="J325" i="10"/>
  <c r="J496" i="18" s="1"/>
  <c r="C326" i="10"/>
  <c r="E326" i="10"/>
  <c r="E497" i="18" s="1"/>
  <c r="F326" i="10"/>
  <c r="F497" i="18" s="1"/>
  <c r="G326" i="10"/>
  <c r="G497" i="18" s="1"/>
  <c r="H326" i="10"/>
  <c r="H497" i="18" s="1"/>
  <c r="I326" i="10"/>
  <c r="I497" i="18" s="1"/>
  <c r="E327" i="10"/>
  <c r="E498" i="18" s="1"/>
  <c r="F327" i="10"/>
  <c r="F498" i="18" s="1"/>
  <c r="G327" i="10"/>
  <c r="G498" i="18" s="1"/>
  <c r="H327" i="10"/>
  <c r="H498" i="18" s="1"/>
  <c r="I327" i="10"/>
  <c r="I498" i="18" s="1"/>
  <c r="J327" i="10"/>
  <c r="J498" i="18" s="1"/>
  <c r="E328" i="10"/>
  <c r="E499" i="18" s="1"/>
  <c r="F328" i="10"/>
  <c r="F499" i="18" s="1"/>
  <c r="G328" i="10"/>
  <c r="G499" i="18" s="1"/>
  <c r="H328" i="10"/>
  <c r="H499" i="18" s="1"/>
  <c r="I328" i="10"/>
  <c r="I499" i="18" s="1"/>
  <c r="J328" i="10"/>
  <c r="J499" i="18" s="1"/>
  <c r="E329" i="10"/>
  <c r="F329" i="10"/>
  <c r="G329" i="10"/>
  <c r="H329" i="10"/>
  <c r="I329" i="10"/>
  <c r="J329" i="10"/>
  <c r="J500" i="18" s="1"/>
  <c r="E5" i="8"/>
  <c r="E6" i="8"/>
  <c r="C35" i="8"/>
  <c r="C5" i="27" s="1"/>
  <c r="C14" i="27" s="1"/>
  <c r="E7" i="8"/>
  <c r="E8" i="8"/>
  <c r="C9" i="8"/>
  <c r="B64" i="2" s="1"/>
  <c r="E9" i="8"/>
  <c r="C10" i="8"/>
  <c r="B128" i="4" s="1"/>
  <c r="E10" i="8"/>
  <c r="C11" i="8"/>
  <c r="E11" i="8"/>
  <c r="C12" i="8"/>
  <c r="E12" i="8"/>
  <c r="C13" i="8"/>
  <c r="E13" i="8"/>
  <c r="C14" i="8"/>
  <c r="E14" i="8"/>
  <c r="C15" i="8"/>
  <c r="E15" i="8"/>
  <c r="C16" i="8"/>
  <c r="E16" i="8"/>
  <c r="C17" i="8"/>
  <c r="E17" i="8"/>
  <c r="C18" i="8"/>
  <c r="E18" i="8"/>
  <c r="C19" i="8"/>
  <c r="E19" i="8"/>
  <c r="C20" i="8"/>
  <c r="E20" i="8"/>
  <c r="C21" i="8"/>
  <c r="C22" i="8"/>
  <c r="B187" i="4" s="1"/>
  <c r="C23" i="8"/>
  <c r="C26" i="8"/>
  <c r="C6" i="10" s="1"/>
  <c r="C15" i="10" s="1"/>
  <c r="C27" i="8"/>
  <c r="B97" i="8" s="1"/>
  <c r="C28" i="8"/>
  <c r="C8" i="10" s="1"/>
  <c r="C17" i="10" s="1"/>
  <c r="C33" i="8"/>
  <c r="C34" i="8"/>
  <c r="B188" i="8" s="1"/>
  <c r="C36" i="8"/>
  <c r="B190" i="8" s="1"/>
  <c r="C37" i="8"/>
  <c r="C7" i="27" s="1"/>
  <c r="C16" i="27" s="1"/>
  <c r="C38" i="8"/>
  <c r="C8" i="27" s="1"/>
  <c r="C17" i="27" s="1"/>
  <c r="C39" i="8"/>
  <c r="C80" i="28" s="1"/>
  <c r="C40" i="8"/>
  <c r="C5" i="28" s="1"/>
  <c r="C14" i="28" s="1"/>
  <c r="C41" i="8"/>
  <c r="B235" i="8" s="1"/>
  <c r="C42" i="8"/>
  <c r="C7" i="28" s="1"/>
  <c r="C16" i="28" s="1"/>
  <c r="C43" i="8"/>
  <c r="C8" i="28" s="1"/>
  <c r="C17" i="28" s="1"/>
  <c r="C44" i="8"/>
  <c r="C4" i="29" s="1"/>
  <c r="C13" i="29" s="1"/>
  <c r="D22" i="29" s="1"/>
  <c r="C165" i="29" s="1"/>
  <c r="C45" i="8"/>
  <c r="C5" i="29" s="1"/>
  <c r="C14" i="29" s="1"/>
  <c r="C46" i="8"/>
  <c r="C6" i="29" s="1"/>
  <c r="C15" i="29" s="1"/>
  <c r="C47" i="8"/>
  <c r="C7" i="29" s="1"/>
  <c r="C16" i="29" s="1"/>
  <c r="C48" i="8"/>
  <c r="C8" i="29" s="1"/>
  <c r="C17" i="29" s="1"/>
  <c r="C49" i="8"/>
  <c r="C4" i="30" s="1"/>
  <c r="C13" i="30" s="1"/>
  <c r="D22" i="30" s="1"/>
  <c r="C165" i="30" s="1"/>
  <c r="C50" i="8"/>
  <c r="C5" i="30" s="1"/>
  <c r="C14" i="30" s="1"/>
  <c r="C51" i="8"/>
  <c r="C6" i="30" s="1"/>
  <c r="C15" i="30" s="1"/>
  <c r="C52" i="8"/>
  <c r="C7" i="30" s="1"/>
  <c r="C16" i="30" s="1"/>
  <c r="C53" i="8"/>
  <c r="C8" i="30" s="1"/>
  <c r="C17" i="30" s="1"/>
  <c r="C54" i="8"/>
  <c r="D545" i="11" s="1"/>
  <c r="C60" i="8"/>
  <c r="C62" i="8"/>
  <c r="C79" i="8"/>
  <c r="D79" i="8"/>
  <c r="E79" i="8"/>
  <c r="F79" i="8"/>
  <c r="G79" i="8"/>
  <c r="H79" i="8"/>
  <c r="I79" i="8"/>
  <c r="J79" i="8"/>
  <c r="D85" i="8"/>
  <c r="M85" i="8"/>
  <c r="D86" i="8"/>
  <c r="D87" i="8"/>
  <c r="D88" i="8"/>
  <c r="C104" i="8"/>
  <c r="D104" i="8"/>
  <c r="E104" i="8"/>
  <c r="F104" i="8"/>
  <c r="G104" i="8"/>
  <c r="H104" i="8"/>
  <c r="I104" i="8"/>
  <c r="J104" i="8"/>
  <c r="J105" i="8"/>
  <c r="J112" i="8" s="1"/>
  <c r="J106" i="8"/>
  <c r="J4" i="10" s="1"/>
  <c r="J107" i="8"/>
  <c r="J5" i="10" s="1"/>
  <c r="J108" i="8"/>
  <c r="J6" i="10" s="1"/>
  <c r="J109" i="8"/>
  <c r="J7" i="10" s="1"/>
  <c r="F150" i="8"/>
  <c r="D150" i="8" s="1"/>
  <c r="D4" i="26" s="1"/>
  <c r="F152" i="8"/>
  <c r="I152" i="8" s="1"/>
  <c r="I6" i="26" s="1"/>
  <c r="F153" i="8"/>
  <c r="E153" i="8" s="1"/>
  <c r="E7" i="26" s="1"/>
  <c r="C156" i="8"/>
  <c r="D156" i="8"/>
  <c r="E156" i="8"/>
  <c r="F156" i="8"/>
  <c r="G156" i="8"/>
  <c r="H156" i="8"/>
  <c r="I156" i="8"/>
  <c r="J156" i="8"/>
  <c r="D175" i="8"/>
  <c r="M175" i="8"/>
  <c r="D176" i="8"/>
  <c r="D177" i="8"/>
  <c r="D178" i="8"/>
  <c r="J194" i="8"/>
  <c r="J201" i="8" s="1"/>
  <c r="J195" i="8"/>
  <c r="J4" i="27" s="1"/>
  <c r="J196" i="8"/>
  <c r="J5" i="27" s="1"/>
  <c r="J197" i="8"/>
  <c r="J6" i="27" s="1"/>
  <c r="J198" i="8"/>
  <c r="J7" i="27" s="1"/>
  <c r="C219" i="8"/>
  <c r="C220" i="8"/>
  <c r="J239" i="8"/>
  <c r="J246" i="8" s="1"/>
  <c r="J240" i="8"/>
  <c r="J4" i="28" s="1"/>
  <c r="J241" i="8"/>
  <c r="J5" i="28" s="1"/>
  <c r="J242" i="8"/>
  <c r="J6" i="28" s="1"/>
  <c r="J243" i="8"/>
  <c r="J7" i="28" s="1"/>
  <c r="E264" i="8"/>
  <c r="F264" i="8" s="1"/>
  <c r="F271" i="8" s="1"/>
  <c r="E289" i="8"/>
  <c r="D289" i="8" s="1"/>
  <c r="D296" i="8" s="1"/>
  <c r="C312" i="8"/>
  <c r="C313" i="8" s="1"/>
  <c r="D312" i="8"/>
  <c r="D313" i="8" s="1"/>
  <c r="E312" i="8"/>
  <c r="E313" i="8" s="1"/>
  <c r="F312" i="8"/>
  <c r="G312" i="8"/>
  <c r="G313" i="8" s="1"/>
  <c r="H312" i="8"/>
  <c r="H313" i="8" s="1"/>
  <c r="I312" i="8"/>
  <c r="J312" i="8"/>
  <c r="O335" i="8"/>
  <c r="F335" i="8" s="1"/>
  <c r="O336" i="8"/>
  <c r="P336" i="8"/>
  <c r="O337" i="8"/>
  <c r="P337" i="8"/>
  <c r="A5" i="31"/>
  <c r="E5" i="31"/>
  <c r="C5" i="31" s="1"/>
  <c r="A6" i="31"/>
  <c r="A8" i="31"/>
  <c r="E8" i="31"/>
  <c r="D8" i="31" s="1"/>
  <c r="A9" i="31"/>
  <c r="C14" i="31"/>
  <c r="D14" i="31"/>
  <c r="E14" i="31"/>
  <c r="C16" i="31"/>
  <c r="D16" i="31"/>
  <c r="E16" i="31"/>
  <c r="K2" i="64"/>
  <c r="F4" i="64"/>
  <c r="G4" i="64"/>
  <c r="H4" i="64"/>
  <c r="F29" i="64"/>
  <c r="G29" i="64"/>
  <c r="H29" i="64"/>
  <c r="F43" i="64"/>
  <c r="G43" i="64"/>
  <c r="H43" i="64"/>
  <c r="E54" i="64"/>
  <c r="F54" i="64"/>
  <c r="G54" i="64"/>
  <c r="I54" i="64"/>
  <c r="E65" i="64"/>
  <c r="F65" i="64"/>
  <c r="H65" i="64"/>
  <c r="I65" i="64"/>
  <c r="F71" i="64"/>
  <c r="G71" i="64"/>
  <c r="H71" i="64"/>
  <c r="F87" i="64"/>
  <c r="G87" i="64"/>
  <c r="H87" i="64"/>
  <c r="F101" i="64"/>
  <c r="G101" i="64"/>
  <c r="H101" i="64"/>
  <c r="E112" i="64"/>
  <c r="F112" i="64"/>
  <c r="G112" i="64"/>
  <c r="I112" i="64"/>
  <c r="E123" i="64"/>
  <c r="F123" i="64"/>
  <c r="H123" i="64"/>
  <c r="I123" i="64"/>
  <c r="F128" i="64"/>
  <c r="G128" i="64"/>
  <c r="H128" i="64"/>
  <c r="F144" i="64"/>
  <c r="G144" i="64"/>
  <c r="H144" i="64"/>
  <c r="E147" i="64"/>
  <c r="F147" i="64"/>
  <c r="G147" i="64"/>
  <c r="H147" i="64"/>
  <c r="F149" i="64"/>
  <c r="G149" i="64"/>
  <c r="I149" i="64"/>
  <c r="F155" i="64"/>
  <c r="G155" i="64"/>
  <c r="H155" i="64"/>
  <c r="E158" i="64"/>
  <c r="F158" i="64"/>
  <c r="G158" i="64"/>
  <c r="H158" i="64"/>
  <c r="I158" i="64"/>
  <c r="E172" i="64"/>
  <c r="F172" i="64"/>
  <c r="G172" i="64"/>
  <c r="H172" i="64"/>
  <c r="I172" i="64"/>
  <c r="F189" i="64"/>
  <c r="G189" i="64"/>
  <c r="H189" i="64"/>
  <c r="E191" i="64"/>
  <c r="F191" i="64"/>
  <c r="G191" i="64"/>
  <c r="H191" i="64"/>
  <c r="I191" i="64"/>
  <c r="E201" i="64"/>
  <c r="F201" i="64"/>
  <c r="H201" i="64"/>
  <c r="F204" i="64"/>
  <c r="G204" i="64"/>
  <c r="H204" i="64"/>
  <c r="F207" i="64"/>
  <c r="G207" i="64"/>
  <c r="H207" i="64"/>
  <c r="F245" i="64"/>
  <c r="G245" i="64"/>
  <c r="H245" i="64"/>
  <c r="I245" i="64"/>
  <c r="F264" i="64"/>
  <c r="G264" i="64"/>
  <c r="H264" i="64"/>
  <c r="I264" i="64"/>
  <c r="F276" i="64"/>
  <c r="G276" i="64"/>
  <c r="H276" i="64"/>
  <c r="K1" i="18"/>
  <c r="F3" i="18"/>
  <c r="G3" i="18"/>
  <c r="H3" i="18"/>
  <c r="F4" i="18"/>
  <c r="G4" i="18"/>
  <c r="H4" i="18"/>
  <c r="I4" i="18"/>
  <c r="K6" i="18"/>
  <c r="F15" i="18"/>
  <c r="G15" i="18"/>
  <c r="H15" i="18"/>
  <c r="F57" i="18"/>
  <c r="G57" i="18"/>
  <c r="H57" i="18"/>
  <c r="E62" i="18"/>
  <c r="F62" i="18"/>
  <c r="G62" i="18"/>
  <c r="H62" i="18"/>
  <c r="I62" i="18"/>
  <c r="E92" i="18"/>
  <c r="F92" i="18"/>
  <c r="G92" i="18"/>
  <c r="H92" i="18"/>
  <c r="I92" i="18"/>
  <c r="E116" i="18"/>
  <c r="F116" i="18"/>
  <c r="G116" i="18"/>
  <c r="H116" i="18"/>
  <c r="I116" i="18"/>
  <c r="F138" i="18"/>
  <c r="G138" i="18"/>
  <c r="H138" i="18"/>
  <c r="B145" i="18"/>
  <c r="B146" i="18"/>
  <c r="B147" i="18"/>
  <c r="B148" i="18"/>
  <c r="B149" i="18"/>
  <c r="B151" i="18"/>
  <c r="B158" i="18"/>
  <c r="B160" i="18"/>
  <c r="B162" i="18"/>
  <c r="F165" i="18"/>
  <c r="G165" i="18"/>
  <c r="H165" i="18"/>
  <c r="B169" i="18"/>
  <c r="B170" i="18"/>
  <c r="B171" i="18"/>
  <c r="B172" i="18"/>
  <c r="B173" i="18"/>
  <c r="B174" i="18"/>
  <c r="B175" i="18"/>
  <c r="B176" i="18"/>
  <c r="B177" i="18"/>
  <c r="F181" i="18"/>
  <c r="G181" i="18"/>
  <c r="H181" i="18"/>
  <c r="F196" i="18"/>
  <c r="G196" i="18"/>
  <c r="H196" i="18"/>
  <c r="C203" i="18"/>
  <c r="C204" i="18"/>
  <c r="J204" i="18"/>
  <c r="B205" i="18"/>
  <c r="C205" i="18"/>
  <c r="F220" i="18"/>
  <c r="G220" i="18"/>
  <c r="H220" i="18"/>
  <c r="I220" i="18"/>
  <c r="C224" i="18"/>
  <c r="J228" i="18"/>
  <c r="B229" i="18"/>
  <c r="F244" i="18"/>
  <c r="G244" i="18"/>
  <c r="H244" i="18"/>
  <c r="I244" i="18"/>
  <c r="J252" i="18"/>
  <c r="B253" i="18"/>
  <c r="E261" i="18"/>
  <c r="F261" i="18"/>
  <c r="G261" i="18"/>
  <c r="H261" i="18"/>
  <c r="I261" i="18"/>
  <c r="F268" i="18"/>
  <c r="G268" i="18"/>
  <c r="H268" i="18"/>
  <c r="I268" i="18"/>
  <c r="J276" i="18"/>
  <c r="B277" i="18"/>
  <c r="F279" i="18"/>
  <c r="G279" i="18"/>
  <c r="H279" i="18"/>
  <c r="G297" i="18"/>
  <c r="H297" i="18"/>
  <c r="C304" i="18"/>
  <c r="F305" i="18"/>
  <c r="G305" i="18"/>
  <c r="H305" i="18"/>
  <c r="I305" i="18"/>
  <c r="F333" i="18"/>
  <c r="G333" i="18"/>
  <c r="B342" i="18"/>
  <c r="F342" i="18"/>
  <c r="G342" i="18"/>
  <c r="H342" i="18"/>
  <c r="C351" i="18"/>
  <c r="J351" i="18"/>
  <c r="E370" i="18"/>
  <c r="F370" i="18"/>
  <c r="H370" i="18"/>
  <c r="I370" i="18"/>
  <c r="F378" i="18"/>
  <c r="G378" i="18"/>
  <c r="H378" i="18"/>
  <c r="F394" i="18"/>
  <c r="G394" i="18"/>
  <c r="H394" i="18"/>
  <c r="F461" i="18"/>
  <c r="G461" i="18"/>
  <c r="H461" i="18"/>
  <c r="F479" i="18"/>
  <c r="G479" i="18"/>
  <c r="H479" i="18"/>
  <c r="F487" i="18"/>
  <c r="G487" i="18"/>
  <c r="H487" i="18"/>
  <c r="J497" i="18"/>
  <c r="F514" i="18"/>
  <c r="G514" i="18"/>
  <c r="H514" i="18"/>
  <c r="B521" i="18"/>
  <c r="I521" i="18"/>
  <c r="F522" i="18"/>
  <c r="G522" i="18"/>
  <c r="H522" i="18"/>
  <c r="E549" i="18"/>
  <c r="F549" i="18"/>
  <c r="I549" i="18"/>
  <c r="F557" i="18"/>
  <c r="G557" i="18"/>
  <c r="H557" i="18"/>
  <c r="J558" i="18"/>
  <c r="B560" i="18"/>
  <c r="J561" i="18"/>
  <c r="J565" i="18"/>
  <c r="F569" i="18"/>
  <c r="F572" i="18"/>
  <c r="G572" i="18"/>
  <c r="H572" i="18"/>
  <c r="F639" i="18"/>
  <c r="G639" i="18"/>
  <c r="H639" i="18"/>
  <c r="E641" i="18"/>
  <c r="F641" i="18"/>
  <c r="G641" i="18"/>
  <c r="H641" i="18"/>
  <c r="E642" i="18"/>
  <c r="F642" i="18"/>
  <c r="G642" i="18"/>
  <c r="H642" i="18"/>
  <c r="K644" i="18"/>
  <c r="E647" i="18"/>
  <c r="F647" i="18"/>
  <c r="G647" i="18"/>
  <c r="I647" i="18"/>
  <c r="G648" i="18"/>
  <c r="H648" i="18"/>
  <c r="I648" i="18"/>
  <c r="G654" i="18"/>
  <c r="H654" i="18"/>
  <c r="F659" i="18"/>
  <c r="G659" i="18"/>
  <c r="H659" i="18"/>
  <c r="E661" i="18"/>
  <c r="F661" i="18"/>
  <c r="G661" i="18"/>
  <c r="H661" i="18"/>
  <c r="I661" i="18"/>
  <c r="F674" i="18"/>
  <c r="G674" i="18"/>
  <c r="H674" i="18"/>
  <c r="I674" i="18"/>
  <c r="E676" i="18"/>
  <c r="F676" i="18"/>
  <c r="G676" i="18"/>
  <c r="H676" i="18"/>
  <c r="I676" i="18"/>
  <c r="F689" i="18"/>
  <c r="G689" i="18"/>
  <c r="H689" i="18"/>
  <c r="E691" i="18"/>
  <c r="F691" i="18"/>
  <c r="G691" i="18"/>
  <c r="H691" i="18"/>
  <c r="I691" i="18"/>
  <c r="F698" i="18"/>
  <c r="G698" i="18"/>
  <c r="H698" i="18"/>
  <c r="E700" i="18"/>
  <c r="F700" i="18"/>
  <c r="G700" i="18"/>
  <c r="H700" i="18"/>
  <c r="I700" i="18"/>
  <c r="E710" i="18"/>
  <c r="F710" i="18"/>
  <c r="H710" i="18"/>
  <c r="F716" i="18"/>
  <c r="G716" i="18"/>
  <c r="H716" i="18"/>
  <c r="F733" i="18"/>
  <c r="G733" i="18"/>
  <c r="H733" i="18"/>
  <c r="F752" i="18"/>
  <c r="G752" i="18"/>
  <c r="H752" i="18"/>
  <c r="F811" i="18"/>
  <c r="G811" i="18"/>
  <c r="H811" i="18"/>
  <c r="F848" i="18"/>
  <c r="G848" i="18"/>
  <c r="H848" i="18"/>
  <c r="F867" i="18"/>
  <c r="G867" i="18"/>
  <c r="H867" i="18"/>
  <c r="F879" i="18"/>
  <c r="G879" i="18"/>
  <c r="H879" i="18"/>
  <c r="A155" i="4"/>
  <c r="D155" i="4"/>
  <c r="D177" i="4"/>
  <c r="A233" i="4"/>
  <c r="D154" i="7" s="1"/>
  <c r="D14" i="7"/>
  <c r="D27" i="7"/>
  <c r="D37" i="7"/>
  <c r="D47" i="7"/>
  <c r="D50" i="7"/>
  <c r="D51" i="7"/>
  <c r="D57" i="7"/>
  <c r="D63" i="7"/>
  <c r="D69" i="7"/>
  <c r="D75" i="7"/>
  <c r="D78" i="7"/>
  <c r="D79" i="7"/>
  <c r="D93" i="7"/>
  <c r="M108" i="7"/>
  <c r="M109" i="7"/>
  <c r="M110" i="7"/>
  <c r="M111" i="7"/>
  <c r="D112" i="7"/>
  <c r="M112" i="7"/>
  <c r="M113" i="7"/>
  <c r="H114" i="7"/>
  <c r="M114" i="7"/>
  <c r="M115" i="7"/>
  <c r="M116" i="7"/>
  <c r="M117" i="7"/>
  <c r="D118" i="7"/>
  <c r="M118" i="7"/>
  <c r="M119" i="7"/>
  <c r="M120" i="7"/>
  <c r="M121" i="7"/>
  <c r="M122" i="7"/>
  <c r="M123" i="7"/>
  <c r="D124" i="7"/>
  <c r="M124" i="7"/>
  <c r="M125" i="7"/>
  <c r="M126" i="7"/>
  <c r="M127" i="7"/>
  <c r="M128" i="7"/>
  <c r="M129" i="7"/>
  <c r="D130" i="7"/>
  <c r="M130" i="7"/>
  <c r="M131" i="7"/>
  <c r="M132" i="7"/>
  <c r="M133" i="7"/>
  <c r="M134" i="7"/>
  <c r="M135" i="7"/>
  <c r="M136" i="7"/>
  <c r="M137" i="7"/>
  <c r="M138" i="7"/>
  <c r="M139" i="7"/>
  <c r="H140" i="7"/>
  <c r="M140" i="7"/>
  <c r="M141" i="7"/>
  <c r="M142" i="7"/>
  <c r="M143" i="7"/>
  <c r="M144" i="7"/>
  <c r="M145" i="7"/>
  <c r="M146" i="7"/>
  <c r="M147" i="7"/>
  <c r="M148" i="7"/>
  <c r="D151" i="7"/>
  <c r="E154" i="7"/>
  <c r="F154" i="7"/>
  <c r="H154" i="7"/>
  <c r="D155" i="7"/>
  <c r="D156" i="7"/>
  <c r="D187" i="7"/>
  <c r="D189" i="7"/>
  <c r="D190" i="7"/>
  <c r="G190" i="7"/>
  <c r="F194" i="7"/>
  <c r="G194" i="7"/>
  <c r="I194" i="7"/>
  <c r="F195" i="7"/>
  <c r="G195" i="7"/>
  <c r="I195" i="7"/>
  <c r="D197" i="7"/>
  <c r="D198" i="7"/>
  <c r="D199" i="7"/>
  <c r="F199" i="7"/>
  <c r="G199" i="7"/>
  <c r="I199" i="7"/>
  <c r="D200" i="7"/>
  <c r="G200" i="7"/>
  <c r="I200" i="7"/>
  <c r="E203" i="7"/>
  <c r="G203" i="7"/>
  <c r="D204" i="7"/>
  <c r="D205" i="7"/>
  <c r="L211" i="7"/>
  <c r="M211" i="7"/>
  <c r="N211" i="7"/>
  <c r="O211" i="7"/>
  <c r="L212" i="7"/>
  <c r="M212" i="7"/>
  <c r="N212" i="7"/>
  <c r="O212" i="7"/>
  <c r="L215" i="7"/>
  <c r="M215" i="7"/>
  <c r="N215" i="7"/>
  <c r="O215" i="7"/>
  <c r="L216" i="7"/>
  <c r="M216" i="7"/>
  <c r="N216" i="7"/>
  <c r="O216" i="7"/>
  <c r="D218" i="7"/>
  <c r="D219" i="7"/>
  <c r="L223" i="7"/>
  <c r="M223" i="7"/>
  <c r="N223" i="7"/>
  <c r="O223" i="7"/>
  <c r="L224" i="7"/>
  <c r="M224" i="7"/>
  <c r="N224" i="7"/>
  <c r="O224" i="7"/>
  <c r="L227" i="7"/>
  <c r="M227" i="7"/>
  <c r="N227" i="7"/>
  <c r="O227" i="7"/>
  <c r="L228" i="7"/>
  <c r="M228" i="7"/>
  <c r="N228" i="7"/>
  <c r="O228" i="7"/>
  <c r="L234" i="7"/>
  <c r="M234" i="7"/>
  <c r="N234" i="7"/>
  <c r="O234" i="7"/>
  <c r="L235" i="7"/>
  <c r="M235" i="7"/>
  <c r="N235" i="7"/>
  <c r="O235" i="7"/>
  <c r="D237" i="7"/>
  <c r="L248" i="7"/>
  <c r="M248" i="7"/>
  <c r="N248" i="7"/>
  <c r="O248" i="7"/>
  <c r="L249" i="7"/>
  <c r="M249" i="7"/>
  <c r="N249" i="7"/>
  <c r="O249" i="7"/>
  <c r="D252" i="7"/>
  <c r="D253" i="7"/>
  <c r="L256" i="7"/>
  <c r="M256" i="7"/>
  <c r="N256" i="7"/>
  <c r="O256" i="7"/>
  <c r="L257" i="7"/>
  <c r="M257" i="7"/>
  <c r="N257" i="7"/>
  <c r="O257" i="7"/>
  <c r="L261" i="7"/>
  <c r="M261" i="7"/>
  <c r="N261" i="7"/>
  <c r="O261" i="7"/>
  <c r="L262" i="7"/>
  <c r="M262" i="7"/>
  <c r="N262" i="7"/>
  <c r="O262" i="7"/>
  <c r="L267" i="7"/>
  <c r="M267" i="7"/>
  <c r="N267" i="7"/>
  <c r="O267" i="7"/>
  <c r="L268" i="7"/>
  <c r="M268" i="7"/>
  <c r="N268" i="7"/>
  <c r="O268" i="7"/>
  <c r="L271" i="7"/>
  <c r="M271" i="7"/>
  <c r="N271" i="7"/>
  <c r="O271" i="7"/>
  <c r="L272" i="7"/>
  <c r="M272" i="7"/>
  <c r="N272" i="7"/>
  <c r="O272" i="7"/>
  <c r="L275" i="7"/>
  <c r="M275" i="7"/>
  <c r="N275" i="7"/>
  <c r="O275" i="7"/>
  <c r="L276" i="7"/>
  <c r="M276" i="7"/>
  <c r="N276" i="7"/>
  <c r="O276" i="7"/>
  <c r="L279" i="7"/>
  <c r="M279" i="7"/>
  <c r="N279" i="7"/>
  <c r="O279" i="7"/>
  <c r="L280" i="7"/>
  <c r="M280" i="7"/>
  <c r="N280" i="7"/>
  <c r="O280" i="7"/>
  <c r="L286" i="7"/>
  <c r="M286" i="7"/>
  <c r="N286" i="7"/>
  <c r="O286" i="7"/>
  <c r="L287" i="7"/>
  <c r="M287" i="7"/>
  <c r="N287" i="7"/>
  <c r="O287" i="7"/>
  <c r="D288" i="7"/>
  <c r="D289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R323" i="7"/>
  <c r="S323" i="7"/>
  <c r="T323" i="7"/>
  <c r="R324" i="7"/>
  <c r="S324" i="7"/>
  <c r="T324" i="7"/>
  <c r="R325" i="7"/>
  <c r="S325" i="7"/>
  <c r="T325" i="7"/>
  <c r="D326" i="7"/>
  <c r="R326" i="7"/>
  <c r="S326" i="7"/>
  <c r="T326" i="7"/>
  <c r="D327" i="7"/>
  <c r="L327" i="7"/>
  <c r="R327" i="7" s="1"/>
  <c r="S327" i="7"/>
  <c r="T327" i="7"/>
  <c r="D328" i="7"/>
  <c r="L328" i="7"/>
  <c r="R328" i="7" s="1"/>
  <c r="S328" i="7"/>
  <c r="T328" i="7"/>
  <c r="D329" i="7"/>
  <c r="L329" i="7"/>
  <c r="R329" i="7" s="1"/>
  <c r="S329" i="7"/>
  <c r="T329" i="7"/>
  <c r="R330" i="7"/>
  <c r="S330" i="7"/>
  <c r="T330" i="7"/>
  <c r="D331" i="7"/>
  <c r="L331" i="7"/>
  <c r="M331" i="7" s="1"/>
  <c r="N331" i="7" s="1"/>
  <c r="O331" i="7" s="1"/>
  <c r="R331" i="7"/>
  <c r="S331" i="7"/>
  <c r="T331" i="7"/>
  <c r="R334" i="7"/>
  <c r="S334" i="7"/>
  <c r="T334" i="7"/>
  <c r="R335" i="7"/>
  <c r="S335" i="7"/>
  <c r="T335" i="7"/>
  <c r="R336" i="7"/>
  <c r="S336" i="7"/>
  <c r="T336" i="7"/>
  <c r="D337" i="7"/>
  <c r="R337" i="7"/>
  <c r="S337" i="7"/>
  <c r="T337" i="7"/>
  <c r="D338" i="7"/>
  <c r="L338" i="7"/>
  <c r="R338" i="7" s="1"/>
  <c r="S338" i="7"/>
  <c r="T338" i="7"/>
  <c r="D339" i="7"/>
  <c r="L339" i="7"/>
  <c r="R339" i="7" s="1"/>
  <c r="S339" i="7"/>
  <c r="T339" i="7"/>
  <c r="D340" i="7"/>
  <c r="L340" i="7"/>
  <c r="R340" i="7" s="1"/>
  <c r="S340" i="7"/>
  <c r="T340" i="7"/>
  <c r="R341" i="7"/>
  <c r="S341" i="7"/>
  <c r="T341" i="7"/>
  <c r="D342" i="7"/>
  <c r="L342" i="7"/>
  <c r="M342" i="7" s="1"/>
  <c r="N342" i="7" s="1"/>
  <c r="O342" i="7" s="1"/>
  <c r="R342" i="7"/>
  <c r="S342" i="7"/>
  <c r="T342" i="7"/>
  <c r="D343" i="7"/>
  <c r="R343" i="7"/>
  <c r="S343" i="7"/>
  <c r="T343" i="7"/>
  <c r="R346" i="7"/>
  <c r="S346" i="7"/>
  <c r="T346" i="7"/>
  <c r="R347" i="7"/>
  <c r="S347" i="7"/>
  <c r="T347" i="7"/>
  <c r="R348" i="7"/>
  <c r="S348" i="7"/>
  <c r="T348" i="7"/>
  <c r="D349" i="7"/>
  <c r="R349" i="7"/>
  <c r="S349" i="7"/>
  <c r="T349" i="7"/>
  <c r="D350" i="7"/>
  <c r="L350" i="7"/>
  <c r="R350" i="7" s="1"/>
  <c r="S350" i="7"/>
  <c r="T350" i="7"/>
  <c r="D351" i="7"/>
  <c r="L351" i="7"/>
  <c r="R351" i="7" s="1"/>
  <c r="S351" i="7"/>
  <c r="T351" i="7"/>
  <c r="D352" i="7"/>
  <c r="L352" i="7"/>
  <c r="R352" i="7" s="1"/>
  <c r="S352" i="7"/>
  <c r="T352" i="7"/>
  <c r="R353" i="7"/>
  <c r="S353" i="7"/>
  <c r="T353" i="7"/>
  <c r="D354" i="7"/>
  <c r="L354" i="7"/>
  <c r="M354" i="7" s="1"/>
  <c r="N354" i="7" s="1"/>
  <c r="O354" i="7" s="1"/>
  <c r="R354" i="7"/>
  <c r="S354" i="7"/>
  <c r="T354" i="7"/>
  <c r="D355" i="7"/>
  <c r="R355" i="7"/>
  <c r="S355" i="7"/>
  <c r="T355" i="7"/>
  <c r="R358" i="7"/>
  <c r="S358" i="7"/>
  <c r="T358" i="7"/>
  <c r="R359" i="7"/>
  <c r="S359" i="7"/>
  <c r="T359" i="7"/>
  <c r="R360" i="7"/>
  <c r="S360" i="7"/>
  <c r="T360" i="7"/>
  <c r="R361" i="7"/>
  <c r="S361" i="7"/>
  <c r="T361" i="7"/>
  <c r="R362" i="7"/>
  <c r="S362" i="7"/>
  <c r="T362" i="7"/>
  <c r="D363" i="7"/>
  <c r="R363" i="7"/>
  <c r="S363" i="7"/>
  <c r="T363" i="7"/>
  <c r="D364" i="7"/>
  <c r="R364" i="7"/>
  <c r="S364" i="7"/>
  <c r="T364" i="7"/>
  <c r="R365" i="7"/>
  <c r="S365" i="7"/>
  <c r="T365" i="7"/>
  <c r="D367" i="7"/>
  <c r="M367" i="7"/>
  <c r="N367" i="7" s="1"/>
  <c r="O367" i="7" s="1"/>
  <c r="R367" i="7"/>
  <c r="S367" i="7"/>
  <c r="T367" i="7"/>
  <c r="R370" i="7"/>
  <c r="S370" i="7"/>
  <c r="T370" i="7"/>
  <c r="R371" i="7"/>
  <c r="S371" i="7"/>
  <c r="T371" i="7"/>
  <c r="R372" i="7"/>
  <c r="S372" i="7"/>
  <c r="T372" i="7"/>
  <c r="R373" i="7"/>
  <c r="S373" i="7"/>
  <c r="T373" i="7"/>
  <c r="R374" i="7"/>
  <c r="S374" i="7"/>
  <c r="T374" i="7"/>
  <c r="D375" i="7"/>
  <c r="R375" i="7"/>
  <c r="S375" i="7"/>
  <c r="T375" i="7"/>
  <c r="D376" i="7"/>
  <c r="R376" i="7"/>
  <c r="S376" i="7"/>
  <c r="T376" i="7"/>
  <c r="R377" i="7"/>
  <c r="S377" i="7"/>
  <c r="T377" i="7"/>
  <c r="D378" i="7"/>
  <c r="M378" i="7"/>
  <c r="N378" i="7" s="1"/>
  <c r="O378" i="7" s="1"/>
  <c r="R378" i="7"/>
  <c r="S378" i="7"/>
  <c r="T378" i="7"/>
  <c r="R382" i="7"/>
  <c r="S382" i="7"/>
  <c r="T382" i="7"/>
  <c r="R383" i="7"/>
  <c r="S383" i="7"/>
  <c r="T383" i="7"/>
  <c r="R384" i="7"/>
  <c r="S384" i="7"/>
  <c r="T384" i="7"/>
  <c r="R385" i="7"/>
  <c r="S385" i="7"/>
  <c r="T385" i="7"/>
  <c r="R386" i="7"/>
  <c r="S386" i="7"/>
  <c r="T386" i="7"/>
  <c r="R387" i="7"/>
  <c r="S387" i="7"/>
  <c r="T387" i="7"/>
  <c r="R388" i="7"/>
  <c r="S388" i="7"/>
  <c r="T388" i="7"/>
  <c r="D389" i="7"/>
  <c r="R389" i="7"/>
  <c r="S389" i="7"/>
  <c r="T389" i="7"/>
  <c r="D390" i="7"/>
  <c r="R390" i="7"/>
  <c r="S390" i="7"/>
  <c r="T390" i="7"/>
  <c r="R391" i="7"/>
  <c r="S391" i="7"/>
  <c r="T391" i="7"/>
  <c r="D392" i="7"/>
  <c r="L392" i="7"/>
  <c r="M392" i="7" s="1"/>
  <c r="N392" i="7" s="1"/>
  <c r="O392" i="7" s="1"/>
  <c r="R392" i="7"/>
  <c r="S392" i="7"/>
  <c r="T392" i="7"/>
  <c r="D393" i="7"/>
  <c r="R393" i="7"/>
  <c r="S393" i="7"/>
  <c r="T393" i="7"/>
  <c r="D402" i="7"/>
  <c r="R402" i="7"/>
  <c r="S402" i="7"/>
  <c r="T402" i="7"/>
  <c r="R403" i="7"/>
  <c r="S403" i="7"/>
  <c r="T403" i="7"/>
  <c r="D404" i="7"/>
  <c r="L404" i="7"/>
  <c r="M404" i="7" s="1"/>
  <c r="N404" i="7" s="1"/>
  <c r="O404" i="7" s="1"/>
  <c r="R404" i="7"/>
  <c r="S404" i="7"/>
  <c r="T404" i="7"/>
  <c r="D413" i="7"/>
  <c r="R413" i="7"/>
  <c r="S413" i="7"/>
  <c r="T413" i="7"/>
  <c r="R414" i="7"/>
  <c r="S414" i="7"/>
  <c r="T414" i="7"/>
  <c r="D415" i="7"/>
  <c r="R415" i="7"/>
  <c r="S415" i="7"/>
  <c r="T415" i="7"/>
  <c r="R418" i="7"/>
  <c r="S418" i="7"/>
  <c r="T418" i="7"/>
  <c r="D424" i="7"/>
  <c r="R424" i="7"/>
  <c r="S424" i="7"/>
  <c r="T424" i="7"/>
  <c r="R425" i="7"/>
  <c r="S425" i="7"/>
  <c r="T425" i="7"/>
  <c r="D426" i="7"/>
  <c r="R426" i="7"/>
  <c r="S426" i="7"/>
  <c r="T426" i="7"/>
  <c r="R429" i="7"/>
  <c r="S429" i="7"/>
  <c r="T429" i="7"/>
  <c r="R430" i="7"/>
  <c r="S430" i="7"/>
  <c r="T430" i="7"/>
  <c r="R431" i="7"/>
  <c r="S431" i="7"/>
  <c r="T431" i="7"/>
  <c r="D432" i="7"/>
  <c r="R432" i="7"/>
  <c r="S432" i="7"/>
  <c r="T432" i="7"/>
  <c r="R433" i="7"/>
  <c r="S433" i="7"/>
  <c r="T433" i="7"/>
  <c r="D434" i="7"/>
  <c r="R434" i="7"/>
  <c r="S434" i="7"/>
  <c r="T434" i="7"/>
  <c r="R435" i="7"/>
  <c r="S435" i="7"/>
  <c r="T435" i="7"/>
  <c r="D436" i="7"/>
  <c r="R436" i="7"/>
  <c r="S436" i="7"/>
  <c r="T436" i="7"/>
  <c r="D437" i="7"/>
  <c r="R437" i="7"/>
  <c r="S437" i="7"/>
  <c r="T437" i="7"/>
  <c r="R440" i="7"/>
  <c r="S440" i="7"/>
  <c r="T440" i="7"/>
  <c r="R441" i="7"/>
  <c r="S441" i="7"/>
  <c r="T441" i="7"/>
  <c r="R442" i="7"/>
  <c r="S442" i="7"/>
  <c r="T442" i="7"/>
  <c r="D443" i="7"/>
  <c r="R443" i="7"/>
  <c r="S443" i="7"/>
  <c r="T443" i="7"/>
  <c r="R444" i="7"/>
  <c r="S444" i="7"/>
  <c r="T444" i="7"/>
  <c r="D445" i="7"/>
  <c r="R445" i="7"/>
  <c r="S445" i="7"/>
  <c r="T445" i="7"/>
  <c r="R446" i="7"/>
  <c r="S446" i="7"/>
  <c r="T446" i="7"/>
  <c r="D447" i="7"/>
  <c r="L447" i="7"/>
  <c r="M447" i="7" s="1"/>
  <c r="N447" i="7" s="1"/>
  <c r="O447" i="7" s="1"/>
  <c r="R447" i="7"/>
  <c r="S447" i="7"/>
  <c r="T447" i="7"/>
  <c r="D448" i="7"/>
  <c r="R448" i="7"/>
  <c r="S448" i="7"/>
  <c r="T448" i="7"/>
  <c r="R451" i="7"/>
  <c r="S451" i="7"/>
  <c r="T451" i="7"/>
  <c r="R452" i="7"/>
  <c r="S452" i="7"/>
  <c r="T452" i="7"/>
  <c r="R453" i="7"/>
  <c r="S453" i="7"/>
  <c r="T453" i="7"/>
  <c r="D454" i="7"/>
  <c r="L454" i="7"/>
  <c r="M454" i="7"/>
  <c r="N454" i="7"/>
  <c r="O454" i="7"/>
  <c r="R454" i="7"/>
  <c r="S454" i="7"/>
  <c r="T454" i="7"/>
  <c r="D455" i="7"/>
  <c r="L455" i="7"/>
  <c r="M455" i="7"/>
  <c r="N455" i="7"/>
  <c r="O455" i="7"/>
  <c r="R455" i="7"/>
  <c r="S455" i="7"/>
  <c r="T455" i="7"/>
  <c r="D456" i="7"/>
  <c r="L456" i="7"/>
  <c r="M456" i="7"/>
  <c r="N456" i="7"/>
  <c r="O456" i="7"/>
  <c r="R456" i="7"/>
  <c r="S456" i="7"/>
  <c r="T456" i="7"/>
  <c r="R457" i="7"/>
  <c r="S457" i="7"/>
  <c r="T457" i="7"/>
  <c r="D458" i="7"/>
  <c r="L458" i="7"/>
  <c r="M458" i="7" s="1"/>
  <c r="N458" i="7" s="1"/>
  <c r="O458" i="7" s="1"/>
  <c r="R458" i="7"/>
  <c r="S458" i="7"/>
  <c r="T458" i="7"/>
  <c r="R461" i="7"/>
  <c r="S461" i="7"/>
  <c r="T461" i="7"/>
  <c r="D462" i="7"/>
  <c r="R462" i="7"/>
  <c r="S462" i="7"/>
  <c r="T462" i="7"/>
  <c r="D463" i="7"/>
  <c r="R463" i="7"/>
  <c r="S463" i="7"/>
  <c r="T463" i="7"/>
  <c r="D464" i="7"/>
  <c r="R464" i="7"/>
  <c r="S464" i="7"/>
  <c r="T464" i="7"/>
  <c r="D465" i="7"/>
  <c r="R465" i="7"/>
  <c r="S465" i="7"/>
  <c r="T465" i="7"/>
  <c r="R466" i="7"/>
  <c r="S466" i="7"/>
  <c r="T466" i="7"/>
  <c r="D467" i="7"/>
  <c r="L467" i="7"/>
  <c r="M467" i="7" s="1"/>
  <c r="N467" i="7" s="1"/>
  <c r="O467" i="7" s="1"/>
  <c r="R467" i="7"/>
  <c r="S467" i="7"/>
  <c r="T467" i="7"/>
  <c r="R470" i="7"/>
  <c r="S470" i="7"/>
  <c r="T470" i="7"/>
  <c r="R471" i="7"/>
  <c r="S471" i="7"/>
  <c r="T471" i="7"/>
  <c r="R472" i="7"/>
  <c r="S472" i="7"/>
  <c r="T472" i="7"/>
  <c r="R473" i="7"/>
  <c r="S473" i="7"/>
  <c r="T473" i="7"/>
  <c r="D474" i="7"/>
  <c r="R474" i="7"/>
  <c r="S474" i="7"/>
  <c r="T474" i="7"/>
  <c r="D475" i="7"/>
  <c r="R475" i="7"/>
  <c r="S475" i="7"/>
  <c r="T475" i="7"/>
  <c r="D476" i="7"/>
  <c r="R476" i="7"/>
  <c r="S476" i="7"/>
  <c r="T476" i="7"/>
  <c r="D477" i="7"/>
  <c r="R477" i="7"/>
  <c r="S477" i="7"/>
  <c r="T477" i="7"/>
  <c r="R478" i="7"/>
  <c r="S478" i="7"/>
  <c r="T478" i="7"/>
  <c r="D479" i="7"/>
  <c r="L479" i="7"/>
  <c r="M479" i="7" s="1"/>
  <c r="N479" i="7" s="1"/>
  <c r="O479" i="7" s="1"/>
  <c r="R479" i="7"/>
  <c r="S479" i="7"/>
  <c r="T479" i="7"/>
  <c r="R482" i="7"/>
  <c r="S482" i="7"/>
  <c r="T482" i="7"/>
  <c r="R483" i="7"/>
  <c r="S483" i="7"/>
  <c r="T483" i="7"/>
  <c r="D484" i="7"/>
  <c r="R484" i="7"/>
  <c r="S484" i="7"/>
  <c r="T484" i="7"/>
  <c r="D485" i="7"/>
  <c r="R485" i="7"/>
  <c r="S485" i="7"/>
  <c r="T485" i="7"/>
  <c r="D486" i="7"/>
  <c r="R486" i="7"/>
  <c r="S486" i="7"/>
  <c r="T486" i="7"/>
  <c r="R487" i="7"/>
  <c r="S487" i="7"/>
  <c r="T487" i="7"/>
  <c r="D488" i="7"/>
  <c r="L488" i="7"/>
  <c r="M488" i="7" s="1"/>
  <c r="N488" i="7" s="1"/>
  <c r="O488" i="7" s="1"/>
  <c r="R488" i="7"/>
  <c r="S488" i="7"/>
  <c r="T488" i="7"/>
  <c r="R497" i="7"/>
  <c r="S497" i="7"/>
  <c r="T497" i="7"/>
  <c r="R498" i="7"/>
  <c r="S498" i="7"/>
  <c r="T498" i="7"/>
  <c r="D499" i="7"/>
  <c r="R499" i="7"/>
  <c r="S499" i="7"/>
  <c r="T499" i="7"/>
  <c r="D500" i="7"/>
  <c r="R500" i="7"/>
  <c r="S500" i="7"/>
  <c r="T500" i="7"/>
  <c r="R501" i="7"/>
  <c r="S501" i="7"/>
  <c r="T501" i="7"/>
  <c r="D502" i="7"/>
  <c r="L502" i="7"/>
  <c r="M502" i="7" s="1"/>
  <c r="N502" i="7" s="1"/>
  <c r="O502" i="7" s="1"/>
  <c r="R502" i="7"/>
  <c r="S502" i="7"/>
  <c r="T502" i="7"/>
  <c r="R505" i="7"/>
  <c r="S505" i="7"/>
  <c r="T505" i="7"/>
  <c r="D506" i="7"/>
  <c r="R506" i="7"/>
  <c r="S506" i="7"/>
  <c r="T506" i="7"/>
  <c r="D507" i="7"/>
  <c r="R507" i="7"/>
  <c r="S507" i="7"/>
  <c r="T507" i="7"/>
  <c r="D508" i="7"/>
  <c r="R508" i="7"/>
  <c r="S508" i="7"/>
  <c r="T508" i="7"/>
  <c r="D509" i="7"/>
  <c r="R509" i="7"/>
  <c r="S509" i="7"/>
  <c r="T509" i="7"/>
  <c r="R510" i="7"/>
  <c r="S510" i="7"/>
  <c r="T510" i="7"/>
  <c r="D511" i="7"/>
  <c r="L511" i="7"/>
  <c r="M511" i="7" s="1"/>
  <c r="N511" i="7" s="1"/>
  <c r="O511" i="7" s="1"/>
  <c r="R511" i="7"/>
  <c r="S511" i="7"/>
  <c r="T511" i="7"/>
  <c r="D514" i="7"/>
  <c r="R514" i="7"/>
  <c r="S514" i="7"/>
  <c r="T514" i="7"/>
  <c r="R515" i="7"/>
  <c r="S515" i="7"/>
  <c r="T515" i="7"/>
  <c r="D516" i="7"/>
  <c r="R516" i="7"/>
  <c r="S516" i="7"/>
  <c r="T516" i="7"/>
  <c r="D517" i="7"/>
  <c r="R517" i="7"/>
  <c r="S517" i="7"/>
  <c r="T517" i="7"/>
  <c r="R518" i="7"/>
  <c r="S518" i="7"/>
  <c r="T518" i="7"/>
  <c r="D520" i="7"/>
  <c r="M520" i="7"/>
  <c r="N520" i="7" s="1"/>
  <c r="O520" i="7" s="1"/>
  <c r="R520" i="7"/>
  <c r="S520" i="7"/>
  <c r="T520" i="7"/>
  <c r="R523" i="7"/>
  <c r="S523" i="7"/>
  <c r="T523" i="7"/>
  <c r="D524" i="7"/>
  <c r="R524" i="7"/>
  <c r="S524" i="7"/>
  <c r="T524" i="7"/>
  <c r="R525" i="7"/>
  <c r="S525" i="7"/>
  <c r="T525" i="7"/>
  <c r="D526" i="7"/>
  <c r="R526" i="7"/>
  <c r="S526" i="7"/>
  <c r="T526" i="7"/>
  <c r="R527" i="7"/>
  <c r="S527" i="7"/>
  <c r="T527" i="7"/>
  <c r="D528" i="7"/>
  <c r="M528" i="7"/>
  <c r="N528" i="7" s="1"/>
  <c r="O528" i="7" s="1"/>
  <c r="R528" i="7"/>
  <c r="S528" i="7"/>
  <c r="T528" i="7"/>
  <c r="D529" i="7"/>
  <c r="M529" i="7"/>
  <c r="N529" i="7" s="1"/>
  <c r="O529" i="7" s="1"/>
  <c r="R529" i="7"/>
  <c r="S529" i="7"/>
  <c r="T529" i="7"/>
  <c r="D532" i="7"/>
  <c r="R532" i="7"/>
  <c r="S532" i="7"/>
  <c r="T532" i="7"/>
  <c r="D534" i="7"/>
  <c r="R534" i="7"/>
  <c r="S534" i="7"/>
  <c r="T534" i="7"/>
  <c r="D535" i="7"/>
  <c r="R535" i="7"/>
  <c r="S535" i="7"/>
  <c r="T535" i="7"/>
  <c r="R536" i="7"/>
  <c r="S536" i="7"/>
  <c r="T536" i="7"/>
  <c r="D538" i="7"/>
  <c r="M538" i="7"/>
  <c r="N538" i="7" s="1"/>
  <c r="O538" i="7" s="1"/>
  <c r="R538" i="7"/>
  <c r="S538" i="7"/>
  <c r="T538" i="7"/>
  <c r="D541" i="7"/>
  <c r="R541" i="7"/>
  <c r="S541" i="7"/>
  <c r="T541" i="7"/>
  <c r="D542" i="7"/>
  <c r="R542" i="7"/>
  <c r="S542" i="7"/>
  <c r="T542" i="7"/>
  <c r="D543" i="7"/>
  <c r="R543" i="7"/>
  <c r="S543" i="7"/>
  <c r="T543" i="7"/>
  <c r="D544" i="7"/>
  <c r="R544" i="7"/>
  <c r="S544" i="7"/>
  <c r="T544" i="7"/>
  <c r="R545" i="7"/>
  <c r="S545" i="7"/>
  <c r="T545" i="7"/>
  <c r="R546" i="7"/>
  <c r="S546" i="7"/>
  <c r="T546" i="7"/>
  <c r="D547" i="7"/>
  <c r="R547" i="7"/>
  <c r="S547" i="7"/>
  <c r="T547" i="7"/>
  <c r="R548" i="7"/>
  <c r="S548" i="7"/>
  <c r="T548" i="7"/>
  <c r="D549" i="7"/>
  <c r="L549" i="7"/>
  <c r="L550" i="7" s="1"/>
  <c r="M550" i="7" s="1"/>
  <c r="N550" i="7" s="1"/>
  <c r="O550" i="7" s="1"/>
  <c r="R549" i="7"/>
  <c r="S549" i="7"/>
  <c r="T549" i="7"/>
  <c r="D550" i="7"/>
  <c r="R550" i="7"/>
  <c r="S550" i="7"/>
  <c r="T550" i="7"/>
  <c r="R553" i="7"/>
  <c r="S553" i="7"/>
  <c r="T553" i="7"/>
  <c r="R554" i="7"/>
  <c r="S554" i="7"/>
  <c r="T554" i="7"/>
  <c r="R555" i="7"/>
  <c r="S555" i="7"/>
  <c r="T555" i="7"/>
  <c r="R556" i="7"/>
  <c r="S556" i="7"/>
  <c r="T556" i="7"/>
  <c r="R557" i="7"/>
  <c r="S557" i="7"/>
  <c r="T557" i="7"/>
  <c r="R558" i="7"/>
  <c r="S558" i="7"/>
  <c r="T558" i="7"/>
  <c r="D559" i="7"/>
  <c r="R559" i="7"/>
  <c r="S559" i="7"/>
  <c r="T559" i="7"/>
  <c r="R560" i="7"/>
  <c r="S560" i="7"/>
  <c r="T560" i="7"/>
  <c r="D561" i="7"/>
  <c r="L561" i="7"/>
  <c r="M561" i="7" s="1"/>
  <c r="N561" i="7" s="1"/>
  <c r="O561" i="7" s="1"/>
  <c r="R561" i="7"/>
  <c r="S561" i="7"/>
  <c r="T561" i="7"/>
  <c r="R564" i="7"/>
  <c r="S564" i="7"/>
  <c r="T564" i="7"/>
  <c r="R565" i="7"/>
  <c r="S565" i="7"/>
  <c r="T565" i="7"/>
  <c r="R566" i="7"/>
  <c r="S566" i="7"/>
  <c r="T566" i="7"/>
  <c r="R567" i="7"/>
  <c r="S567" i="7"/>
  <c r="T567" i="7"/>
  <c r="R568" i="7"/>
  <c r="S568" i="7"/>
  <c r="T568" i="7"/>
  <c r="R569" i="7"/>
  <c r="S569" i="7"/>
  <c r="T569" i="7"/>
  <c r="D570" i="7"/>
  <c r="R570" i="7"/>
  <c r="S570" i="7"/>
  <c r="T570" i="7"/>
  <c r="R571" i="7"/>
  <c r="S571" i="7"/>
  <c r="T571" i="7"/>
  <c r="D573" i="7"/>
  <c r="M573" i="7"/>
  <c r="N573" i="7" s="1"/>
  <c r="O573" i="7" s="1"/>
  <c r="R573" i="7"/>
  <c r="S573" i="7"/>
  <c r="T573" i="7"/>
  <c r="R576" i="7"/>
  <c r="S576" i="7"/>
  <c r="T576" i="7"/>
  <c r="R577" i="7"/>
  <c r="S577" i="7"/>
  <c r="T577" i="7"/>
  <c r="R578" i="7"/>
  <c r="S578" i="7"/>
  <c r="T578" i="7"/>
  <c r="R579" i="7"/>
  <c r="S579" i="7"/>
  <c r="T579" i="7"/>
  <c r="D582" i="7"/>
  <c r="R582" i="7"/>
  <c r="S582" i="7"/>
  <c r="T582" i="7"/>
  <c r="D583" i="7"/>
  <c r="R583" i="7"/>
  <c r="S583" i="7"/>
  <c r="T583" i="7"/>
  <c r="R584" i="7"/>
  <c r="S584" i="7"/>
  <c r="T584" i="7"/>
  <c r="D585" i="7"/>
  <c r="L585" i="7"/>
  <c r="M585" i="7" s="1"/>
  <c r="N585" i="7" s="1"/>
  <c r="O585" i="7" s="1"/>
  <c r="R585" i="7"/>
  <c r="S585" i="7"/>
  <c r="T585" i="7"/>
  <c r="R588" i="7"/>
  <c r="S588" i="7"/>
  <c r="T588" i="7"/>
  <c r="R589" i="7"/>
  <c r="S589" i="7"/>
  <c r="T589" i="7"/>
  <c r="R590" i="7"/>
  <c r="S590" i="7"/>
  <c r="T590" i="7"/>
  <c r="R591" i="7"/>
  <c r="S591" i="7"/>
  <c r="T591" i="7"/>
  <c r="R592" i="7"/>
  <c r="S592" i="7"/>
  <c r="T592" i="7"/>
  <c r="R593" i="7"/>
  <c r="S593" i="7"/>
  <c r="T593" i="7"/>
  <c r="R594" i="7"/>
  <c r="S594" i="7"/>
  <c r="T594" i="7"/>
  <c r="R595" i="7"/>
  <c r="S595" i="7"/>
  <c r="T595" i="7"/>
  <c r="R596" i="7"/>
  <c r="S596" i="7"/>
  <c r="T596" i="7"/>
  <c r="D597" i="7"/>
  <c r="R597" i="7"/>
  <c r="S597" i="7"/>
  <c r="T597" i="7"/>
  <c r="D598" i="7"/>
  <c r="R598" i="7"/>
  <c r="S598" i="7"/>
  <c r="T598" i="7"/>
  <c r="D599" i="7"/>
  <c r="R599" i="7"/>
  <c r="S599" i="7"/>
  <c r="T599" i="7"/>
  <c r="R600" i="7"/>
  <c r="S600" i="7"/>
  <c r="T600" i="7"/>
  <c r="D601" i="7"/>
  <c r="L601" i="7"/>
  <c r="M601" i="7" s="1"/>
  <c r="N601" i="7" s="1"/>
  <c r="O601" i="7" s="1"/>
  <c r="R601" i="7"/>
  <c r="S601" i="7"/>
  <c r="T601" i="7"/>
  <c r="R604" i="7"/>
  <c r="S604" i="7"/>
  <c r="T604" i="7"/>
  <c r="R605" i="7"/>
  <c r="S605" i="7"/>
  <c r="T605" i="7"/>
  <c r="R606" i="7"/>
  <c r="S606" i="7"/>
  <c r="T606" i="7"/>
  <c r="R607" i="7"/>
  <c r="S607" i="7"/>
  <c r="T607" i="7"/>
  <c r="R608" i="7"/>
  <c r="S608" i="7"/>
  <c r="T608" i="7"/>
  <c r="R609" i="7"/>
  <c r="S609" i="7"/>
  <c r="T609" i="7"/>
  <c r="D610" i="7"/>
  <c r="R610" i="7"/>
  <c r="S610" i="7"/>
  <c r="T610" i="7"/>
  <c r="D611" i="7"/>
  <c r="R611" i="7"/>
  <c r="S611" i="7"/>
  <c r="T611" i="7"/>
  <c r="D612" i="7"/>
  <c r="R612" i="7"/>
  <c r="S612" i="7"/>
  <c r="T612" i="7"/>
  <c r="R613" i="7"/>
  <c r="S613" i="7"/>
  <c r="T613" i="7"/>
  <c r="D614" i="7"/>
  <c r="L614" i="7"/>
  <c r="M614" i="7" s="1"/>
  <c r="N614" i="7" s="1"/>
  <c r="O614" i="7" s="1"/>
  <c r="R614" i="7"/>
  <c r="S614" i="7"/>
  <c r="T614" i="7"/>
  <c r="R617" i="7"/>
  <c r="S617" i="7"/>
  <c r="T617" i="7"/>
  <c r="R618" i="7"/>
  <c r="S618" i="7"/>
  <c r="T618" i="7"/>
  <c r="R619" i="7"/>
  <c r="S619" i="7"/>
  <c r="T619" i="7"/>
  <c r="R620" i="7"/>
  <c r="S620" i="7"/>
  <c r="T620" i="7"/>
  <c r="R621" i="7"/>
  <c r="S621" i="7"/>
  <c r="T621" i="7"/>
  <c r="R622" i="7"/>
  <c r="S622" i="7"/>
  <c r="T622" i="7"/>
  <c r="R623" i="7"/>
  <c r="S623" i="7"/>
  <c r="T623" i="7"/>
  <c r="D624" i="7"/>
  <c r="R624" i="7"/>
  <c r="S624" i="7"/>
  <c r="T624" i="7"/>
  <c r="D625" i="7"/>
  <c r="R625" i="7"/>
  <c r="S625" i="7"/>
  <c r="T625" i="7"/>
  <c r="D626" i="7"/>
  <c r="R626" i="7"/>
  <c r="S626" i="7"/>
  <c r="T626" i="7"/>
  <c r="R627" i="7"/>
  <c r="S627" i="7"/>
  <c r="T627" i="7"/>
  <c r="D628" i="7"/>
  <c r="L628" i="7"/>
  <c r="M628" i="7" s="1"/>
  <c r="N628" i="7" s="1"/>
  <c r="O628" i="7" s="1"/>
  <c r="R628" i="7"/>
  <c r="S628" i="7"/>
  <c r="T628" i="7"/>
  <c r="R631" i="7"/>
  <c r="S631" i="7"/>
  <c r="T631" i="7"/>
  <c r="R632" i="7"/>
  <c r="S632" i="7"/>
  <c r="T632" i="7"/>
  <c r="R633" i="7"/>
  <c r="S633" i="7"/>
  <c r="T633" i="7"/>
  <c r="R634" i="7"/>
  <c r="S634" i="7"/>
  <c r="T634" i="7"/>
  <c r="R635" i="7"/>
  <c r="S635" i="7"/>
  <c r="T635" i="7"/>
  <c r="R636" i="7"/>
  <c r="S636" i="7"/>
  <c r="T636" i="7"/>
  <c r="R637" i="7"/>
  <c r="S637" i="7"/>
  <c r="T637" i="7"/>
  <c r="D638" i="7"/>
  <c r="R638" i="7"/>
  <c r="S638" i="7"/>
  <c r="T638" i="7"/>
  <c r="D639" i="7"/>
  <c r="R639" i="7"/>
  <c r="S639" i="7"/>
  <c r="T639" i="7"/>
  <c r="D640" i="7"/>
  <c r="R640" i="7"/>
  <c r="S640" i="7"/>
  <c r="T640" i="7"/>
  <c r="R641" i="7"/>
  <c r="S641" i="7"/>
  <c r="T641" i="7"/>
  <c r="D642" i="7"/>
  <c r="L642" i="7"/>
  <c r="M642" i="7" s="1"/>
  <c r="N642" i="7" s="1"/>
  <c r="O642" i="7" s="1"/>
  <c r="R642" i="7"/>
  <c r="S642" i="7"/>
  <c r="T642" i="7"/>
  <c r="D645" i="7"/>
  <c r="R646" i="7"/>
  <c r="S646" i="7"/>
  <c r="T646" i="7"/>
  <c r="R647" i="7"/>
  <c r="S647" i="7"/>
  <c r="T647" i="7"/>
  <c r="R648" i="7"/>
  <c r="S648" i="7"/>
  <c r="T648" i="7"/>
  <c r="D649" i="7"/>
  <c r="R649" i="7"/>
  <c r="S649" i="7"/>
  <c r="T649" i="7"/>
  <c r="D650" i="7"/>
  <c r="R650" i="7"/>
  <c r="S650" i="7"/>
  <c r="T650" i="7"/>
  <c r="D651" i="7"/>
  <c r="R651" i="7"/>
  <c r="S651" i="7"/>
  <c r="T651" i="7"/>
  <c r="R652" i="7"/>
  <c r="S652" i="7"/>
  <c r="T652" i="7"/>
  <c r="D653" i="7"/>
  <c r="L653" i="7"/>
  <c r="M653" i="7" s="1"/>
  <c r="N653" i="7" s="1"/>
  <c r="O653" i="7" s="1"/>
  <c r="R653" i="7"/>
  <c r="S653" i="7"/>
  <c r="T653" i="7"/>
  <c r="R656" i="7"/>
  <c r="S656" i="7"/>
  <c r="T656" i="7"/>
  <c r="R657" i="7"/>
  <c r="S657" i="7"/>
  <c r="T657" i="7"/>
  <c r="R658" i="7"/>
  <c r="S658" i="7"/>
  <c r="T658" i="7"/>
  <c r="R659" i="7"/>
  <c r="S659" i="7"/>
  <c r="T659" i="7"/>
  <c r="R660" i="7"/>
  <c r="S660" i="7"/>
  <c r="T660" i="7"/>
  <c r="R661" i="7"/>
  <c r="S661" i="7"/>
  <c r="T661" i="7"/>
  <c r="D662" i="7"/>
  <c r="R662" i="7"/>
  <c r="S662" i="7"/>
  <c r="T662" i="7"/>
  <c r="D663" i="7"/>
  <c r="R663" i="7"/>
  <c r="S663" i="7"/>
  <c r="T663" i="7"/>
  <c r="R664" i="7"/>
  <c r="S664" i="7"/>
  <c r="T664" i="7"/>
  <c r="D665" i="7"/>
  <c r="L665" i="7"/>
  <c r="M665" i="7" s="1"/>
  <c r="N665" i="7" s="1"/>
  <c r="O665" i="7" s="1"/>
  <c r="R665" i="7"/>
  <c r="S665" i="7"/>
  <c r="T665" i="7"/>
  <c r="D668" i="7"/>
  <c r="R668" i="7"/>
  <c r="S668" i="7"/>
  <c r="T668" i="7"/>
  <c r="R669" i="7"/>
  <c r="S669" i="7"/>
  <c r="T669" i="7"/>
  <c r="D670" i="7"/>
  <c r="R670" i="7"/>
  <c r="S670" i="7"/>
  <c r="T670" i="7"/>
  <c r="R671" i="7"/>
  <c r="S671" i="7"/>
  <c r="T671" i="7"/>
  <c r="D672" i="7"/>
  <c r="L672" i="7"/>
  <c r="M672" i="7" s="1"/>
  <c r="N672" i="7" s="1"/>
  <c r="O672" i="7" s="1"/>
  <c r="R672" i="7"/>
  <c r="S672" i="7"/>
  <c r="T672" i="7"/>
  <c r="R675" i="7"/>
  <c r="S675" i="7"/>
  <c r="T675" i="7"/>
  <c r="R676" i="7"/>
  <c r="S676" i="7"/>
  <c r="T676" i="7"/>
  <c r="R677" i="7"/>
  <c r="S677" i="7"/>
  <c r="T677" i="7"/>
  <c r="R678" i="7"/>
  <c r="S678" i="7"/>
  <c r="T678" i="7"/>
  <c r="D679" i="7"/>
  <c r="R679" i="7"/>
  <c r="S679" i="7"/>
  <c r="T679" i="7"/>
  <c r="R680" i="7"/>
  <c r="S680" i="7"/>
  <c r="T680" i="7"/>
  <c r="D681" i="7"/>
  <c r="L681" i="7"/>
  <c r="R681" i="7"/>
  <c r="S681" i="7"/>
  <c r="T681" i="7"/>
  <c r="D682" i="7"/>
  <c r="R682" i="7"/>
  <c r="S682" i="7"/>
  <c r="T682" i="7"/>
  <c r="R685" i="7"/>
  <c r="S685" i="7"/>
  <c r="T685" i="7"/>
  <c r="R686" i="7"/>
  <c r="S686" i="7"/>
  <c r="T686" i="7"/>
  <c r="R687" i="7"/>
  <c r="S687" i="7"/>
  <c r="T687" i="7"/>
  <c r="R688" i="7"/>
  <c r="S688" i="7"/>
  <c r="T688" i="7"/>
  <c r="R689" i="7"/>
  <c r="S689" i="7"/>
  <c r="T689" i="7"/>
  <c r="R690" i="7"/>
  <c r="S690" i="7"/>
  <c r="T690" i="7"/>
  <c r="R691" i="7"/>
  <c r="S691" i="7"/>
  <c r="T691" i="7"/>
  <c r="D692" i="7"/>
  <c r="R692" i="7"/>
  <c r="S692" i="7"/>
  <c r="T692" i="7"/>
  <c r="R693" i="7"/>
  <c r="S693" i="7"/>
  <c r="T693" i="7"/>
  <c r="D694" i="7"/>
  <c r="L694" i="7"/>
  <c r="M694" i="7" s="1"/>
  <c r="N694" i="7" s="1"/>
  <c r="O694" i="7" s="1"/>
  <c r="R694" i="7"/>
  <c r="S694" i="7"/>
  <c r="T694" i="7"/>
  <c r="R701" i="7"/>
  <c r="S701" i="7"/>
  <c r="T701" i="7"/>
  <c r="R702" i="7"/>
  <c r="S702" i="7"/>
  <c r="T702" i="7"/>
  <c r="D703" i="7"/>
  <c r="R703" i="7"/>
  <c r="S703" i="7"/>
  <c r="T703" i="7"/>
  <c r="R704" i="7"/>
  <c r="S704" i="7"/>
  <c r="T704" i="7"/>
  <c r="D705" i="7"/>
  <c r="R705" i="7"/>
  <c r="S705" i="7"/>
  <c r="T705" i="7"/>
  <c r="R708" i="7"/>
  <c r="S708" i="7"/>
  <c r="T708" i="7"/>
  <c r="R709" i="7"/>
  <c r="S709" i="7"/>
  <c r="T709" i="7"/>
  <c r="R710" i="7"/>
  <c r="S710" i="7"/>
  <c r="T710" i="7"/>
  <c r="D711" i="7"/>
  <c r="R711" i="7"/>
  <c r="S711" i="7"/>
  <c r="T711" i="7"/>
  <c r="D712" i="7"/>
  <c r="R712" i="7"/>
  <c r="S712" i="7"/>
  <c r="T712" i="7"/>
  <c r="R713" i="7"/>
  <c r="S713" i="7"/>
  <c r="T713" i="7"/>
  <c r="D714" i="7"/>
  <c r="L714" i="7"/>
  <c r="M714" i="7" s="1"/>
  <c r="N714" i="7" s="1"/>
  <c r="O714" i="7" s="1"/>
  <c r="R714" i="7"/>
  <c r="S714" i="7"/>
  <c r="T714" i="7"/>
  <c r="R717" i="7"/>
  <c r="S717" i="7"/>
  <c r="T717" i="7"/>
  <c r="R718" i="7"/>
  <c r="S718" i="7"/>
  <c r="T718" i="7"/>
  <c r="R719" i="7"/>
  <c r="S719" i="7"/>
  <c r="T719" i="7"/>
  <c r="R720" i="7"/>
  <c r="S720" i="7"/>
  <c r="T720" i="7"/>
  <c r="D721" i="7"/>
  <c r="R721" i="7"/>
  <c r="S721" i="7"/>
  <c r="T721" i="7"/>
  <c r="D722" i="7"/>
  <c r="R722" i="7"/>
  <c r="S722" i="7"/>
  <c r="T722" i="7"/>
  <c r="R723" i="7"/>
  <c r="S723" i="7"/>
  <c r="T723" i="7"/>
  <c r="D724" i="7"/>
  <c r="L724" i="7"/>
  <c r="M724" i="7" s="1"/>
  <c r="N724" i="7" s="1"/>
  <c r="O724" i="7" s="1"/>
  <c r="R724" i="7"/>
  <c r="S724" i="7"/>
  <c r="T724" i="7"/>
  <c r="R737" i="7"/>
  <c r="S737" i="7"/>
  <c r="T737" i="7"/>
  <c r="R738" i="7"/>
  <c r="S738" i="7"/>
  <c r="T738" i="7"/>
  <c r="R739" i="7"/>
  <c r="S739" i="7"/>
  <c r="T739" i="7"/>
  <c r="R740" i="7"/>
  <c r="S740" i="7"/>
  <c r="T740" i="7"/>
  <c r="D741" i="7"/>
  <c r="R741" i="7"/>
  <c r="S741" i="7"/>
  <c r="T741" i="7"/>
  <c r="D742" i="7"/>
  <c r="R742" i="7"/>
  <c r="S742" i="7"/>
  <c r="T742" i="7"/>
  <c r="D743" i="7"/>
  <c r="R743" i="7"/>
  <c r="S743" i="7"/>
  <c r="T743" i="7"/>
  <c r="R744" i="7"/>
  <c r="S744" i="7"/>
  <c r="T744" i="7"/>
  <c r="D745" i="7"/>
  <c r="L745" i="7"/>
  <c r="M745" i="7" s="1"/>
  <c r="N745" i="7" s="1"/>
  <c r="O745" i="7" s="1"/>
  <c r="R745" i="7"/>
  <c r="S745" i="7"/>
  <c r="T745" i="7"/>
  <c r="D746" i="7"/>
  <c r="R746" i="7"/>
  <c r="S746" i="7"/>
  <c r="T746" i="7"/>
  <c r="R749" i="7"/>
  <c r="S749" i="7"/>
  <c r="T749" i="7"/>
  <c r="R750" i="7"/>
  <c r="S750" i="7"/>
  <c r="T750" i="7"/>
  <c r="R751" i="7"/>
  <c r="S751" i="7"/>
  <c r="T751" i="7"/>
  <c r="R752" i="7"/>
  <c r="S752" i="7"/>
  <c r="T752" i="7"/>
  <c r="D753" i="7"/>
  <c r="R753" i="7"/>
  <c r="S753" i="7"/>
  <c r="T753" i="7"/>
  <c r="D754" i="7"/>
  <c r="R754" i="7"/>
  <c r="S754" i="7"/>
  <c r="T754" i="7"/>
  <c r="D755" i="7"/>
  <c r="R755" i="7"/>
  <c r="S755" i="7"/>
  <c r="T755" i="7"/>
  <c r="R756" i="7"/>
  <c r="S756" i="7"/>
  <c r="T756" i="7"/>
  <c r="D757" i="7"/>
  <c r="L757" i="7"/>
  <c r="L758" i="7" s="1"/>
  <c r="M758" i="7" s="1"/>
  <c r="N758" i="7" s="1"/>
  <c r="O758" i="7" s="1"/>
  <c r="R757" i="7"/>
  <c r="S757" i="7"/>
  <c r="T757" i="7"/>
  <c r="D758" i="7"/>
  <c r="R758" i="7"/>
  <c r="S758" i="7"/>
  <c r="T758" i="7"/>
  <c r="D769" i="7"/>
  <c r="S769" i="7"/>
  <c r="T769" i="7"/>
  <c r="D770" i="7"/>
  <c r="R770" i="7"/>
  <c r="S770" i="7"/>
  <c r="T770" i="7"/>
  <c r="R771" i="7"/>
  <c r="S771" i="7"/>
  <c r="T771" i="7"/>
  <c r="D772" i="7"/>
  <c r="R772" i="7"/>
  <c r="S772" i="7"/>
  <c r="T772" i="7"/>
  <c r="D773" i="7"/>
  <c r="R773" i="7"/>
  <c r="S773" i="7"/>
  <c r="T773" i="7"/>
  <c r="R776" i="7"/>
  <c r="S776" i="7"/>
  <c r="T776" i="7"/>
  <c r="R777" i="7"/>
  <c r="S777" i="7"/>
  <c r="T777" i="7"/>
  <c r="R778" i="7"/>
  <c r="S778" i="7"/>
  <c r="T778" i="7"/>
  <c r="R779" i="7"/>
  <c r="S779" i="7"/>
  <c r="T779" i="7"/>
  <c r="R780" i="7"/>
  <c r="S780" i="7"/>
  <c r="T780" i="7"/>
  <c r="R781" i="7"/>
  <c r="S781" i="7"/>
  <c r="T781" i="7"/>
  <c r="R782" i="7"/>
  <c r="S782" i="7"/>
  <c r="T782" i="7"/>
  <c r="R783" i="7"/>
  <c r="S783" i="7"/>
  <c r="T783" i="7"/>
  <c r="R784" i="7"/>
  <c r="S784" i="7"/>
  <c r="T784" i="7"/>
  <c r="R785" i="7"/>
  <c r="S785" i="7"/>
  <c r="T785" i="7"/>
  <c r="D786" i="7"/>
  <c r="R786" i="7"/>
  <c r="S786" i="7"/>
  <c r="T786" i="7"/>
  <c r="D787" i="7"/>
  <c r="R787" i="7"/>
  <c r="S787" i="7"/>
  <c r="T787" i="7"/>
  <c r="D788" i="7"/>
  <c r="R788" i="7"/>
  <c r="S788" i="7"/>
  <c r="T788" i="7"/>
  <c r="D789" i="7"/>
  <c r="R789" i="7"/>
  <c r="S789" i="7"/>
  <c r="T789" i="7"/>
  <c r="D790" i="7"/>
  <c r="R790" i="7"/>
  <c r="S790" i="7"/>
  <c r="T790" i="7"/>
  <c r="R791" i="7"/>
  <c r="S791" i="7"/>
  <c r="T791" i="7"/>
  <c r="D792" i="7"/>
  <c r="L792" i="7"/>
  <c r="M792" i="7" s="1"/>
  <c r="N792" i="7" s="1"/>
  <c r="O792" i="7" s="1"/>
  <c r="R792" i="7"/>
  <c r="S792" i="7"/>
  <c r="T792" i="7"/>
  <c r="R795" i="7"/>
  <c r="S795" i="7"/>
  <c r="T795" i="7"/>
  <c r="R796" i="7"/>
  <c r="S796" i="7"/>
  <c r="T796" i="7"/>
  <c r="R797" i="7"/>
  <c r="S797" i="7"/>
  <c r="T797" i="7"/>
  <c r="R798" i="7"/>
  <c r="S798" i="7"/>
  <c r="T798" i="7"/>
  <c r="R799" i="7"/>
  <c r="S799" i="7"/>
  <c r="T799" i="7"/>
  <c r="R800" i="7"/>
  <c r="S800" i="7"/>
  <c r="T800" i="7"/>
  <c r="R801" i="7"/>
  <c r="S801" i="7"/>
  <c r="T801" i="7"/>
  <c r="R802" i="7"/>
  <c r="S802" i="7"/>
  <c r="T802" i="7"/>
  <c r="R803" i="7"/>
  <c r="S803" i="7"/>
  <c r="T803" i="7"/>
  <c r="R804" i="7"/>
  <c r="S804" i="7"/>
  <c r="T804" i="7"/>
  <c r="D805" i="7"/>
  <c r="R805" i="7"/>
  <c r="S805" i="7"/>
  <c r="T805" i="7"/>
  <c r="D806" i="7"/>
  <c r="R806" i="7"/>
  <c r="S806" i="7"/>
  <c r="T806" i="7"/>
  <c r="D807" i="7"/>
  <c r="R807" i="7"/>
  <c r="S807" i="7"/>
  <c r="T807" i="7"/>
  <c r="D808" i="7"/>
  <c r="R808" i="7"/>
  <c r="S808" i="7"/>
  <c r="T808" i="7"/>
  <c r="D809" i="7"/>
  <c r="R809" i="7"/>
  <c r="S809" i="7"/>
  <c r="T809" i="7"/>
  <c r="R810" i="7"/>
  <c r="S810" i="7"/>
  <c r="T810" i="7"/>
  <c r="D811" i="7"/>
  <c r="L811" i="7"/>
  <c r="M811" i="7" s="1"/>
  <c r="N811" i="7" s="1"/>
  <c r="O811" i="7" s="1"/>
  <c r="R811" i="7"/>
  <c r="S811" i="7"/>
  <c r="T811" i="7"/>
  <c r="R814" i="7"/>
  <c r="S814" i="7"/>
  <c r="T814" i="7"/>
  <c r="R815" i="7"/>
  <c r="S815" i="7"/>
  <c r="T815" i="7"/>
  <c r="R816" i="7"/>
  <c r="S816" i="7"/>
  <c r="T816" i="7"/>
  <c r="R817" i="7"/>
  <c r="S817" i="7"/>
  <c r="T817" i="7"/>
  <c r="R818" i="7"/>
  <c r="S818" i="7"/>
  <c r="T818" i="7"/>
  <c r="R819" i="7"/>
  <c r="S819" i="7"/>
  <c r="T819" i="7"/>
  <c r="R820" i="7"/>
  <c r="S820" i="7"/>
  <c r="T820" i="7"/>
  <c r="R821" i="7"/>
  <c r="S821" i="7"/>
  <c r="T821" i="7"/>
  <c r="R822" i="7"/>
  <c r="S822" i="7"/>
  <c r="T822" i="7"/>
  <c r="D823" i="7"/>
  <c r="R823" i="7"/>
  <c r="S823" i="7"/>
  <c r="T823" i="7"/>
  <c r="D824" i="7"/>
  <c r="R824" i="7"/>
  <c r="S824" i="7"/>
  <c r="T824" i="7"/>
  <c r="R825" i="7"/>
  <c r="S825" i="7"/>
  <c r="T825" i="7"/>
  <c r="D826" i="7"/>
  <c r="L826" i="7"/>
  <c r="M826" i="7" s="1"/>
  <c r="N826" i="7" s="1"/>
  <c r="O826" i="7" s="1"/>
  <c r="R826" i="7"/>
  <c r="S826" i="7"/>
  <c r="T826" i="7"/>
  <c r="R829" i="7"/>
  <c r="S829" i="7"/>
  <c r="T829" i="7"/>
  <c r="R830" i="7"/>
  <c r="S830" i="7"/>
  <c r="T830" i="7"/>
  <c r="D831" i="7"/>
  <c r="R831" i="7"/>
  <c r="S831" i="7"/>
  <c r="T831" i="7"/>
  <c r="D832" i="7"/>
  <c r="R832" i="7"/>
  <c r="S832" i="7"/>
  <c r="T832" i="7"/>
  <c r="R833" i="7"/>
  <c r="S833" i="7"/>
  <c r="T833" i="7"/>
  <c r="D834" i="7"/>
  <c r="L834" i="7"/>
  <c r="M834" i="7" s="1"/>
  <c r="N834" i="7" s="1"/>
  <c r="O834" i="7" s="1"/>
  <c r="R834" i="7"/>
  <c r="S834" i="7"/>
  <c r="T834" i="7"/>
  <c r="R837" i="7"/>
  <c r="S837" i="7"/>
  <c r="T837" i="7"/>
  <c r="R838" i="7"/>
  <c r="S838" i="7"/>
  <c r="T838" i="7"/>
  <c r="R839" i="7"/>
  <c r="S839" i="7"/>
  <c r="T839" i="7"/>
  <c r="R840" i="7"/>
  <c r="S840" i="7"/>
  <c r="T840" i="7"/>
  <c r="R841" i="7"/>
  <c r="S841" i="7"/>
  <c r="T841" i="7"/>
  <c r="R842" i="7"/>
  <c r="S842" i="7"/>
  <c r="T842" i="7"/>
  <c r="D843" i="7"/>
  <c r="R843" i="7"/>
  <c r="S843" i="7"/>
  <c r="T843" i="7"/>
  <c r="R844" i="7"/>
  <c r="S844" i="7"/>
  <c r="T844" i="7"/>
  <c r="D846" i="7"/>
  <c r="M846" i="7"/>
  <c r="N846" i="7" s="1"/>
  <c r="O846" i="7" s="1"/>
  <c r="R846" i="7"/>
  <c r="S846" i="7"/>
  <c r="T846" i="7"/>
  <c r="R849" i="7"/>
  <c r="S849" i="7"/>
  <c r="T849" i="7"/>
  <c r="R850" i="7"/>
  <c r="S850" i="7"/>
  <c r="T850" i="7"/>
  <c r="R851" i="7"/>
  <c r="S851" i="7"/>
  <c r="T851" i="7"/>
  <c r="R852" i="7"/>
  <c r="S852" i="7"/>
  <c r="T852" i="7"/>
  <c r="R853" i="7"/>
  <c r="S853" i="7"/>
  <c r="T853" i="7"/>
  <c r="R854" i="7"/>
  <c r="S854" i="7"/>
  <c r="T854" i="7"/>
  <c r="D855" i="7"/>
  <c r="R855" i="7"/>
  <c r="S855" i="7"/>
  <c r="T855" i="7"/>
  <c r="R856" i="7"/>
  <c r="S856" i="7"/>
  <c r="T856" i="7"/>
  <c r="D858" i="7"/>
  <c r="M858" i="7"/>
  <c r="N858" i="7" s="1"/>
  <c r="O858" i="7" s="1"/>
  <c r="R858" i="7"/>
  <c r="S858" i="7"/>
  <c r="T858" i="7"/>
  <c r="D870" i="7"/>
  <c r="R870" i="7"/>
  <c r="S870" i="7"/>
  <c r="T870" i="7"/>
  <c r="R871" i="7"/>
  <c r="S871" i="7"/>
  <c r="T871" i="7"/>
  <c r="D872" i="7"/>
  <c r="L872" i="7"/>
  <c r="M872" i="7" s="1"/>
  <c r="N872" i="7" s="1"/>
  <c r="O872" i="7" s="1"/>
  <c r="D1108" i="7"/>
  <c r="D1112" i="7"/>
  <c r="D1113" i="7"/>
  <c r="D1114" i="7"/>
  <c r="D1118" i="7"/>
  <c r="D1119" i="7"/>
  <c r="D1120" i="7"/>
  <c r="D1123" i="7"/>
  <c r="D1124" i="7"/>
  <c r="D1125" i="7"/>
  <c r="K10" i="19"/>
  <c r="K12" i="19"/>
  <c r="K16" i="19"/>
  <c r="K18" i="19"/>
  <c r="K19" i="19"/>
  <c r="K25" i="19"/>
  <c r="K31" i="19"/>
  <c r="K37" i="19"/>
  <c r="K38" i="19"/>
  <c r="K44" i="19"/>
  <c r="K50" i="19"/>
  <c r="K56" i="19"/>
  <c r="K57" i="19"/>
  <c r="K58" i="19"/>
  <c r="K59" i="19"/>
  <c r="K68" i="19"/>
  <c r="K77" i="19"/>
  <c r="K78" i="19"/>
  <c r="K79" i="19"/>
  <c r="K88" i="19"/>
  <c r="K89" i="19"/>
  <c r="K98" i="19"/>
  <c r="K99" i="19"/>
  <c r="K108" i="19"/>
  <c r="K109" i="19"/>
  <c r="K110" i="19"/>
  <c r="K119" i="19"/>
  <c r="K120" i="19"/>
  <c r="K129" i="19"/>
  <c r="K130" i="19"/>
  <c r="K139" i="19"/>
  <c r="K141" i="19"/>
  <c r="K142" i="19"/>
  <c r="K143" i="19"/>
  <c r="K149" i="19"/>
  <c r="K154" i="19"/>
  <c r="K159" i="19"/>
  <c r="K164" i="19"/>
  <c r="K169" i="19"/>
  <c r="K170" i="19"/>
  <c r="K171" i="19"/>
  <c r="K172" i="19"/>
  <c r="K174" i="19"/>
  <c r="K176" i="19"/>
  <c r="K177" i="19"/>
  <c r="K180" i="19"/>
  <c r="K182" i="19"/>
  <c r="K183" i="19"/>
  <c r="K185" i="19"/>
  <c r="K187" i="19"/>
  <c r="K188" i="19"/>
  <c r="K190" i="19"/>
  <c r="K192" i="19"/>
  <c r="K193" i="19"/>
  <c r="K194" i="19"/>
  <c r="K195" i="19"/>
  <c r="K196" i="19"/>
  <c r="K197" i="19"/>
  <c r="K201" i="19"/>
  <c r="K202" i="19"/>
  <c r="K206" i="19"/>
  <c r="K213" i="19"/>
  <c r="K216" i="19"/>
  <c r="K218" i="19"/>
  <c r="N225" i="19"/>
  <c r="K234" i="19"/>
  <c r="K239" i="19"/>
  <c r="K240" i="19"/>
  <c r="K243" i="19"/>
  <c r="K244" i="19"/>
  <c r="K250" i="19"/>
  <c r="K251" i="19"/>
  <c r="K257" i="19"/>
  <c r="K258" i="19"/>
  <c r="K264" i="19"/>
  <c r="K265" i="19"/>
  <c r="K266" i="19"/>
  <c r="K267" i="19"/>
  <c r="K269" i="19"/>
  <c r="K271" i="19"/>
  <c r="K274" i="19"/>
  <c r="K280" i="19"/>
  <c r="K281" i="19"/>
  <c r="K287" i="19"/>
  <c r="K288" i="19"/>
  <c r="K289" i="19"/>
  <c r="K290" i="19"/>
  <c r="K294" i="19"/>
  <c r="K296" i="19"/>
  <c r="K297" i="19"/>
  <c r="K298" i="19"/>
  <c r="K299" i="19"/>
  <c r="K300" i="19"/>
  <c r="K306" i="19"/>
  <c r="K308" i="19"/>
  <c r="K312" i="19"/>
  <c r="K318" i="19"/>
  <c r="K321" i="19"/>
  <c r="K322" i="19"/>
  <c r="K327" i="19"/>
  <c r="K328" i="19"/>
  <c r="K329" i="19"/>
  <c r="K334" i="19"/>
  <c r="K335" i="19"/>
  <c r="K340" i="19"/>
  <c r="K341" i="19"/>
  <c r="K346" i="19"/>
  <c r="K347" i="19"/>
  <c r="K352" i="19"/>
  <c r="K353" i="19"/>
  <c r="K354" i="19"/>
  <c r="K359" i="19"/>
  <c r="K360" i="19"/>
  <c r="K366" i="19"/>
  <c r="K368" i="19"/>
  <c r="K372" i="19"/>
  <c r="K378" i="19"/>
  <c r="K381" i="19"/>
  <c r="K382" i="19"/>
  <c r="K387" i="19"/>
  <c r="K388" i="19"/>
  <c r="K389" i="19"/>
  <c r="K394" i="19"/>
  <c r="K395" i="19"/>
  <c r="K400" i="19"/>
  <c r="K401" i="19"/>
  <c r="K406" i="19"/>
  <c r="K407" i="19"/>
  <c r="K408" i="19"/>
  <c r="K413" i="19"/>
  <c r="K414" i="19"/>
  <c r="K420" i="19"/>
  <c r="K426" i="19"/>
  <c r="K428" i="19"/>
  <c r="K429" i="19"/>
  <c r="K430" i="19"/>
  <c r="K436" i="19"/>
  <c r="K441" i="19"/>
  <c r="K447" i="19"/>
  <c r="K450" i="19"/>
  <c r="K451" i="19"/>
  <c r="K455" i="19"/>
  <c r="K456" i="19"/>
  <c r="K460" i="19"/>
  <c r="K461" i="19"/>
  <c r="K465" i="19"/>
  <c r="K466" i="19"/>
  <c r="K470" i="19"/>
  <c r="K471" i="19"/>
  <c r="K475" i="19"/>
  <c r="K480" i="19"/>
  <c r="K485" i="19"/>
  <c r="K486" i="19"/>
  <c r="K487" i="19"/>
  <c r="K493" i="19"/>
  <c r="K498" i="19"/>
  <c r="K504" i="19"/>
  <c r="K507" i="19"/>
  <c r="K508" i="19"/>
  <c r="K512" i="19"/>
  <c r="K513" i="19"/>
  <c r="K517" i="19"/>
  <c r="K518" i="19"/>
  <c r="K522" i="19"/>
  <c r="K523" i="19"/>
  <c r="K527" i="19"/>
  <c r="K528" i="19"/>
  <c r="K532" i="19"/>
  <c r="K537" i="19"/>
  <c r="K542" i="19"/>
  <c r="K543" i="19"/>
  <c r="K544" i="19"/>
  <c r="K545" i="19"/>
  <c r="H552" i="19"/>
  <c r="I552" i="19"/>
  <c r="E553" i="19"/>
  <c r="H553" i="19"/>
  <c r="E554" i="19"/>
  <c r="G554" i="19"/>
  <c r="H554" i="19"/>
  <c r="F555" i="19"/>
  <c r="G555" i="19"/>
  <c r="H555" i="19"/>
  <c r="I555" i="19"/>
  <c r="K559" i="19"/>
  <c r="K561" i="19"/>
  <c r="E562" i="19"/>
  <c r="F562" i="19"/>
  <c r="G562" i="19"/>
  <c r="H562" i="19"/>
  <c r="I562" i="19"/>
  <c r="K564" i="19"/>
  <c r="K571" i="19"/>
  <c r="K573" i="19"/>
  <c r="K574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06" i="19"/>
  <c r="K617" i="19"/>
  <c r="K618" i="19"/>
  <c r="K619" i="19"/>
  <c r="K620" i="19"/>
  <c r="K625" i="19"/>
  <c r="K626" i="19"/>
  <c r="K631" i="19"/>
  <c r="K632" i="19"/>
  <c r="K633" i="19"/>
  <c r="K638" i="19"/>
  <c r="K639" i="19"/>
  <c r="K640" i="19"/>
  <c r="K641" i="19"/>
  <c r="E642" i="19"/>
  <c r="F642" i="19"/>
  <c r="F497" i="11" s="1"/>
  <c r="H642" i="19"/>
  <c r="H497" i="11" s="1"/>
  <c r="E643" i="19"/>
  <c r="E650" i="19"/>
  <c r="E501" i="11" s="1"/>
  <c r="I643" i="19"/>
  <c r="I498" i="11" s="1"/>
  <c r="H644" i="19"/>
  <c r="H499" i="11" s="1"/>
  <c r="I644" i="19"/>
  <c r="K647" i="19"/>
  <c r="K648" i="19"/>
  <c r="E649" i="19"/>
  <c r="E500" i="11" s="1"/>
  <c r="G649" i="19"/>
  <c r="G500" i="11" s="1"/>
  <c r="F650" i="19"/>
  <c r="H650" i="19"/>
  <c r="E651" i="19"/>
  <c r="E502" i="11" s="1"/>
  <c r="I651" i="19"/>
  <c r="I502" i="11" s="1"/>
  <c r="K654" i="19"/>
  <c r="K655" i="19"/>
  <c r="K659" i="19"/>
  <c r="K660" i="19"/>
  <c r="K664" i="19"/>
  <c r="K665" i="19"/>
  <c r="K670" i="19"/>
  <c r="K671" i="19"/>
  <c r="K676" i="19"/>
  <c r="K677" i="19"/>
  <c r="K682" i="19"/>
  <c r="K683" i="19"/>
  <c r="K688" i="19"/>
  <c r="K690" i="19"/>
  <c r="K691" i="19"/>
  <c r="K698" i="19"/>
  <c r="K699" i="19"/>
  <c r="A212" i="3"/>
  <c r="A213" i="3" s="1"/>
  <c r="A214" i="3" s="1"/>
  <c r="A215" i="3" s="1"/>
  <c r="A216" i="3" s="1"/>
  <c r="A217" i="3" s="1"/>
  <c r="A218" i="3" s="1"/>
  <c r="A219" i="3" s="1"/>
  <c r="A220" i="3" s="1"/>
  <c r="A221" i="3" s="1"/>
  <c r="K8" i="6"/>
  <c r="K12" i="6"/>
  <c r="K17" i="6"/>
  <c r="K19" i="6"/>
  <c r="K20" i="6"/>
  <c r="K21" i="6"/>
  <c r="K23" i="6"/>
  <c r="K25" i="6"/>
  <c r="K28" i="6"/>
  <c r="K32" i="6"/>
  <c r="K34" i="6"/>
  <c r="K35" i="6"/>
  <c r="K37" i="6"/>
  <c r="K40" i="6"/>
  <c r="K44" i="6"/>
  <c r="K45" i="6"/>
  <c r="K47" i="6"/>
  <c r="K48" i="6"/>
  <c r="K49" i="6"/>
  <c r="K50" i="6"/>
  <c r="K52" i="6"/>
  <c r="K57" i="6"/>
  <c r="K58" i="6"/>
  <c r="K62" i="6"/>
  <c r="K67" i="6"/>
  <c r="K69" i="6"/>
  <c r="K70" i="6"/>
  <c r="K71" i="6"/>
  <c r="K73" i="6"/>
  <c r="K75" i="6"/>
  <c r="K78" i="6"/>
  <c r="K82" i="6"/>
  <c r="K84" i="6"/>
  <c r="K85" i="6"/>
  <c r="K87" i="6"/>
  <c r="K90" i="6"/>
  <c r="K94" i="6"/>
  <c r="K95" i="6"/>
  <c r="K97" i="6"/>
  <c r="K98" i="6"/>
  <c r="K99" i="6"/>
  <c r="K100" i="6"/>
  <c r="K102" i="6"/>
  <c r="K107" i="6"/>
  <c r="K108" i="6"/>
  <c r="K109" i="6"/>
  <c r="K113" i="6"/>
  <c r="K118" i="6"/>
  <c r="K120" i="6"/>
  <c r="K121" i="6"/>
  <c r="K122" i="6"/>
  <c r="K124" i="6"/>
  <c r="K126" i="6"/>
  <c r="K129" i="6"/>
  <c r="K133" i="6"/>
  <c r="K138" i="6"/>
  <c r="K141" i="6"/>
  <c r="K142" i="6"/>
  <c r="K143" i="6"/>
  <c r="K145" i="6"/>
  <c r="K146" i="6"/>
  <c r="K148" i="6"/>
  <c r="K149" i="6"/>
  <c r="K150" i="6"/>
  <c r="K153" i="6"/>
  <c r="K155" i="6"/>
  <c r="K159" i="6"/>
  <c r="K160" i="6"/>
  <c r="K164" i="6"/>
  <c r="K169" i="6"/>
  <c r="K173" i="6"/>
  <c r="K175" i="6"/>
  <c r="K177" i="6"/>
  <c r="K180" i="6"/>
  <c r="K184" i="6"/>
  <c r="K189" i="6"/>
  <c r="K192" i="6"/>
  <c r="K197" i="6"/>
  <c r="K199" i="6"/>
  <c r="K204" i="6"/>
  <c r="K208" i="6"/>
  <c r="K209" i="6"/>
  <c r="K210" i="6"/>
  <c r="K214" i="6"/>
  <c r="K219" i="6"/>
  <c r="K221" i="6"/>
  <c r="K222" i="6"/>
  <c r="K223" i="6"/>
  <c r="K225" i="6"/>
  <c r="K227" i="6"/>
  <c r="K230" i="6"/>
  <c r="K234" i="6"/>
  <c r="C236" i="6"/>
  <c r="K239" i="6"/>
  <c r="K242" i="6"/>
  <c r="K243" i="6"/>
  <c r="K244" i="6"/>
  <c r="K246" i="6"/>
  <c r="K247" i="6"/>
  <c r="K249" i="6"/>
  <c r="K250" i="6"/>
  <c r="K251" i="6"/>
  <c r="K254" i="6"/>
  <c r="K256" i="6"/>
  <c r="K260" i="6"/>
  <c r="K261" i="6"/>
  <c r="K265" i="6"/>
  <c r="K270" i="6"/>
  <c r="K272" i="6"/>
  <c r="K273" i="6"/>
  <c r="K274" i="6"/>
  <c r="K276" i="6"/>
  <c r="K278" i="6"/>
  <c r="K281" i="6"/>
  <c r="K285" i="6"/>
  <c r="K290" i="6"/>
  <c r="K293" i="6"/>
  <c r="K294" i="6"/>
  <c r="K295" i="6"/>
  <c r="K297" i="6"/>
  <c r="K298" i="6"/>
  <c r="K300" i="6"/>
  <c r="K301" i="6"/>
  <c r="K302" i="6"/>
  <c r="K305" i="6"/>
  <c r="K307" i="6"/>
  <c r="K311" i="6"/>
  <c r="K312" i="6"/>
  <c r="K316" i="6"/>
  <c r="K321" i="6"/>
  <c r="K323" i="6"/>
  <c r="K324" i="6"/>
  <c r="K325" i="6"/>
  <c r="K327" i="6"/>
  <c r="K329" i="6"/>
  <c r="K332" i="6"/>
  <c r="K336" i="6"/>
  <c r="K341" i="6"/>
  <c r="K344" i="6"/>
  <c r="K349" i="6"/>
  <c r="K351" i="6"/>
  <c r="K356" i="6"/>
  <c r="K361" i="6"/>
  <c r="K362" i="6"/>
  <c r="K363" i="6"/>
  <c r="K364" i="6"/>
  <c r="K368" i="6"/>
  <c r="K373" i="6"/>
  <c r="K375" i="6"/>
  <c r="K376" i="6"/>
  <c r="K377" i="6"/>
  <c r="K379" i="6"/>
  <c r="K381" i="6"/>
  <c r="K384" i="6"/>
  <c r="K388" i="6"/>
  <c r="K393" i="6"/>
  <c r="K396" i="6"/>
  <c r="K397" i="6"/>
  <c r="K398" i="6"/>
  <c r="K400" i="6"/>
  <c r="K401" i="6"/>
  <c r="K403" i="6"/>
  <c r="K404" i="6"/>
  <c r="K405" i="6"/>
  <c r="K408" i="6"/>
  <c r="K410" i="6"/>
  <c r="K413" i="6"/>
  <c r="K414" i="6"/>
  <c r="K415" i="6"/>
  <c r="K419" i="6"/>
  <c r="K424" i="6"/>
  <c r="K428" i="6"/>
  <c r="K430" i="6"/>
  <c r="K432" i="6"/>
  <c r="K435" i="6"/>
  <c r="K439" i="6"/>
  <c r="K444" i="6"/>
  <c r="K447" i="6"/>
  <c r="K452" i="6"/>
  <c r="K454" i="6"/>
  <c r="K459" i="6"/>
  <c r="K463" i="6"/>
  <c r="K464" i="6"/>
  <c r="K465" i="6"/>
  <c r="K469" i="6"/>
  <c r="K474" i="6"/>
  <c r="K476" i="6"/>
  <c r="K477" i="6"/>
  <c r="K478" i="6"/>
  <c r="K480" i="6"/>
  <c r="K482" i="6"/>
  <c r="K485" i="6"/>
  <c r="K489" i="6"/>
  <c r="K494" i="6"/>
  <c r="K497" i="6"/>
  <c r="K498" i="6"/>
  <c r="K499" i="6"/>
  <c r="K501" i="6"/>
  <c r="K502" i="6"/>
  <c r="K504" i="6"/>
  <c r="K505" i="6"/>
  <c r="K506" i="6"/>
  <c r="K509" i="6"/>
  <c r="K511" i="6"/>
  <c r="K514" i="6"/>
  <c r="K515" i="6"/>
  <c r="K516" i="6"/>
  <c r="K520" i="6"/>
  <c r="K525" i="6"/>
  <c r="K527" i="6"/>
  <c r="K528" i="6"/>
  <c r="K529" i="6"/>
  <c r="K531" i="6"/>
  <c r="K533" i="6"/>
  <c r="K536" i="6"/>
  <c r="K540" i="6"/>
  <c r="K545" i="6"/>
  <c r="K548" i="6"/>
  <c r="K549" i="6"/>
  <c r="K550" i="6"/>
  <c r="K552" i="6"/>
  <c r="K553" i="6"/>
  <c r="K555" i="6"/>
  <c r="K556" i="6"/>
  <c r="K557" i="6"/>
  <c r="K560" i="6"/>
  <c r="K562" i="6"/>
  <c r="K565" i="6"/>
  <c r="K566" i="6"/>
  <c r="K567" i="6"/>
  <c r="K571" i="6"/>
  <c r="K576" i="6"/>
  <c r="K579" i="6"/>
  <c r="K580" i="6"/>
  <c r="K582" i="6"/>
  <c r="K584" i="6"/>
  <c r="K587" i="6"/>
  <c r="K591" i="6"/>
  <c r="K596" i="6"/>
  <c r="K599" i="6"/>
  <c r="K604" i="6"/>
  <c r="K606" i="6"/>
  <c r="K611" i="6"/>
  <c r="K616" i="6"/>
  <c r="K617" i="6"/>
  <c r="K618" i="6"/>
  <c r="K622" i="6"/>
  <c r="K627" i="6"/>
  <c r="K629" i="6"/>
  <c r="K630" i="6"/>
  <c r="K631" i="6"/>
  <c r="K633" i="6"/>
  <c r="K635" i="6"/>
  <c r="K638" i="6"/>
  <c r="K642" i="6"/>
  <c r="K648" i="6"/>
  <c r="K651" i="6"/>
  <c r="K658" i="6"/>
  <c r="K660" i="6"/>
  <c r="K666" i="6"/>
  <c r="K669" i="6"/>
  <c r="K673" i="6"/>
  <c r="K676" i="6"/>
  <c r="K679" i="6"/>
  <c r="K682" i="6"/>
  <c r="K684" i="6"/>
  <c r="K690" i="6"/>
  <c r="K691" i="6"/>
  <c r="E692" i="6"/>
  <c r="F692" i="6"/>
  <c r="G692" i="6"/>
  <c r="H692" i="6"/>
  <c r="I692" i="6"/>
  <c r="K693" i="6"/>
  <c r="K698" i="6"/>
  <c r="K700" i="6"/>
  <c r="K707" i="6"/>
  <c r="K709" i="6"/>
  <c r="K711" i="6"/>
  <c r="K714" i="6"/>
  <c r="K716" i="6"/>
  <c r="K721" i="6"/>
  <c r="K723" i="6"/>
  <c r="K725" i="6"/>
  <c r="K727" i="6"/>
  <c r="K730" i="6"/>
  <c r="K731" i="6"/>
  <c r="K733" i="6"/>
  <c r="K737" i="6"/>
  <c r="K738" i="6"/>
  <c r="K743" i="6"/>
  <c r="K744" i="6"/>
  <c r="K759" i="6"/>
  <c r="K760" i="6"/>
  <c r="B124" i="2"/>
  <c r="E139" i="2"/>
  <c r="D139" i="1" s="1"/>
  <c r="F139" i="2"/>
  <c r="G139" i="2"/>
  <c r="H139" i="2"/>
  <c r="I139" i="2"/>
  <c r="E148" i="2"/>
  <c r="D148" i="1" s="1"/>
  <c r="F148" i="2"/>
  <c r="G148" i="2"/>
  <c r="H148" i="2"/>
  <c r="F149" i="2"/>
  <c r="G149" i="2"/>
  <c r="H149" i="2"/>
  <c r="I149" i="2"/>
  <c r="E153" i="2"/>
  <c r="D153" i="1" s="1"/>
  <c r="F153" i="2"/>
  <c r="H153" i="2"/>
  <c r="E167" i="2"/>
  <c r="D167" i="1" s="1"/>
  <c r="F167" i="2"/>
  <c r="G167" i="2"/>
  <c r="I167" i="2"/>
  <c r="E168" i="2"/>
  <c r="D168" i="1" s="1"/>
  <c r="F168" i="2"/>
  <c r="G168" i="2"/>
  <c r="H168" i="2"/>
  <c r="I168" i="2"/>
  <c r="E169" i="2"/>
  <c r="D169" i="1" s="1"/>
  <c r="F169" i="2"/>
  <c r="H169" i="2"/>
  <c r="I169" i="2"/>
  <c r="E170" i="2"/>
  <c r="D170" i="1" s="1"/>
  <c r="G170" i="2"/>
  <c r="H170" i="2"/>
  <c r="I170" i="2"/>
  <c r="D173" i="1"/>
  <c r="D180" i="1"/>
  <c r="F123" i="18"/>
  <c r="H123" i="18"/>
  <c r="I123" i="18"/>
  <c r="E185" i="2"/>
  <c r="D185" i="1" s="1"/>
  <c r="F185" i="2"/>
  <c r="H185" i="2"/>
  <c r="I185" i="2"/>
  <c r="E186" i="2"/>
  <c r="D186" i="1" s="1"/>
  <c r="G186" i="2"/>
  <c r="I186" i="2"/>
  <c r="D187" i="1"/>
  <c r="E208" i="2"/>
  <c r="D208" i="1" s="1"/>
  <c r="F208" i="2"/>
  <c r="G208" i="2"/>
  <c r="H208" i="2"/>
  <c r="I208" i="2"/>
  <c r="G103" i="18"/>
  <c r="H103" i="18"/>
  <c r="I103" i="18"/>
  <c r="E231" i="2"/>
  <c r="D231" i="1" s="1"/>
  <c r="G231" i="2"/>
  <c r="H231" i="2"/>
  <c r="F232" i="2"/>
  <c r="G232" i="2"/>
  <c r="H232" i="2"/>
  <c r="I232" i="2"/>
  <c r="E233" i="2"/>
  <c r="D233" i="1" s="1"/>
  <c r="F233" i="2"/>
  <c r="G233" i="2"/>
  <c r="H233" i="2"/>
  <c r="I233" i="2"/>
  <c r="F107" i="18"/>
  <c r="G107" i="18"/>
  <c r="H107" i="18"/>
  <c r="F131" i="18"/>
  <c r="G131" i="18"/>
  <c r="H131" i="18"/>
  <c r="I131" i="18"/>
  <c r="E248" i="2"/>
  <c r="D248" i="1" s="1"/>
  <c r="F248" i="2"/>
  <c r="I248" i="2"/>
  <c r="E249" i="2"/>
  <c r="D249" i="1" s="1"/>
  <c r="G249" i="2"/>
  <c r="H249" i="2"/>
  <c r="I249" i="2"/>
  <c r="F250" i="2"/>
  <c r="H250" i="2"/>
  <c r="I250" i="2"/>
  <c r="D285" i="2"/>
  <c r="D291" i="2"/>
  <c r="D292" i="2"/>
  <c r="D293" i="2"/>
  <c r="D294" i="2"/>
  <c r="D295" i="2"/>
  <c r="D296" i="2"/>
  <c r="D297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7" i="2"/>
  <c r="D318" i="2"/>
  <c r="D319" i="2"/>
  <c r="D320" i="2"/>
  <c r="D322" i="2"/>
  <c r="D323" i="2"/>
  <c r="D324" i="2"/>
  <c r="D326" i="2"/>
  <c r="D327" i="2"/>
  <c r="D328" i="2"/>
  <c r="D329" i="2"/>
  <c r="D330" i="2"/>
  <c r="D331" i="2"/>
  <c r="D332" i="2"/>
  <c r="D16" i="1"/>
  <c r="D23" i="1"/>
  <c r="D31" i="1"/>
  <c r="D32" i="1"/>
  <c r="D39" i="1"/>
  <c r="D40" i="1"/>
  <c r="D47" i="1"/>
  <c r="D48" i="1"/>
  <c r="D56" i="1"/>
  <c r="D57" i="1"/>
  <c r="D64" i="1"/>
  <c r="D65" i="1"/>
  <c r="D72" i="1"/>
  <c r="D73" i="1"/>
  <c r="D78" i="1"/>
  <c r="D82" i="1"/>
  <c r="D83" i="1" s="1"/>
  <c r="D87" i="1"/>
  <c r="D96" i="1"/>
  <c r="D99" i="1" s="1"/>
  <c r="D106" i="1"/>
  <c r="D259" i="1"/>
  <c r="D260" i="1"/>
  <c r="D261" i="1"/>
  <c r="D262" i="1"/>
  <c r="D263" i="1"/>
  <c r="D264" i="1"/>
  <c r="D265" i="1"/>
  <c r="D266" i="1"/>
  <c r="D269" i="1"/>
  <c r="D270" i="1"/>
  <c r="D271" i="1"/>
  <c r="D272" i="1"/>
  <c r="D273" i="1"/>
  <c r="D274" i="1"/>
  <c r="D275" i="1"/>
  <c r="D276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V2" i="52"/>
  <c r="V3" i="52"/>
  <c r="V14" i="52"/>
  <c r="W14" i="52"/>
  <c r="Y14" i="52"/>
  <c r="V16" i="52"/>
  <c r="W16" i="52"/>
  <c r="X16" i="52"/>
  <c r="Y16" i="52"/>
  <c r="V18" i="52"/>
  <c r="W18" i="52"/>
  <c r="Y18" i="52"/>
  <c r="X18" i="52"/>
  <c r="V20" i="52"/>
  <c r="W20" i="52"/>
  <c r="X20" i="52"/>
  <c r="Y20" i="52"/>
  <c r="V22" i="52"/>
  <c r="W22" i="52"/>
  <c r="X22" i="52"/>
  <c r="Y22" i="52"/>
  <c r="V24" i="52"/>
  <c r="W24" i="52"/>
  <c r="X24" i="52"/>
  <c r="Y24" i="52"/>
  <c r="O41" i="52"/>
  <c r="V2" i="53"/>
  <c r="V3" i="53"/>
  <c r="H31" i="53"/>
  <c r="O47" i="53"/>
  <c r="K71" i="53"/>
  <c r="W2" i="54"/>
  <c r="W3" i="54"/>
  <c r="P41" i="54"/>
  <c r="N90" i="54"/>
  <c r="Z2" i="55"/>
  <c r="Z3" i="55"/>
  <c r="A30" i="55"/>
  <c r="A31" i="55"/>
  <c r="A32" i="55"/>
  <c r="R36" i="55"/>
  <c r="N75" i="55"/>
  <c r="X2" i="60"/>
  <c r="X3" i="60"/>
  <c r="K16" i="60"/>
  <c r="G43" i="60"/>
  <c r="Q48" i="60"/>
  <c r="X2" i="57"/>
  <c r="P3" i="57"/>
  <c r="X3" i="57"/>
  <c r="I16" i="57"/>
  <c r="O38" i="57"/>
  <c r="G43" i="57"/>
  <c r="Q48" i="57"/>
  <c r="N2" i="39"/>
  <c r="D5" i="39"/>
  <c r="G12" i="39"/>
  <c r="I12" i="39"/>
  <c r="I33" i="39"/>
  <c r="K33" i="39"/>
  <c r="A62" i="39"/>
  <c r="A63" i="39"/>
  <c r="M67" i="39"/>
  <c r="I75" i="39"/>
  <c r="K75" i="39"/>
  <c r="G79" i="39"/>
  <c r="G83" i="39"/>
  <c r="E91" i="39"/>
  <c r="G91" i="39" s="1"/>
  <c r="E93" i="39"/>
  <c r="G93" i="39" s="1"/>
  <c r="E95" i="39"/>
  <c r="G95" i="39" s="1"/>
  <c r="E99" i="39"/>
  <c r="G99" i="39" s="1"/>
  <c r="R2" i="46"/>
  <c r="R2" i="38"/>
  <c r="J2" i="15"/>
  <c r="H5" i="15"/>
  <c r="B2" i="14"/>
  <c r="S2" i="14"/>
  <c r="G5" i="14"/>
  <c r="I5" i="14"/>
  <c r="P5" i="14"/>
  <c r="R5" i="14"/>
  <c r="I8" i="14"/>
  <c r="R9" i="14"/>
  <c r="I10" i="14"/>
  <c r="R10" i="14"/>
  <c r="I11" i="14"/>
  <c r="R11" i="14"/>
  <c r="R14" i="14"/>
  <c r="I15" i="14"/>
  <c r="I16" i="14"/>
  <c r="I17" i="14"/>
  <c r="R19" i="14"/>
  <c r="I20" i="14"/>
  <c r="R20" i="14"/>
  <c r="R21" i="14"/>
  <c r="I22" i="14"/>
  <c r="P3" i="45"/>
  <c r="P3" i="43"/>
  <c r="H57" i="43"/>
  <c r="P3" i="36"/>
  <c r="M49" i="36"/>
  <c r="G53" i="36"/>
  <c r="I53" i="36"/>
  <c r="K53" i="36"/>
  <c r="G79" i="36"/>
  <c r="I79" i="36"/>
  <c r="K79" i="36"/>
  <c r="M79" i="36"/>
  <c r="G8" i="20"/>
  <c r="F10" i="68"/>
  <c r="F11" i="68"/>
  <c r="C12" i="68"/>
  <c r="D12" i="68"/>
  <c r="E12" i="68"/>
  <c r="J13" i="68"/>
  <c r="J14" i="68"/>
  <c r="J15" i="68"/>
  <c r="O8" i="67"/>
  <c r="O10" i="67"/>
  <c r="O14" i="67"/>
  <c r="O16" i="67"/>
  <c r="O20" i="67"/>
  <c r="O22" i="67"/>
  <c r="O26" i="67"/>
  <c r="O28" i="67"/>
  <c r="O32" i="67"/>
  <c r="O34" i="67"/>
  <c r="O38" i="67"/>
  <c r="O40" i="67"/>
  <c r="F11" i="5"/>
  <c r="G11" i="5"/>
  <c r="H11" i="5"/>
  <c r="I11" i="5"/>
  <c r="M4" i="34"/>
  <c r="M5" i="34"/>
  <c r="M6" i="34"/>
  <c r="M8" i="34"/>
  <c r="M9" i="34"/>
  <c r="M10" i="34"/>
  <c r="B55" i="4"/>
  <c r="B48" i="3"/>
  <c r="B54" i="2"/>
  <c r="F13" i="11"/>
  <c r="F25" i="11"/>
  <c r="F36" i="11"/>
  <c r="H13" i="11"/>
  <c r="H25" i="11"/>
  <c r="H36" i="11"/>
  <c r="G205" i="11"/>
  <c r="G213" i="11" s="1"/>
  <c r="F205" i="11"/>
  <c r="F213" i="11" s="1"/>
  <c r="E29" i="29"/>
  <c r="L248" i="12"/>
  <c r="L247" i="12"/>
  <c r="L208" i="12"/>
  <c r="L207" i="12"/>
  <c r="L184" i="12"/>
  <c r="L183" i="12"/>
  <c r="L143" i="12"/>
  <c r="L142" i="12"/>
  <c r="L118" i="12"/>
  <c r="L117" i="12"/>
  <c r="L76" i="12"/>
  <c r="L75" i="12"/>
  <c r="L51" i="12"/>
  <c r="L50" i="12"/>
  <c r="F113" i="29"/>
  <c r="F114" i="29" s="1"/>
  <c r="F89" i="29"/>
  <c r="F90" i="29" s="1"/>
  <c r="H89" i="29"/>
  <c r="H90" i="29" s="1"/>
  <c r="H77" i="29"/>
  <c r="H78" i="29" s="1"/>
  <c r="H125" i="29"/>
  <c r="H126" i="29" s="1"/>
  <c r="H53" i="29"/>
  <c r="H54" i="29" s="1"/>
  <c r="H101" i="29"/>
  <c r="H102" i="29" s="1"/>
  <c r="G248" i="2"/>
  <c r="G52" i="28"/>
  <c r="G53" i="28"/>
  <c r="G53" i="10"/>
  <c r="G185" i="2"/>
  <c r="G154" i="7"/>
  <c r="G201" i="64"/>
  <c r="G553" i="19"/>
  <c r="G710" i="18"/>
  <c r="G153" i="2"/>
  <c r="G476" i="11"/>
  <c r="I65" i="30"/>
  <c r="I66" i="30" s="1"/>
  <c r="I113" i="30"/>
  <c r="I114" i="30" s="1"/>
  <c r="I53" i="30"/>
  <c r="I54" i="30" s="1"/>
  <c r="I101" i="30"/>
  <c r="I102" i="30" s="1"/>
  <c r="I41" i="30"/>
  <c r="I42" i="30" s="1"/>
  <c r="I125" i="30"/>
  <c r="I126" i="30" s="1"/>
  <c r="I77" i="30"/>
  <c r="I78" i="30" s="1"/>
  <c r="I29" i="30"/>
  <c r="I30" i="30" s="1"/>
  <c r="I137" i="30"/>
  <c r="I138" i="30" s="1"/>
  <c r="E41" i="30"/>
  <c r="D42" i="30" s="1"/>
  <c r="I89" i="30"/>
  <c r="I90" i="30" s="1"/>
  <c r="F654" i="18"/>
  <c r="F190" i="7"/>
  <c r="G33" i="39"/>
  <c r="G41" i="30"/>
  <c r="G42" i="30" s="1"/>
  <c r="G89" i="30"/>
  <c r="G90" i="30" s="1"/>
  <c r="G137" i="30"/>
  <c r="G138" i="30" s="1"/>
  <c r="G149" i="30"/>
  <c r="G150" i="30" s="1"/>
  <c r="G77" i="30"/>
  <c r="G78" i="30" s="1"/>
  <c r="G125" i="30"/>
  <c r="G126" i="30" s="1"/>
  <c r="G113" i="30"/>
  <c r="G114" i="30" s="1"/>
  <c r="G29" i="30"/>
  <c r="G30" i="30" s="1"/>
  <c r="G65" i="30"/>
  <c r="G66" i="30" s="1"/>
  <c r="G101" i="30"/>
  <c r="G102" i="30" s="1"/>
  <c r="G53" i="30"/>
  <c r="G54" i="30" s="1"/>
  <c r="I107" i="18"/>
  <c r="F249" i="2"/>
  <c r="F54" i="10"/>
  <c r="F186" i="2"/>
  <c r="E42" i="10"/>
  <c r="E43" i="10" s="1"/>
  <c r="H95" i="11"/>
  <c r="K20" i="57"/>
  <c r="I95" i="11"/>
  <c r="E152" i="8"/>
  <c r="E6" i="26" s="1"/>
  <c r="H152" i="8"/>
  <c r="H6" i="26" s="1"/>
  <c r="F103" i="18"/>
  <c r="F53" i="27"/>
  <c r="F231" i="2"/>
  <c r="F40" i="28"/>
  <c r="F42" i="28" s="1"/>
  <c r="F43" i="28" s="1"/>
  <c r="E200" i="7"/>
  <c r="E555" i="19"/>
  <c r="E648" i="18"/>
  <c r="E101" i="64"/>
  <c r="E479" i="18"/>
  <c r="I101" i="64"/>
  <c r="I479" i="18"/>
  <c r="G549" i="18"/>
  <c r="G65" i="64"/>
  <c r="I554" i="19"/>
  <c r="D480" i="11"/>
  <c r="B558" i="18"/>
  <c r="E514" i="18"/>
  <c r="E333" i="18"/>
  <c r="I514" i="18"/>
  <c r="I333" i="18"/>
  <c r="H203" i="7"/>
  <c r="F648" i="18"/>
  <c r="F200" i="7"/>
  <c r="E53" i="28"/>
  <c r="I89" i="11"/>
  <c r="I109" i="11"/>
  <c r="I185" i="11"/>
  <c r="I250" i="11"/>
  <c r="I283" i="11"/>
  <c r="I321" i="11"/>
  <c r="I389" i="11"/>
  <c r="I401" i="11"/>
  <c r="I437" i="11"/>
  <c r="I71" i="64"/>
  <c r="I204" i="64"/>
  <c r="I276" i="64"/>
  <c r="I138" i="18"/>
  <c r="I181" i="18"/>
  <c r="I394" i="18"/>
  <c r="I572" i="18"/>
  <c r="I752" i="18"/>
  <c r="I867" i="18"/>
  <c r="I25" i="11"/>
  <c r="I36" i="11"/>
  <c r="I70" i="11"/>
  <c r="I117" i="11"/>
  <c r="I154" i="11"/>
  <c r="I191" i="11"/>
  <c r="I238" i="11"/>
  <c r="I255" i="11"/>
  <c r="I293" i="11"/>
  <c r="I371" i="11"/>
  <c r="I395" i="11"/>
  <c r="I425" i="11"/>
  <c r="I479" i="11"/>
  <c r="I490" i="11"/>
  <c r="I516" i="11"/>
  <c r="I87" i="64"/>
  <c r="I189" i="64"/>
  <c r="I207" i="64"/>
  <c r="I196" i="18"/>
  <c r="I279" i="18"/>
  <c r="I659" i="18"/>
  <c r="I879" i="18"/>
  <c r="G532" i="11"/>
  <c r="D103" i="33"/>
  <c r="P132" i="3"/>
  <c r="B136" i="8" l="1"/>
  <c r="G337" i="8"/>
  <c r="B151" i="8"/>
  <c r="F336" i="8"/>
  <c r="A76" i="55" s="1"/>
  <c r="F337" i="8"/>
  <c r="B563" i="18"/>
  <c r="I101" i="7"/>
  <c r="D45" i="33"/>
  <c r="D5" i="33"/>
  <c r="D46" i="33"/>
  <c r="D7" i="33"/>
  <c r="D30" i="33"/>
  <c r="D14" i="33"/>
  <c r="B137" i="19"/>
  <c r="B36" i="1"/>
  <c r="B14" i="4"/>
  <c r="D867" i="7" s="1"/>
  <c r="C169" i="7"/>
  <c r="G101" i="7"/>
  <c r="E101" i="7"/>
  <c r="H101" i="7"/>
  <c r="D184" i="10"/>
  <c r="H151" i="8"/>
  <c r="H5" i="26" s="1"/>
  <c r="F6" i="26"/>
  <c r="C151" i="8"/>
  <c r="G152" i="8"/>
  <c r="G6" i="26" s="1"/>
  <c r="B178" i="8"/>
  <c r="B59" i="64"/>
  <c r="B38" i="2"/>
  <c r="B564" i="6"/>
  <c r="C546" i="6"/>
  <c r="H17" i="34"/>
  <c r="K5" i="36"/>
  <c r="K5" i="45"/>
  <c r="C271" i="6"/>
  <c r="B35" i="19"/>
  <c r="G89" i="29"/>
  <c r="G90" i="29" s="1"/>
  <c r="G41" i="29"/>
  <c r="G42" i="29" s="1"/>
  <c r="G169" i="29" s="1"/>
  <c r="G137" i="29"/>
  <c r="G138" i="29" s="1"/>
  <c r="G101" i="29"/>
  <c r="G102" i="29" s="1"/>
  <c r="G65" i="29"/>
  <c r="G66" i="29" s="1"/>
  <c r="G171" i="29" s="1"/>
  <c r="G53" i="29"/>
  <c r="G54" i="29" s="1"/>
  <c r="G170" i="29" s="1"/>
  <c r="G113" i="29"/>
  <c r="G114" i="29" s="1"/>
  <c r="C125" i="7"/>
  <c r="F137" i="29"/>
  <c r="F138" i="29" s="1"/>
  <c r="F177" i="29" s="1"/>
  <c r="A1" i="28"/>
  <c r="B73" i="3"/>
  <c r="C272" i="6"/>
  <c r="E125" i="30"/>
  <c r="E126" i="30" s="1"/>
  <c r="E176" i="30" s="1"/>
  <c r="J176" i="30" s="1"/>
  <c r="E53" i="30"/>
  <c r="D54" i="30" s="1"/>
  <c r="F77" i="29"/>
  <c r="F78" i="29" s="1"/>
  <c r="F41" i="29"/>
  <c r="F42" i="29" s="1"/>
  <c r="F53" i="29"/>
  <c r="F54" i="29" s="1"/>
  <c r="F170" i="29" s="1"/>
  <c r="F29" i="29"/>
  <c r="F30" i="29" s="1"/>
  <c r="F168" i="29" s="1"/>
  <c r="F179" i="29" s="1"/>
  <c r="F180" i="29" s="1"/>
  <c r="B171" i="12"/>
  <c r="B55" i="1"/>
  <c r="C302" i="6"/>
  <c r="B630" i="19"/>
  <c r="B34" i="19"/>
  <c r="B85" i="4"/>
  <c r="B119" i="1"/>
  <c r="G125" i="29"/>
  <c r="G126" i="29" s="1"/>
  <c r="G176" i="29" s="1"/>
  <c r="G77" i="29"/>
  <c r="G78" i="29" s="1"/>
  <c r="G172" i="29" s="1"/>
  <c r="F149" i="30"/>
  <c r="F150" i="30" s="1"/>
  <c r="F89" i="30"/>
  <c r="F90" i="30" s="1"/>
  <c r="F173" i="30" s="1"/>
  <c r="E77" i="30"/>
  <c r="E78" i="30" s="1"/>
  <c r="E172" i="30" s="1"/>
  <c r="J172" i="30" s="1"/>
  <c r="E101" i="30"/>
  <c r="E102" i="30" s="1"/>
  <c r="E174" i="30" s="1"/>
  <c r="J174" i="30" s="1"/>
  <c r="F101" i="29"/>
  <c r="F102" i="29" s="1"/>
  <c r="F65" i="29"/>
  <c r="F66" i="29" s="1"/>
  <c r="F171" i="29" s="1"/>
  <c r="C523" i="6"/>
  <c r="B100" i="19"/>
  <c r="B103" i="4"/>
  <c r="D336" i="7" s="1"/>
  <c r="D127" i="33"/>
  <c r="E89" i="30"/>
  <c r="D90" i="30" s="1"/>
  <c r="F125" i="29"/>
  <c r="F126" i="29" s="1"/>
  <c r="F176" i="29" s="1"/>
  <c r="B63" i="2"/>
  <c r="C286" i="6"/>
  <c r="B279" i="19"/>
  <c r="B88" i="4"/>
  <c r="E13" i="31"/>
  <c r="D126" i="30"/>
  <c r="B573" i="19"/>
  <c r="B590" i="19"/>
  <c r="B575" i="19"/>
  <c r="B148" i="4"/>
  <c r="D176" i="7" s="1"/>
  <c r="C763" i="19"/>
  <c r="B144" i="2"/>
  <c r="B123" i="4"/>
  <c r="A268" i="2"/>
  <c r="C38" i="7"/>
  <c r="C758" i="19"/>
  <c r="C754" i="19"/>
  <c r="C757" i="19"/>
  <c r="C750" i="19"/>
  <c r="C756" i="19"/>
  <c r="C751" i="19"/>
  <c r="C755" i="19"/>
  <c r="C753" i="19"/>
  <c r="C752" i="19"/>
  <c r="B133" i="18"/>
  <c r="D333" i="12"/>
  <c r="B109" i="18"/>
  <c r="B793" i="18"/>
  <c r="B105" i="19"/>
  <c r="B134" i="19"/>
  <c r="B286" i="19"/>
  <c r="B439" i="19"/>
  <c r="B624" i="19"/>
  <c r="C306" i="6"/>
  <c r="C534" i="6"/>
  <c r="C558" i="6"/>
  <c r="B55" i="2"/>
  <c r="B46" i="1"/>
  <c r="A241" i="1"/>
  <c r="K13" i="60"/>
  <c r="K5" i="43"/>
  <c r="B90" i="4"/>
  <c r="D596" i="7" s="1"/>
  <c r="B248" i="8"/>
  <c r="E15" i="31"/>
  <c r="B376" i="18"/>
  <c r="B87" i="4"/>
  <c r="D290" i="7" s="1"/>
  <c r="B97" i="4"/>
  <c r="B239" i="8"/>
  <c r="B108" i="18"/>
  <c r="B84" i="4"/>
  <c r="B104" i="4"/>
  <c r="B51" i="19"/>
  <c r="B102" i="19"/>
  <c r="B133" i="19"/>
  <c r="B200" i="19"/>
  <c r="B392" i="19"/>
  <c r="B60" i="3"/>
  <c r="B71" i="3"/>
  <c r="C267" i="6"/>
  <c r="C279" i="6"/>
  <c r="C288" i="6"/>
  <c r="C301" i="6"/>
  <c r="C518" i="6"/>
  <c r="C528" i="6"/>
  <c r="C559" i="6"/>
  <c r="B46" i="2"/>
  <c r="B170" i="2"/>
  <c r="B127" i="1"/>
  <c r="B138" i="12"/>
  <c r="B89" i="11"/>
  <c r="H330" i="8"/>
  <c r="B102" i="4"/>
  <c r="B33" i="19"/>
  <c r="B138" i="19"/>
  <c r="B310" i="19"/>
  <c r="B604" i="19"/>
  <c r="C266" i="6"/>
  <c r="C291" i="6"/>
  <c r="C297" i="6"/>
  <c r="C526" i="6"/>
  <c r="C530" i="6"/>
  <c r="C535" i="6"/>
  <c r="C543" i="6"/>
  <c r="C549" i="6"/>
  <c r="C551" i="6"/>
  <c r="C556" i="6"/>
  <c r="B119" i="2"/>
  <c r="L12" i="53"/>
  <c r="M43" i="54"/>
  <c r="N50" i="60"/>
  <c r="K13" i="57"/>
  <c r="D9" i="38"/>
  <c r="H329" i="8"/>
  <c r="C62" i="31"/>
  <c r="B600" i="18"/>
  <c r="B89" i="4"/>
  <c r="D144" i="8"/>
  <c r="B207" i="18"/>
  <c r="B218" i="18" s="1"/>
  <c r="D109" i="33"/>
  <c r="B583" i="19"/>
  <c r="D357" i="12"/>
  <c r="B140" i="8"/>
  <c r="B170" i="1"/>
  <c r="B38" i="1"/>
  <c r="B30" i="2"/>
  <c r="C544" i="6"/>
  <c r="C519" i="6"/>
  <c r="C296" i="6"/>
  <c r="C284" i="6"/>
  <c r="C269" i="6"/>
  <c r="B67" i="3"/>
  <c r="B615" i="19"/>
  <c r="B256" i="19"/>
  <c r="B131" i="19"/>
  <c r="B55" i="19"/>
  <c r="B32" i="19"/>
  <c r="B555" i="18"/>
  <c r="E316" i="8"/>
  <c r="B101" i="4"/>
  <c r="B81" i="4"/>
  <c r="D7" i="31"/>
  <c r="K27" i="60"/>
  <c r="B117" i="1"/>
  <c r="C550" i="6"/>
  <c r="C283" i="6"/>
  <c r="B532" i="11"/>
  <c r="B545" i="19"/>
  <c r="D106" i="11"/>
  <c r="B129" i="1"/>
  <c r="B129" i="2"/>
  <c r="C563" i="6"/>
  <c r="C542" i="6"/>
  <c r="A515" i="6"/>
  <c r="C295" i="6"/>
  <c r="C280" i="6"/>
  <c r="B75" i="3"/>
  <c r="B63" i="3"/>
  <c r="B496" i="19"/>
  <c r="B189" i="19"/>
  <c r="A130" i="19"/>
  <c r="B53" i="19"/>
  <c r="B100" i="4"/>
  <c r="B422" i="18"/>
  <c r="C249" i="8"/>
  <c r="B95" i="4"/>
  <c r="D866" i="7" s="1"/>
  <c r="B132" i="18"/>
  <c r="B226" i="8"/>
  <c r="N50" i="57"/>
  <c r="K27" i="57"/>
  <c r="L41" i="53"/>
  <c r="B616" i="19"/>
  <c r="B289" i="8"/>
  <c r="B243" i="8"/>
  <c r="D22" i="11"/>
  <c r="B71" i="1"/>
  <c r="B127" i="2"/>
  <c r="C561" i="6"/>
  <c r="C527" i="6"/>
  <c r="C303" i="6"/>
  <c r="C294" i="6"/>
  <c r="C277" i="6"/>
  <c r="B74" i="3"/>
  <c r="B62" i="3"/>
  <c r="B370" i="19"/>
  <c r="A188" i="19"/>
  <c r="B104" i="19"/>
  <c r="B36" i="19"/>
  <c r="B96" i="4"/>
  <c r="D633" i="7" s="1"/>
  <c r="B131" i="18"/>
  <c r="B63" i="8"/>
  <c r="B93" i="4"/>
  <c r="B107" i="18"/>
  <c r="B65" i="1"/>
  <c r="K72" i="39"/>
  <c r="K9" i="39"/>
  <c r="B30" i="1"/>
  <c r="C539" i="6"/>
  <c r="C263" i="6"/>
  <c r="B59" i="3"/>
  <c r="B249" i="19"/>
  <c r="B101" i="19"/>
  <c r="B222" i="4"/>
  <c r="D768" i="7" s="1"/>
  <c r="B147" i="4"/>
  <c r="D373" i="7" s="1"/>
  <c r="H328" i="8"/>
  <c r="C159" i="8"/>
  <c r="C729" i="19"/>
  <c r="C733" i="19"/>
  <c r="C730" i="19"/>
  <c r="C731" i="19"/>
  <c r="C732" i="19"/>
  <c r="C728" i="19"/>
  <c r="B218" i="1"/>
  <c r="C761" i="19"/>
  <c r="B501" i="19"/>
  <c r="C764" i="19"/>
  <c r="B344" i="19"/>
  <c r="C762" i="19"/>
  <c r="G173" i="29"/>
  <c r="H170" i="30"/>
  <c r="A25" i="19"/>
  <c r="C745" i="19"/>
  <c r="C742" i="19"/>
  <c r="C744" i="19"/>
  <c r="C743" i="19"/>
  <c r="E57" i="27"/>
  <c r="E58" i="27" s="1"/>
  <c r="H736" i="6"/>
  <c r="H102" i="2"/>
  <c r="B87" i="8"/>
  <c r="E65" i="30"/>
  <c r="D66" i="30" s="1"/>
  <c r="E29" i="30"/>
  <c r="E30" i="30" s="1"/>
  <c r="E168" i="30" s="1"/>
  <c r="E179" i="30" s="1"/>
  <c r="J24" i="30"/>
  <c r="H149" i="29"/>
  <c r="H150" i="29" s="1"/>
  <c r="H29" i="29"/>
  <c r="H30" i="29" s="1"/>
  <c r="H41" i="29"/>
  <c r="H42" i="29" s="1"/>
  <c r="H169" i="29" s="1"/>
  <c r="F65" i="30"/>
  <c r="F66" i="30" s="1"/>
  <c r="F171" i="30" s="1"/>
  <c r="L116" i="12"/>
  <c r="E113" i="30"/>
  <c r="D114" i="30" s="1"/>
  <c r="E137" i="30"/>
  <c r="D138" i="30" s="1"/>
  <c r="H65" i="29"/>
  <c r="H66" i="29" s="1"/>
  <c r="H113" i="29"/>
  <c r="H114" i="29" s="1"/>
  <c r="J24" i="29"/>
  <c r="I149" i="29"/>
  <c r="I150" i="29" s="1"/>
  <c r="F113" i="30"/>
  <c r="F114" i="30" s="1"/>
  <c r="F175" i="30" s="1"/>
  <c r="F29" i="30"/>
  <c r="F30" i="30" s="1"/>
  <c r="F168" i="30" s="1"/>
  <c r="F179" i="30" s="1"/>
  <c r="F180" i="30" s="1"/>
  <c r="L288" i="12"/>
  <c r="E42" i="30"/>
  <c r="E169" i="30" s="1"/>
  <c r="J169" i="30" s="1"/>
  <c r="F177" i="30"/>
  <c r="C26" i="28"/>
  <c r="E42" i="29"/>
  <c r="E169" i="29" s="1"/>
  <c r="J169" i="29" s="1"/>
  <c r="L9" i="12"/>
  <c r="B105" i="4"/>
  <c r="D271" i="7" s="1"/>
  <c r="L368" i="12"/>
  <c r="L182" i="12"/>
  <c r="B191" i="8"/>
  <c r="J133" i="27"/>
  <c r="L133" i="27" s="1"/>
  <c r="B186" i="8"/>
  <c r="J145" i="10"/>
  <c r="L146" i="10" s="1"/>
  <c r="L432" i="12"/>
  <c r="L408" i="12"/>
  <c r="L392" i="12"/>
  <c r="L352" i="12"/>
  <c r="L246" i="12"/>
  <c r="B183" i="4"/>
  <c r="L304" i="12"/>
  <c r="L312" i="12"/>
  <c r="L487" i="12" s="1"/>
  <c r="L493" i="12" s="1"/>
  <c r="B189" i="8"/>
  <c r="F176" i="30"/>
  <c r="L440" i="12"/>
  <c r="L320" i="12"/>
  <c r="L49" i="12"/>
  <c r="G145" i="27"/>
  <c r="G184" i="27" s="1"/>
  <c r="J145" i="27"/>
  <c r="L145" i="27" s="1"/>
  <c r="J134" i="28"/>
  <c r="L135" i="28" s="1"/>
  <c r="E146" i="28"/>
  <c r="E186" i="28" s="1"/>
  <c r="D146" i="28"/>
  <c r="J146" i="28"/>
  <c r="E185" i="10"/>
  <c r="D16" i="30"/>
  <c r="L272" i="12"/>
  <c r="D133" i="27"/>
  <c r="I137" i="29"/>
  <c r="I138" i="29" s="1"/>
  <c r="I125" i="29"/>
  <c r="I126" i="29" s="1"/>
  <c r="I176" i="29" s="1"/>
  <c r="I113" i="29"/>
  <c r="I114" i="29" s="1"/>
  <c r="I101" i="29"/>
  <c r="I102" i="29" s="1"/>
  <c r="I174" i="29" s="1"/>
  <c r="I89" i="29"/>
  <c r="I90" i="29" s="1"/>
  <c r="I173" i="29" s="1"/>
  <c r="I77" i="29"/>
  <c r="I78" i="29" s="1"/>
  <c r="I172" i="29" s="1"/>
  <c r="I65" i="29"/>
  <c r="I66" i="29" s="1"/>
  <c r="I171" i="29" s="1"/>
  <c r="G169" i="30"/>
  <c r="L416" i="12"/>
  <c r="L360" i="12"/>
  <c r="L344" i="12"/>
  <c r="L238" i="12"/>
  <c r="L214" i="12"/>
  <c r="L206" i="12"/>
  <c r="L174" i="12"/>
  <c r="L149" i="12"/>
  <c r="L141" i="12"/>
  <c r="L108" i="12"/>
  <c r="L82" i="12"/>
  <c r="L74" i="12"/>
  <c r="L41" i="12"/>
  <c r="L17" i="12"/>
  <c r="D293" i="7"/>
  <c r="E101" i="8"/>
  <c r="H101" i="8" s="1"/>
  <c r="H108" i="8" s="1"/>
  <c r="H6" i="10" s="1"/>
  <c r="I29" i="29"/>
  <c r="I30" i="29" s="1"/>
  <c r="I168" i="29" s="1"/>
  <c r="I179" i="29" s="1"/>
  <c r="I180" i="29" s="1"/>
  <c r="H174" i="30"/>
  <c r="I172" i="30"/>
  <c r="L448" i="12"/>
  <c r="L424" i="12"/>
  <c r="L384" i="12"/>
  <c r="L328" i="12"/>
  <c r="L296" i="12"/>
  <c r="G205" i="18"/>
  <c r="H204" i="18"/>
  <c r="G228" i="18"/>
  <c r="N24" i="53"/>
  <c r="E205" i="18"/>
  <c r="N22" i="53"/>
  <c r="L92" i="12"/>
  <c r="L100" i="12"/>
  <c r="L264" i="12"/>
  <c r="L256" i="12"/>
  <c r="L27" i="12"/>
  <c r="L192" i="12"/>
  <c r="L200" i="12"/>
  <c r="L67" i="12"/>
  <c r="L35" i="12"/>
  <c r="L134" i="12"/>
  <c r="L232" i="12"/>
  <c r="L167" i="12"/>
  <c r="L224" i="12"/>
  <c r="L159" i="12"/>
  <c r="L126" i="12"/>
  <c r="L59" i="12"/>
  <c r="E123" i="18"/>
  <c r="Q220" i="18"/>
  <c r="I226" i="29"/>
  <c r="I236" i="29" s="1"/>
  <c r="B562" i="18"/>
  <c r="Q251" i="18"/>
  <c r="F189" i="18"/>
  <c r="L191" i="12"/>
  <c r="L66" i="12"/>
  <c r="L158" i="12"/>
  <c r="L199" i="12"/>
  <c r="L133" i="12"/>
  <c r="L99" i="12"/>
  <c r="L91" i="12"/>
  <c r="L34" i="12"/>
  <c r="L26" i="12"/>
  <c r="L166" i="12"/>
  <c r="L125" i="12"/>
  <c r="L58" i="12"/>
  <c r="H227" i="30"/>
  <c r="H237" i="30" s="1"/>
  <c r="F228" i="18"/>
  <c r="Q235" i="18"/>
  <c r="Q236" i="18"/>
  <c r="Q238" i="18"/>
  <c r="G204" i="18"/>
  <c r="Q232" i="18"/>
  <c r="I213" i="18"/>
  <c r="I52" i="52"/>
  <c r="F227" i="30"/>
  <c r="F237" i="30" s="1"/>
  <c r="H234" i="27"/>
  <c r="H96" i="11" s="1"/>
  <c r="H97" i="11" s="1"/>
  <c r="Q212" i="18"/>
  <c r="Q222" i="18"/>
  <c r="Q223" i="18"/>
  <c r="Q209" i="18"/>
  <c r="C422" i="26"/>
  <c r="B251" i="18" s="1"/>
  <c r="E602" i="18"/>
  <c r="E228" i="18"/>
  <c r="Q217" i="18"/>
  <c r="Q208" i="18"/>
  <c r="Q210" i="18"/>
  <c r="Q228" i="18"/>
  <c r="Q226" i="18"/>
  <c r="Q221" i="18"/>
  <c r="F423" i="26"/>
  <c r="F252" i="18" s="1"/>
  <c r="Q214" i="18"/>
  <c r="Q218" i="18"/>
  <c r="Q207" i="18"/>
  <c r="Q225" i="18"/>
  <c r="Q211" i="18"/>
  <c r="Q227" i="18"/>
  <c r="I189" i="18"/>
  <c r="Q215" i="18"/>
  <c r="Q229" i="18"/>
  <c r="Q224" i="18"/>
  <c r="Q230" i="18"/>
  <c r="Q213" i="18"/>
  <c r="Q219" i="18"/>
  <c r="G228" i="29"/>
  <c r="G238" i="29" s="1"/>
  <c r="I530" i="11"/>
  <c r="H527" i="11"/>
  <c r="H529" i="11"/>
  <c r="H530" i="11"/>
  <c r="G527" i="11"/>
  <c r="G529" i="11"/>
  <c r="F529" i="11"/>
  <c r="E527" i="11"/>
  <c r="I227" i="30"/>
  <c r="I237" i="30" s="1"/>
  <c r="I228" i="30"/>
  <c r="I238" i="30" s="1"/>
  <c r="F206" i="29"/>
  <c r="F207" i="29" s="1"/>
  <c r="F209" i="29" s="1"/>
  <c r="G226" i="29"/>
  <c r="G236" i="29" s="1"/>
  <c r="I481" i="11"/>
  <c r="E476" i="11"/>
  <c r="H473" i="11"/>
  <c r="E151" i="11"/>
  <c r="F226" i="30"/>
  <c r="F236" i="30" s="1"/>
  <c r="I230" i="30"/>
  <c r="I240" i="30" s="1"/>
  <c r="F206" i="30"/>
  <c r="F207" i="30" s="1"/>
  <c r="F209" i="30" s="1"/>
  <c r="G228" i="30"/>
  <c r="G238" i="30" s="1"/>
  <c r="G206" i="30"/>
  <c r="G207" i="30" s="1"/>
  <c r="G209" i="30" s="1"/>
  <c r="E206" i="30"/>
  <c r="E207" i="30" s="1"/>
  <c r="E209" i="30" s="1"/>
  <c r="G227" i="30"/>
  <c r="G237" i="30" s="1"/>
  <c r="E230" i="30"/>
  <c r="E240" i="30" s="1"/>
  <c r="G230" i="30"/>
  <c r="G240" i="30" s="1"/>
  <c r="H206" i="30"/>
  <c r="H207" i="30" s="1"/>
  <c r="H209" i="30" s="1"/>
  <c r="F228" i="30"/>
  <c r="F238" i="30" s="1"/>
  <c r="G227" i="29"/>
  <c r="G237" i="29" s="1"/>
  <c r="I227" i="29"/>
  <c r="I237" i="29" s="1"/>
  <c r="E227" i="29"/>
  <c r="E237" i="29" s="1"/>
  <c r="F227" i="29"/>
  <c r="F237" i="29" s="1"/>
  <c r="G206" i="29"/>
  <c r="G207" i="29" s="1"/>
  <c r="G209" i="29" s="1"/>
  <c r="I476" i="11"/>
  <c r="E381" i="18"/>
  <c r="H487" i="11"/>
  <c r="J311" i="18"/>
  <c r="I151" i="11"/>
  <c r="G57" i="27"/>
  <c r="G58" i="27" s="1"/>
  <c r="I517" i="11"/>
  <c r="I527" i="11"/>
  <c r="I519" i="11"/>
  <c r="I529" i="11"/>
  <c r="I513" i="11"/>
  <c r="I525" i="11"/>
  <c r="B32" i="2"/>
  <c r="B569" i="19"/>
  <c r="B166" i="4"/>
  <c r="G246" i="11"/>
  <c r="D21" i="11"/>
  <c r="C68" i="28"/>
  <c r="A183" i="19"/>
  <c r="B380" i="19"/>
  <c r="C224" i="6"/>
  <c r="C220" i="6"/>
  <c r="B364" i="19"/>
  <c r="B92" i="19"/>
  <c r="A287" i="8"/>
  <c r="B294" i="8"/>
  <c r="B167" i="4"/>
  <c r="D195" i="7" s="1"/>
  <c r="F246" i="11"/>
  <c r="C468" i="6"/>
  <c r="B70" i="4"/>
  <c r="D865" i="7" s="1"/>
  <c r="C7" i="10"/>
  <c r="C16" i="10" s="1"/>
  <c r="B48" i="2"/>
  <c r="C299" i="8"/>
  <c r="A1" i="30"/>
  <c r="B584" i="19"/>
  <c r="B147" i="1"/>
  <c r="B165" i="4"/>
  <c r="G244" i="11"/>
  <c r="F244" i="11"/>
  <c r="B125" i="1"/>
  <c r="C235" i="6"/>
  <c r="B46" i="19"/>
  <c r="B409" i="18"/>
  <c r="B363" i="19"/>
  <c r="I27" i="57"/>
  <c r="I27" i="60"/>
  <c r="B371" i="19"/>
  <c r="B65" i="2"/>
  <c r="B57" i="2"/>
  <c r="B32" i="1"/>
  <c r="B65" i="8"/>
  <c r="B572" i="19"/>
  <c r="B580" i="19"/>
  <c r="B168" i="4"/>
  <c r="D733" i="7" s="1"/>
  <c r="B222" i="8"/>
  <c r="D403" i="11"/>
  <c r="D373" i="11"/>
  <c r="D349" i="12"/>
  <c r="C496" i="6"/>
  <c r="B438" i="19"/>
  <c r="C204" i="8"/>
  <c r="B126" i="4"/>
  <c r="B562" i="19"/>
  <c r="B218" i="4"/>
  <c r="C228" i="6"/>
  <c r="G150" i="8"/>
  <c r="G4" i="26" s="1"/>
  <c r="E150" i="8"/>
  <c r="E4" i="26" s="1"/>
  <c r="B434" i="19"/>
  <c r="B506" i="19"/>
  <c r="B72" i="2"/>
  <c r="B139" i="4"/>
  <c r="B293" i="8"/>
  <c r="J244" i="8"/>
  <c r="J8" i="28" s="1"/>
  <c r="A262" i="8"/>
  <c r="E191" i="8"/>
  <c r="F191" i="8" s="1"/>
  <c r="F198" i="8" s="1"/>
  <c r="F7" i="27" s="1"/>
  <c r="B265" i="8"/>
  <c r="B113" i="4"/>
  <c r="B425" i="19"/>
  <c r="B217" i="2"/>
  <c r="B39" i="1"/>
  <c r="D220" i="8"/>
  <c r="B237" i="1"/>
  <c r="B417" i="19"/>
  <c r="B267" i="8"/>
  <c r="B112" i="4"/>
  <c r="B156" i="4"/>
  <c r="D554" i="7" s="1"/>
  <c r="B223" i="19"/>
  <c r="B322" i="19"/>
  <c r="C27" i="28"/>
  <c r="A258" i="2"/>
  <c r="B110" i="4"/>
  <c r="B315" i="19"/>
  <c r="B145" i="2"/>
  <c r="B115" i="4"/>
  <c r="B31" i="2"/>
  <c r="E188" i="8"/>
  <c r="I188" i="8" s="1"/>
  <c r="I195" i="8" s="1"/>
  <c r="I4" i="27" s="1"/>
  <c r="F5" i="26"/>
  <c r="B292" i="8"/>
  <c r="B131" i="4"/>
  <c r="B40" i="2"/>
  <c r="B129" i="4"/>
  <c r="B130" i="4"/>
  <c r="B73" i="1"/>
  <c r="B124" i="4"/>
  <c r="B567" i="19"/>
  <c r="B565" i="19"/>
  <c r="B147" i="2"/>
  <c r="B571" i="19"/>
  <c r="B570" i="19"/>
  <c r="B164" i="4"/>
  <c r="B236" i="8"/>
  <c r="D151" i="8"/>
  <c r="D5" i="26" s="1"/>
  <c r="I151" i="8"/>
  <c r="I5" i="26" s="1"/>
  <c r="C77" i="6"/>
  <c r="B125" i="4"/>
  <c r="B145" i="4"/>
  <c r="B560" i="19"/>
  <c r="B57" i="1"/>
  <c r="B412" i="19"/>
  <c r="E190" i="8"/>
  <c r="J199" i="8"/>
  <c r="J8" i="27" s="1"/>
  <c r="G151" i="8"/>
  <c r="G5" i="26" s="1"/>
  <c r="C4" i="27"/>
  <c r="C13" i="27" s="1"/>
  <c r="D22" i="27" s="1"/>
  <c r="C172" i="27" s="1"/>
  <c r="B132" i="4"/>
  <c r="B290" i="8"/>
  <c r="B48" i="1"/>
  <c r="B121" i="4"/>
  <c r="B127" i="4"/>
  <c r="B73" i="2"/>
  <c r="B587" i="19"/>
  <c r="B162" i="4"/>
  <c r="D194" i="7" s="1"/>
  <c r="A543" i="19"/>
  <c r="B576" i="19"/>
  <c r="B564" i="19"/>
  <c r="B563" i="19"/>
  <c r="B231" i="8"/>
  <c r="C67" i="28"/>
  <c r="A268" i="1"/>
  <c r="B382" i="19"/>
  <c r="B161" i="4"/>
  <c r="E189" i="8"/>
  <c r="E196" i="8" s="1"/>
  <c r="E5" i="27" s="1"/>
  <c r="G174" i="29"/>
  <c r="I170" i="30"/>
  <c r="C158" i="19"/>
  <c r="C166" i="6"/>
  <c r="C7" i="26"/>
  <c r="B153" i="8"/>
  <c r="B535" i="19"/>
  <c r="F4" i="26"/>
  <c r="C153" i="8"/>
  <c r="B82" i="18"/>
  <c r="B65" i="18"/>
  <c r="B266" i="8"/>
  <c r="B117" i="2"/>
  <c r="C537" i="6"/>
  <c r="C522" i="6"/>
  <c r="C287" i="6"/>
  <c r="C273" i="6"/>
  <c r="C268" i="6"/>
  <c r="B69" i="3"/>
  <c r="B424" i="19"/>
  <c r="B132" i="19"/>
  <c r="B107" i="19"/>
  <c r="B54" i="19"/>
  <c r="B86" i="4"/>
  <c r="D842" i="7" s="1"/>
  <c r="J151" i="8"/>
  <c r="J5" i="26" s="1"/>
  <c r="E100" i="8"/>
  <c r="E107" i="8" s="1"/>
  <c r="B566" i="19"/>
  <c r="B163" i="4"/>
  <c r="B579" i="19"/>
  <c r="A359" i="19"/>
  <c r="B377" i="19"/>
  <c r="B365" i="19"/>
  <c r="B40" i="1"/>
  <c r="B122" i="4"/>
  <c r="B82" i="4"/>
  <c r="D74" i="7" s="1"/>
  <c r="G171" i="30"/>
  <c r="H327" i="8"/>
  <c r="C67" i="10"/>
  <c r="D542" i="11"/>
  <c r="J150" i="8"/>
  <c r="J4" i="26" s="1"/>
  <c r="H150" i="8"/>
  <c r="H4" i="26" s="1"/>
  <c r="I150" i="8"/>
  <c r="I4" i="26" s="1"/>
  <c r="C150" i="8"/>
  <c r="B96" i="8"/>
  <c r="D546" i="11"/>
  <c r="C70" i="7"/>
  <c r="B94" i="4"/>
  <c r="B52" i="19"/>
  <c r="B103" i="19"/>
  <c r="B136" i="19"/>
  <c r="B205" i="19"/>
  <c r="B263" i="19"/>
  <c r="B65" i="3"/>
  <c r="A260" i="6"/>
  <c r="C264" i="6"/>
  <c r="C289" i="6"/>
  <c r="C304" i="6"/>
  <c r="C308" i="6"/>
  <c r="C517" i="6"/>
  <c r="C524" i="6"/>
  <c r="C532" i="6"/>
  <c r="C541" i="6"/>
  <c r="C554" i="6"/>
  <c r="C557" i="6"/>
  <c r="B71" i="2"/>
  <c r="B128" i="2"/>
  <c r="B63" i="1"/>
  <c r="B128" i="1"/>
  <c r="K30" i="39"/>
  <c r="C21" i="46"/>
  <c r="B98" i="4"/>
  <c r="A217" i="8"/>
  <c r="D4" i="31"/>
  <c r="C56" i="31"/>
  <c r="B358" i="18"/>
  <c r="B83" i="4"/>
  <c r="B91" i="4"/>
  <c r="D729" i="7" s="1"/>
  <c r="B99" i="4"/>
  <c r="D90" i="7" s="1"/>
  <c r="B219" i="4"/>
  <c r="B240" i="8"/>
  <c r="B117" i="64"/>
  <c r="B537" i="18"/>
  <c r="B92" i="4"/>
  <c r="D40" i="7" s="1"/>
  <c r="A31" i="19"/>
  <c r="A50" i="19"/>
  <c r="A99" i="19"/>
  <c r="B106" i="19"/>
  <c r="B135" i="19"/>
  <c r="B191" i="19"/>
  <c r="B333" i="19"/>
  <c r="B605" i="19"/>
  <c r="B61" i="3"/>
  <c r="B72" i="3"/>
  <c r="C262" i="6"/>
  <c r="C275" i="6"/>
  <c r="C282" i="6"/>
  <c r="C292" i="6"/>
  <c r="C299" i="6"/>
  <c r="B309" i="6"/>
  <c r="C521" i="6"/>
  <c r="C538" i="6"/>
  <c r="C552" i="6"/>
  <c r="C654" i="6"/>
  <c r="B118" i="2"/>
  <c r="A241" i="2"/>
  <c r="B118" i="1"/>
  <c r="D16" i="11"/>
  <c r="B80" i="11"/>
  <c r="B135" i="8"/>
  <c r="B74" i="18"/>
  <c r="E102" i="8"/>
  <c r="E109" i="8" s="1"/>
  <c r="E7" i="10" s="1"/>
  <c r="E99" i="8"/>
  <c r="G99" i="8" s="1"/>
  <c r="G106" i="8" s="1"/>
  <c r="G4" i="10" s="1"/>
  <c r="B154" i="4"/>
  <c r="A537" i="19"/>
  <c r="B216" i="1"/>
  <c r="A532" i="19"/>
  <c r="B215" i="1"/>
  <c r="A480" i="19"/>
  <c r="B214" i="1"/>
  <c r="A475" i="19"/>
  <c r="B213" i="1"/>
  <c r="C92" i="27"/>
  <c r="D541" i="11"/>
  <c r="I50" i="52"/>
  <c r="I49" i="52"/>
  <c r="Q242" i="18"/>
  <c r="Q243" i="18"/>
  <c r="Q253" i="18"/>
  <c r="Q239" i="18"/>
  <c r="Q248" i="18"/>
  <c r="Q246" i="18"/>
  <c r="Q234" i="18"/>
  <c r="Q231" i="18"/>
  <c r="Q233" i="18"/>
  <c r="Q244" i="18"/>
  <c r="Q249" i="18"/>
  <c r="Q254" i="18"/>
  <c r="Q250" i="18"/>
  <c r="Q241" i="18"/>
  <c r="Q237" i="18"/>
  <c r="Q240" i="18"/>
  <c r="Q245" i="18"/>
  <c r="Q252" i="18"/>
  <c r="Q184" i="18"/>
  <c r="AA14" i="55"/>
  <c r="L116" i="3" s="1"/>
  <c r="L25" i="12"/>
  <c r="I48" i="52"/>
  <c r="D1115" i="7"/>
  <c r="S581" i="7"/>
  <c r="R580" i="7"/>
  <c r="T581" i="7"/>
  <c r="L773" i="7"/>
  <c r="M773" i="7" s="1"/>
  <c r="N773" i="7" s="1"/>
  <c r="O773" i="7" s="1"/>
  <c r="S580" i="7"/>
  <c r="T580" i="7"/>
  <c r="C1110" i="7"/>
  <c r="C1111" i="7" s="1"/>
  <c r="D1111" i="7" s="1"/>
  <c r="M705" i="7"/>
  <c r="N705" i="7" s="1"/>
  <c r="O705" i="7" s="1"/>
  <c r="I171" i="30"/>
  <c r="I173" i="30"/>
  <c r="G170" i="30"/>
  <c r="H172" i="29"/>
  <c r="I170" i="29"/>
  <c r="D176" i="10"/>
  <c r="F289" i="8"/>
  <c r="F296" i="8" s="1"/>
  <c r="B505" i="19"/>
  <c r="A414" i="19"/>
  <c r="G173" i="30"/>
  <c r="F173" i="29"/>
  <c r="B132" i="2"/>
  <c r="B29" i="3"/>
  <c r="C724" i="19" s="1"/>
  <c r="B136" i="4"/>
  <c r="B236" i="1"/>
  <c r="B489" i="19"/>
  <c r="B173" i="4"/>
  <c r="B48" i="4"/>
  <c r="B190" i="1"/>
  <c r="B354" i="19"/>
  <c r="B540" i="19"/>
  <c r="C431" i="6"/>
  <c r="B283" i="19"/>
  <c r="B511" i="19"/>
  <c r="B358" i="19"/>
  <c r="B143" i="2"/>
  <c r="B237" i="2"/>
  <c r="B440" i="19"/>
  <c r="C370" i="6"/>
  <c r="C289" i="8"/>
  <c r="C58" i="7"/>
  <c r="B325" i="19"/>
  <c r="B474" i="19"/>
  <c r="B479" i="19"/>
  <c r="A196" i="19"/>
  <c r="D177" i="28"/>
  <c r="G177" i="30"/>
  <c r="A414" i="6"/>
  <c r="C53" i="6"/>
  <c r="B277" i="19"/>
  <c r="B313" i="19"/>
  <c r="B528" i="19"/>
  <c r="B418" i="19"/>
  <c r="B221" i="19"/>
  <c r="B218" i="2"/>
  <c r="B190" i="2"/>
  <c r="C72" i="6"/>
  <c r="C68" i="6"/>
  <c r="B76" i="19"/>
  <c r="G168" i="30"/>
  <c r="G179" i="30" s="1"/>
  <c r="G180" i="30" s="1"/>
  <c r="I177" i="30"/>
  <c r="H168" i="29"/>
  <c r="H179" i="29" s="1"/>
  <c r="H180" i="29" s="1"/>
  <c r="B314" i="19"/>
  <c r="B466" i="19"/>
  <c r="B469" i="19"/>
  <c r="E290" i="8"/>
  <c r="E4" i="30" s="1"/>
  <c r="H170" i="29"/>
  <c r="B235" i="12"/>
  <c r="E296" i="8"/>
  <c r="B20" i="1"/>
  <c r="C168" i="6"/>
  <c r="B38" i="3"/>
  <c r="C737" i="19" s="1"/>
  <c r="B10" i="19"/>
  <c r="B516" i="19"/>
  <c r="A299" i="19"/>
  <c r="B254" i="2"/>
  <c r="B508" i="19"/>
  <c r="B444" i="19"/>
  <c r="B217" i="1"/>
  <c r="B177" i="4"/>
  <c r="B261" i="19"/>
  <c r="B222" i="19"/>
  <c r="B81" i="27"/>
  <c r="L448" i="7"/>
  <c r="M448" i="7" s="1"/>
  <c r="N448" i="7" s="1"/>
  <c r="O448" i="7" s="1"/>
  <c r="M757" i="7"/>
  <c r="N757" i="7" s="1"/>
  <c r="O757" i="7" s="1"/>
  <c r="M436" i="7"/>
  <c r="N436" i="7" s="1"/>
  <c r="O436" i="7" s="1"/>
  <c r="M549" i="7"/>
  <c r="N549" i="7" s="1"/>
  <c r="O549" i="7" s="1"/>
  <c r="L343" i="7"/>
  <c r="M343" i="7" s="1"/>
  <c r="N343" i="7" s="1"/>
  <c r="O343" i="7" s="1"/>
  <c r="L355" i="7"/>
  <c r="M355" i="7" s="1"/>
  <c r="N355" i="7" s="1"/>
  <c r="O355" i="7" s="1"/>
  <c r="C1117" i="7"/>
  <c r="D1117" i="7" s="1"/>
  <c r="D1116" i="7"/>
  <c r="L393" i="7"/>
  <c r="M393" i="7" s="1"/>
  <c r="N393" i="7" s="1"/>
  <c r="O393" i="7" s="1"/>
  <c r="B672" i="7"/>
  <c r="D129" i="33" s="1"/>
  <c r="M415" i="7"/>
  <c r="N415" i="7" s="1"/>
  <c r="O415" i="7" s="1"/>
  <c r="B69" i="10"/>
  <c r="G172" i="30"/>
  <c r="I175" i="30"/>
  <c r="B94" i="10"/>
  <c r="E265" i="8"/>
  <c r="E4" i="29" s="1"/>
  <c r="E271" i="8"/>
  <c r="H174" i="29"/>
  <c r="I153" i="8"/>
  <c r="I7" i="26" s="1"/>
  <c r="D264" i="8"/>
  <c r="D265" i="8" s="1"/>
  <c r="D4" i="29" s="1"/>
  <c r="B185" i="8"/>
  <c r="B177" i="8"/>
  <c r="B137" i="4"/>
  <c r="B329" i="19"/>
  <c r="B134" i="4"/>
  <c r="B135" i="4"/>
  <c r="B304" i="19"/>
  <c r="B317" i="19"/>
  <c r="B143" i="1"/>
  <c r="B326" i="19"/>
  <c r="B351" i="19"/>
  <c r="B305" i="19"/>
  <c r="B316" i="19"/>
  <c r="B301" i="19"/>
  <c r="B499" i="19"/>
  <c r="B454" i="19"/>
  <c r="B510" i="19"/>
  <c r="B461" i="19"/>
  <c r="B153" i="4"/>
  <c r="D222" i="8"/>
  <c r="B757" i="18"/>
  <c r="G168" i="29"/>
  <c r="G179" i="29" s="1"/>
  <c r="G180" i="29" s="1"/>
  <c r="I176" i="30"/>
  <c r="F172" i="29"/>
  <c r="H177" i="29"/>
  <c r="B142" i="8"/>
  <c r="C6" i="27"/>
  <c r="C15" i="27" s="1"/>
  <c r="C455" i="6"/>
  <c r="C206" i="6"/>
  <c r="C98" i="6"/>
  <c r="C39" i="6"/>
  <c r="B611" i="19"/>
  <c r="A68" i="19"/>
  <c r="B39" i="4"/>
  <c r="B531" i="19"/>
  <c r="B345" i="19"/>
  <c r="B64" i="1"/>
  <c r="B39" i="2"/>
  <c r="B118" i="4"/>
  <c r="B108" i="4"/>
  <c r="A1" i="29"/>
  <c r="B311" i="19"/>
  <c r="B140" i="4"/>
  <c r="B213" i="2"/>
  <c r="B523" i="19"/>
  <c r="B502" i="19"/>
  <c r="B448" i="19"/>
  <c r="B433" i="19"/>
  <c r="B416" i="19"/>
  <c r="B255" i="1"/>
  <c r="B152" i="2"/>
  <c r="B220" i="19"/>
  <c r="B174" i="4"/>
  <c r="D180" i="27"/>
  <c r="B56" i="1"/>
  <c r="B320" i="19"/>
  <c r="J313" i="8"/>
  <c r="B233" i="8"/>
  <c r="C4" i="28"/>
  <c r="C13" i="28" s="1"/>
  <c r="D22" i="28" s="1"/>
  <c r="C174" i="28" s="1"/>
  <c r="B68" i="27"/>
  <c r="D178" i="27"/>
  <c r="B42" i="27"/>
  <c r="D176" i="27"/>
  <c r="H153" i="8"/>
  <c r="H7" i="26" s="1"/>
  <c r="J153" i="8"/>
  <c r="J7" i="26" s="1"/>
  <c r="D153" i="8"/>
  <c r="D7" i="26" s="1"/>
  <c r="C63" i="8"/>
  <c r="D219" i="8"/>
  <c r="J152" i="8"/>
  <c r="J6" i="26" s="1"/>
  <c r="D152" i="8"/>
  <c r="D6" i="26" s="1"/>
  <c r="C152" i="8"/>
  <c r="B234" i="8"/>
  <c r="B241" i="8"/>
  <c r="C81" i="28"/>
  <c r="B102" i="8"/>
  <c r="B88" i="8"/>
  <c r="B175" i="4"/>
  <c r="D676" i="7" s="1"/>
  <c r="B192" i="2"/>
  <c r="B176" i="4"/>
  <c r="D677" i="7" s="1"/>
  <c r="B219" i="19"/>
  <c r="B268" i="19"/>
  <c r="B152" i="1"/>
  <c r="B238" i="2"/>
  <c r="B255" i="2"/>
  <c r="B159" i="4"/>
  <c r="B451" i="19"/>
  <c r="B464" i="19"/>
  <c r="B471" i="19"/>
  <c r="B503" i="19"/>
  <c r="B214" i="2"/>
  <c r="B236" i="2"/>
  <c r="B253" i="2"/>
  <c r="B155" i="4"/>
  <c r="B157" i="4"/>
  <c r="B427" i="19"/>
  <c r="B442" i="19"/>
  <c r="B500" i="19"/>
  <c r="B513" i="19"/>
  <c r="B215" i="2"/>
  <c r="B191" i="1"/>
  <c r="B253" i="1"/>
  <c r="B526" i="19"/>
  <c r="B415" i="19"/>
  <c r="B432" i="19"/>
  <c r="B445" i="19"/>
  <c r="B459" i="19"/>
  <c r="B497" i="19"/>
  <c r="B216" i="2"/>
  <c r="B254" i="1"/>
  <c r="B119" i="4"/>
  <c r="B47" i="2"/>
  <c r="B64" i="8"/>
  <c r="C274" i="8"/>
  <c r="B114" i="4"/>
  <c r="B109" i="4"/>
  <c r="B56" i="2"/>
  <c r="B47" i="1"/>
  <c r="B72" i="1"/>
  <c r="B482" i="19"/>
  <c r="B484" i="19"/>
  <c r="C10" i="6"/>
  <c r="H336" i="8"/>
  <c r="B136" i="18"/>
  <c r="B71" i="19"/>
  <c r="B481" i="19"/>
  <c r="A7" i="6"/>
  <c r="B55" i="6"/>
  <c r="C99" i="6"/>
  <c r="C188" i="6"/>
  <c r="C433" i="6"/>
  <c r="B134" i="2"/>
  <c r="H335" i="8"/>
  <c r="H334" i="8"/>
  <c r="B74" i="19"/>
  <c r="B178" i="19"/>
  <c r="B284" i="19"/>
  <c r="B21" i="2"/>
  <c r="B13" i="1"/>
  <c r="B133" i="1"/>
  <c r="D26" i="55"/>
  <c r="B67" i="18"/>
  <c r="C299" i="7"/>
  <c r="F144" i="8"/>
  <c r="B137" i="8"/>
  <c r="B255" i="18"/>
  <c r="B266" i="18" s="1"/>
  <c r="B303" i="19"/>
  <c r="A486" i="19"/>
  <c r="B443" i="19"/>
  <c r="B490" i="19"/>
  <c r="B449" i="19"/>
  <c r="G153" i="8"/>
  <c r="G7" i="26" s="1"/>
  <c r="B22" i="1"/>
  <c r="C453" i="6"/>
  <c r="C186" i="6"/>
  <c r="C79" i="6"/>
  <c r="C33" i="6"/>
  <c r="B478" i="19"/>
  <c r="B11" i="19"/>
  <c r="B35" i="4"/>
  <c r="B521" i="19"/>
  <c r="B339" i="19"/>
  <c r="B31" i="1"/>
  <c r="B117" i="4"/>
  <c r="B116" i="4"/>
  <c r="B268" i="8"/>
  <c r="B319" i="19"/>
  <c r="B302" i="19"/>
  <c r="B138" i="4"/>
  <c r="D659" i="7" s="1"/>
  <c r="B145" i="1"/>
  <c r="B191" i="2"/>
  <c r="B518" i="19"/>
  <c r="B491" i="19"/>
  <c r="B446" i="19"/>
  <c r="A429" i="19"/>
  <c r="B158" i="4"/>
  <c r="B152" i="4"/>
  <c r="B238" i="1"/>
  <c r="B85" i="2"/>
  <c r="B178" i="4"/>
  <c r="B172" i="4"/>
  <c r="B106" i="4"/>
  <c r="A258" i="1"/>
  <c r="B192" i="1"/>
  <c r="B85" i="1"/>
  <c r="C203" i="6"/>
  <c r="C191" i="6"/>
  <c r="C24" i="6"/>
  <c r="B456" i="19"/>
  <c r="F313" i="8"/>
  <c r="G175" i="29"/>
  <c r="I175" i="29"/>
  <c r="B69" i="28"/>
  <c r="B82" i="28"/>
  <c r="H171" i="29"/>
  <c r="H176" i="29"/>
  <c r="D178" i="10"/>
  <c r="D182" i="28"/>
  <c r="H175" i="29"/>
  <c r="F169" i="29"/>
  <c r="G174" i="30"/>
  <c r="D290" i="8"/>
  <c r="D4" i="30" s="1"/>
  <c r="F175" i="29"/>
  <c r="D180" i="10"/>
  <c r="G175" i="30"/>
  <c r="D175" i="27"/>
  <c r="B452" i="19"/>
  <c r="A178" i="1"/>
  <c r="B60" i="8"/>
  <c r="B330" i="19"/>
  <c r="C27" i="27"/>
  <c r="B95" i="8"/>
  <c r="B100" i="8"/>
  <c r="C80" i="27"/>
  <c r="C80" i="10"/>
  <c r="C67" i="27"/>
  <c r="C93" i="10"/>
  <c r="C406" i="6"/>
  <c r="C394" i="6"/>
  <c r="B485" i="18"/>
  <c r="B23" i="19"/>
  <c r="B168" i="1"/>
  <c r="B12" i="1"/>
  <c r="B15" i="2"/>
  <c r="C445" i="6"/>
  <c r="C425" i="6"/>
  <c r="C198" i="6"/>
  <c r="C176" i="6"/>
  <c r="C105" i="6"/>
  <c r="C91" i="6"/>
  <c r="C65" i="6"/>
  <c r="C49" i="6"/>
  <c r="C20" i="6"/>
  <c r="B541" i="19"/>
  <c r="B349" i="19"/>
  <c r="B210" i="19"/>
  <c r="B60" i="19"/>
  <c r="B46" i="4"/>
  <c r="B49" i="4"/>
  <c r="A181" i="18"/>
  <c r="C438" i="6"/>
  <c r="C418" i="6"/>
  <c r="C163" i="6"/>
  <c r="C76" i="6"/>
  <c r="C30" i="6"/>
  <c r="B42" i="10"/>
  <c r="D177" i="10"/>
  <c r="B54" i="28"/>
  <c r="D179" i="28"/>
  <c r="G177" i="29"/>
  <c r="I177" i="29"/>
  <c r="H173" i="29"/>
  <c r="A1" i="10"/>
  <c r="B421" i="19"/>
  <c r="C113" i="7"/>
  <c r="B36" i="4"/>
  <c r="B15" i="19"/>
  <c r="B63" i="19"/>
  <c r="B70" i="19"/>
  <c r="B247" i="19"/>
  <c r="B253" i="19"/>
  <c r="B276" i="19"/>
  <c r="B368" i="19"/>
  <c r="B386" i="19"/>
  <c r="B391" i="19"/>
  <c r="B397" i="19"/>
  <c r="B403" i="19"/>
  <c r="B422" i="19"/>
  <c r="B477" i="19"/>
  <c r="B533" i="19"/>
  <c r="B622" i="19"/>
  <c r="B28" i="3"/>
  <c r="B34" i="3"/>
  <c r="C18" i="6"/>
  <c r="C22" i="6"/>
  <c r="C26" i="6"/>
  <c r="C34" i="6"/>
  <c r="C36" i="6"/>
  <c r="C42" i="6"/>
  <c r="C66" i="6"/>
  <c r="C74" i="6"/>
  <c r="C80" i="6"/>
  <c r="C85" i="6"/>
  <c r="C88" i="6"/>
  <c r="C165" i="6"/>
  <c r="C185" i="6"/>
  <c r="C205" i="6"/>
  <c r="C426" i="6"/>
  <c r="C434" i="6"/>
  <c r="C446" i="6"/>
  <c r="B12" i="2"/>
  <c r="B23" i="2"/>
  <c r="B133" i="2"/>
  <c r="B15" i="1"/>
  <c r="B135" i="1"/>
  <c r="J51" i="55"/>
  <c r="M5" i="45"/>
  <c r="M5" i="36"/>
  <c r="B32" i="4"/>
  <c r="H337" i="8"/>
  <c r="B131" i="8"/>
  <c r="B69" i="18"/>
  <c r="B435" i="18"/>
  <c r="B37" i="4"/>
  <c r="B45" i="4"/>
  <c r="B223" i="4"/>
  <c r="B613" i="18"/>
  <c r="B42" i="4"/>
  <c r="B8" i="19"/>
  <c r="B16" i="19"/>
  <c r="B62" i="19"/>
  <c r="B69" i="19"/>
  <c r="B179" i="19"/>
  <c r="B254" i="19"/>
  <c r="B308" i="19"/>
  <c r="B343" i="19"/>
  <c r="B476" i="19"/>
  <c r="B534" i="19"/>
  <c r="B599" i="19"/>
  <c r="B628" i="19"/>
  <c r="B32" i="3"/>
  <c r="C727" i="19" s="1"/>
  <c r="B36" i="3"/>
  <c r="C735" i="19" s="1"/>
  <c r="C9" i="6"/>
  <c r="C19" i="6"/>
  <c r="C31" i="6"/>
  <c r="C43" i="6"/>
  <c r="B149" i="8"/>
  <c r="B158" i="8"/>
  <c r="B44" i="4"/>
  <c r="A12" i="19"/>
  <c r="B65" i="19"/>
  <c r="B72" i="19"/>
  <c r="A177" i="19"/>
  <c r="B207" i="19"/>
  <c r="B410" i="19"/>
  <c r="B598" i="19"/>
  <c r="B610" i="19"/>
  <c r="C14" i="6"/>
  <c r="C44" i="6"/>
  <c r="C54" i="6"/>
  <c r="C60" i="6"/>
  <c r="C161" i="6"/>
  <c r="C167" i="6"/>
  <c r="C181" i="6"/>
  <c r="C187" i="6"/>
  <c r="C193" i="6"/>
  <c r="C201" i="6"/>
  <c r="B207" i="6"/>
  <c r="C420" i="6"/>
  <c r="C440" i="6"/>
  <c r="C460" i="6"/>
  <c r="B14" i="2"/>
  <c r="B135" i="2"/>
  <c r="C24" i="55"/>
  <c r="B52" i="4"/>
  <c r="B7" i="19"/>
  <c r="B13" i="19"/>
  <c r="B67" i="19"/>
  <c r="B600" i="19"/>
  <c r="B33" i="3"/>
  <c r="C38" i="6"/>
  <c r="C86" i="6"/>
  <c r="C94" i="6"/>
  <c r="C104" i="6"/>
  <c r="C195" i="6"/>
  <c r="C422" i="6"/>
  <c r="C448" i="6"/>
  <c r="C456" i="6"/>
  <c r="B40" i="4"/>
  <c r="E29" i="8"/>
  <c r="B66" i="18"/>
  <c r="B31" i="4"/>
  <c r="D62" i="7" s="1"/>
  <c r="B41" i="4"/>
  <c r="B53" i="4"/>
  <c r="B30" i="4"/>
  <c r="B50" i="4"/>
  <c r="B14" i="19"/>
  <c r="B64" i="19"/>
  <c r="B73" i="19"/>
  <c r="B246" i="19"/>
  <c r="B324" i="19"/>
  <c r="B356" i="19"/>
  <c r="B483" i="19"/>
  <c r="B601" i="19"/>
  <c r="B30" i="3"/>
  <c r="C725" i="19" s="1"/>
  <c r="B35" i="3"/>
  <c r="C734" i="19" s="1"/>
  <c r="C11" i="6"/>
  <c r="C27" i="6"/>
  <c r="C41" i="6"/>
  <c r="C50" i="6"/>
  <c r="C59" i="6"/>
  <c r="C69" i="6"/>
  <c r="C81" i="6"/>
  <c r="C93" i="6"/>
  <c r="C100" i="6"/>
  <c r="A159" i="6"/>
  <c r="C170" i="6"/>
  <c r="C178" i="6"/>
  <c r="C190" i="6"/>
  <c r="C200" i="6"/>
  <c r="C417" i="6"/>
  <c r="C427" i="6"/>
  <c r="C437" i="6"/>
  <c r="C449" i="6"/>
  <c r="C457" i="6"/>
  <c r="B20" i="2"/>
  <c r="B136" i="2"/>
  <c r="B14" i="1"/>
  <c r="B132" i="1"/>
  <c r="A195" i="1"/>
  <c r="B203" i="12"/>
  <c r="B9" i="19"/>
  <c r="B384" i="19"/>
  <c r="B538" i="19"/>
  <c r="C16" i="6"/>
  <c r="C35" i="6"/>
  <c r="A57" i="6"/>
  <c r="C64" i="6"/>
  <c r="C84" i="6"/>
  <c r="C171" i="6"/>
  <c r="C179" i="6"/>
  <c r="C416" i="6"/>
  <c r="C442" i="6"/>
  <c r="C450" i="6"/>
  <c r="C458" i="6"/>
  <c r="B16" i="2"/>
  <c r="B131" i="2"/>
  <c r="B21" i="1"/>
  <c r="B131" i="1"/>
  <c r="M5" i="43"/>
  <c r="B61" i="8"/>
  <c r="B112" i="18"/>
  <c r="B33" i="4"/>
  <c r="B43" i="4"/>
  <c r="D20" i="7" s="1"/>
  <c r="A128" i="8"/>
  <c r="B34" i="4"/>
  <c r="A6" i="19"/>
  <c r="B17" i="19"/>
  <c r="B66" i="19"/>
  <c r="B75" i="19"/>
  <c r="B260" i="19"/>
  <c r="B331" i="19"/>
  <c r="B385" i="19"/>
  <c r="B536" i="19"/>
  <c r="B609" i="19"/>
  <c r="B31" i="3"/>
  <c r="C726" i="19" s="1"/>
  <c r="B37" i="3"/>
  <c r="C736" i="19" s="1"/>
  <c r="C13" i="6"/>
  <c r="C29" i="6"/>
  <c r="C46" i="6"/>
  <c r="C51" i="6"/>
  <c r="C61" i="6"/>
  <c r="C70" i="6"/>
  <c r="C83" i="6"/>
  <c r="C96" i="6"/>
  <c r="C101" i="6"/>
  <c r="C162" i="6"/>
  <c r="C172" i="6"/>
  <c r="C182" i="6"/>
  <c r="C194" i="6"/>
  <c r="C202" i="6"/>
  <c r="C421" i="6"/>
  <c r="C429" i="6"/>
  <c r="C441" i="6"/>
  <c r="C451" i="6"/>
  <c r="C461" i="6"/>
  <c r="B22" i="2"/>
  <c r="B168" i="2"/>
  <c r="B16" i="1"/>
  <c r="B134" i="1"/>
  <c r="B494" i="19"/>
  <c r="C117" i="6"/>
  <c r="A363" i="6"/>
  <c r="A1" i="26"/>
  <c r="C93" i="27"/>
  <c r="B136" i="1"/>
  <c r="A195" i="2"/>
  <c r="B13" i="2"/>
  <c r="C443" i="6"/>
  <c r="C423" i="6"/>
  <c r="C196" i="6"/>
  <c r="C174" i="6"/>
  <c r="C103" i="6"/>
  <c r="C89" i="6"/>
  <c r="C63" i="6"/>
  <c r="C48" i="6"/>
  <c r="C15" i="6"/>
  <c r="B539" i="19"/>
  <c r="B337" i="19"/>
  <c r="B181" i="19"/>
  <c r="A59" i="19"/>
  <c r="B38" i="4"/>
  <c r="D19" i="7" s="1"/>
  <c r="B47" i="4"/>
  <c r="D182" i="7" s="1"/>
  <c r="B135" i="18"/>
  <c r="B86" i="8"/>
  <c r="B49" i="55"/>
  <c r="B23" i="1"/>
  <c r="C655" i="6"/>
  <c r="C462" i="6"/>
  <c r="C436" i="6"/>
  <c r="C183" i="6"/>
  <c r="C92" i="6"/>
  <c r="B612" i="19"/>
  <c r="B61" i="19"/>
  <c r="B111" i="18"/>
  <c r="C57" i="31"/>
  <c r="I169" i="30"/>
  <c r="B143" i="4"/>
  <c r="B373" i="19"/>
  <c r="B379" i="19"/>
  <c r="B144" i="4"/>
  <c r="B149" i="4"/>
  <c r="B374" i="19"/>
  <c r="B389" i="19"/>
  <c r="B362" i="19"/>
  <c r="B375" i="19"/>
  <c r="B393" i="19"/>
  <c r="B399" i="19"/>
  <c r="B405" i="19"/>
  <c r="B144" i="1"/>
  <c r="B146" i="4"/>
  <c r="B361" i="19"/>
  <c r="B376" i="19"/>
  <c r="B408" i="19"/>
  <c r="I174" i="30"/>
  <c r="F174" i="29"/>
  <c r="B54" i="27"/>
  <c r="D177" i="27"/>
  <c r="D167" i="11"/>
  <c r="B529" i="18"/>
  <c r="G172" i="11"/>
  <c r="H161" i="11"/>
  <c r="E184" i="27"/>
  <c r="L263" i="12"/>
  <c r="L223" i="12"/>
  <c r="L254" i="12"/>
  <c r="L33" i="12"/>
  <c r="L190" i="12"/>
  <c r="L165" i="12"/>
  <c r="F172" i="11"/>
  <c r="Q206" i="18"/>
  <c r="Q193" i="18"/>
  <c r="G213" i="18"/>
  <c r="I253" i="18"/>
  <c r="Q196" i="18"/>
  <c r="H253" i="18"/>
  <c r="Q200" i="18"/>
  <c r="F229" i="18"/>
  <c r="H443" i="26"/>
  <c r="H276" i="18" s="1"/>
  <c r="Q204" i="18"/>
  <c r="G422" i="26"/>
  <c r="G251" i="18" s="1"/>
  <c r="H206" i="29"/>
  <c r="H207" i="29" s="1"/>
  <c r="H209" i="29" s="1"/>
  <c r="F226" i="29"/>
  <c r="F236" i="29" s="1"/>
  <c r="L230" i="12"/>
  <c r="L157" i="12"/>
  <c r="I172" i="11"/>
  <c r="G161" i="11"/>
  <c r="L132" i="12"/>
  <c r="F234" i="27"/>
  <c r="F96" i="11" s="1"/>
  <c r="G234" i="27"/>
  <c r="G96" i="11" s="1"/>
  <c r="F442" i="26"/>
  <c r="F275" i="18" s="1"/>
  <c r="F140" i="11"/>
  <c r="L124" i="12"/>
  <c r="L98" i="12"/>
  <c r="L57" i="12"/>
  <c r="G12" i="36"/>
  <c r="L90" i="12"/>
  <c r="L65" i="12"/>
  <c r="H226" i="29"/>
  <c r="H236" i="29" s="1"/>
  <c r="E226" i="29"/>
  <c r="E236" i="29" s="1"/>
  <c r="I206" i="29"/>
  <c r="I207" i="29" s="1"/>
  <c r="I209" i="29" s="1"/>
  <c r="G471" i="11"/>
  <c r="F186" i="28"/>
  <c r="I186" i="28"/>
  <c r="H186" i="28"/>
  <c r="G186" i="28"/>
  <c r="H172" i="11"/>
  <c r="I402" i="26"/>
  <c r="I227" i="18" s="1"/>
  <c r="E237" i="18"/>
  <c r="F269" i="18"/>
  <c r="Q185" i="18"/>
  <c r="Q205" i="18"/>
  <c r="Q199" i="18"/>
  <c r="Q194" i="18"/>
  <c r="Q186" i="18"/>
  <c r="H205" i="18"/>
  <c r="E402" i="26"/>
  <c r="E227" i="18" s="1"/>
  <c r="Q198" i="18"/>
  <c r="Q202" i="18"/>
  <c r="Q190" i="18"/>
  <c r="Q201" i="18"/>
  <c r="I221" i="18"/>
  <c r="Q192" i="18"/>
  <c r="B228" i="18"/>
  <c r="E221" i="18"/>
  <c r="Q197" i="18"/>
  <c r="Q191" i="18"/>
  <c r="Q187" i="18"/>
  <c r="Q183" i="18"/>
  <c r="E204" i="18"/>
  <c r="H234" i="26"/>
  <c r="F250" i="26"/>
  <c r="F251" i="26" s="1"/>
  <c r="F252" i="26" s="1"/>
  <c r="F253" i="26" s="1"/>
  <c r="F305" i="10"/>
  <c r="F315" i="18" s="1"/>
  <c r="G57" i="26"/>
  <c r="B8" i="31"/>
  <c r="I54" i="52"/>
  <c r="K54" i="52" s="1"/>
  <c r="L262" i="12"/>
  <c r="L222" i="12"/>
  <c r="E228" i="30"/>
  <c r="E238" i="30" s="1"/>
  <c r="I206" i="30"/>
  <c r="I207" i="30" s="1"/>
  <c r="I209" i="30" s="1"/>
  <c r="E226" i="30"/>
  <c r="E236" i="30" s="1"/>
  <c r="F230" i="30"/>
  <c r="F240" i="30" s="1"/>
  <c r="H228" i="30"/>
  <c r="H238" i="30" s="1"/>
  <c r="E227" i="30"/>
  <c r="E237" i="30" s="1"/>
  <c r="F161" i="11"/>
  <c r="I158" i="11"/>
  <c r="B524" i="18"/>
  <c r="F303" i="27"/>
  <c r="F352" i="18" s="1"/>
  <c r="E303" i="27"/>
  <c r="E352" i="18" s="1"/>
  <c r="E382" i="26"/>
  <c r="E203" i="18" s="1"/>
  <c r="E235" i="26"/>
  <c r="E236" i="26" s="1"/>
  <c r="E237" i="26" s="1"/>
  <c r="E238" i="26" s="1"/>
  <c r="G235" i="26"/>
  <c r="G236" i="26" s="1"/>
  <c r="G237" i="26" s="1"/>
  <c r="G238" i="26" s="1"/>
  <c r="G239" i="26" s="1"/>
  <c r="F235" i="26"/>
  <c r="F236" i="26" s="1"/>
  <c r="F237" i="26" s="1"/>
  <c r="F238" i="26" s="1"/>
  <c r="F239" i="26" s="1"/>
  <c r="E148" i="11"/>
  <c r="G144" i="11"/>
  <c r="G378" i="11" s="1"/>
  <c r="E140" i="11"/>
  <c r="K465" i="18"/>
  <c r="K630" i="19"/>
  <c r="I658" i="19"/>
  <c r="I57" i="10"/>
  <c r="I58" i="10" s="1"/>
  <c r="G233" i="27"/>
  <c r="G535" i="18" s="1"/>
  <c r="G507" i="18" s="1"/>
  <c r="G12" i="45"/>
  <c r="K538" i="18"/>
  <c r="H250" i="26"/>
  <c r="H251" i="26" s="1"/>
  <c r="H252" i="26" s="1"/>
  <c r="H253" i="26" s="1"/>
  <c r="H254" i="26" s="1"/>
  <c r="H265" i="26"/>
  <c r="H266" i="26" s="1"/>
  <c r="H267" i="26" s="1"/>
  <c r="H268" i="26" s="1"/>
  <c r="H269" i="26" s="1"/>
  <c r="D44" i="27"/>
  <c r="H24" i="7"/>
  <c r="H229" i="29"/>
  <c r="H239" i="29" s="1"/>
  <c r="H227" i="29"/>
  <c r="H237" i="29" s="1"/>
  <c r="F481" i="11"/>
  <c r="I217" i="28"/>
  <c r="D122" i="28"/>
  <c r="F217" i="28"/>
  <c r="E324" i="27"/>
  <c r="E531" i="18" s="1"/>
  <c r="I169" i="11"/>
  <c r="H184" i="27"/>
  <c r="I155" i="11"/>
  <c r="I384" i="11" s="1"/>
  <c r="G166" i="11"/>
  <c r="E234" i="27"/>
  <c r="E96" i="11" s="1"/>
  <c r="E161" i="11"/>
  <c r="H166" i="11"/>
  <c r="E172" i="11"/>
  <c r="G165" i="11"/>
  <c r="G390" i="11" s="1"/>
  <c r="I159" i="11"/>
  <c r="F233" i="27"/>
  <c r="F535" i="18" s="1"/>
  <c r="F507" i="18" s="1"/>
  <c r="G442" i="26"/>
  <c r="G275" i="18" s="1"/>
  <c r="F134" i="11"/>
  <c r="F372" i="11" s="1"/>
  <c r="G137" i="11"/>
  <c r="H135" i="11"/>
  <c r="F135" i="11"/>
  <c r="H151" i="11"/>
  <c r="H145" i="11"/>
  <c r="F148" i="11"/>
  <c r="E488" i="18"/>
  <c r="G134" i="11"/>
  <c r="G372" i="11" s="1"/>
  <c r="H325" i="10"/>
  <c r="H496" i="18" s="1"/>
  <c r="K62" i="39"/>
  <c r="E41" i="26"/>
  <c r="H21" i="7"/>
  <c r="G229" i="30"/>
  <c r="G239" i="30" s="1"/>
  <c r="H229" i="30"/>
  <c r="H239" i="30" s="1"/>
  <c r="I229" i="30"/>
  <c r="I239" i="30" s="1"/>
  <c r="F229" i="30"/>
  <c r="F239" i="30" s="1"/>
  <c r="H230" i="30"/>
  <c r="H240" i="30" s="1"/>
  <c r="I229" i="29"/>
  <c r="I239" i="29" s="1"/>
  <c r="F229" i="29"/>
  <c r="F239" i="29" s="1"/>
  <c r="G482" i="11"/>
  <c r="H481" i="11"/>
  <c r="D484" i="11"/>
  <c r="G217" i="28"/>
  <c r="H331" i="28"/>
  <c r="H566" i="18" s="1"/>
  <c r="I485" i="11"/>
  <c r="H564" i="18"/>
  <c r="J122" i="28"/>
  <c r="L117" i="28" s="1"/>
  <c r="E217" i="28"/>
  <c r="G484" i="11"/>
  <c r="E236" i="28"/>
  <c r="E238" i="28" s="1"/>
  <c r="F324" i="27"/>
  <c r="F531" i="18" s="1"/>
  <c r="E166" i="11"/>
  <c r="G158" i="11"/>
  <c r="E159" i="11"/>
  <c r="I156" i="11"/>
  <c r="F165" i="11"/>
  <c r="F390" i="11" s="1"/>
  <c r="F169" i="11"/>
  <c r="F215" i="27"/>
  <c r="H169" i="11"/>
  <c r="H529" i="18"/>
  <c r="E158" i="11"/>
  <c r="F159" i="11"/>
  <c r="H156" i="11"/>
  <c r="I165" i="11"/>
  <c r="I390" i="11" s="1"/>
  <c r="E167" i="11"/>
  <c r="G155" i="11"/>
  <c r="G384" i="11" s="1"/>
  <c r="E156" i="11"/>
  <c r="F167" i="11"/>
  <c r="E169" i="11"/>
  <c r="I166" i="11"/>
  <c r="F166" i="11"/>
  <c r="E155" i="11"/>
  <c r="E384" i="11" s="1"/>
  <c r="F158" i="11"/>
  <c r="G159" i="11"/>
  <c r="F156" i="11"/>
  <c r="E215" i="27"/>
  <c r="J121" i="27"/>
  <c r="L122" i="27" s="1"/>
  <c r="H233" i="27"/>
  <c r="H535" i="18" s="1"/>
  <c r="H507" i="18" s="1"/>
  <c r="H215" i="27"/>
  <c r="G219" i="27"/>
  <c r="I219" i="27"/>
  <c r="I221" i="27" s="1"/>
  <c r="I215" i="27"/>
  <c r="H218" i="27"/>
  <c r="H356" i="18" s="1"/>
  <c r="H326" i="18" s="1"/>
  <c r="Q270" i="18"/>
  <c r="Q261" i="18"/>
  <c r="Q266" i="18"/>
  <c r="Q276" i="18"/>
  <c r="Q271" i="18"/>
  <c r="Q258" i="18"/>
  <c r="Q268" i="18"/>
  <c r="Q263" i="18"/>
  <c r="Q257" i="18"/>
  <c r="Q262" i="18"/>
  <c r="Q277" i="18"/>
  <c r="Q265" i="18"/>
  <c r="Q260" i="18"/>
  <c r="Q275" i="18"/>
  <c r="Q267" i="18"/>
  <c r="Q256" i="18"/>
  <c r="Q274" i="18"/>
  <c r="Q264" i="18"/>
  <c r="Q259" i="18"/>
  <c r="Q255" i="18"/>
  <c r="Q269" i="18"/>
  <c r="Q273" i="18"/>
  <c r="Q272" i="18"/>
  <c r="F422" i="26"/>
  <c r="F251" i="18" s="1"/>
  <c r="G269" i="18"/>
  <c r="F237" i="18"/>
  <c r="E229" i="18"/>
  <c r="I204" i="18"/>
  <c r="G265" i="26"/>
  <c r="G266" i="26" s="1"/>
  <c r="G267" i="26" s="1"/>
  <c r="G268" i="26" s="1"/>
  <c r="G269" i="26" s="1"/>
  <c r="E422" i="26"/>
  <c r="E251" i="18" s="1"/>
  <c r="F382" i="26"/>
  <c r="F203" i="18" s="1"/>
  <c r="I422" i="26"/>
  <c r="I251" i="18" s="1"/>
  <c r="G250" i="26"/>
  <c r="G251" i="26" s="1"/>
  <c r="G252" i="26" s="1"/>
  <c r="G253" i="26" s="1"/>
  <c r="G254" i="26" s="1"/>
  <c r="E265" i="26"/>
  <c r="E266" i="26" s="1"/>
  <c r="E267" i="26" s="1"/>
  <c r="E268" i="26" s="1"/>
  <c r="E269" i="26" s="1"/>
  <c r="G234" i="26"/>
  <c r="I216" i="26"/>
  <c r="F234" i="26"/>
  <c r="H382" i="26"/>
  <c r="H203" i="18" s="1"/>
  <c r="H216" i="26"/>
  <c r="F216" i="26"/>
  <c r="G216" i="26"/>
  <c r="F265" i="26"/>
  <c r="F266" i="26" s="1"/>
  <c r="F267" i="26" s="1"/>
  <c r="F268" i="26" s="1"/>
  <c r="F269" i="26" s="1"/>
  <c r="E250" i="26"/>
  <c r="I234" i="26"/>
  <c r="I265" i="26"/>
  <c r="I266" i="26" s="1"/>
  <c r="I267" i="26" s="1"/>
  <c r="I268" i="26" s="1"/>
  <c r="I269" i="26" s="1"/>
  <c r="I250" i="26"/>
  <c r="I251" i="26" s="1"/>
  <c r="I252" i="26" s="1"/>
  <c r="I253" i="26" s="1"/>
  <c r="I254" i="26" s="1"/>
  <c r="I220" i="26"/>
  <c r="I221" i="26" s="1"/>
  <c r="I222" i="26" s="1"/>
  <c r="I235" i="26"/>
  <c r="I236" i="26" s="1"/>
  <c r="I237" i="26" s="1"/>
  <c r="I238" i="26" s="1"/>
  <c r="I239" i="26" s="1"/>
  <c r="I138" i="11"/>
  <c r="E306" i="18"/>
  <c r="I135" i="11"/>
  <c r="H148" i="11"/>
  <c r="E216" i="10"/>
  <c r="G148" i="11"/>
  <c r="E138" i="11"/>
  <c r="E135" i="11"/>
  <c r="H138" i="11"/>
  <c r="G149" i="11"/>
  <c r="I140" i="11"/>
  <c r="E489" i="18"/>
  <c r="G135" i="11"/>
  <c r="F138" i="11"/>
  <c r="G138" i="11"/>
  <c r="F151" i="11"/>
  <c r="I325" i="10"/>
  <c r="I496" i="18" s="1"/>
  <c r="I216" i="10"/>
  <c r="F216" i="10"/>
  <c r="G216" i="10"/>
  <c r="H216" i="10"/>
  <c r="F235" i="10"/>
  <c r="F237" i="10" s="1"/>
  <c r="E220" i="10"/>
  <c r="E222" i="10" s="1"/>
  <c r="H209" i="2"/>
  <c r="H20" i="7"/>
  <c r="H40" i="26"/>
  <c r="E209" i="2"/>
  <c r="D209" i="1" s="1"/>
  <c r="E24" i="7"/>
  <c r="E20" i="7"/>
  <c r="E23" i="7"/>
  <c r="E21" i="7"/>
  <c r="E26" i="7"/>
  <c r="H26" i="7"/>
  <c r="I12" i="14"/>
  <c r="K172" i="64"/>
  <c r="G20" i="60"/>
  <c r="D242" i="1"/>
  <c r="G193" i="64"/>
  <c r="G552" i="19"/>
  <c r="K661" i="18"/>
  <c r="I16" i="60"/>
  <c r="I47" i="54"/>
  <c r="I48" i="54" s="1"/>
  <c r="E95" i="11"/>
  <c r="C8" i="31"/>
  <c r="G702" i="18"/>
  <c r="G90" i="11"/>
  <c r="K46" i="54"/>
  <c r="K47" i="54" s="1"/>
  <c r="K48" i="54" s="1"/>
  <c r="I90" i="11"/>
  <c r="R22" i="14"/>
  <c r="K692" i="6"/>
  <c r="K700" i="18"/>
  <c r="K691" i="18"/>
  <c r="K676" i="18"/>
  <c r="K92" i="18"/>
  <c r="H717" i="6"/>
  <c r="E552" i="19"/>
  <c r="I90" i="54"/>
  <c r="J221" i="10"/>
  <c r="H237" i="28"/>
  <c r="I237" i="28"/>
  <c r="F222" i="28"/>
  <c r="F90" i="11"/>
  <c r="G235" i="27"/>
  <c r="K116" i="18"/>
  <c r="K158" i="64"/>
  <c r="D5" i="31"/>
  <c r="B5" i="31"/>
  <c r="K648" i="18"/>
  <c r="F719" i="6"/>
  <c r="F97" i="2" s="1"/>
  <c r="F735" i="6"/>
  <c r="F102" i="2" s="1"/>
  <c r="G735" i="6"/>
  <c r="G102" i="2" s="1"/>
  <c r="J236" i="10"/>
  <c r="K300" i="18"/>
  <c r="K75" i="57"/>
  <c r="K56" i="64"/>
  <c r="E107" i="18"/>
  <c r="K107" i="18" s="1"/>
  <c r="K120" i="64"/>
  <c r="K93" i="64"/>
  <c r="I58" i="28"/>
  <c r="I59" i="28" s="1"/>
  <c r="F126" i="7"/>
  <c r="F128" i="7"/>
  <c r="F148" i="7"/>
  <c r="F53" i="28"/>
  <c r="F58" i="28" s="1"/>
  <c r="F59" i="28" s="1"/>
  <c r="F52" i="28"/>
  <c r="F235" i="27"/>
  <c r="I42" i="10"/>
  <c r="I43" i="10" s="1"/>
  <c r="J44" i="10" s="1"/>
  <c r="I190" i="7"/>
  <c r="K629" i="19"/>
  <c r="K552" i="18"/>
  <c r="E90" i="11"/>
  <c r="H90" i="11"/>
  <c r="F57" i="10"/>
  <c r="F58" i="10" s="1"/>
  <c r="K336" i="18"/>
  <c r="E147" i="7"/>
  <c r="E52" i="28"/>
  <c r="E42" i="7"/>
  <c r="E251" i="2"/>
  <c r="D251" i="1" s="1"/>
  <c r="E654" i="18"/>
  <c r="H32" i="53"/>
  <c r="I51" i="52"/>
  <c r="F316" i="7"/>
  <c r="F203" i="7"/>
  <c r="F554" i="19"/>
  <c r="H251" i="2"/>
  <c r="H45" i="7"/>
  <c r="H44" i="7"/>
  <c r="H42" i="7"/>
  <c r="H39" i="7"/>
  <c r="H43" i="7"/>
  <c r="H40" i="28"/>
  <c r="H42" i="28" s="1"/>
  <c r="H43" i="28" s="1"/>
  <c r="J44" i="28" s="1"/>
  <c r="H1125" i="7"/>
  <c r="H190" i="7"/>
  <c r="I12" i="36"/>
  <c r="H220" i="27"/>
  <c r="H221" i="27" s="1"/>
  <c r="K359" i="18"/>
  <c r="K46" i="64"/>
  <c r="K623" i="19"/>
  <c r="E222" i="28"/>
  <c r="M46" i="54"/>
  <c r="M47" i="54" s="1"/>
  <c r="G220" i="27"/>
  <c r="K35" i="64"/>
  <c r="I654" i="18"/>
  <c r="G95" i="11"/>
  <c r="F95" i="11"/>
  <c r="K12" i="39"/>
  <c r="K624" i="19"/>
  <c r="L19" i="31"/>
  <c r="K335" i="18"/>
  <c r="K283" i="18"/>
  <c r="H57" i="27"/>
  <c r="H58" i="27" s="1"/>
  <c r="F147" i="7"/>
  <c r="F146" i="7"/>
  <c r="G589" i="18"/>
  <c r="G398" i="18"/>
  <c r="K627" i="19"/>
  <c r="G55" i="28"/>
  <c r="G250" i="2"/>
  <c r="E557" i="18"/>
  <c r="E572" i="18"/>
  <c r="E639" i="18"/>
  <c r="E30" i="11"/>
  <c r="E89" i="11"/>
  <c r="E242" i="11"/>
  <c r="E733" i="18"/>
  <c r="I80" i="11"/>
  <c r="I99" i="11"/>
  <c r="I103" i="11"/>
  <c r="I143" i="11"/>
  <c r="I232" i="11"/>
  <c r="I341" i="11"/>
  <c r="I351" i="11"/>
  <c r="I406" i="11"/>
  <c r="I431" i="11"/>
  <c r="I496" i="11"/>
  <c r="I504" i="11"/>
  <c r="I29" i="64"/>
  <c r="I155" i="64"/>
  <c r="I342" i="18"/>
  <c r="I522" i="18"/>
  <c r="I557" i="18"/>
  <c r="I639" i="18"/>
  <c r="I698" i="18"/>
  <c r="I716" i="18"/>
  <c r="I532" i="11"/>
  <c r="I30" i="11"/>
  <c r="I44" i="11"/>
  <c r="I53" i="11"/>
  <c r="I175" i="11"/>
  <c r="I180" i="11"/>
  <c r="I242" i="11"/>
  <c r="I302" i="11"/>
  <c r="I469" i="11"/>
  <c r="I128" i="64"/>
  <c r="I144" i="64"/>
  <c r="I165" i="18"/>
  <c r="I378" i="18"/>
  <c r="I461" i="18"/>
  <c r="I733" i="18"/>
  <c r="I811" i="18"/>
  <c r="I848" i="18"/>
  <c r="I61" i="11"/>
  <c r="I216" i="11"/>
  <c r="I361" i="11"/>
  <c r="I510" i="11"/>
  <c r="I57" i="18"/>
  <c r="I487" i="18"/>
  <c r="I13" i="11"/>
  <c r="I94" i="11"/>
  <c r="I225" i="11"/>
  <c r="I331" i="11"/>
  <c r="I444" i="11"/>
  <c r="I4" i="64"/>
  <c r="I15" i="18"/>
  <c r="I689" i="18"/>
  <c r="E312" i="7"/>
  <c r="E198" i="7"/>
  <c r="E197" i="7"/>
  <c r="E199" i="7"/>
  <c r="E194" i="7"/>
  <c r="E195" i="7"/>
  <c r="E149" i="2"/>
  <c r="D149" i="1" s="1"/>
  <c r="M79" i="39"/>
  <c r="E149" i="64"/>
  <c r="K555" i="19"/>
  <c r="H29" i="7"/>
  <c r="H33" i="7"/>
  <c r="K482" i="18"/>
  <c r="D121" i="27"/>
  <c r="J44" i="27"/>
  <c r="D188" i="1"/>
  <c r="F30" i="7"/>
  <c r="H108" i="7"/>
  <c r="H135" i="7"/>
  <c r="H136" i="7"/>
  <c r="H134" i="7"/>
  <c r="I316" i="7"/>
  <c r="I204" i="7"/>
  <c r="I205" i="7"/>
  <c r="I144" i="7"/>
  <c r="I142" i="7"/>
  <c r="I122" i="7"/>
  <c r="I143" i="7"/>
  <c r="K98" i="64"/>
  <c r="E11" i="5"/>
  <c r="N3" i="52"/>
  <c r="E716" i="18"/>
  <c r="E305" i="18"/>
  <c r="E181" i="18"/>
  <c r="E155" i="64"/>
  <c r="H54" i="10"/>
  <c r="H57" i="10" s="1"/>
  <c r="H58" i="10" s="1"/>
  <c r="I57" i="26"/>
  <c r="E371" i="11"/>
  <c r="E302" i="11"/>
  <c r="E180" i="11"/>
  <c r="E4" i="11"/>
  <c r="M5" i="39"/>
  <c r="E3" i="18"/>
  <c r="K279" i="6"/>
  <c r="K372" i="18"/>
  <c r="K534" i="6"/>
  <c r="K551" i="18"/>
  <c r="I203" i="7"/>
  <c r="G370" i="18"/>
  <c r="H112" i="64"/>
  <c r="I43" i="64"/>
  <c r="E43" i="64"/>
  <c r="L253" i="12"/>
  <c r="K125" i="64"/>
  <c r="E131" i="18"/>
  <c r="K131" i="18" s="1"/>
  <c r="K20" i="60"/>
  <c r="I231" i="2"/>
  <c r="I148" i="2"/>
  <c r="E879" i="18"/>
  <c r="E867" i="18"/>
  <c r="E689" i="18"/>
  <c r="E342" i="18"/>
  <c r="E244" i="18"/>
  <c r="E220" i="18"/>
  <c r="E196" i="18"/>
  <c r="E4" i="18"/>
  <c r="E264" i="64"/>
  <c r="K67" i="64"/>
  <c r="H54" i="64"/>
  <c r="E452" i="11"/>
  <c r="E133" i="11"/>
  <c r="G129" i="7"/>
  <c r="G126" i="7"/>
  <c r="G148" i="7"/>
  <c r="G127" i="7"/>
  <c r="G128" i="7"/>
  <c r="G54" i="28"/>
  <c r="G47" i="7"/>
  <c r="G43" i="7"/>
  <c r="G44" i="7"/>
  <c r="G41" i="7"/>
  <c r="G45" i="7"/>
  <c r="G251" i="2"/>
  <c r="G39" i="7"/>
  <c r="G42" i="7"/>
  <c r="G46" i="7"/>
  <c r="G40" i="7"/>
  <c r="H312" i="7"/>
  <c r="H197" i="7"/>
  <c r="H194" i="7"/>
  <c r="H149" i="64"/>
  <c r="H647" i="18"/>
  <c r="K647" i="18" s="1"/>
  <c r="H195" i="7"/>
  <c r="H199" i="7"/>
  <c r="H200" i="7"/>
  <c r="E532" i="11"/>
  <c r="E19" i="11"/>
  <c r="E36" i="11"/>
  <c r="E61" i="11"/>
  <c r="E70" i="11"/>
  <c r="E109" i="11"/>
  <c r="E117" i="11"/>
  <c r="E125" i="11"/>
  <c r="E99" i="11"/>
  <c r="E103" i="11"/>
  <c r="E204" i="11"/>
  <c r="E250" i="11"/>
  <c r="E255" i="11"/>
  <c r="E264" i="11"/>
  <c r="E321" i="11"/>
  <c r="E331" i="11"/>
  <c r="E341" i="11"/>
  <c r="E389" i="11"/>
  <c r="E395" i="11"/>
  <c r="E406" i="11"/>
  <c r="E419" i="11"/>
  <c r="E431" i="11"/>
  <c r="E479" i="11"/>
  <c r="E504" i="11"/>
  <c r="E128" i="64"/>
  <c r="E276" i="64"/>
  <c r="E15" i="18"/>
  <c r="E57" i="18"/>
  <c r="E138" i="18"/>
  <c r="E268" i="18"/>
  <c r="E378" i="18"/>
  <c r="E659" i="18"/>
  <c r="E698" i="18"/>
  <c r="E752" i="18"/>
  <c r="N3" i="53"/>
  <c r="E25" i="11"/>
  <c r="E44" i="11"/>
  <c r="E53" i="11"/>
  <c r="E80" i="11"/>
  <c r="E94" i="11"/>
  <c r="E154" i="11"/>
  <c r="E175" i="11"/>
  <c r="E216" i="11"/>
  <c r="E225" i="11"/>
  <c r="E232" i="11"/>
  <c r="E274" i="11"/>
  <c r="E351" i="11"/>
  <c r="E425" i="11"/>
  <c r="E437" i="11"/>
  <c r="E444" i="11"/>
  <c r="E469" i="11"/>
  <c r="E510" i="11"/>
  <c r="E516" i="11"/>
  <c r="E522" i="11"/>
  <c r="E4" i="64"/>
  <c r="E29" i="64"/>
  <c r="E144" i="64"/>
  <c r="E189" i="64"/>
  <c r="E165" i="18"/>
  <c r="E279" i="18"/>
  <c r="E487" i="18"/>
  <c r="E522" i="18"/>
  <c r="E674" i="18"/>
  <c r="E811" i="18"/>
  <c r="O3" i="61"/>
  <c r="O3" i="54"/>
  <c r="Q3" i="55"/>
  <c r="P3" i="60"/>
  <c r="H129" i="7"/>
  <c r="H148" i="7"/>
  <c r="H147" i="7"/>
  <c r="H126" i="7"/>
  <c r="H128" i="7"/>
  <c r="H130" i="7"/>
  <c r="H53" i="28"/>
  <c r="H58" i="28" s="1"/>
  <c r="H59" i="28" s="1"/>
  <c r="I157" i="7"/>
  <c r="I155" i="7"/>
  <c r="I169" i="7"/>
  <c r="I158" i="7"/>
  <c r="I156" i="7"/>
  <c r="I162" i="7"/>
  <c r="I163" i="7"/>
  <c r="I165" i="7"/>
  <c r="I166" i="7"/>
  <c r="I168" i="7"/>
  <c r="I170" i="7"/>
  <c r="I161" i="7"/>
  <c r="I167" i="7"/>
  <c r="I164" i="7"/>
  <c r="I160" i="7"/>
  <c r="I153" i="2"/>
  <c r="I201" i="64"/>
  <c r="K201" i="64" s="1"/>
  <c r="I710" i="18"/>
  <c r="K710" i="18" s="1"/>
  <c r="I154" i="7"/>
  <c r="I642" i="18"/>
  <c r="K642" i="18" s="1"/>
  <c r="F57" i="26"/>
  <c r="I53" i="27"/>
  <c r="I57" i="27" s="1"/>
  <c r="I58" i="27" s="1"/>
  <c r="E377" i="11"/>
  <c r="E361" i="11"/>
  <c r="E293" i="11"/>
  <c r="E283" i="11"/>
  <c r="E238" i="11"/>
  <c r="I4" i="11"/>
  <c r="I3" i="18"/>
  <c r="K104" i="64"/>
  <c r="F57" i="27"/>
  <c r="F58" i="27" s="1"/>
  <c r="I147" i="64"/>
  <c r="K147" i="64" s="1"/>
  <c r="H186" i="2"/>
  <c r="I553" i="19"/>
  <c r="I103" i="7" s="1"/>
  <c r="E848" i="18"/>
  <c r="I641" i="18"/>
  <c r="K641" i="18" s="1"/>
  <c r="E461" i="18"/>
  <c r="E394" i="18"/>
  <c r="E245" i="64"/>
  <c r="E207" i="64"/>
  <c r="E204" i="64"/>
  <c r="E87" i="64"/>
  <c r="E71" i="64"/>
  <c r="H52" i="28"/>
  <c r="E496" i="11"/>
  <c r="E490" i="11"/>
  <c r="E401" i="11"/>
  <c r="E143" i="11"/>
  <c r="E13" i="11"/>
  <c r="E719" i="6"/>
  <c r="E97" i="2" s="1"/>
  <c r="E208" i="5" s="1"/>
  <c r="E735" i="6"/>
  <c r="E102" i="2" s="1"/>
  <c r="E30" i="28"/>
  <c r="E31" i="28" s="1"/>
  <c r="K51" i="64"/>
  <c r="E146" i="7"/>
  <c r="E148" i="7"/>
  <c r="E55" i="28"/>
  <c r="E58" i="28" s="1"/>
  <c r="E59" i="28" s="1"/>
  <c r="E250" i="2"/>
  <c r="D250" i="1" s="1"/>
  <c r="K126" i="64"/>
  <c r="G123" i="18"/>
  <c r="K468" i="18"/>
  <c r="K68" i="64"/>
  <c r="H30" i="28"/>
  <c r="H31" i="28" s="1"/>
  <c r="K322" i="18"/>
  <c r="H110" i="7"/>
  <c r="I424" i="18"/>
  <c r="F157" i="7"/>
  <c r="F169" i="7"/>
  <c r="F170" i="7"/>
  <c r="F161" i="7"/>
  <c r="F167" i="7"/>
  <c r="F156" i="7"/>
  <c r="F155" i="7"/>
  <c r="F162" i="7"/>
  <c r="F163" i="7"/>
  <c r="F166" i="7"/>
  <c r="F158" i="7"/>
  <c r="F165" i="7"/>
  <c r="F160" i="7"/>
  <c r="F164" i="7"/>
  <c r="F553" i="19"/>
  <c r="F103" i="7" s="1"/>
  <c r="F143" i="7"/>
  <c r="F142" i="7"/>
  <c r="G57" i="10"/>
  <c r="G58" i="10" s="1"/>
  <c r="H57" i="26"/>
  <c r="F111" i="7"/>
  <c r="F110" i="7"/>
  <c r="F134" i="7"/>
  <c r="F135" i="7"/>
  <c r="F136" i="7"/>
  <c r="F47" i="7"/>
  <c r="F42" i="7"/>
  <c r="F44" i="7"/>
  <c r="F251" i="2"/>
  <c r="F40" i="7"/>
  <c r="F39" i="7"/>
  <c r="F43" i="7"/>
  <c r="H122" i="7"/>
  <c r="H142" i="7"/>
  <c r="H143" i="7"/>
  <c r="H144" i="7"/>
  <c r="I127" i="7"/>
  <c r="I128" i="7"/>
  <c r="I148" i="7"/>
  <c r="I129" i="7"/>
  <c r="I111" i="7"/>
  <c r="I110" i="7"/>
  <c r="I135" i="7"/>
  <c r="I136" i="7"/>
  <c r="I47" i="7"/>
  <c r="I39" i="7"/>
  <c r="I45" i="7"/>
  <c r="I43" i="7"/>
  <c r="I41" i="7"/>
  <c r="I44" i="7"/>
  <c r="I251" i="2"/>
  <c r="I46" i="7"/>
  <c r="I42" i="7"/>
  <c r="E57" i="26"/>
  <c r="G44" i="11"/>
  <c r="G89" i="11"/>
  <c r="G94" i="11"/>
  <c r="G99" i="11"/>
  <c r="E156" i="7"/>
  <c r="E157" i="7"/>
  <c r="E166" i="7"/>
  <c r="E169" i="7"/>
  <c r="E170" i="7"/>
  <c r="E163" i="7"/>
  <c r="E162" i="7"/>
  <c r="E161" i="7"/>
  <c r="E165" i="7"/>
  <c r="E167" i="7"/>
  <c r="E158" i="7"/>
  <c r="G120" i="7"/>
  <c r="G122" i="7"/>
  <c r="G143" i="7"/>
  <c r="G144" i="7"/>
  <c r="G142" i="7"/>
  <c r="G134" i="7"/>
  <c r="G136" i="7"/>
  <c r="G135" i="7"/>
  <c r="H146" i="7"/>
  <c r="I719" i="6"/>
  <c r="I97" i="2" s="1"/>
  <c r="I735" i="6"/>
  <c r="I102" i="2" s="1"/>
  <c r="E219" i="19"/>
  <c r="E220" i="19"/>
  <c r="E122" i="7"/>
  <c r="E142" i="7"/>
  <c r="E120" i="7"/>
  <c r="F312" i="7"/>
  <c r="F197" i="7"/>
  <c r="G312" i="7"/>
  <c r="G198" i="7"/>
  <c r="I219" i="19"/>
  <c r="I220" i="19"/>
  <c r="I147" i="7"/>
  <c r="E126" i="7"/>
  <c r="E128" i="7"/>
  <c r="E37" i="7"/>
  <c r="E30" i="7"/>
  <c r="E33" i="7"/>
  <c r="E35" i="7"/>
  <c r="F108" i="7"/>
  <c r="G316" i="7"/>
  <c r="G204" i="7"/>
  <c r="H155" i="7"/>
  <c r="H163" i="7"/>
  <c r="H169" i="7"/>
  <c r="H160" i="7"/>
  <c r="H166" i="7"/>
  <c r="H168" i="7"/>
  <c r="H37" i="7"/>
  <c r="H32" i="7"/>
  <c r="H34" i="7"/>
  <c r="H35" i="7"/>
  <c r="H234" i="2"/>
  <c r="E129" i="7"/>
  <c r="G36" i="7"/>
  <c r="G123" i="7"/>
  <c r="H112" i="7"/>
  <c r="G675" i="19"/>
  <c r="G707" i="19" s="1"/>
  <c r="H681" i="19"/>
  <c r="K16" i="68"/>
  <c r="K13" i="68"/>
  <c r="K15" i="68"/>
  <c r="K14" i="68"/>
  <c r="G519" i="11"/>
  <c r="F678" i="19"/>
  <c r="H520" i="11"/>
  <c r="K667" i="19"/>
  <c r="G517" i="11"/>
  <c r="F519" i="11"/>
  <c r="F514" i="11"/>
  <c r="H511" i="11"/>
  <c r="G513" i="11"/>
  <c r="I499" i="11"/>
  <c r="G657" i="19"/>
  <c r="K666" i="19"/>
  <c r="K672" i="19"/>
  <c r="G497" i="11"/>
  <c r="G645" i="19"/>
  <c r="G656" i="19"/>
  <c r="K642" i="19"/>
  <c r="E499" i="11"/>
  <c r="K644" i="19"/>
  <c r="I689" i="19"/>
  <c r="I497" i="11"/>
  <c r="I645" i="19"/>
  <c r="I656" i="19"/>
  <c r="H498" i="11"/>
  <c r="H657" i="19"/>
  <c r="G658" i="19"/>
  <c r="G499" i="11"/>
  <c r="K649" i="19"/>
  <c r="F500" i="11"/>
  <c r="F656" i="19"/>
  <c r="I501" i="11"/>
  <c r="I657" i="19"/>
  <c r="I652" i="19"/>
  <c r="H502" i="11"/>
  <c r="H658" i="19"/>
  <c r="G678" i="19"/>
  <c r="G523" i="11"/>
  <c r="E514" i="11"/>
  <c r="E526" i="11"/>
  <c r="I514" i="11"/>
  <c r="H517" i="11"/>
  <c r="H519" i="11"/>
  <c r="I511" i="11"/>
  <c r="E645" i="19"/>
  <c r="G689" i="19"/>
  <c r="G693" i="19" s="1"/>
  <c r="H678" i="19"/>
  <c r="E520" i="11"/>
  <c r="G652" i="19"/>
  <c r="H645" i="19"/>
  <c r="E517" i="11"/>
  <c r="H526" i="11"/>
  <c r="F523" i="11"/>
  <c r="F651" i="19"/>
  <c r="F502" i="11" s="1"/>
  <c r="G501" i="11"/>
  <c r="F643" i="19"/>
  <c r="F657" i="19" s="1"/>
  <c r="G680" i="19"/>
  <c r="I680" i="19"/>
  <c r="H41" i="26"/>
  <c r="F23" i="7"/>
  <c r="G21" i="7"/>
  <c r="I26" i="7"/>
  <c r="I210" i="2"/>
  <c r="I25" i="7"/>
  <c r="I40" i="26"/>
  <c r="F209" i="2"/>
  <c r="F24" i="7"/>
  <c r="F20" i="7"/>
  <c r="I209" i="2"/>
  <c r="I24" i="7"/>
  <c r="F41" i="26"/>
  <c r="G209" i="2"/>
  <c r="G20" i="7"/>
  <c r="F26" i="7"/>
  <c r="G40" i="26"/>
  <c r="F80" i="26"/>
  <c r="G23" i="7"/>
  <c r="G22" i="7"/>
  <c r="G25" i="7"/>
  <c r="G26" i="7"/>
  <c r="I23" i="7"/>
  <c r="I21" i="7"/>
  <c r="G24" i="7"/>
  <c r="I20" i="7"/>
  <c r="I22" i="7"/>
  <c r="C154" i="6"/>
  <c r="C372" i="6"/>
  <c r="B13" i="4"/>
  <c r="B396" i="18"/>
  <c r="D427" i="11"/>
  <c r="B4" i="4"/>
  <c r="B91" i="8"/>
  <c r="H488" i="18"/>
  <c r="H144" i="11"/>
  <c r="H378" i="11" s="1"/>
  <c r="F144" i="11"/>
  <c r="F378" i="11" s="1"/>
  <c r="I144" i="11"/>
  <c r="I378" i="11" s="1"/>
  <c r="E144" i="11"/>
  <c r="E378" i="11" s="1"/>
  <c r="H312" i="18"/>
  <c r="H305" i="10"/>
  <c r="H315" i="18" s="1"/>
  <c r="G563" i="18"/>
  <c r="G485" i="11"/>
  <c r="F485" i="11"/>
  <c r="H485" i="11"/>
  <c r="E485" i="11"/>
  <c r="H482" i="11"/>
  <c r="I482" i="11"/>
  <c r="F482" i="11"/>
  <c r="E482" i="11"/>
  <c r="G561" i="18"/>
  <c r="G487" i="11"/>
  <c r="F383" i="18"/>
  <c r="G474" i="11"/>
  <c r="F381" i="18"/>
  <c r="F476" i="11"/>
  <c r="G379" i="18"/>
  <c r="G309" i="28"/>
  <c r="G388" i="18" s="1"/>
  <c r="L229" i="12"/>
  <c r="L197" i="12"/>
  <c r="C92" i="10"/>
  <c r="C4" i="10"/>
  <c r="C13" i="10" s="1"/>
  <c r="C66" i="27"/>
  <c r="B94" i="8"/>
  <c r="C66" i="10"/>
  <c r="B53" i="1"/>
  <c r="B86" i="19"/>
  <c r="B574" i="18"/>
  <c r="G13" i="57"/>
  <c r="C367" i="6"/>
  <c r="G72" i="39"/>
  <c r="B173" i="19"/>
  <c r="D96" i="33"/>
  <c r="B44" i="2"/>
  <c r="C111" i="6"/>
  <c r="B17" i="4"/>
  <c r="C15" i="31"/>
  <c r="B61" i="1"/>
  <c r="C125" i="6"/>
  <c r="B114" i="19"/>
  <c r="C152" i="6"/>
  <c r="B95" i="64"/>
  <c r="B113" i="1"/>
  <c r="B85" i="19"/>
  <c r="B608" i="19"/>
  <c r="B40" i="19"/>
  <c r="B22" i="3"/>
  <c r="C722" i="19" s="1"/>
  <c r="C374" i="6"/>
  <c r="C378" i="6"/>
  <c r="H12" i="53"/>
  <c r="H41" i="53"/>
  <c r="I43" i="54"/>
  <c r="B28" i="4"/>
  <c r="B409" i="19"/>
  <c r="C404" i="6"/>
  <c r="B627" i="19"/>
  <c r="B198" i="19"/>
  <c r="A178" i="2"/>
  <c r="D421" i="11"/>
  <c r="B9" i="4"/>
  <c r="C145" i="6"/>
  <c r="D14" i="11"/>
  <c r="B125" i="18"/>
  <c r="B118" i="19"/>
  <c r="B81" i="19"/>
  <c r="B336" i="19"/>
  <c r="C130" i="6"/>
  <c r="C390" i="6"/>
  <c r="B462" i="19"/>
  <c r="B122" i="2"/>
  <c r="D17" i="34"/>
  <c r="B8" i="4"/>
  <c r="D410" i="7" s="1"/>
  <c r="B43" i="19"/>
  <c r="B607" i="19"/>
  <c r="C376" i="6"/>
  <c r="B38" i="12"/>
  <c r="B19" i="3"/>
  <c r="C147" i="6"/>
  <c r="B53" i="2"/>
  <c r="G5" i="43"/>
  <c r="B10" i="4"/>
  <c r="D230" i="7" s="1"/>
  <c r="A79" i="19"/>
  <c r="B621" i="19"/>
  <c r="C383" i="6"/>
  <c r="B5" i="12"/>
  <c r="B116" i="19"/>
  <c r="B41" i="19"/>
  <c r="C375" i="6"/>
  <c r="D104" i="11"/>
  <c r="B100" i="18"/>
  <c r="B245" i="19"/>
  <c r="B112" i="19"/>
  <c r="B457" i="19"/>
  <c r="C142" i="6"/>
  <c r="C316" i="8"/>
  <c r="C115" i="6"/>
  <c r="B44" i="1"/>
  <c r="B37" i="64"/>
  <c r="B217" i="4"/>
  <c r="B84" i="19"/>
  <c r="A108" i="6"/>
  <c r="C405" i="6"/>
  <c r="B418" i="11"/>
  <c r="B424" i="11"/>
  <c r="C369" i="6"/>
  <c r="B275" i="19"/>
  <c r="B108" i="8"/>
  <c r="G5" i="45"/>
  <c r="C386" i="6"/>
  <c r="B21" i="3"/>
  <c r="C721" i="19" s="1"/>
  <c r="B28" i="2"/>
  <c r="B252" i="19"/>
  <c r="C13" i="31"/>
  <c r="C134" i="6"/>
  <c r="C144" i="6"/>
  <c r="B259" i="19"/>
  <c r="B15" i="3"/>
  <c r="B186" i="4"/>
  <c r="B184" i="4"/>
  <c r="B188" i="4"/>
  <c r="B185" i="4"/>
  <c r="H158" i="11"/>
  <c r="E309" i="28"/>
  <c r="E388" i="18" s="1"/>
  <c r="G481" i="11"/>
  <c r="G145" i="11"/>
  <c r="F494" i="18"/>
  <c r="F149" i="11"/>
  <c r="I149" i="11"/>
  <c r="F325" i="10"/>
  <c r="F496" i="18" s="1"/>
  <c r="G491" i="18"/>
  <c r="G325" i="10"/>
  <c r="G496" i="18" s="1"/>
  <c r="G307" i="18"/>
  <c r="F137" i="11"/>
  <c r="G305" i="10"/>
  <c r="G315" i="18" s="1"/>
  <c r="F224" i="18"/>
  <c r="F402" i="26"/>
  <c r="F227" i="18" s="1"/>
  <c r="G197" i="18"/>
  <c r="G382" i="26"/>
  <c r="G203" i="18" s="1"/>
  <c r="F528" i="18"/>
  <c r="I167" i="11"/>
  <c r="H167" i="11"/>
  <c r="G167" i="11"/>
  <c r="F170" i="11"/>
  <c r="E170" i="11"/>
  <c r="H324" i="27"/>
  <c r="H531" i="18" s="1"/>
  <c r="I170" i="11"/>
  <c r="E561" i="18"/>
  <c r="E487" i="11"/>
  <c r="G331" i="28"/>
  <c r="G566" i="18" s="1"/>
  <c r="E480" i="11"/>
  <c r="F384" i="18"/>
  <c r="I471" i="11"/>
  <c r="I474" i="11"/>
  <c r="I383" i="18"/>
  <c r="E474" i="11"/>
  <c r="F474" i="11"/>
  <c r="G473" i="11"/>
  <c r="H309" i="28"/>
  <c r="H388" i="18" s="1"/>
  <c r="H380" i="18"/>
  <c r="I379" i="18"/>
  <c r="I309" i="28"/>
  <c r="I388" i="18" s="1"/>
  <c r="C141" i="7"/>
  <c r="B587" i="18"/>
  <c r="B77" i="4"/>
  <c r="H324" i="8"/>
  <c r="D325" i="12"/>
  <c r="B61" i="4"/>
  <c r="B129" i="18"/>
  <c r="B69" i="4"/>
  <c r="B45" i="19"/>
  <c r="A89" i="19"/>
  <c r="B94" i="19"/>
  <c r="B123" i="19"/>
  <c r="B350" i="19"/>
  <c r="B44" i="3"/>
  <c r="C212" i="6"/>
  <c r="C240" i="6"/>
  <c r="C246" i="6"/>
  <c r="C255" i="6"/>
  <c r="C471" i="6"/>
  <c r="C493" i="6"/>
  <c r="C508" i="6"/>
  <c r="C512" i="6"/>
  <c r="B37" i="1"/>
  <c r="B54" i="1"/>
  <c r="B70" i="1"/>
  <c r="K43" i="54"/>
  <c r="I13" i="60"/>
  <c r="I13" i="57"/>
  <c r="I72" i="39"/>
  <c r="I5" i="45"/>
  <c r="I5" i="43"/>
  <c r="B57" i="4"/>
  <c r="B128" i="18"/>
  <c r="B199" i="8"/>
  <c r="B195" i="8"/>
  <c r="B104" i="18"/>
  <c r="B502" i="18"/>
  <c r="B60" i="4"/>
  <c r="D422" i="7" s="1"/>
  <c r="B68" i="4"/>
  <c r="B76" i="4"/>
  <c r="A172" i="8"/>
  <c r="H326" i="8"/>
  <c r="D15" i="31"/>
  <c r="B103" i="18"/>
  <c r="B59" i="4"/>
  <c r="D411" i="7" s="1"/>
  <c r="B75" i="4"/>
  <c r="B29" i="19"/>
  <c r="B93" i="19"/>
  <c r="B124" i="19"/>
  <c r="B184" i="19"/>
  <c r="B262" i="19"/>
  <c r="B404" i="19"/>
  <c r="B453" i="19"/>
  <c r="B473" i="19"/>
  <c r="B42" i="3"/>
  <c r="C215" i="6"/>
  <c r="C229" i="6"/>
  <c r="C237" i="6"/>
  <c r="C245" i="6"/>
  <c r="C252" i="6"/>
  <c r="C470" i="6"/>
  <c r="C484" i="6"/>
  <c r="C492" i="6"/>
  <c r="C500" i="6"/>
  <c r="C507" i="6"/>
  <c r="B70" i="2"/>
  <c r="B169" i="2"/>
  <c r="B62" i="1"/>
  <c r="B169" i="1"/>
  <c r="H323" i="8"/>
  <c r="B28" i="19"/>
  <c r="A44" i="19"/>
  <c r="B49" i="19"/>
  <c r="B90" i="19"/>
  <c r="B127" i="19"/>
  <c r="B278" i="19"/>
  <c r="B338" i="19"/>
  <c r="B520" i="19"/>
  <c r="B602" i="19"/>
  <c r="B623" i="19"/>
  <c r="B43" i="3"/>
  <c r="B45" i="3"/>
  <c r="B46" i="3"/>
  <c r="C216" i="6"/>
  <c r="C238" i="6"/>
  <c r="C253" i="6"/>
  <c r="C257" i="6"/>
  <c r="A464" i="6"/>
  <c r="C495" i="6"/>
  <c r="C501" i="6"/>
  <c r="C510" i="6"/>
  <c r="B45" i="2"/>
  <c r="B115" i="2"/>
  <c r="B126" i="2"/>
  <c r="B124" i="1"/>
  <c r="I9" i="39"/>
  <c r="C19" i="46"/>
  <c r="D8" i="38"/>
  <c r="B73" i="4"/>
  <c r="D316" i="8"/>
  <c r="B321" i="18"/>
  <c r="B56" i="4"/>
  <c r="B64" i="4"/>
  <c r="B72" i="4"/>
  <c r="B221" i="4"/>
  <c r="D493" i="7" s="1"/>
  <c r="B197" i="8"/>
  <c r="C7" i="31"/>
  <c r="C61" i="31"/>
  <c r="B520" i="18"/>
  <c r="B67" i="4"/>
  <c r="D1038" i="7" s="1"/>
  <c r="B48" i="19"/>
  <c r="B97" i="19"/>
  <c r="B128" i="19"/>
  <c r="B204" i="19"/>
  <c r="B309" i="19"/>
  <c r="B423" i="19"/>
  <c r="B463" i="19"/>
  <c r="B613" i="19"/>
  <c r="C211" i="6"/>
  <c r="C221" i="6"/>
  <c r="C233" i="6"/>
  <c r="C243" i="6"/>
  <c r="C250" i="6"/>
  <c r="C466" i="6"/>
  <c r="C476" i="6"/>
  <c r="C488" i="6"/>
  <c r="C498" i="6"/>
  <c r="C505" i="6"/>
  <c r="B37" i="2"/>
  <c r="B116" i="2"/>
  <c r="B29" i="1"/>
  <c r="B116" i="1"/>
  <c r="J12" i="53"/>
  <c r="B26" i="19"/>
  <c r="B96" i="19"/>
  <c r="A120" i="19"/>
  <c r="B199" i="19"/>
  <c r="B495" i="19"/>
  <c r="B614" i="19"/>
  <c r="B115" i="1"/>
  <c r="K50" i="57"/>
  <c r="I30" i="39"/>
  <c r="B127" i="18"/>
  <c r="B62" i="4"/>
  <c r="B78" i="4"/>
  <c r="C4" i="31"/>
  <c r="B340" i="18"/>
  <c r="B79" i="4"/>
  <c r="B95" i="19"/>
  <c r="B186" i="19"/>
  <c r="B411" i="19"/>
  <c r="B603" i="19"/>
  <c r="C217" i="6"/>
  <c r="C241" i="6"/>
  <c r="B258" i="6"/>
  <c r="C486" i="6"/>
  <c r="C503" i="6"/>
  <c r="B114" i="2"/>
  <c r="B114" i="1"/>
  <c r="D15" i="11"/>
  <c r="B94" i="11"/>
  <c r="I205" i="11"/>
  <c r="I213" i="11" s="1"/>
  <c r="I243" i="11"/>
  <c r="I248" i="11" s="1"/>
  <c r="G245" i="11"/>
  <c r="E247" i="11"/>
  <c r="D385" i="11"/>
  <c r="I200" i="11"/>
  <c r="I201" i="11" s="1"/>
  <c r="H243" i="11"/>
  <c r="H248" i="11" s="1"/>
  <c r="F245" i="11"/>
  <c r="I246" i="11"/>
  <c r="D391" i="11"/>
  <c r="B196" i="8"/>
  <c r="C296" i="7"/>
  <c r="C144" i="8"/>
  <c r="C4" i="26"/>
  <c r="B70" i="18"/>
  <c r="G334" i="8"/>
  <c r="K308" i="2" s="1"/>
  <c r="B139" i="8"/>
  <c r="B150" i="8"/>
  <c r="B134" i="8"/>
  <c r="D120" i="33"/>
  <c r="B357" i="19"/>
  <c r="B530" i="19"/>
  <c r="H170" i="11"/>
  <c r="H391" i="11" s="1"/>
  <c r="I146" i="11"/>
  <c r="H134" i="11"/>
  <c r="H372" i="11" s="1"/>
  <c r="I480" i="11"/>
  <c r="E331" i="28"/>
  <c r="E566" i="18" s="1"/>
  <c r="F484" i="11"/>
  <c r="H484" i="11"/>
  <c r="I145" i="11"/>
  <c r="H149" i="11"/>
  <c r="E149" i="11"/>
  <c r="H476" i="11"/>
  <c r="F146" i="11"/>
  <c r="F309" i="28"/>
  <c r="F388" i="18" s="1"/>
  <c r="D379" i="11"/>
  <c r="E246" i="11"/>
  <c r="E244" i="11"/>
  <c r="G200" i="11"/>
  <c r="G201" i="11" s="1"/>
  <c r="I247" i="11"/>
  <c r="I245" i="11"/>
  <c r="G243" i="11"/>
  <c r="G248" i="11" s="1"/>
  <c r="E205" i="11"/>
  <c r="E213" i="11" s="1"/>
  <c r="D105" i="11"/>
  <c r="B71" i="12"/>
  <c r="C652" i="6"/>
  <c r="C365" i="6"/>
  <c r="B597" i="19"/>
  <c r="B82" i="19"/>
  <c r="B109" i="8"/>
  <c r="B285" i="18"/>
  <c r="B7" i="31"/>
  <c r="B45" i="1"/>
  <c r="B513" i="6"/>
  <c r="C490" i="6"/>
  <c r="C251" i="6"/>
  <c r="C231" i="6"/>
  <c r="B629" i="19"/>
  <c r="B398" i="19"/>
  <c r="B126" i="19"/>
  <c r="B27" i="19"/>
  <c r="B106" i="64"/>
  <c r="B181" i="8"/>
  <c r="B66" i="4"/>
  <c r="B48" i="64"/>
  <c r="B183" i="18"/>
  <c r="B194" i="18" s="1"/>
  <c r="I5" i="36"/>
  <c r="C653" i="6"/>
  <c r="C491" i="6"/>
  <c r="C483" i="6"/>
  <c r="C479" i="6"/>
  <c r="C475" i="6"/>
  <c r="C392" i="6"/>
  <c r="C127" i="6"/>
  <c r="B55" i="3"/>
  <c r="B53" i="3"/>
  <c r="B50" i="3"/>
  <c r="B332" i="19"/>
  <c r="B255" i="19"/>
  <c r="B244" i="8"/>
  <c r="E309" i="18"/>
  <c r="E305" i="10"/>
  <c r="E315" i="18" s="1"/>
  <c r="B99" i="8"/>
  <c r="C79" i="10"/>
  <c r="C79" i="27"/>
  <c r="E137" i="11"/>
  <c r="H140" i="11"/>
  <c r="I331" i="28"/>
  <c r="I566" i="18" s="1"/>
  <c r="E471" i="11"/>
  <c r="E484" i="11"/>
  <c r="I487" i="11"/>
  <c r="F487" i="11"/>
  <c r="F145" i="11"/>
  <c r="H402" i="26"/>
  <c r="H227" i="18" s="1"/>
  <c r="E146" i="11"/>
  <c r="E134" i="11"/>
  <c r="E372" i="11" s="1"/>
  <c r="G140" i="11"/>
  <c r="H146" i="11"/>
  <c r="F470" i="11"/>
  <c r="H247" i="11"/>
  <c r="H245" i="11"/>
  <c r="F243" i="11"/>
  <c r="F248" i="11" s="1"/>
  <c r="E200" i="11"/>
  <c r="E201" i="11" s="1"/>
  <c r="G247" i="11"/>
  <c r="E245" i="11"/>
  <c r="E243" i="11"/>
  <c r="E248" i="11" s="1"/>
  <c r="H200" i="11"/>
  <c r="H201" i="11" s="1"/>
  <c r="B61" i="11"/>
  <c r="B105" i="12"/>
  <c r="H137" i="11"/>
  <c r="J41" i="53"/>
  <c r="A224" i="2"/>
  <c r="C506" i="6"/>
  <c r="C477" i="6"/>
  <c r="C248" i="6"/>
  <c r="C222" i="6"/>
  <c r="B468" i="19"/>
  <c r="B285" i="19"/>
  <c r="B122" i="19"/>
  <c r="B71" i="4"/>
  <c r="D862" i="7" s="1"/>
  <c r="C55" i="31"/>
  <c r="B62" i="8"/>
  <c r="B58" i="4"/>
  <c r="B203" i="8"/>
  <c r="B62" i="2"/>
  <c r="C467" i="6"/>
  <c r="C232" i="6"/>
  <c r="C226" i="6"/>
  <c r="C218" i="6"/>
  <c r="A209" i="6"/>
  <c r="B515" i="19"/>
  <c r="B369" i="19"/>
  <c r="B125" i="19"/>
  <c r="B47" i="19"/>
  <c r="B30" i="19"/>
  <c r="H320" i="8"/>
  <c r="H322" i="8"/>
  <c r="B11" i="4"/>
  <c r="B355" i="19"/>
  <c r="B437" i="19"/>
  <c r="B17" i="3"/>
  <c r="B24" i="3"/>
  <c r="C119" i="6"/>
  <c r="C123" i="6"/>
  <c r="C140" i="6"/>
  <c r="C382" i="6"/>
  <c r="C411" i="6"/>
  <c r="B28" i="1"/>
  <c r="H50" i="60"/>
  <c r="H50" i="57"/>
  <c r="B23" i="4"/>
  <c r="D158" i="7" s="1"/>
  <c r="A82" i="8"/>
  <c r="B4" i="31"/>
  <c r="B303" i="18"/>
  <c r="B51" i="4"/>
  <c r="B21" i="4"/>
  <c r="B39" i="19"/>
  <c r="A110" i="19"/>
  <c r="B367" i="19"/>
  <c r="B509" i="19"/>
  <c r="B9" i="3"/>
  <c r="C121" i="6"/>
  <c r="C156" i="6"/>
  <c r="C385" i="6"/>
  <c r="C402" i="6"/>
  <c r="B61" i="2"/>
  <c r="B69" i="1"/>
  <c r="B21" i="19"/>
  <c r="B83" i="19"/>
  <c r="B203" i="19"/>
  <c r="B10" i="3"/>
  <c r="C715" i="19" s="1"/>
  <c r="B20" i="3"/>
  <c r="C720" i="19" s="1"/>
  <c r="C151" i="6"/>
  <c r="B111" i="1"/>
  <c r="G30" i="39"/>
  <c r="G5" i="36"/>
  <c r="B110" i="8"/>
  <c r="C54" i="31"/>
  <c r="C60" i="31"/>
  <c r="B6" i="4"/>
  <c r="B22" i="4"/>
  <c r="B5" i="4"/>
  <c r="B20" i="19"/>
  <c r="B80" i="19"/>
  <c r="B117" i="19"/>
  <c r="B402" i="19"/>
  <c r="B529" i="19"/>
  <c r="C112" i="6"/>
  <c r="C139" i="6"/>
  <c r="C371" i="6"/>
  <c r="C395" i="6"/>
  <c r="B412" i="6"/>
  <c r="B167" i="2"/>
  <c r="B167" i="1"/>
  <c r="B282" i="19"/>
  <c r="B12" i="3"/>
  <c r="C149" i="6"/>
  <c r="C407" i="6"/>
  <c r="B69" i="2"/>
  <c r="G9" i="39"/>
  <c r="C17" i="46"/>
  <c r="B114" i="8"/>
  <c r="B20" i="4"/>
  <c r="B25" i="4"/>
  <c r="B111" i="19"/>
  <c r="B514" i="19"/>
  <c r="C131" i="6"/>
  <c r="C387" i="6"/>
  <c r="B112" i="2"/>
  <c r="D341" i="12"/>
  <c r="D114" i="33"/>
  <c r="B105" i="8"/>
  <c r="B42" i="19"/>
  <c r="B307" i="19"/>
  <c r="B27" i="4"/>
  <c r="B175" i="19"/>
  <c r="B342" i="19"/>
  <c r="B11" i="3"/>
  <c r="C716" i="19" s="1"/>
  <c r="C136" i="6"/>
  <c r="C366" i="6"/>
  <c r="B123" i="18"/>
  <c r="B323" i="19"/>
  <c r="C128" i="6"/>
  <c r="B113" i="2"/>
  <c r="B122" i="1"/>
  <c r="B7" i="4"/>
  <c r="B99" i="18"/>
  <c r="B24" i="4"/>
  <c r="B220" i="4"/>
  <c r="B113" i="19"/>
  <c r="B519" i="19"/>
  <c r="C135" i="6"/>
  <c r="C389" i="6"/>
  <c r="B121" i="2"/>
  <c r="B36" i="11"/>
  <c r="B13" i="3"/>
  <c r="B23" i="3"/>
  <c r="C723" i="19" s="1"/>
  <c r="C143" i="6"/>
  <c r="C380" i="6"/>
  <c r="C409" i="6"/>
  <c r="G27" i="57"/>
  <c r="B467" i="18"/>
  <c r="B124" i="18"/>
  <c r="B26" i="4"/>
  <c r="A19" i="19"/>
  <c r="B115" i="19"/>
  <c r="B524" i="19"/>
  <c r="C137" i="6"/>
  <c r="C391" i="6"/>
  <c r="B123" i="2"/>
  <c r="B44" i="11"/>
  <c r="B152" i="8"/>
  <c r="B141" i="8"/>
  <c r="B78" i="18"/>
  <c r="B105" i="18"/>
  <c r="B525" i="19"/>
  <c r="G170" i="11"/>
  <c r="I137" i="11"/>
  <c r="G146" i="11"/>
  <c r="B101" i="18"/>
  <c r="B231" i="18"/>
  <c r="B242" i="18" s="1"/>
  <c r="B123" i="1"/>
  <c r="C399" i="6"/>
  <c r="C120" i="6"/>
  <c r="B396" i="19"/>
  <c r="A38" i="19"/>
  <c r="B18" i="4"/>
  <c r="D776" i="7" s="1"/>
  <c r="B107" i="8"/>
  <c r="C400" i="6"/>
  <c r="C150" i="6"/>
  <c r="B25" i="3"/>
  <c r="B596" i="19"/>
  <c r="B121" i="1"/>
  <c r="C398" i="6"/>
  <c r="C116" i="6"/>
  <c r="B390" i="19"/>
  <c r="B24" i="19"/>
  <c r="B16" i="4"/>
  <c r="B106" i="8"/>
  <c r="G27" i="60"/>
  <c r="B36" i="2"/>
  <c r="B467" i="19"/>
  <c r="B19" i="4"/>
  <c r="B157" i="6"/>
  <c r="B348" i="19"/>
  <c r="A172" i="19"/>
  <c r="B472" i="19"/>
  <c r="B87" i="19"/>
  <c r="D317" i="12"/>
  <c r="B291" i="8"/>
  <c r="H471" i="11"/>
  <c r="H480" i="11"/>
  <c r="G303" i="27"/>
  <c r="G352" i="18" s="1"/>
  <c r="I134" i="11"/>
  <c r="I372" i="11" s="1"/>
  <c r="H474" i="11"/>
  <c r="E145" i="11"/>
  <c r="F480" i="11"/>
  <c r="D20" i="11"/>
  <c r="A1" i="27"/>
  <c r="F247" i="11"/>
  <c r="I244" i="11"/>
  <c r="H205" i="11"/>
  <c r="H213" i="11" s="1"/>
  <c r="D397" i="11"/>
  <c r="H246" i="11"/>
  <c r="H244" i="11"/>
  <c r="F200" i="11"/>
  <c r="F201" i="11" s="1"/>
  <c r="B53" i="11"/>
  <c r="E470" i="11"/>
  <c r="B112" i="1"/>
  <c r="C397" i="6"/>
  <c r="C114" i="6"/>
  <c r="B383" i="19"/>
  <c r="B22" i="19"/>
  <c r="B12" i="4"/>
  <c r="A224" i="1"/>
  <c r="B125" i="2"/>
  <c r="C499" i="6"/>
  <c r="C472" i="6"/>
  <c r="C244" i="6"/>
  <c r="C213" i="6"/>
  <c r="B458" i="19"/>
  <c r="B248" i="19"/>
  <c r="B91" i="19"/>
  <c r="B63" i="4"/>
  <c r="D13" i="31"/>
  <c r="B74" i="4"/>
  <c r="B775" i="18"/>
  <c r="B194" i="8"/>
  <c r="B15" i="4"/>
  <c r="B65" i="4"/>
  <c r="F17" i="34"/>
  <c r="D7" i="38"/>
  <c r="K50" i="60"/>
  <c r="G13" i="60"/>
  <c r="B126" i="1"/>
  <c r="B111" i="2"/>
  <c r="B29" i="2"/>
  <c r="C487" i="6"/>
  <c r="C481" i="6"/>
  <c r="C473" i="6"/>
  <c r="C132" i="6"/>
  <c r="C110" i="6"/>
  <c r="B56" i="3"/>
  <c r="B54" i="3"/>
  <c r="B52" i="3"/>
  <c r="B121" i="19"/>
  <c r="H325" i="8"/>
  <c r="C156" i="19"/>
  <c r="I18" i="14"/>
  <c r="B221" i="8"/>
  <c r="B242" i="8"/>
  <c r="E491" i="18"/>
  <c r="E325" i="10"/>
  <c r="E496" i="18" s="1"/>
  <c r="I197" i="18"/>
  <c r="I382" i="26"/>
  <c r="I203" i="18" s="1"/>
  <c r="E473" i="11"/>
  <c r="B264" i="8"/>
  <c r="B111" i="4"/>
  <c r="E442" i="26"/>
  <c r="E275" i="18" s="1"/>
  <c r="I442" i="26"/>
  <c r="I275" i="18" s="1"/>
  <c r="B198" i="8"/>
  <c r="C145" i="7"/>
  <c r="C157" i="19"/>
  <c r="C297" i="7"/>
  <c r="G335" i="8"/>
  <c r="K310" i="2" s="1"/>
  <c r="C5" i="26"/>
  <c r="J90" i="30"/>
  <c r="J66" i="30"/>
  <c r="J126" i="30"/>
  <c r="J42" i="30"/>
  <c r="J114" i="30"/>
  <c r="J78" i="30"/>
  <c r="D133" i="10"/>
  <c r="J133" i="10"/>
  <c r="J121" i="10"/>
  <c r="D121" i="10"/>
  <c r="D30" i="29"/>
  <c r="E30" i="29"/>
  <c r="E168" i="29" s="1"/>
  <c r="F265" i="8"/>
  <c r="F4" i="29" s="1"/>
  <c r="G264" i="8"/>
  <c r="M681" i="7"/>
  <c r="N681" i="7" s="1"/>
  <c r="O681" i="7" s="1"/>
  <c r="L682" i="7"/>
  <c r="M682" i="7" s="1"/>
  <c r="N682" i="7" s="1"/>
  <c r="O682" i="7" s="1"/>
  <c r="H442" i="26"/>
  <c r="H275" i="18" s="1"/>
  <c r="H269" i="18"/>
  <c r="G253" i="18"/>
  <c r="G237" i="18"/>
  <c r="H559" i="18"/>
  <c r="I484" i="11"/>
  <c r="I558" i="18"/>
  <c r="G480" i="11"/>
  <c r="H384" i="18"/>
  <c r="F471" i="11"/>
  <c r="D134" i="28"/>
  <c r="I168" i="30"/>
  <c r="I179" i="30" s="1"/>
  <c r="E219" i="26"/>
  <c r="E216" i="26"/>
  <c r="L18" i="31"/>
  <c r="K57" i="64"/>
  <c r="C8" i="26"/>
  <c r="C17" i="26" s="1"/>
  <c r="B154" i="8"/>
  <c r="I308" i="18"/>
  <c r="I305" i="10"/>
  <c r="I315" i="18" s="1"/>
  <c r="I145" i="10"/>
  <c r="I185" i="10" s="1"/>
  <c r="D145" i="10"/>
  <c r="C423" i="26"/>
  <c r="B252" i="18" s="1"/>
  <c r="B204" i="18"/>
  <c r="F523" i="18"/>
  <c r="H165" i="11"/>
  <c r="H390" i="11" s="1"/>
  <c r="E165" i="11"/>
  <c r="E390" i="11" s="1"/>
  <c r="H155" i="11"/>
  <c r="H384" i="11" s="1"/>
  <c r="F155" i="11"/>
  <c r="F384" i="11" s="1"/>
  <c r="G215" i="27"/>
  <c r="F145" i="27"/>
  <c r="F184" i="27" s="1"/>
  <c r="D145" i="27"/>
  <c r="I520" i="11"/>
  <c r="H501" i="11"/>
  <c r="H652" i="19"/>
  <c r="H689" i="19"/>
  <c r="H694" i="19" s="1"/>
  <c r="M426" i="7"/>
  <c r="N426" i="7" s="1"/>
  <c r="O426" i="7" s="1"/>
  <c r="M219" i="8"/>
  <c r="D221" i="8"/>
  <c r="H185" i="10"/>
  <c r="H246" i="18"/>
  <c r="H422" i="26"/>
  <c r="H251" i="18" s="1"/>
  <c r="H229" i="18"/>
  <c r="H213" i="18"/>
  <c r="I443" i="26"/>
  <c r="I276" i="18" s="1"/>
  <c r="I228" i="18"/>
  <c r="G224" i="18"/>
  <c r="G402" i="26"/>
  <c r="G227" i="18" s="1"/>
  <c r="Q189" i="18"/>
  <c r="Q203" i="18"/>
  <c r="Q195" i="18"/>
  <c r="I12" i="43"/>
  <c r="E411" i="18"/>
  <c r="H75" i="60"/>
  <c r="K103" i="64"/>
  <c r="H303" i="27"/>
  <c r="H352" i="18" s="1"/>
  <c r="H159" i="11"/>
  <c r="I346" i="18"/>
  <c r="I303" i="27"/>
  <c r="I352" i="18" s="1"/>
  <c r="E379" i="18"/>
  <c r="I470" i="11"/>
  <c r="H230" i="29"/>
  <c r="H240" i="29" s="1"/>
  <c r="G230" i="29"/>
  <c r="G240" i="29" s="1"/>
  <c r="E229" i="29"/>
  <c r="E239" i="29" s="1"/>
  <c r="G169" i="11"/>
  <c r="F473" i="11"/>
  <c r="I161" i="11"/>
  <c r="F564" i="18"/>
  <c r="F185" i="10"/>
  <c r="D165" i="11"/>
  <c r="B523" i="18"/>
  <c r="E228" i="29"/>
  <c r="E238" i="29" s="1"/>
  <c r="F228" i="29"/>
  <c r="F238" i="29" s="1"/>
  <c r="H680" i="19"/>
  <c r="H525" i="11"/>
  <c r="K674" i="19"/>
  <c r="K706" i="19"/>
  <c r="E235" i="10"/>
  <c r="E237" i="10" s="1"/>
  <c r="G235" i="10"/>
  <c r="G237" i="10" s="1"/>
  <c r="K115" i="64"/>
  <c r="G176" i="30"/>
  <c r="F331" i="28"/>
  <c r="F566" i="18" s="1"/>
  <c r="E481" i="11"/>
  <c r="G324" i="27"/>
  <c r="G531" i="18" s="1"/>
  <c r="E206" i="29"/>
  <c r="E207" i="29" s="1"/>
  <c r="G156" i="11"/>
  <c r="H470" i="11"/>
  <c r="G470" i="11"/>
  <c r="D107" i="1"/>
  <c r="E689" i="19"/>
  <c r="E692" i="19" s="1"/>
  <c r="H347" i="18"/>
  <c r="K191" i="64"/>
  <c r="I148" i="11"/>
  <c r="G489" i="18"/>
  <c r="G185" i="10"/>
  <c r="I184" i="27"/>
  <c r="D481" i="11"/>
  <c r="B564" i="18"/>
  <c r="E380" i="18"/>
  <c r="I473" i="11"/>
  <c r="B42" i="28"/>
  <c r="D178" i="28"/>
  <c r="H41" i="30"/>
  <c r="H42" i="30" s="1"/>
  <c r="H169" i="30" s="1"/>
  <c r="H29" i="30"/>
  <c r="H30" i="30" s="1"/>
  <c r="H168" i="30" s="1"/>
  <c r="H179" i="30" s="1"/>
  <c r="H149" i="30"/>
  <c r="H150" i="30" s="1"/>
  <c r="H77" i="30"/>
  <c r="H78" i="30" s="1"/>
  <c r="H172" i="30" s="1"/>
  <c r="H235" i="10"/>
  <c r="H237" i="10" s="1"/>
  <c r="R12" i="14"/>
  <c r="R16" i="14" s="1"/>
  <c r="Z24" i="52"/>
  <c r="K650" i="19"/>
  <c r="B269" i="8"/>
  <c r="B527" i="18"/>
  <c r="G229" i="29"/>
  <c r="G239" i="29" s="1"/>
  <c r="H228" i="29"/>
  <c r="I41" i="29"/>
  <c r="I42" i="29" s="1"/>
  <c r="I169" i="29" s="1"/>
  <c r="L474" i="12"/>
  <c r="L472" i="12"/>
  <c r="E680" i="19"/>
  <c r="F236" i="28"/>
  <c r="F238" i="28" s="1"/>
  <c r="D88" i="1"/>
  <c r="H217" i="28"/>
  <c r="L500" i="12"/>
  <c r="L501" i="12"/>
  <c r="E678" i="19"/>
  <c r="I678" i="19"/>
  <c r="E657" i="19"/>
  <c r="K562" i="19"/>
  <c r="E57" i="10"/>
  <c r="E58" i="10" s="1"/>
  <c r="I228" i="29"/>
  <c r="E229" i="30"/>
  <c r="E239" i="30" s="1"/>
  <c r="L473" i="12"/>
  <c r="F681" i="19"/>
  <c r="F680" i="19"/>
  <c r="I681" i="19"/>
  <c r="E230" i="29"/>
  <c r="E240" i="29" s="1"/>
  <c r="F169" i="30"/>
  <c r="I234" i="27"/>
  <c r="I96" i="11" s="1"/>
  <c r="I97" i="11" s="1"/>
  <c r="F221" i="28"/>
  <c r="F91" i="11" s="1"/>
  <c r="E47" i="7"/>
  <c r="E41" i="7"/>
  <c r="E46" i="7"/>
  <c r="E40" i="7"/>
  <c r="E39" i="7"/>
  <c r="E45" i="7"/>
  <c r="E43" i="7"/>
  <c r="I312" i="7"/>
  <c r="I197" i="7"/>
  <c r="I198" i="7"/>
  <c r="E220" i="26"/>
  <c r="E221" i="26" s="1"/>
  <c r="F123" i="7"/>
  <c r="F121" i="7"/>
  <c r="F120" i="7"/>
  <c r="F122" i="7"/>
  <c r="F144" i="7"/>
  <c r="F27" i="7"/>
  <c r="F21" i="7"/>
  <c r="F25" i="7"/>
  <c r="F22" i="7"/>
  <c r="C133" i="7"/>
  <c r="C155" i="19"/>
  <c r="C298" i="7"/>
  <c r="C6" i="26"/>
  <c r="E144" i="8"/>
  <c r="G336" i="8"/>
  <c r="E111" i="7"/>
  <c r="E108" i="7"/>
  <c r="E112" i="7"/>
  <c r="E124" i="7"/>
  <c r="E123" i="7"/>
  <c r="G157" i="7"/>
  <c r="G155" i="7"/>
  <c r="G156" i="7"/>
  <c r="H123" i="7"/>
  <c r="H121" i="7"/>
  <c r="H120" i="7"/>
  <c r="H46" i="7"/>
  <c r="H41" i="7"/>
  <c r="H47" i="7"/>
  <c r="H40" i="7"/>
  <c r="I146" i="7"/>
  <c r="F219" i="19"/>
  <c r="F220" i="19"/>
  <c r="G112" i="7"/>
  <c r="G109" i="7"/>
  <c r="G108" i="7"/>
  <c r="H220" i="19"/>
  <c r="H219" i="19"/>
  <c r="E155" i="7"/>
  <c r="E36" i="7"/>
  <c r="E121" i="7"/>
  <c r="F46" i="7"/>
  <c r="F112" i="7"/>
  <c r="G30" i="7"/>
  <c r="H157" i="7"/>
  <c r="H156" i="7"/>
  <c r="H111" i="7"/>
  <c r="H109" i="7"/>
  <c r="E130" i="7"/>
  <c r="F41" i="7"/>
  <c r="G130" i="7"/>
  <c r="G121" i="7"/>
  <c r="H124" i="7"/>
  <c r="I121" i="7"/>
  <c r="I123" i="7"/>
  <c r="I120" i="7"/>
  <c r="I112" i="7"/>
  <c r="I109" i="7"/>
  <c r="I108" i="7"/>
  <c r="I37" i="7"/>
  <c r="I36" i="7"/>
  <c r="I31" i="7"/>
  <c r="H30" i="7"/>
  <c r="H127" i="7"/>
  <c r="H31" i="7"/>
  <c r="H36" i="7"/>
  <c r="I130" i="7"/>
  <c r="C15" i="7"/>
  <c r="I124" i="7"/>
  <c r="J138" i="30"/>
  <c r="J102" i="30"/>
  <c r="J30" i="30"/>
  <c r="J54" i="30"/>
  <c r="F513" i="11"/>
  <c r="F190" i="8"/>
  <c r="I313" i="8"/>
  <c r="F7" i="26"/>
  <c r="B101" i="8"/>
  <c r="H226" i="30"/>
  <c r="G226" i="30"/>
  <c r="E656" i="19"/>
  <c r="E497" i="11"/>
  <c r="E652" i="19"/>
  <c r="L746" i="7"/>
  <c r="M746" i="7" s="1"/>
  <c r="N746" i="7" s="1"/>
  <c r="O746" i="7" s="1"/>
  <c r="F230" i="29"/>
  <c r="F240" i="29" s="1"/>
  <c r="I226" i="30"/>
  <c r="E658" i="19"/>
  <c r="E498" i="11"/>
  <c r="F501" i="11"/>
  <c r="H656" i="19"/>
  <c r="D243" i="1"/>
  <c r="C6" i="28"/>
  <c r="C15" i="28" s="1"/>
  <c r="B230" i="8"/>
  <c r="L506" i="12"/>
  <c r="L505" i="12"/>
  <c r="L507" i="12"/>
  <c r="C442" i="26"/>
  <c r="B275" i="18" s="1"/>
  <c r="E149" i="29"/>
  <c r="E150" i="29" s="1"/>
  <c r="E137" i="29"/>
  <c r="E125" i="29"/>
  <c r="E113" i="29"/>
  <c r="E101" i="29"/>
  <c r="E89" i="29"/>
  <c r="E77" i="29"/>
  <c r="E65" i="29"/>
  <c r="H125" i="30"/>
  <c r="H126" i="30" s="1"/>
  <c r="H176" i="30" s="1"/>
  <c r="F101" i="30"/>
  <c r="F102" i="30" s="1"/>
  <c r="F174" i="30" s="1"/>
  <c r="H89" i="30"/>
  <c r="H90" i="30" s="1"/>
  <c r="H173" i="30" s="1"/>
  <c r="F77" i="30"/>
  <c r="F78" i="30" s="1"/>
  <c r="F172" i="30" s="1"/>
  <c r="F53" i="30"/>
  <c r="F54" i="30" s="1"/>
  <c r="F170" i="30" s="1"/>
  <c r="L480" i="12"/>
  <c r="L499" i="12"/>
  <c r="C27" i="10"/>
  <c r="G235" i="28"/>
  <c r="G570" i="18" s="1"/>
  <c r="G542" i="18" s="1"/>
  <c r="G236" i="28"/>
  <c r="G238" i="28" s="1"/>
  <c r="I236" i="28"/>
  <c r="I235" i="28"/>
  <c r="I570" i="18" s="1"/>
  <c r="I542" i="18" s="1"/>
  <c r="I235" i="10"/>
  <c r="I237" i="10" s="1"/>
  <c r="I234" i="10"/>
  <c r="I500" i="18" s="1"/>
  <c r="I472" i="18" s="1"/>
  <c r="I221" i="28"/>
  <c r="I223" i="28" s="1"/>
  <c r="E219" i="27"/>
  <c r="E221" i="27" s="1"/>
  <c r="G220" i="10"/>
  <c r="I220" i="10"/>
  <c r="I222" i="10" s="1"/>
  <c r="I324" i="27"/>
  <c r="I531" i="18" s="1"/>
  <c r="H137" i="30"/>
  <c r="H138" i="30" s="1"/>
  <c r="H177" i="30" s="1"/>
  <c r="H113" i="30"/>
  <c r="H114" i="30" s="1"/>
  <c r="H175" i="30" s="1"/>
  <c r="H65" i="30"/>
  <c r="H66" i="30" s="1"/>
  <c r="H171" i="30" s="1"/>
  <c r="C26" i="10"/>
  <c r="C26" i="27"/>
  <c r="I233" i="27"/>
  <c r="I535" i="18" s="1"/>
  <c r="I507" i="18" s="1"/>
  <c r="G221" i="28"/>
  <c r="G223" i="28" s="1"/>
  <c r="F220" i="10"/>
  <c r="F222" i="10" s="1"/>
  <c r="F219" i="10"/>
  <c r="F319" i="18" s="1"/>
  <c r="F290" i="18" s="1"/>
  <c r="E53" i="29"/>
  <c r="H220" i="26"/>
  <c r="G220" i="26"/>
  <c r="F220" i="26"/>
  <c r="C5" i="10"/>
  <c r="C14" i="10" s="1"/>
  <c r="H221" i="28"/>
  <c r="H223" i="28" s="1"/>
  <c r="E221" i="28"/>
  <c r="F219" i="27"/>
  <c r="F221" i="27" s="1"/>
  <c r="F218" i="27"/>
  <c r="F356" i="18" s="1"/>
  <c r="F326" i="18" s="1"/>
  <c r="H220" i="10"/>
  <c r="H222" i="10" s="1"/>
  <c r="H219" i="10"/>
  <c r="H319" i="18" s="1"/>
  <c r="H290" i="18" s="1"/>
  <c r="H236" i="28"/>
  <c r="F235" i="28"/>
  <c r="F570" i="18" s="1"/>
  <c r="F542" i="18" s="1"/>
  <c r="G146" i="7"/>
  <c r="G147" i="7"/>
  <c r="E127" i="7"/>
  <c r="F130" i="7"/>
  <c r="F127" i="7"/>
  <c r="F129" i="7"/>
  <c r="F37" i="7"/>
  <c r="F31" i="7"/>
  <c r="F109" i="7"/>
  <c r="F124" i="7"/>
  <c r="G220" i="19"/>
  <c r="G111" i="7"/>
  <c r="G124" i="7"/>
  <c r="C28" i="7"/>
  <c r="C64" i="7"/>
  <c r="C119" i="7"/>
  <c r="C137" i="7"/>
  <c r="C5" i="7"/>
  <c r="C52" i="7"/>
  <c r="C107" i="7"/>
  <c r="L469" i="12"/>
  <c r="A83" i="55" l="1"/>
  <c r="D778" i="7"/>
  <c r="A24" i="55"/>
  <c r="L6" i="26"/>
  <c r="A50" i="55"/>
  <c r="A58" i="39"/>
  <c r="L1" i="36"/>
  <c r="A80" i="55"/>
  <c r="A61" i="55"/>
  <c r="M1" i="36"/>
  <c r="A56" i="39"/>
  <c r="A71" i="55"/>
  <c r="L1" i="43"/>
  <c r="A69" i="55"/>
  <c r="A57" i="39"/>
  <c r="A82" i="55"/>
  <c r="A74" i="55"/>
  <c r="A62" i="55"/>
  <c r="A56" i="55"/>
  <c r="K312" i="2"/>
  <c r="A51" i="55"/>
  <c r="A26" i="55"/>
  <c r="A59" i="39"/>
  <c r="A75" i="55"/>
  <c r="G5" i="5"/>
  <c r="D267" i="7"/>
  <c r="A96" i="55"/>
  <c r="A70" i="55"/>
  <c r="A63" i="55"/>
  <c r="A77" i="55"/>
  <c r="A61" i="39"/>
  <c r="A25" i="55"/>
  <c r="A60" i="55"/>
  <c r="C16" i="26"/>
  <c r="D22" i="26" s="1"/>
  <c r="C173" i="26" s="1"/>
  <c r="L7" i="26"/>
  <c r="K315" i="2"/>
  <c r="C14" i="26"/>
  <c r="L5" i="26"/>
  <c r="A57" i="55"/>
  <c r="A67" i="55"/>
  <c r="A86" i="55"/>
  <c r="A85" i="55"/>
  <c r="A79" i="55"/>
  <c r="A29" i="55"/>
  <c r="A28" i="55"/>
  <c r="A55" i="55"/>
  <c r="A58" i="55"/>
  <c r="A17" i="55"/>
  <c r="L1" i="45"/>
  <c r="M1" i="43"/>
  <c r="A52" i="55"/>
  <c r="A27" i="55"/>
  <c r="K313" i="2"/>
  <c r="K311" i="2"/>
  <c r="K314" i="2"/>
  <c r="K309" i="2"/>
  <c r="L4" i="26"/>
  <c r="A87" i="55"/>
  <c r="A55" i="39"/>
  <c r="A49" i="55"/>
  <c r="A54" i="55"/>
  <c r="M1" i="45"/>
  <c r="A81" i="55"/>
  <c r="A66" i="55"/>
  <c r="A53" i="55"/>
  <c r="A97" i="55"/>
  <c r="A65" i="55"/>
  <c r="A59" i="55"/>
  <c r="A78" i="55"/>
  <c r="A73" i="55"/>
  <c r="A72" i="55"/>
  <c r="A88" i="55"/>
  <c r="A84" i="55"/>
  <c r="A68" i="55"/>
  <c r="A60" i="39"/>
  <c r="A64" i="55"/>
  <c r="A18" i="55"/>
  <c r="D108" i="1"/>
  <c r="M16" i="52"/>
  <c r="K16" i="52"/>
  <c r="I16" i="52"/>
  <c r="M22" i="52"/>
  <c r="K22" i="52"/>
  <c r="I22" i="52"/>
  <c r="M14" i="52"/>
  <c r="K14" i="52"/>
  <c r="I14" i="52"/>
  <c r="M18" i="52"/>
  <c r="K18" i="52"/>
  <c r="I18" i="52"/>
  <c r="M20" i="52"/>
  <c r="K20" i="52"/>
  <c r="I20" i="52"/>
  <c r="D28" i="68"/>
  <c r="D29" i="68"/>
  <c r="G133" i="27"/>
  <c r="G183" i="27" s="1"/>
  <c r="L130" i="28"/>
  <c r="M130" i="28" s="1"/>
  <c r="G134" i="28"/>
  <c r="G185" i="28" s="1"/>
  <c r="D63" i="33"/>
  <c r="D47" i="33"/>
  <c r="D118" i="33"/>
  <c r="D39" i="33"/>
  <c r="D51" i="33"/>
  <c r="D73" i="33"/>
  <c r="D25" i="33"/>
  <c r="D113" i="33"/>
  <c r="D117" i="33"/>
  <c r="D41" i="33"/>
  <c r="D101" i="33"/>
  <c r="D23" i="33"/>
  <c r="D37" i="33"/>
  <c r="D71" i="33"/>
  <c r="D116" i="33"/>
  <c r="D18" i="33"/>
  <c r="D126" i="33"/>
  <c r="D49" i="33"/>
  <c r="D8" i="33"/>
  <c r="D112" i="33"/>
  <c r="D108" i="33"/>
  <c r="D130" i="33"/>
  <c r="D57" i="33"/>
  <c r="D22" i="33"/>
  <c r="D43" i="33"/>
  <c r="D68" i="33"/>
  <c r="D107" i="33"/>
  <c r="D11" i="33"/>
  <c r="D61" i="33"/>
  <c r="D9" i="33"/>
  <c r="D27" i="33"/>
  <c r="D56" i="33"/>
  <c r="D98" i="33"/>
  <c r="D122" i="33"/>
  <c r="D70" i="33"/>
  <c r="D12" i="33"/>
  <c r="D34" i="33"/>
  <c r="D53" i="33"/>
  <c r="D76" i="33"/>
  <c r="D119" i="33"/>
  <c r="D102" i="33"/>
  <c r="D74" i="33"/>
  <c r="D99" i="33"/>
  <c r="D26" i="33"/>
  <c r="D48" i="33"/>
  <c r="D72" i="33"/>
  <c r="D115" i="33"/>
  <c r="D24" i="33"/>
  <c r="D75" i="33"/>
  <c r="D10" i="33"/>
  <c r="D36" i="33"/>
  <c r="D60" i="33"/>
  <c r="D104" i="33"/>
  <c r="D128" i="33"/>
  <c r="D105" i="33"/>
  <c r="D17" i="33"/>
  <c r="D38" i="33"/>
  <c r="D58" i="33"/>
  <c r="D100" i="33"/>
  <c r="D124" i="33"/>
  <c r="D125" i="33"/>
  <c r="D28" i="33"/>
  <c r="D131" i="33"/>
  <c r="D35" i="33"/>
  <c r="D59" i="33"/>
  <c r="D97" i="33"/>
  <c r="D121" i="33"/>
  <c r="D33" i="33"/>
  <c r="D111" i="33"/>
  <c r="D19" i="33"/>
  <c r="D40" i="33"/>
  <c r="D69" i="33"/>
  <c r="D110" i="33"/>
  <c r="D20" i="33"/>
  <c r="D123" i="33"/>
  <c r="D21" i="33"/>
  <c r="D42" i="33"/>
  <c r="D62" i="33"/>
  <c r="D106" i="33"/>
  <c r="D382" i="7"/>
  <c r="D94" i="7"/>
  <c r="D39" i="7"/>
  <c r="D710" i="7"/>
  <c r="D286" i="7"/>
  <c r="D275" i="7"/>
  <c r="D964" i="7"/>
  <c r="D42" i="7"/>
  <c r="D881" i="7"/>
  <c r="D169" i="7"/>
  <c r="D22" i="10"/>
  <c r="C173" i="10" s="1"/>
  <c r="D203" i="7"/>
  <c r="D279" i="7"/>
  <c r="D261" i="7"/>
  <c r="AA229" i="4"/>
  <c r="F229" i="4" s="1"/>
  <c r="Z229" i="4"/>
  <c r="E229" i="4" s="1"/>
  <c r="O40" i="57" s="1"/>
  <c r="AB229" i="4"/>
  <c r="G229" i="4" s="1"/>
  <c r="AD229" i="4"/>
  <c r="I229" i="4" s="1"/>
  <c r="AC229" i="4"/>
  <c r="H229" i="4" s="1"/>
  <c r="D164" i="7"/>
  <c r="D861" i="7"/>
  <c r="D325" i="7"/>
  <c r="D740" i="7"/>
  <c r="D983" i="7"/>
  <c r="D619" i="7"/>
  <c r="D801" i="7"/>
  <c r="D863" i="7"/>
  <c r="D1077" i="7"/>
  <c r="D864" i="7"/>
  <c r="D473" i="7"/>
  <c r="D1035" i="7"/>
  <c r="D728" i="7"/>
  <c r="D720" i="7"/>
  <c r="D730" i="7"/>
  <c r="D71" i="7"/>
  <c r="D930" i="7"/>
  <c r="D956" i="7"/>
  <c r="D146" i="7"/>
  <c r="D1033" i="7"/>
  <c r="D727" i="7"/>
  <c r="D821" i="7"/>
  <c r="D782" i="7"/>
  <c r="D35" i="7"/>
  <c r="D868" i="7"/>
  <c r="D839" i="7"/>
  <c r="D783" i="7"/>
  <c r="D387" i="7"/>
  <c r="D947" i="7"/>
  <c r="D73" i="7"/>
  <c r="D869" i="7"/>
  <c r="K554" i="19"/>
  <c r="F101" i="7"/>
  <c r="E1125" i="7"/>
  <c r="E103" i="7"/>
  <c r="E133" i="10"/>
  <c r="E184" i="10" s="1"/>
  <c r="L134" i="27"/>
  <c r="M134" i="27" s="1"/>
  <c r="I134" i="28"/>
  <c r="I185" i="28" s="1"/>
  <c r="F133" i="27"/>
  <c r="F183" i="27" s="1"/>
  <c r="L128" i="27"/>
  <c r="M128" i="27" s="1"/>
  <c r="G1125" i="7"/>
  <c r="G103" i="7"/>
  <c r="H103" i="7"/>
  <c r="F134" i="28"/>
  <c r="F185" i="28" s="1"/>
  <c r="H134" i="28"/>
  <c r="H185" i="28" s="1"/>
  <c r="L134" i="28"/>
  <c r="M134" i="28" s="1"/>
  <c r="E134" i="28"/>
  <c r="E185" i="28" s="1"/>
  <c r="L132" i="28"/>
  <c r="L133" i="28"/>
  <c r="M133" i="28" s="1"/>
  <c r="L129" i="28"/>
  <c r="M129" i="28" s="1"/>
  <c r="L131" i="28"/>
  <c r="H133" i="27"/>
  <c r="H183" i="27" s="1"/>
  <c r="I133" i="27"/>
  <c r="I183" i="27" s="1"/>
  <c r="L131" i="27"/>
  <c r="M131" i="27" s="1"/>
  <c r="L132" i="27"/>
  <c r="M132" i="27" s="1"/>
  <c r="L130" i="27"/>
  <c r="M130" i="27" s="1"/>
  <c r="E133" i="27"/>
  <c r="E183" i="27" s="1"/>
  <c r="L129" i="27"/>
  <c r="M129" i="27" s="1"/>
  <c r="I133" i="10"/>
  <c r="I184" i="10" s="1"/>
  <c r="H133" i="10"/>
  <c r="H184" i="10" s="1"/>
  <c r="F133" i="10"/>
  <c r="F184" i="10" s="1"/>
  <c r="G133" i="10"/>
  <c r="G184" i="10" s="1"/>
  <c r="I393" i="8"/>
  <c r="K393" i="8"/>
  <c r="J393" i="8"/>
  <c r="D186" i="7"/>
  <c r="D1055" i="7"/>
  <c r="D409" i="7"/>
  <c r="D494" i="7"/>
  <c r="D698" i="7"/>
  <c r="D1089" i="7"/>
  <c r="D22" i="7"/>
  <c r="D1078" i="7"/>
  <c r="D764" i="7"/>
  <c r="D851" i="7"/>
  <c r="D372" i="7"/>
  <c r="D420" i="7"/>
  <c r="D492" i="7"/>
  <c r="D804" i="7"/>
  <c r="D421" i="7"/>
  <c r="D752" i="7"/>
  <c r="D442" i="7"/>
  <c r="D147" i="7"/>
  <c r="D1000" i="7"/>
  <c r="D797" i="7"/>
  <c r="D966" i="7"/>
  <c r="D495" i="7"/>
  <c r="D185" i="7"/>
  <c r="D1080" i="7"/>
  <c r="D453" i="7"/>
  <c r="D412" i="7"/>
  <c r="D891" i="7"/>
  <c r="D496" i="7"/>
  <c r="D408" i="7"/>
  <c r="D1062" i="7"/>
  <c r="D419" i="7"/>
  <c r="D491" i="7"/>
  <c r="D825" i="7"/>
  <c r="D1094" i="7"/>
  <c r="D880" i="7"/>
  <c r="D1079" i="7"/>
  <c r="D918" i="7"/>
  <c r="D423" i="7"/>
  <c r="J412" i="8"/>
  <c r="K412" i="8"/>
  <c r="I412" i="8"/>
  <c r="E90" i="30"/>
  <c r="E173" i="30" s="1"/>
  <c r="J173" i="30" s="1"/>
  <c r="D690" i="7"/>
  <c r="L142" i="10"/>
  <c r="M142" i="10" s="1"/>
  <c r="D30" i="30"/>
  <c r="D78" i="30"/>
  <c r="F101" i="8"/>
  <c r="F108" i="8" s="1"/>
  <c r="F6" i="10" s="1"/>
  <c r="L495" i="12"/>
  <c r="D377" i="7"/>
  <c r="D671" i="7"/>
  <c r="D899" i="7"/>
  <c r="D950" i="7"/>
  <c r="E108" i="8"/>
  <c r="E6" i="10" s="1"/>
  <c r="L145" i="10"/>
  <c r="D686" i="7"/>
  <c r="L144" i="10"/>
  <c r="M144" i="10" s="1"/>
  <c r="L141" i="27"/>
  <c r="L143" i="27"/>
  <c r="M143" i="27" s="1"/>
  <c r="D802" i="7"/>
  <c r="D102" i="30"/>
  <c r="H191" i="8"/>
  <c r="H198" i="8" s="1"/>
  <c r="H7" i="27" s="1"/>
  <c r="D348" i="7"/>
  <c r="D568" i="7"/>
  <c r="E114" i="30"/>
  <c r="E175" i="30" s="1"/>
  <c r="J175" i="30" s="1"/>
  <c r="D816" i="7"/>
  <c r="D128" i="7"/>
  <c r="D944" i="7"/>
  <c r="D936" i="7"/>
  <c r="D890" i="7"/>
  <c r="L139" i="27"/>
  <c r="M139" i="27" s="1"/>
  <c r="D430" i="7"/>
  <c r="D523" i="7"/>
  <c r="D45" i="7"/>
  <c r="D384" i="7"/>
  <c r="D264" i="7"/>
  <c r="E54" i="30"/>
  <c r="E170" i="30" s="1"/>
  <c r="J170" i="30" s="1"/>
  <c r="M146" i="10"/>
  <c r="D756" i="7"/>
  <c r="D43" i="7"/>
  <c r="I101" i="8"/>
  <c r="I108" i="8" s="1"/>
  <c r="I6" i="10" s="1"/>
  <c r="D885" i="7"/>
  <c r="D388" i="7"/>
  <c r="C101" i="8"/>
  <c r="C108" i="8" s="1"/>
  <c r="L142" i="27"/>
  <c r="M142" i="27" s="1"/>
  <c r="D600" i="7"/>
  <c r="L144" i="27"/>
  <c r="M144" i="27" s="1"/>
  <c r="D660" i="7"/>
  <c r="D844" i="7"/>
  <c r="D994" i="7"/>
  <c r="D927" i="7"/>
  <c r="D91" i="7"/>
  <c r="D878" i="7"/>
  <c r="L494" i="12"/>
  <c r="D907" i="7"/>
  <c r="D527" i="7"/>
  <c r="E138" i="30"/>
  <c r="E177" i="30" s="1"/>
  <c r="J177" i="30" s="1"/>
  <c r="D142" i="7"/>
  <c r="G101" i="8"/>
  <c r="G108" i="8" s="1"/>
  <c r="G6" i="10" s="1"/>
  <c r="L140" i="27"/>
  <c r="M140" i="27" s="1"/>
  <c r="D744" i="7"/>
  <c r="D383" i="7"/>
  <c r="D101" i="8"/>
  <c r="D108" i="8" s="1"/>
  <c r="D6" i="10" s="1"/>
  <c r="D822" i="7"/>
  <c r="D170" i="7"/>
  <c r="L143" i="10"/>
  <c r="M143" i="10" s="1"/>
  <c r="E66" i="30"/>
  <c r="E171" i="30" s="1"/>
  <c r="J171" i="30" s="1"/>
  <c r="D991" i="7"/>
  <c r="J30" i="29"/>
  <c r="J90" i="29"/>
  <c r="J114" i="29"/>
  <c r="J54" i="29"/>
  <c r="J78" i="29"/>
  <c r="J138" i="29"/>
  <c r="J66" i="29"/>
  <c r="J126" i="29"/>
  <c r="J42" i="29"/>
  <c r="J102" i="29"/>
  <c r="D196" i="7"/>
  <c r="D183" i="7"/>
  <c r="L140" i="10"/>
  <c r="M140" i="10" s="1"/>
  <c r="L141" i="10"/>
  <c r="M141" i="10" s="1"/>
  <c r="D472" i="7"/>
  <c r="D780" i="7"/>
  <c r="D32" i="7"/>
  <c r="D618" i="7"/>
  <c r="D287" i="7"/>
  <c r="D294" i="7"/>
  <c r="D13" i="29"/>
  <c r="D21" i="29" s="1"/>
  <c r="K395" i="8"/>
  <c r="J397" i="8"/>
  <c r="K404" i="8"/>
  <c r="K401" i="8"/>
  <c r="I401" i="8"/>
  <c r="J399" i="8"/>
  <c r="I399" i="8"/>
  <c r="K398" i="8"/>
  <c r="J405" i="8"/>
  <c r="I407" i="8"/>
  <c r="J408" i="8"/>
  <c r="J407" i="8"/>
  <c r="K410" i="8"/>
  <c r="I395" i="8"/>
  <c r="K409" i="8"/>
  <c r="K399" i="8"/>
  <c r="I406" i="8"/>
  <c r="J403" i="8"/>
  <c r="I404" i="8"/>
  <c r="J404" i="8"/>
  <c r="K407" i="8"/>
  <c r="K397" i="8"/>
  <c r="K402" i="8"/>
  <c r="I396" i="8"/>
  <c r="K411" i="8"/>
  <c r="J411" i="8"/>
  <c r="L144" i="28"/>
  <c r="M144" i="28" s="1"/>
  <c r="L142" i="28"/>
  <c r="M142" i="28" s="1"/>
  <c r="L147" i="28"/>
  <c r="M147" i="28" s="1"/>
  <c r="L141" i="28"/>
  <c r="M141" i="28" s="1"/>
  <c r="L146" i="28"/>
  <c r="M146" i="28" s="1"/>
  <c r="L145" i="28"/>
  <c r="L143" i="28"/>
  <c r="M143" i="28" s="1"/>
  <c r="D212" i="7"/>
  <c r="J395" i="8"/>
  <c r="K394" i="8"/>
  <c r="I409" i="8"/>
  <c r="K400" i="8"/>
  <c r="I402" i="8"/>
  <c r="I405" i="8"/>
  <c r="J406" i="8"/>
  <c r="J398" i="8"/>
  <c r="K408" i="8"/>
  <c r="I408" i="8"/>
  <c r="J400" i="8"/>
  <c r="I398" i="8"/>
  <c r="J410" i="8"/>
  <c r="I411" i="8"/>
  <c r="D15" i="10"/>
  <c r="J394" i="8"/>
  <c r="K396" i="8"/>
  <c r="K406" i="8"/>
  <c r="J402" i="8"/>
  <c r="I400" i="8"/>
  <c r="K405" i="8"/>
  <c r="J401" i="8"/>
  <c r="J396" i="8"/>
  <c r="K403" i="8"/>
  <c r="I403" i="8"/>
  <c r="I397" i="8"/>
  <c r="J409" i="8"/>
  <c r="I410" i="8"/>
  <c r="L30" i="53"/>
  <c r="K123" i="18"/>
  <c r="F373" i="11"/>
  <c r="K12" i="43"/>
  <c r="K30" i="36"/>
  <c r="K228" i="6"/>
  <c r="I31" i="43"/>
  <c r="I589" i="18"/>
  <c r="I12" i="45"/>
  <c r="N75" i="57"/>
  <c r="K12" i="36"/>
  <c r="I398" i="18"/>
  <c r="G12" i="43"/>
  <c r="N75" i="60"/>
  <c r="K31" i="45"/>
  <c r="G222" i="10"/>
  <c r="G223" i="10" s="1"/>
  <c r="E694" i="19"/>
  <c r="E697" i="19"/>
  <c r="E385" i="11"/>
  <c r="H236" i="27"/>
  <c r="H237" i="27" s="1"/>
  <c r="K481" i="18"/>
  <c r="F385" i="11"/>
  <c r="J206" i="29"/>
  <c r="E210" i="29" s="1"/>
  <c r="E472" i="11"/>
  <c r="G236" i="27"/>
  <c r="G237" i="27" s="1"/>
  <c r="G391" i="11"/>
  <c r="E391" i="11"/>
  <c r="I391" i="11"/>
  <c r="G97" i="11"/>
  <c r="I373" i="11"/>
  <c r="F391" i="11"/>
  <c r="H373" i="11"/>
  <c r="K62" i="64"/>
  <c r="G221" i="27"/>
  <c r="G222" i="27" s="1"/>
  <c r="J240" i="30"/>
  <c r="K240" i="30" s="1"/>
  <c r="F248" i="30" s="1"/>
  <c r="F257" i="30" s="1"/>
  <c r="E373" i="11"/>
  <c r="F92" i="11"/>
  <c r="F1125" i="7"/>
  <c r="J238" i="30"/>
  <c r="K238" i="30" s="1"/>
  <c r="H246" i="30" s="1"/>
  <c r="H255" i="30" s="1"/>
  <c r="J237" i="30"/>
  <c r="K237" i="30" s="1"/>
  <c r="H245" i="30" s="1"/>
  <c r="H254" i="30" s="1"/>
  <c r="J235" i="27"/>
  <c r="R24" i="14"/>
  <c r="J206" i="30"/>
  <c r="G210" i="30" s="1"/>
  <c r="G212" i="30" s="1"/>
  <c r="I168" i="11"/>
  <c r="L116" i="27"/>
  <c r="M116" i="27" s="1"/>
  <c r="G147" i="11"/>
  <c r="G379" i="11" s="1"/>
  <c r="F520" i="11"/>
  <c r="F530" i="11"/>
  <c r="K704" i="19"/>
  <c r="F527" i="11"/>
  <c r="G520" i="11"/>
  <c r="G530" i="11"/>
  <c r="I1125" i="7"/>
  <c r="I394" i="8"/>
  <c r="D652" i="7"/>
  <c r="D457" i="7"/>
  <c r="D425" i="7"/>
  <c r="D901" i="7"/>
  <c r="D1073" i="7"/>
  <c r="D435" i="7"/>
  <c r="D446" i="7"/>
  <c r="D613" i="7"/>
  <c r="D558" i="7"/>
  <c r="D65" i="7"/>
  <c r="D167" i="7"/>
  <c r="D771" i="7"/>
  <c r="D641" i="7"/>
  <c r="D838" i="7"/>
  <c r="D188" i="8"/>
  <c r="D195" i="8" s="1"/>
  <c r="D4" i="27" s="1"/>
  <c r="D912" i="7"/>
  <c r="D1065" i="7"/>
  <c r="D1083" i="7"/>
  <c r="D391" i="7"/>
  <c r="D403" i="7"/>
  <c r="D1002" i="7"/>
  <c r="D713" i="7"/>
  <c r="D478" i="7"/>
  <c r="D536" i="7"/>
  <c r="D483" i="7"/>
  <c r="D739" i="7"/>
  <c r="D819" i="7"/>
  <c r="D487" i="7"/>
  <c r="D414" i="7"/>
  <c r="D341" i="7"/>
  <c r="D970" i="7"/>
  <c r="D1019" i="7"/>
  <c r="D1041" i="7"/>
  <c r="D627" i="7"/>
  <c r="D723" i="7"/>
  <c r="D833" i="7"/>
  <c r="D510" i="7"/>
  <c r="D664" i="7"/>
  <c r="D810" i="7"/>
  <c r="D407" i="7"/>
  <c r="D571" i="7"/>
  <c r="D791" i="7"/>
  <c r="D584" i="7"/>
  <c r="D466" i="7"/>
  <c r="D353" i="7"/>
  <c r="D871" i="7"/>
  <c r="D921" i="7"/>
  <c r="D938" i="7"/>
  <c r="D932" i="7"/>
  <c r="D1011" i="7"/>
  <c r="D1025" i="7"/>
  <c r="D958" i="7"/>
  <c r="D680" i="7"/>
  <c r="D856" i="7"/>
  <c r="D330" i="7"/>
  <c r="D560" i="7"/>
  <c r="D693" i="7"/>
  <c r="D359" i="7"/>
  <c r="D704" i="7"/>
  <c r="D365" i="7"/>
  <c r="D518" i="7"/>
  <c r="C188" i="8"/>
  <c r="C195" i="8" s="1"/>
  <c r="D501" i="7"/>
  <c r="D893" i="7"/>
  <c r="D977" i="7"/>
  <c r="D986" i="7"/>
  <c r="D1058" i="7"/>
  <c r="D1051" i="7"/>
  <c r="D548" i="7"/>
  <c r="F189" i="8"/>
  <c r="F196" i="8" s="1"/>
  <c r="F5" i="27" s="1"/>
  <c r="D14" i="27" s="1"/>
  <c r="I189" i="8"/>
  <c r="I196" i="8" s="1"/>
  <c r="I5" i="27" s="1"/>
  <c r="C189" i="8"/>
  <c r="C196" i="8" s="1"/>
  <c r="H188" i="8"/>
  <c r="H195" i="8" s="1"/>
  <c r="H4" i="27" s="1"/>
  <c r="H189" i="8"/>
  <c r="H196" i="8" s="1"/>
  <c r="H5" i="27" s="1"/>
  <c r="E195" i="8"/>
  <c r="G188" i="8"/>
  <c r="G195" i="8" s="1"/>
  <c r="G4" i="27" s="1"/>
  <c r="E194" i="8"/>
  <c r="E201" i="8" s="1"/>
  <c r="G189" i="8"/>
  <c r="G196" i="8" s="1"/>
  <c r="G5" i="27" s="1"/>
  <c r="D189" i="8"/>
  <c r="D196" i="8" s="1"/>
  <c r="D5" i="27" s="1"/>
  <c r="F188" i="8"/>
  <c r="F195" i="8" s="1"/>
  <c r="F4" i="27" s="1"/>
  <c r="G181" i="8"/>
  <c r="I181" i="8"/>
  <c r="E198" i="8"/>
  <c r="E7" i="27" s="1"/>
  <c r="D16" i="27" s="1"/>
  <c r="C191" i="8"/>
  <c r="C198" i="8" s="1"/>
  <c r="G191" i="8"/>
  <c r="G198" i="8" s="1"/>
  <c r="G7" i="27" s="1"/>
  <c r="C181" i="8"/>
  <c r="F181" i="8"/>
  <c r="C190" i="8"/>
  <c r="C197" i="8" s="1"/>
  <c r="E181" i="8"/>
  <c r="D181" i="8"/>
  <c r="G190" i="8"/>
  <c r="G197" i="8" s="1"/>
  <c r="G6" i="27" s="1"/>
  <c r="D190" i="8"/>
  <c r="D197" i="8" s="1"/>
  <c r="D6" i="27" s="1"/>
  <c r="H181" i="8"/>
  <c r="I190" i="8"/>
  <c r="I197" i="8" s="1"/>
  <c r="I6" i="27" s="1"/>
  <c r="D191" i="8"/>
  <c r="D198" i="8" s="1"/>
  <c r="D7" i="27" s="1"/>
  <c r="I191" i="8"/>
  <c r="I198" i="8" s="1"/>
  <c r="I7" i="27" s="1"/>
  <c r="D127" i="7"/>
  <c r="C99" i="8"/>
  <c r="C106" i="8" s="1"/>
  <c r="D590" i="7"/>
  <c r="H99" i="8"/>
  <c r="H106" i="8" s="1"/>
  <c r="H4" i="10" s="1"/>
  <c r="I100" i="8"/>
  <c r="I107" i="8" s="1"/>
  <c r="I5" i="10" s="1"/>
  <c r="D100" i="8"/>
  <c r="D107" i="8" s="1"/>
  <c r="D5" i="10" s="1"/>
  <c r="D360" i="7"/>
  <c r="D126" i="7"/>
  <c r="H190" i="8"/>
  <c r="H197" i="8" s="1"/>
  <c r="H6" i="27" s="1"/>
  <c r="E197" i="8"/>
  <c r="E6" i="27" s="1"/>
  <c r="D99" i="8"/>
  <c r="D106" i="8" s="1"/>
  <c r="D4" i="10" s="1"/>
  <c r="D606" i="7"/>
  <c r="D622" i="7"/>
  <c r="D719" i="7"/>
  <c r="D910" i="7"/>
  <c r="D581" i="7"/>
  <c r="D385" i="7"/>
  <c r="E106" i="8"/>
  <c r="D854" i="7"/>
  <c r="D636" i="7"/>
  <c r="D41" i="7"/>
  <c r="I99" i="8"/>
  <c r="I106" i="8" s="1"/>
  <c r="I4" i="10" s="1"/>
  <c r="F99" i="8"/>
  <c r="F106" i="8" s="1"/>
  <c r="D658" i="7"/>
  <c r="D161" i="7"/>
  <c r="F290" i="8"/>
  <c r="F4" i="30" s="1"/>
  <c r="D13" i="30" s="1"/>
  <c r="D282" i="7"/>
  <c r="D361" i="7"/>
  <c r="D471" i="7"/>
  <c r="D162" i="7"/>
  <c r="D72" i="7"/>
  <c r="D148" i="7"/>
  <c r="D44" i="7"/>
  <c r="D271" i="8"/>
  <c r="G289" i="8"/>
  <c r="G290" i="8" s="1"/>
  <c r="G4" i="30" s="1"/>
  <c r="D967" i="7"/>
  <c r="D431" i="7"/>
  <c r="E105" i="8"/>
  <c r="E112" i="8" s="1"/>
  <c r="D46" i="7"/>
  <c r="H102" i="8"/>
  <c r="H109" i="8" s="1"/>
  <c r="H7" i="10" s="1"/>
  <c r="D1037" i="7"/>
  <c r="C102" i="8"/>
  <c r="C109" i="8" s="1"/>
  <c r="G91" i="8"/>
  <c r="D91" i="8"/>
  <c r="F91" i="8"/>
  <c r="D386" i="7"/>
  <c r="D1039" i="7"/>
  <c r="F102" i="8"/>
  <c r="F109" i="8" s="1"/>
  <c r="F7" i="10" s="1"/>
  <c r="D16" i="10" s="1"/>
  <c r="F100" i="8"/>
  <c r="F107" i="8" s="1"/>
  <c r="D687" i="7"/>
  <c r="D505" i="7"/>
  <c r="D323" i="7"/>
  <c r="D648" i="7"/>
  <c r="D238" i="7"/>
  <c r="D242" i="7"/>
  <c r="C100" i="8"/>
  <c r="C107" i="8" s="1"/>
  <c r="H100" i="8"/>
  <c r="H107" i="8" s="1"/>
  <c r="H5" i="10" s="1"/>
  <c r="E91" i="8"/>
  <c r="C91" i="8"/>
  <c r="H91" i="8"/>
  <c r="D593" i="7"/>
  <c r="I102" i="8"/>
  <c r="I109" i="8" s="1"/>
  <c r="I7" i="10" s="1"/>
  <c r="D933" i="7"/>
  <c r="D992" i="7"/>
  <c r="D129" i="7"/>
  <c r="I91" i="8"/>
  <c r="G102" i="8"/>
  <c r="G109" i="8" s="1"/>
  <c r="G7" i="10" s="1"/>
  <c r="G100" i="8"/>
  <c r="G107" i="8" s="1"/>
  <c r="G5" i="10" s="1"/>
  <c r="D569" i="7"/>
  <c r="D239" i="7"/>
  <c r="D243" i="7"/>
  <c r="D1016" i="7"/>
  <c r="D1034" i="7"/>
  <c r="D1047" i="7"/>
  <c r="D1007" i="7"/>
  <c r="D1023" i="7"/>
  <c r="E233" i="8"/>
  <c r="E240" i="8" s="1"/>
  <c r="E4" i="28" s="1"/>
  <c r="D102" i="8"/>
  <c r="D109" i="8" s="1"/>
  <c r="D7" i="10" s="1"/>
  <c r="D557" i="7"/>
  <c r="D1036" i="7"/>
  <c r="I472" i="11"/>
  <c r="F472" i="11"/>
  <c r="G168" i="11"/>
  <c r="E530" i="11"/>
  <c r="K707" i="19"/>
  <c r="E513" i="11"/>
  <c r="K702" i="19"/>
  <c r="I685" i="19"/>
  <c r="H685" i="19"/>
  <c r="F685" i="19"/>
  <c r="G694" i="19"/>
  <c r="K553" i="19"/>
  <c r="H472" i="11"/>
  <c r="K654" i="18"/>
  <c r="D1110" i="7"/>
  <c r="J344" i="8"/>
  <c r="D216" i="7"/>
  <c r="D588" i="7"/>
  <c r="D461" i="7"/>
  <c r="G178" i="30"/>
  <c r="D515" i="7"/>
  <c r="D173" i="7"/>
  <c r="D280" i="7"/>
  <c r="D262" i="7"/>
  <c r="D276" i="7"/>
  <c r="D85" i="7"/>
  <c r="D750" i="7"/>
  <c r="D117" i="7"/>
  <c r="D346" i="7"/>
  <c r="D942" i="7"/>
  <c r="D925" i="7"/>
  <c r="D916" i="7"/>
  <c r="I178" i="30"/>
  <c r="F178" i="30"/>
  <c r="E178" i="30"/>
  <c r="J178" i="30" s="1"/>
  <c r="D934" i="7"/>
  <c r="D897" i="7"/>
  <c r="D347" i="7"/>
  <c r="D975" i="7"/>
  <c r="D943" i="7"/>
  <c r="D917" i="7"/>
  <c r="D926" i="7"/>
  <c r="D685" i="7"/>
  <c r="D965" i="7"/>
  <c r="D931" i="7"/>
  <c r="D889" i="7"/>
  <c r="D803" i="7"/>
  <c r="D909" i="7"/>
  <c r="D999" i="7"/>
  <c r="D935" i="7"/>
  <c r="D898" i="7"/>
  <c r="D982" i="7"/>
  <c r="D974" i="7"/>
  <c r="D946" i="7"/>
  <c r="D955" i="7"/>
  <c r="D963" i="7"/>
  <c r="D929" i="7"/>
  <c r="C290" i="8"/>
  <c r="C296" i="8"/>
  <c r="D617" i="7"/>
  <c r="D879" i="7"/>
  <c r="D962" i="7"/>
  <c r="D954" i="7"/>
  <c r="D981" i="7"/>
  <c r="D945" i="7"/>
  <c r="D928" i="7"/>
  <c r="D908" i="7"/>
  <c r="D632" i="7"/>
  <c r="D906" i="7"/>
  <c r="D877" i="7"/>
  <c r="D785" i="7"/>
  <c r="H178" i="30"/>
  <c r="J168" i="30"/>
  <c r="J179" i="30" s="1"/>
  <c r="D849" i="7"/>
  <c r="D905" i="7"/>
  <c r="D876" i="7"/>
  <c r="D702" i="7"/>
  <c r="J370" i="8"/>
  <c r="J375" i="8"/>
  <c r="I346" i="8"/>
  <c r="I390" i="8"/>
  <c r="I392" i="8"/>
  <c r="K392" i="8"/>
  <c r="K343" i="8"/>
  <c r="I366" i="8"/>
  <c r="I369" i="8"/>
  <c r="K361" i="8"/>
  <c r="K391" i="8"/>
  <c r="K380" i="8"/>
  <c r="J369" i="8"/>
  <c r="I349" i="8"/>
  <c r="I387" i="8"/>
  <c r="J392" i="8"/>
  <c r="J391" i="8"/>
  <c r="I381" i="8"/>
  <c r="K344" i="8"/>
  <c r="K379" i="8"/>
  <c r="I384" i="8"/>
  <c r="J348" i="8"/>
  <c r="J346" i="8"/>
  <c r="I391" i="8"/>
  <c r="I356" i="8"/>
  <c r="J389" i="8"/>
  <c r="K390" i="8"/>
  <c r="J390" i="8"/>
  <c r="J380" i="8"/>
  <c r="J384" i="8"/>
  <c r="K389" i="8"/>
  <c r="J368" i="8"/>
  <c r="J357" i="8"/>
  <c r="I378" i="8"/>
  <c r="K356" i="8"/>
  <c r="I367" i="8"/>
  <c r="J372" i="8"/>
  <c r="I364" i="8"/>
  <c r="K384" i="8"/>
  <c r="K385" i="8"/>
  <c r="K373" i="8"/>
  <c r="J381" i="8"/>
  <c r="I350" i="8"/>
  <c r="I343" i="8"/>
  <c r="J362" i="8"/>
  <c r="I386" i="8"/>
  <c r="J349" i="8"/>
  <c r="J359" i="8"/>
  <c r="J365" i="8"/>
  <c r="K370" i="8"/>
  <c r="I362" i="8"/>
  <c r="I363" i="8"/>
  <c r="K350" i="8"/>
  <c r="I379" i="8"/>
  <c r="K358" i="8"/>
  <c r="J345" i="8"/>
  <c r="J355" i="8"/>
  <c r="K374" i="8"/>
  <c r="J387" i="8"/>
  <c r="I344" i="8"/>
  <c r="K347" i="8"/>
  <c r="I368" i="8"/>
  <c r="I360" i="8"/>
  <c r="I371" i="8"/>
  <c r="K369" i="8"/>
  <c r="J361" i="8"/>
  <c r="I357" i="8"/>
  <c r="I376" i="8"/>
  <c r="I388" i="8"/>
  <c r="K351" i="8"/>
  <c r="K359" i="8"/>
  <c r="J364" i="8"/>
  <c r="J377" i="8"/>
  <c r="I348" i="8"/>
  <c r="K365" i="8"/>
  <c r="K372" i="8"/>
  <c r="K387" i="8"/>
  <c r="I370" i="8"/>
  <c r="I389" i="8"/>
  <c r="I383" i="8"/>
  <c r="J371" i="8"/>
  <c r="I374" i="8"/>
  <c r="J373" i="8"/>
  <c r="J363" i="8"/>
  <c r="J350" i="8"/>
  <c r="K371" i="8"/>
  <c r="K363" i="8"/>
  <c r="J386" i="8"/>
  <c r="K353" i="8"/>
  <c r="K346" i="8"/>
  <c r="J382" i="8"/>
  <c r="K378" i="8"/>
  <c r="J374" i="8"/>
  <c r="J376" i="8"/>
  <c r="I372" i="8"/>
  <c r="J388" i="8"/>
  <c r="K381" i="8"/>
  <c r="K352" i="8"/>
  <c r="J360" i="8"/>
  <c r="J383" i="8"/>
  <c r="K383" i="8"/>
  <c r="I352" i="8"/>
  <c r="I380" i="8"/>
  <c r="J351" i="8"/>
  <c r="I354" i="8"/>
  <c r="K354" i="8"/>
  <c r="I359" i="8"/>
  <c r="J367" i="8"/>
  <c r="K376" i="8"/>
  <c r="I385" i="8"/>
  <c r="I377" i="8"/>
  <c r="I375" i="8"/>
  <c r="J356" i="8"/>
  <c r="J343" i="8"/>
  <c r="I358" i="8"/>
  <c r="K382" i="8"/>
  <c r="K355" i="8"/>
  <c r="K366" i="8"/>
  <c r="K364" i="8"/>
  <c r="K375" i="8"/>
  <c r="J353" i="8"/>
  <c r="I353" i="8"/>
  <c r="I345" i="8"/>
  <c r="J358" i="8"/>
  <c r="K362" i="8"/>
  <c r="I382" i="8"/>
  <c r="K349" i="8"/>
  <c r="J378" i="8"/>
  <c r="K377" i="8"/>
  <c r="J366" i="8"/>
  <c r="J379" i="8"/>
  <c r="I351" i="8"/>
  <c r="K360" i="8"/>
  <c r="K386" i="8"/>
  <c r="I355" i="8"/>
  <c r="I361" i="8"/>
  <c r="K357" i="8"/>
  <c r="I365" i="8"/>
  <c r="I347" i="8"/>
  <c r="K368" i="8"/>
  <c r="J352" i="8"/>
  <c r="J385" i="8"/>
  <c r="K348" i="8"/>
  <c r="I373" i="8"/>
  <c r="K388" i="8"/>
  <c r="J347" i="8"/>
  <c r="K345" i="8"/>
  <c r="J354" i="8"/>
  <c r="D852" i="7"/>
  <c r="D139" i="7"/>
  <c r="D44" i="10"/>
  <c r="H44" i="10" s="1"/>
  <c r="H177" i="10" s="1"/>
  <c r="D800" i="7"/>
  <c r="C264" i="8"/>
  <c r="C271" i="8" s="1"/>
  <c r="D272" i="7"/>
  <c r="D358" i="7"/>
  <c r="D268" i="7"/>
  <c r="D166" i="7"/>
  <c r="I44" i="27"/>
  <c r="I176" i="27" s="1"/>
  <c r="D157" i="7"/>
  <c r="D188" i="7"/>
  <c r="D165" i="7"/>
  <c r="E235" i="8"/>
  <c r="E242" i="8" s="1"/>
  <c r="E6" i="28" s="1"/>
  <c r="E236" i="8"/>
  <c r="E234" i="8"/>
  <c r="E178" i="29"/>
  <c r="J178" i="29" s="1"/>
  <c r="D26" i="7"/>
  <c r="D23" i="7"/>
  <c r="D762" i="7"/>
  <c r="D661" i="7"/>
  <c r="D637" i="7"/>
  <c r="D623" i="7"/>
  <c r="D577" i="7"/>
  <c r="D553" i="7"/>
  <c r="D609" i="7"/>
  <c r="D576" i="7"/>
  <c r="D59" i="7"/>
  <c r="D795" i="7"/>
  <c r="D228" i="7"/>
  <c r="D362" i="7"/>
  <c r="D607" i="7"/>
  <c r="D781" i="7"/>
  <c r="L41" i="27"/>
  <c r="M41" i="27" s="1"/>
  <c r="D122" i="7"/>
  <c r="D81" i="7"/>
  <c r="D181" i="7"/>
  <c r="X14" i="55"/>
  <c r="AB14" i="55" s="1"/>
  <c r="D224" i="7"/>
  <c r="D738" i="7"/>
  <c r="D814" i="7"/>
  <c r="D16" i="7"/>
  <c r="D701" i="7"/>
  <c r="D17" i="7"/>
  <c r="D18" i="7"/>
  <c r="D546" i="7"/>
  <c r="D61" i="7"/>
  <c r="D25" i="7"/>
  <c r="D116" i="7"/>
  <c r="D669" i="7"/>
  <c r="D433" i="7"/>
  <c r="D678" i="7"/>
  <c r="D691" i="7"/>
  <c r="D444" i="7"/>
  <c r="D525" i="7"/>
  <c r="D840" i="7"/>
  <c r="D138" i="7"/>
  <c r="D579" i="7"/>
  <c r="D115" i="7"/>
  <c r="D21" i="7"/>
  <c r="D567" i="7"/>
  <c r="D53" i="7"/>
  <c r="D95" i="7"/>
  <c r="D374" i="7"/>
  <c r="D608" i="7"/>
  <c r="X20" i="55"/>
  <c r="AB20" i="55" s="1"/>
  <c r="D429" i="7"/>
  <c r="D114" i="7"/>
  <c r="L39" i="27"/>
  <c r="M39" i="27" s="1"/>
  <c r="D24" i="7"/>
  <c r="D140" i="7"/>
  <c r="D159" i="7"/>
  <c r="D60" i="7"/>
  <c r="D84" i="7"/>
  <c r="E681" i="19"/>
  <c r="E684" i="19" s="1"/>
  <c r="E708" i="19" s="1"/>
  <c r="K367" i="8"/>
  <c r="F483" i="11"/>
  <c r="H168" i="11"/>
  <c r="F168" i="11"/>
  <c r="E168" i="11"/>
  <c r="F97" i="11"/>
  <c r="K777" i="18"/>
  <c r="H385" i="11"/>
  <c r="J186" i="28"/>
  <c r="G385" i="11"/>
  <c r="I385" i="11"/>
  <c r="F136" i="11"/>
  <c r="G373" i="11"/>
  <c r="F122" i="28"/>
  <c r="F184" i="28" s="1"/>
  <c r="L121" i="28"/>
  <c r="M121" i="28" s="1"/>
  <c r="L118" i="28"/>
  <c r="M118" i="28" s="1"/>
  <c r="K114" i="64"/>
  <c r="K675" i="19"/>
  <c r="K556" i="19"/>
  <c r="F223" i="28"/>
  <c r="F224" i="28" s="1"/>
  <c r="L120" i="27"/>
  <c r="M120" i="27" s="1"/>
  <c r="L121" i="27"/>
  <c r="M121" i="27" s="1"/>
  <c r="L118" i="27"/>
  <c r="M118" i="27" s="1"/>
  <c r="L119" i="27"/>
  <c r="M119" i="27" s="1"/>
  <c r="L117" i="27"/>
  <c r="M117" i="27" s="1"/>
  <c r="M117" i="28"/>
  <c r="F232" i="30"/>
  <c r="M135" i="28"/>
  <c r="G58" i="28"/>
  <c r="G59" i="28" s="1"/>
  <c r="J60" i="28" s="1"/>
  <c r="L58" i="28" s="1"/>
  <c r="E236" i="27"/>
  <c r="E237" i="27" s="1"/>
  <c r="E232" i="30"/>
  <c r="H44" i="27"/>
  <c r="H176" i="27" s="1"/>
  <c r="M132" i="28"/>
  <c r="M145" i="28"/>
  <c r="L40" i="27"/>
  <c r="M40" i="27" s="1"/>
  <c r="I121" i="27"/>
  <c r="I182" i="27" s="1"/>
  <c r="K516" i="18"/>
  <c r="I122" i="28"/>
  <c r="I184" i="28" s="1"/>
  <c r="K517" i="18"/>
  <c r="M131" i="28"/>
  <c r="J234" i="27"/>
  <c r="E525" i="11"/>
  <c r="H122" i="28"/>
  <c r="H184" i="28" s="1"/>
  <c r="J59" i="10"/>
  <c r="L55" i="10" s="1"/>
  <c r="J235" i="26"/>
  <c r="I24" i="14"/>
  <c r="E44" i="27"/>
  <c r="E176" i="27" s="1"/>
  <c r="K149" i="64"/>
  <c r="E122" i="28"/>
  <c r="E184" i="28" s="1"/>
  <c r="J236" i="28"/>
  <c r="L123" i="28"/>
  <c r="M123" i="28" s="1"/>
  <c r="L122" i="28"/>
  <c r="M122" i="28" s="1"/>
  <c r="L119" i="28"/>
  <c r="M119" i="28" s="1"/>
  <c r="G157" i="11"/>
  <c r="E97" i="11"/>
  <c r="M145" i="27"/>
  <c r="M122" i="27"/>
  <c r="J237" i="26"/>
  <c r="I240" i="26" s="1"/>
  <c r="J236" i="26"/>
  <c r="E147" i="11"/>
  <c r="E379" i="11" s="1"/>
  <c r="L120" i="28"/>
  <c r="M120" i="28" s="1"/>
  <c r="G122" i="28"/>
  <c r="G184" i="28" s="1"/>
  <c r="I238" i="28"/>
  <c r="I239" i="28" s="1"/>
  <c r="H238" i="28"/>
  <c r="H239" i="28" s="1"/>
  <c r="H121" i="27"/>
  <c r="H182" i="27" s="1"/>
  <c r="M133" i="27"/>
  <c r="G121" i="27"/>
  <c r="G182" i="27" s="1"/>
  <c r="M141" i="27"/>
  <c r="F121" i="27"/>
  <c r="F182" i="27" s="1"/>
  <c r="E121" i="27"/>
  <c r="E182" i="27" s="1"/>
  <c r="I236" i="27"/>
  <c r="I237" i="27" s="1"/>
  <c r="J267" i="26"/>
  <c r="I270" i="26" s="1"/>
  <c r="J216" i="26"/>
  <c r="F217" i="26" s="1"/>
  <c r="J266" i="26"/>
  <c r="E251" i="26"/>
  <c r="J250" i="26"/>
  <c r="J265" i="26"/>
  <c r="J268" i="26"/>
  <c r="H147" i="11"/>
  <c r="H379" i="11" s="1"/>
  <c r="I147" i="11"/>
  <c r="I379" i="11" s="1"/>
  <c r="F147" i="11"/>
  <c r="F379" i="11" s="1"/>
  <c r="H136" i="11"/>
  <c r="J216" i="10"/>
  <c r="I217" i="10" s="1"/>
  <c r="J185" i="10"/>
  <c r="J235" i="10"/>
  <c r="M145" i="10"/>
  <c r="D109" i="1"/>
  <c r="M48" i="54"/>
  <c r="J222" i="28"/>
  <c r="K804" i="18"/>
  <c r="E223" i="28"/>
  <c r="E224" i="28" s="1"/>
  <c r="J237" i="28"/>
  <c r="L17" i="31"/>
  <c r="D22" i="54"/>
  <c r="F236" i="27"/>
  <c r="F237" i="27" s="1"/>
  <c r="K552" i="19"/>
  <c r="K786" i="18"/>
  <c r="G717" i="6"/>
  <c r="G736" i="6"/>
  <c r="F717" i="6"/>
  <c r="F736" i="6"/>
  <c r="L42" i="28"/>
  <c r="L41" i="28"/>
  <c r="L40" i="28"/>
  <c r="L39" i="28"/>
  <c r="L44" i="28"/>
  <c r="L43" i="28"/>
  <c r="L45" i="28"/>
  <c r="K759" i="18"/>
  <c r="D59" i="27"/>
  <c r="D59" i="10"/>
  <c r="L42" i="27"/>
  <c r="M42" i="27" s="1"/>
  <c r="L45" i="27"/>
  <c r="M45" i="27" s="1"/>
  <c r="L44" i="27"/>
  <c r="M44" i="27" s="1"/>
  <c r="G411" i="18"/>
  <c r="K411" i="18" s="1"/>
  <c r="K212" i="6"/>
  <c r="K75" i="60"/>
  <c r="I30" i="36"/>
  <c r="K483" i="6"/>
  <c r="I31" i="45"/>
  <c r="F44" i="27"/>
  <c r="F176" i="27" s="1"/>
  <c r="L43" i="27"/>
  <c r="M43" i="27" s="1"/>
  <c r="J59" i="27"/>
  <c r="L57" i="27" s="1"/>
  <c r="K373" i="18"/>
  <c r="D44" i="28"/>
  <c r="I44" i="28" s="1"/>
  <c r="I178" i="28" s="1"/>
  <c r="K768" i="18"/>
  <c r="G44" i="27"/>
  <c r="G176" i="27" s="1"/>
  <c r="J220" i="27"/>
  <c r="K795" i="18"/>
  <c r="E226" i="19"/>
  <c r="E702" i="18"/>
  <c r="E193" i="64"/>
  <c r="D32" i="28"/>
  <c r="E717" i="6"/>
  <c r="E736" i="6"/>
  <c r="K735" i="6"/>
  <c r="I192" i="64"/>
  <c r="I701" i="18"/>
  <c r="I222" i="19"/>
  <c r="I717" i="6"/>
  <c r="I736" i="6"/>
  <c r="K263" i="6"/>
  <c r="H424" i="18"/>
  <c r="K424" i="18" s="1"/>
  <c r="G602" i="18"/>
  <c r="K602" i="18" s="1"/>
  <c r="K518" i="6"/>
  <c r="K719" i="6"/>
  <c r="G35" i="15"/>
  <c r="K366" i="6"/>
  <c r="F576" i="18"/>
  <c r="K576" i="18" s="1"/>
  <c r="I226" i="19"/>
  <c r="I702" i="18"/>
  <c r="I193" i="64"/>
  <c r="J32" i="28"/>
  <c r="E222" i="19"/>
  <c r="E701" i="18"/>
  <c r="E192" i="64"/>
  <c r="E103" i="18"/>
  <c r="K103" i="18" s="1"/>
  <c r="D225" i="1"/>
  <c r="I20" i="57"/>
  <c r="K111" i="6"/>
  <c r="F398" i="18"/>
  <c r="F687" i="19"/>
  <c r="F684" i="19"/>
  <c r="I686" i="19"/>
  <c r="E511" i="11"/>
  <c r="E523" i="11"/>
  <c r="G692" i="19"/>
  <c r="I684" i="19"/>
  <c r="H684" i="19"/>
  <c r="G681" i="19"/>
  <c r="G685" i="19" s="1"/>
  <c r="K668" i="19"/>
  <c r="F686" i="19"/>
  <c r="F511" i="11"/>
  <c r="H687" i="19"/>
  <c r="H697" i="19"/>
  <c r="H693" i="19"/>
  <c r="I687" i="19"/>
  <c r="H686" i="19"/>
  <c r="K651" i="19"/>
  <c r="F689" i="19"/>
  <c r="F645" i="19"/>
  <c r="I646" i="19" s="1"/>
  <c r="I696" i="19" s="1"/>
  <c r="F498" i="11"/>
  <c r="K643" i="19"/>
  <c r="H514" i="11"/>
  <c r="K700" i="19"/>
  <c r="G511" i="11"/>
  <c r="I697" i="19"/>
  <c r="I692" i="19"/>
  <c r="I695" i="19"/>
  <c r="I694" i="19"/>
  <c r="I693" i="19"/>
  <c r="F658" i="19"/>
  <c r="H663" i="19" s="1"/>
  <c r="F517" i="11"/>
  <c r="G697" i="19"/>
  <c r="G695" i="19"/>
  <c r="F652" i="19"/>
  <c r="G653" i="19" s="1"/>
  <c r="K628" i="19"/>
  <c r="I136" i="11"/>
  <c r="D779" i="7"/>
  <c r="D163" i="7"/>
  <c r="E483" i="11"/>
  <c r="D451" i="7"/>
  <c r="D334" i="7"/>
  <c r="D817" i="7"/>
  <c r="E136" i="11"/>
  <c r="D837" i="7"/>
  <c r="D109" i="7"/>
  <c r="D675" i="7"/>
  <c r="D555" i="7"/>
  <c r="D717" i="7"/>
  <c r="D604" i="7"/>
  <c r="D8" i="7"/>
  <c r="D634" i="7"/>
  <c r="D620" i="7"/>
  <c r="D578" i="7"/>
  <c r="D87" i="7"/>
  <c r="D657" i="7"/>
  <c r="D34" i="7"/>
  <c r="D160" i="7"/>
  <c r="D144" i="7"/>
  <c r="D66" i="7"/>
  <c r="D234" i="7"/>
  <c r="D244" i="7"/>
  <c r="D256" i="7"/>
  <c r="D248" i="7"/>
  <c r="D647" i="7"/>
  <c r="D120" i="7"/>
  <c r="D30" i="7"/>
  <c r="D68" i="7"/>
  <c r="D123" i="7"/>
  <c r="D592" i="7"/>
  <c r="D36" i="7"/>
  <c r="D211" i="7"/>
  <c r="D223" i="7"/>
  <c r="D227" i="7"/>
  <c r="D215" i="7"/>
  <c r="D749" i="7"/>
  <c r="D631" i="7"/>
  <c r="D10" i="7"/>
  <c r="D180" i="7"/>
  <c r="D798" i="7"/>
  <c r="D818" i="7"/>
  <c r="D82" i="7"/>
  <c r="D761" i="7"/>
  <c r="D545" i="7"/>
  <c r="D231" i="7"/>
  <c r="D497" i="7"/>
  <c r="D6" i="7"/>
  <c r="D220" i="7"/>
  <c r="D708" i="7"/>
  <c r="D829" i="7"/>
  <c r="D635" i="7"/>
  <c r="D31" i="7"/>
  <c r="D580" i="7"/>
  <c r="D121" i="7"/>
  <c r="D556" i="7"/>
  <c r="D621" i="7"/>
  <c r="D718" i="7"/>
  <c r="D605" i="7"/>
  <c r="C13" i="26"/>
  <c r="D245" i="7"/>
  <c r="D257" i="7"/>
  <c r="D235" i="7"/>
  <c r="D249" i="7"/>
  <c r="D29" i="7"/>
  <c r="D251" i="7"/>
  <c r="D498" i="7"/>
  <c r="D830" i="7"/>
  <c r="D709" i="7"/>
  <c r="D566" i="7"/>
  <c r="D441" i="7"/>
  <c r="D689" i="7"/>
  <c r="D371" i="7"/>
  <c r="D767" i="7"/>
  <c r="D418" i="7"/>
  <c r="D335" i="7"/>
  <c r="D784" i="7"/>
  <c r="D452" i="7"/>
  <c r="D324" i="7"/>
  <c r="D589" i="7"/>
  <c r="D853" i="7"/>
  <c r="D841" i="7"/>
  <c r="I157" i="11"/>
  <c r="D135" i="7"/>
  <c r="I483" i="11"/>
  <c r="D134" i="7"/>
  <c r="D737" i="7"/>
  <c r="D482" i="7"/>
  <c r="D7" i="7"/>
  <c r="D646" i="7"/>
  <c r="D111" i="7"/>
  <c r="D56" i="7"/>
  <c r="D591" i="7"/>
  <c r="D13" i="7"/>
  <c r="D33" i="7"/>
  <c r="D751" i="7"/>
  <c r="D143" i="7"/>
  <c r="D184" i="7"/>
  <c r="D799" i="7"/>
  <c r="D820" i="7"/>
  <c r="D168" i="7"/>
  <c r="D850" i="7"/>
  <c r="D88" i="7"/>
  <c r="D763" i="7"/>
  <c r="G136" i="11"/>
  <c r="F157" i="11"/>
  <c r="G472" i="11"/>
  <c r="D108" i="7"/>
  <c r="X18" i="55"/>
  <c r="AC18" i="55" s="1"/>
  <c r="H483" i="11"/>
  <c r="G483" i="11"/>
  <c r="D470" i="7"/>
  <c r="D179" i="7"/>
  <c r="D9" i="7"/>
  <c r="D777" i="7"/>
  <c r="D595" i="7"/>
  <c r="D796" i="7"/>
  <c r="D815" i="7"/>
  <c r="D67" i="7"/>
  <c r="D370" i="7"/>
  <c r="D766" i="7"/>
  <c r="D564" i="7"/>
  <c r="D688" i="7"/>
  <c r="D565" i="7"/>
  <c r="D440" i="7"/>
  <c r="D765" i="7"/>
  <c r="D55" i="7"/>
  <c r="D110" i="7"/>
  <c r="D594" i="7"/>
  <c r="D12" i="7"/>
  <c r="D656" i="7"/>
  <c r="D136" i="7"/>
  <c r="D11" i="7"/>
  <c r="D54" i="7"/>
  <c r="H226" i="19"/>
  <c r="H193" i="64"/>
  <c r="H702" i="18"/>
  <c r="F192" i="64"/>
  <c r="F701" i="18"/>
  <c r="F222" i="19"/>
  <c r="K678" i="19"/>
  <c r="K680" i="19"/>
  <c r="E529" i="11"/>
  <c r="E519" i="11"/>
  <c r="J239" i="29"/>
  <c r="K239" i="29" s="1"/>
  <c r="E247" i="29" s="1"/>
  <c r="I180" i="30"/>
  <c r="I181" i="30"/>
  <c r="H264" i="8"/>
  <c r="G271" i="8"/>
  <c r="G265" i="8"/>
  <c r="G4" i="29" s="1"/>
  <c r="J168" i="29"/>
  <c r="J179" i="29" s="1"/>
  <c r="G178" i="29"/>
  <c r="E179" i="29"/>
  <c r="I178" i="29"/>
  <c r="H178" i="29"/>
  <c r="L121" i="10"/>
  <c r="M121" i="10" s="1"/>
  <c r="I121" i="10"/>
  <c r="I183" i="10" s="1"/>
  <c r="G121" i="10"/>
  <c r="G183" i="10" s="1"/>
  <c r="L116" i="10"/>
  <c r="M116" i="10" s="1"/>
  <c r="L122" i="10"/>
  <c r="M122" i="10" s="1"/>
  <c r="F121" i="10"/>
  <c r="F183" i="10" s="1"/>
  <c r="L119" i="10"/>
  <c r="M119" i="10" s="1"/>
  <c r="L120" i="10"/>
  <c r="M120" i="10" s="1"/>
  <c r="H121" i="10"/>
  <c r="H183" i="10" s="1"/>
  <c r="L118" i="10"/>
  <c r="M118" i="10" s="1"/>
  <c r="L117" i="10"/>
  <c r="M117" i="10" s="1"/>
  <c r="H157" i="11"/>
  <c r="L71" i="30"/>
  <c r="M71" i="30" s="1"/>
  <c r="L72" i="30"/>
  <c r="M72" i="30" s="1"/>
  <c r="L66" i="30"/>
  <c r="M66" i="30" s="1"/>
  <c r="L68" i="30"/>
  <c r="M68" i="30" s="1"/>
  <c r="L67" i="30"/>
  <c r="M67" i="30" s="1"/>
  <c r="L70" i="30"/>
  <c r="M70" i="30" s="1"/>
  <c r="L69" i="30"/>
  <c r="M69" i="30" s="1"/>
  <c r="G232" i="29"/>
  <c r="J220" i="10"/>
  <c r="H701" i="18"/>
  <c r="H222" i="19"/>
  <c r="H192" i="64"/>
  <c r="F226" i="19"/>
  <c r="K219" i="19"/>
  <c r="F702" i="18"/>
  <c r="F193" i="64"/>
  <c r="C15" i="26"/>
  <c r="J217" i="28"/>
  <c r="H218" i="28" s="1"/>
  <c r="H238" i="29"/>
  <c r="H232" i="29"/>
  <c r="D40" i="28"/>
  <c r="F589" i="18"/>
  <c r="K467" i="6"/>
  <c r="G31" i="45"/>
  <c r="K382" i="6"/>
  <c r="L134" i="10"/>
  <c r="M134" i="10" s="1"/>
  <c r="L131" i="10"/>
  <c r="M131" i="10" s="1"/>
  <c r="L133" i="10"/>
  <c r="M133" i="10" s="1"/>
  <c r="L128" i="10"/>
  <c r="M128" i="10" s="1"/>
  <c r="L132" i="10"/>
  <c r="M132" i="10" s="1"/>
  <c r="L130" i="10"/>
  <c r="M130" i="10" s="1"/>
  <c r="L129" i="10"/>
  <c r="M129" i="10" s="1"/>
  <c r="L120" i="30"/>
  <c r="M120" i="30" s="1"/>
  <c r="L114" i="30"/>
  <c r="M114" i="30" s="1"/>
  <c r="L119" i="30"/>
  <c r="M119" i="30" s="1"/>
  <c r="L118" i="30"/>
  <c r="M118" i="30" s="1"/>
  <c r="L115" i="30"/>
  <c r="M115" i="30" s="1"/>
  <c r="L117" i="30"/>
  <c r="M117" i="30" s="1"/>
  <c r="L116" i="30"/>
  <c r="M116" i="30" s="1"/>
  <c r="L96" i="30"/>
  <c r="M96" i="30" s="1"/>
  <c r="L91" i="30"/>
  <c r="M91" i="30" s="1"/>
  <c r="L92" i="30"/>
  <c r="M92" i="30" s="1"/>
  <c r="L93" i="30"/>
  <c r="M93" i="30" s="1"/>
  <c r="L90" i="30"/>
  <c r="M90" i="30" s="1"/>
  <c r="L94" i="30"/>
  <c r="M94" i="30" s="1"/>
  <c r="L95" i="30"/>
  <c r="M95" i="30" s="1"/>
  <c r="I238" i="29"/>
  <c r="I232" i="29"/>
  <c r="H513" i="11"/>
  <c r="H692" i="19"/>
  <c r="H695" i="19"/>
  <c r="J184" i="27"/>
  <c r="E157" i="11"/>
  <c r="E232" i="29"/>
  <c r="E180" i="30"/>
  <c r="E181" i="30"/>
  <c r="F181" i="30"/>
  <c r="G181" i="30"/>
  <c r="L84" i="30"/>
  <c r="M84" i="30" s="1"/>
  <c r="L81" i="30"/>
  <c r="M81" i="30" s="1"/>
  <c r="L78" i="30"/>
  <c r="M78" i="30" s="1"/>
  <c r="L79" i="30"/>
  <c r="M79" i="30" s="1"/>
  <c r="L80" i="30"/>
  <c r="M80" i="30" s="1"/>
  <c r="L83" i="30"/>
  <c r="M83" i="30" s="1"/>
  <c r="L82" i="30"/>
  <c r="M82" i="30" s="1"/>
  <c r="F178" i="29"/>
  <c r="L46" i="30"/>
  <c r="M46" i="30" s="1"/>
  <c r="L43" i="30"/>
  <c r="M43" i="30" s="1"/>
  <c r="L48" i="30"/>
  <c r="M48" i="30" s="1"/>
  <c r="L45" i="30"/>
  <c r="M45" i="30" s="1"/>
  <c r="L42" i="30"/>
  <c r="M42" i="30" s="1"/>
  <c r="L44" i="30"/>
  <c r="M44" i="30" s="1"/>
  <c r="L47" i="30"/>
  <c r="M47" i="30" s="1"/>
  <c r="AA155" i="4"/>
  <c r="F155" i="4" s="1"/>
  <c r="X16" i="55"/>
  <c r="H180" i="30"/>
  <c r="H181" i="30"/>
  <c r="E695" i="19"/>
  <c r="E693" i="19"/>
  <c r="J215" i="27"/>
  <c r="G216" i="27" s="1"/>
  <c r="J239" i="30"/>
  <c r="K239" i="30" s="1"/>
  <c r="E121" i="10"/>
  <c r="E183" i="10" s="1"/>
  <c r="J237" i="29"/>
  <c r="K237" i="29" s="1"/>
  <c r="E245" i="29" s="1"/>
  <c r="L126" i="30"/>
  <c r="M126" i="30" s="1"/>
  <c r="L127" i="30"/>
  <c r="M127" i="30" s="1"/>
  <c r="L132" i="30"/>
  <c r="M132" i="30" s="1"/>
  <c r="L129" i="30"/>
  <c r="M129" i="30" s="1"/>
  <c r="L131" i="30"/>
  <c r="M131" i="30" s="1"/>
  <c r="L130" i="30"/>
  <c r="M130" i="30" s="1"/>
  <c r="L128" i="30"/>
  <c r="M128" i="30" s="1"/>
  <c r="I224" i="28"/>
  <c r="I222" i="27"/>
  <c r="I223" i="10"/>
  <c r="E238" i="10"/>
  <c r="F222" i="27"/>
  <c r="G224" i="28"/>
  <c r="F223" i="10"/>
  <c r="E222" i="27"/>
  <c r="F239" i="28"/>
  <c r="F221" i="26"/>
  <c r="F222" i="26" s="1"/>
  <c r="D78" i="29"/>
  <c r="E78" i="29"/>
  <c r="E172" i="29" s="1"/>
  <c r="J172" i="29" s="1"/>
  <c r="D126" i="29"/>
  <c r="E126" i="29"/>
  <c r="E176" i="29" s="1"/>
  <c r="J176" i="29" s="1"/>
  <c r="E222" i="26"/>
  <c r="Z155" i="4"/>
  <c r="E155" i="4" s="1"/>
  <c r="AD155" i="4"/>
  <c r="I155" i="4" s="1"/>
  <c r="L144" i="30"/>
  <c r="M144" i="30" s="1"/>
  <c r="L140" i="30"/>
  <c r="M140" i="30" s="1"/>
  <c r="L139" i="30"/>
  <c r="M139" i="30" s="1"/>
  <c r="L138" i="30"/>
  <c r="M138" i="30" s="1"/>
  <c r="L142" i="30"/>
  <c r="M142" i="30" s="1"/>
  <c r="L143" i="30"/>
  <c r="M143" i="30" s="1"/>
  <c r="L141" i="30"/>
  <c r="M141" i="30" s="1"/>
  <c r="E223" i="10"/>
  <c r="G239" i="28"/>
  <c r="H222" i="27"/>
  <c r="E239" i="28"/>
  <c r="H224" i="28"/>
  <c r="H223" i="10"/>
  <c r="I238" i="10"/>
  <c r="G222" i="19"/>
  <c r="G192" i="64"/>
  <c r="G701" i="18"/>
  <c r="K220" i="19"/>
  <c r="G221" i="26"/>
  <c r="G222" i="26" s="1"/>
  <c r="D90" i="29"/>
  <c r="E90" i="29"/>
  <c r="E173" i="29" s="1"/>
  <c r="J173" i="29" s="1"/>
  <c r="D138" i="29"/>
  <c r="E138" i="29"/>
  <c r="E177" i="29" s="1"/>
  <c r="J177" i="29" s="1"/>
  <c r="E239" i="26"/>
  <c r="J238" i="26"/>
  <c r="E5" i="10"/>
  <c r="H662" i="19"/>
  <c r="I662" i="19"/>
  <c r="G662" i="19"/>
  <c r="F661" i="19"/>
  <c r="E661" i="19"/>
  <c r="H661" i="19"/>
  <c r="K656" i="19"/>
  <c r="G661" i="19"/>
  <c r="I661" i="19"/>
  <c r="H236" i="30"/>
  <c r="H232" i="30"/>
  <c r="K657" i="19"/>
  <c r="E209" i="29"/>
  <c r="L54" i="30"/>
  <c r="M54" i="30" s="1"/>
  <c r="L58" i="30"/>
  <c r="M58" i="30" s="1"/>
  <c r="L57" i="30"/>
  <c r="M57" i="30" s="1"/>
  <c r="L55" i="30"/>
  <c r="M55" i="30" s="1"/>
  <c r="L59" i="30"/>
  <c r="M59" i="30" s="1"/>
  <c r="L60" i="30"/>
  <c r="M60" i="30" s="1"/>
  <c r="L56" i="30"/>
  <c r="M56" i="30" s="1"/>
  <c r="F254" i="26"/>
  <c r="AD182" i="4"/>
  <c r="I182" i="4" s="1"/>
  <c r="I221" i="19" s="1"/>
  <c r="AD72" i="4"/>
  <c r="I72" i="4" s="1"/>
  <c r="AD180" i="4"/>
  <c r="I180" i="4" s="1"/>
  <c r="AD178" i="4"/>
  <c r="I178" i="4" s="1"/>
  <c r="AC180" i="4"/>
  <c r="H180" i="4" s="1"/>
  <c r="AC21" i="4"/>
  <c r="H21" i="4" s="1"/>
  <c r="AC149" i="4"/>
  <c r="H149" i="4" s="1"/>
  <c r="AD22" i="4"/>
  <c r="I22" i="4" s="1"/>
  <c r="AD73" i="4"/>
  <c r="I73" i="4" s="1"/>
  <c r="AD98" i="4"/>
  <c r="I98" i="4" s="1"/>
  <c r="AC178" i="4"/>
  <c r="H178" i="4" s="1"/>
  <c r="AD97" i="4"/>
  <c r="I97" i="4" s="1"/>
  <c r="AD140" i="4"/>
  <c r="I140" i="4" s="1"/>
  <c r="AC97" i="4"/>
  <c r="H97" i="4" s="1"/>
  <c r="AC22" i="4"/>
  <c r="H22" i="4" s="1"/>
  <c r="AC73" i="4"/>
  <c r="H73" i="4" s="1"/>
  <c r="AC98" i="4"/>
  <c r="H98" i="4" s="1"/>
  <c r="AD21" i="4"/>
  <c r="I21" i="4" s="1"/>
  <c r="AD149" i="4"/>
  <c r="I149" i="4" s="1"/>
  <c r="AC182" i="4"/>
  <c r="H182" i="4" s="1"/>
  <c r="H221" i="19" s="1"/>
  <c r="AC72" i="4"/>
  <c r="H72" i="4" s="1"/>
  <c r="AC140" i="4"/>
  <c r="H140" i="4" s="1"/>
  <c r="AB178" i="4"/>
  <c r="G178" i="4" s="1"/>
  <c r="AB97" i="4"/>
  <c r="G97" i="4" s="1"/>
  <c r="AB22" i="4"/>
  <c r="G22" i="4" s="1"/>
  <c r="AB73" i="4"/>
  <c r="G73" i="4" s="1"/>
  <c r="AB98" i="4"/>
  <c r="G98" i="4" s="1"/>
  <c r="AB182" i="4"/>
  <c r="G182" i="4" s="1"/>
  <c r="G221" i="19" s="1"/>
  <c r="AB72" i="4"/>
  <c r="G72" i="4" s="1"/>
  <c r="AB140" i="4"/>
  <c r="G140" i="4" s="1"/>
  <c r="AB180" i="4"/>
  <c r="G180" i="4" s="1"/>
  <c r="AB21" i="4"/>
  <c r="G21" i="4" s="1"/>
  <c r="AB149" i="4"/>
  <c r="G149" i="4" s="1"/>
  <c r="AA180" i="4"/>
  <c r="F180" i="4" s="1"/>
  <c r="AA21" i="4"/>
  <c r="F21" i="4" s="1"/>
  <c r="AA149" i="4"/>
  <c r="F149" i="4" s="1"/>
  <c r="Z182" i="4"/>
  <c r="E182" i="4" s="1"/>
  <c r="E221" i="19" s="1"/>
  <c r="Z72" i="4"/>
  <c r="E72" i="4" s="1"/>
  <c r="Z140" i="4"/>
  <c r="E140" i="4" s="1"/>
  <c r="AA178" i="4"/>
  <c r="F178" i="4" s="1"/>
  <c r="Z180" i="4"/>
  <c r="E180" i="4" s="1"/>
  <c r="Z21" i="4"/>
  <c r="E21" i="4" s="1"/>
  <c r="Z149" i="4"/>
  <c r="E149" i="4" s="1"/>
  <c r="AA97" i="4"/>
  <c r="F97" i="4" s="1"/>
  <c r="AA22" i="4"/>
  <c r="F22" i="4" s="1"/>
  <c r="AA73" i="4"/>
  <c r="F73" i="4" s="1"/>
  <c r="AA98" i="4"/>
  <c r="F98" i="4" s="1"/>
  <c r="Z178" i="4"/>
  <c r="E178" i="4" s="1"/>
  <c r="AD181" i="4"/>
  <c r="I181" i="4" s="1"/>
  <c r="AA182" i="4"/>
  <c r="F182" i="4" s="1"/>
  <c r="F221" i="19" s="1"/>
  <c r="AA72" i="4"/>
  <c r="F72" i="4" s="1"/>
  <c r="AA140" i="4"/>
  <c r="F140" i="4" s="1"/>
  <c r="Z97" i="4"/>
  <c r="E97" i="4" s="1"/>
  <c r="Z22" i="4"/>
  <c r="E22" i="4" s="1"/>
  <c r="Z73" i="4"/>
  <c r="E73" i="4" s="1"/>
  <c r="Z98" i="4"/>
  <c r="E98" i="4" s="1"/>
  <c r="AD137" i="4"/>
  <c r="I137" i="4" s="1"/>
  <c r="AD226" i="4"/>
  <c r="I226" i="4" s="1"/>
  <c r="AD158" i="4"/>
  <c r="I158" i="4" s="1"/>
  <c r="AD94" i="4"/>
  <c r="I94" i="4" s="1"/>
  <c r="AD45" i="4"/>
  <c r="I45" i="4" s="1"/>
  <c r="AD139" i="4"/>
  <c r="I139" i="4" s="1"/>
  <c r="AD231" i="4"/>
  <c r="I231" i="4" s="1"/>
  <c r="I643" i="18" s="1"/>
  <c r="AD227" i="4"/>
  <c r="I227" i="4" s="1"/>
  <c r="AD39" i="4"/>
  <c r="I39" i="4" s="1"/>
  <c r="AD40" i="4"/>
  <c r="I40" i="4" s="1"/>
  <c r="AD31" i="4"/>
  <c r="I31" i="4" s="1"/>
  <c r="AD41" i="4"/>
  <c r="I41" i="4" s="1"/>
  <c r="AD136" i="4"/>
  <c r="I136" i="4" s="1"/>
  <c r="AD205" i="4"/>
  <c r="I205" i="4" s="1"/>
  <c r="AD146" i="4"/>
  <c r="I146" i="4" s="1"/>
  <c r="AD230" i="4"/>
  <c r="I230" i="4" s="1"/>
  <c r="AD88" i="4"/>
  <c r="I88" i="4" s="1"/>
  <c r="AD63" i="4"/>
  <c r="I63" i="4" s="1"/>
  <c r="AD12" i="4"/>
  <c r="I12" i="4" s="1"/>
  <c r="AD89" i="4"/>
  <c r="I89" i="4" s="1"/>
  <c r="AD64" i="4"/>
  <c r="I64" i="4" s="1"/>
  <c r="AD13" i="4"/>
  <c r="I13" i="4" s="1"/>
  <c r="AD174" i="4"/>
  <c r="I174" i="4" s="1"/>
  <c r="I230" i="19" s="1"/>
  <c r="AD177" i="4"/>
  <c r="I177" i="4" s="1"/>
  <c r="AD145" i="4"/>
  <c r="I145" i="4" s="1"/>
  <c r="AD26" i="4"/>
  <c r="I26" i="4" s="1"/>
  <c r="AD173" i="4"/>
  <c r="I173" i="4" s="1"/>
  <c r="I227" i="19" s="1"/>
  <c r="AD193" i="4"/>
  <c r="I193" i="4" s="1"/>
  <c r="AD198" i="4"/>
  <c r="I198" i="4" s="1"/>
  <c r="AD199" i="4"/>
  <c r="I199" i="4" s="1"/>
  <c r="I93" i="2" s="1"/>
  <c r="AC174" i="4"/>
  <c r="H174" i="4" s="1"/>
  <c r="H230" i="19" s="1"/>
  <c r="AC177" i="4"/>
  <c r="H177" i="4" s="1"/>
  <c r="AD194" i="4"/>
  <c r="I194" i="4" s="1"/>
  <c r="AD191" i="4"/>
  <c r="I191" i="4" s="1"/>
  <c r="AD192" i="4"/>
  <c r="I192" i="4" s="1"/>
  <c r="I680" i="6" s="1"/>
  <c r="AC181" i="4"/>
  <c r="H181" i="4" s="1"/>
  <c r="AC158" i="4"/>
  <c r="H158" i="4" s="1"/>
  <c r="AC94" i="4"/>
  <c r="H94" i="4" s="1"/>
  <c r="AC45" i="4"/>
  <c r="H45" i="4" s="1"/>
  <c r="AC139" i="4"/>
  <c r="H139" i="4" s="1"/>
  <c r="AC231" i="4"/>
  <c r="H231" i="4" s="1"/>
  <c r="H643" i="18" s="1"/>
  <c r="AC227" i="4"/>
  <c r="H227" i="4" s="1"/>
  <c r="AD77" i="4"/>
  <c r="I77" i="4" s="1"/>
  <c r="AD102" i="4"/>
  <c r="I102" i="4" s="1"/>
  <c r="AD203" i="4"/>
  <c r="I203" i="4" s="1"/>
  <c r="I82" i="2" s="1"/>
  <c r="AD200" i="4"/>
  <c r="I200" i="4" s="1"/>
  <c r="I732" i="6" s="1"/>
  <c r="I734" i="6" s="1"/>
  <c r="I163" i="2" s="1"/>
  <c r="AC31" i="4"/>
  <c r="H31" i="4" s="1"/>
  <c r="AC41" i="4"/>
  <c r="H41" i="4" s="1"/>
  <c r="AC136" i="4"/>
  <c r="H136" i="4" s="1"/>
  <c r="AC205" i="4"/>
  <c r="H205" i="4" s="1"/>
  <c r="AC146" i="4"/>
  <c r="H146" i="4" s="1"/>
  <c r="AC230" i="4"/>
  <c r="H230" i="4" s="1"/>
  <c r="AC192" i="4"/>
  <c r="H192" i="4" s="1"/>
  <c r="H680" i="6" s="1"/>
  <c r="AB181" i="4"/>
  <c r="G181" i="4" s="1"/>
  <c r="AB158" i="4"/>
  <c r="G158" i="4" s="1"/>
  <c r="AB94" i="4"/>
  <c r="G94" i="4" s="1"/>
  <c r="AB45" i="4"/>
  <c r="G45" i="4" s="1"/>
  <c r="AC226" i="4"/>
  <c r="H226" i="4" s="1"/>
  <c r="AC77" i="4"/>
  <c r="H77" i="4" s="1"/>
  <c r="AC102" i="4"/>
  <c r="H102" i="4" s="1"/>
  <c r="AC203" i="4"/>
  <c r="H203" i="4" s="1"/>
  <c r="H82" i="2" s="1"/>
  <c r="AC200" i="4"/>
  <c r="H200" i="4" s="1"/>
  <c r="H732" i="6" s="1"/>
  <c r="H734" i="6" s="1"/>
  <c r="H163" i="2" s="1"/>
  <c r="AB31" i="4"/>
  <c r="G31" i="4" s="1"/>
  <c r="AB41" i="4"/>
  <c r="G41" i="4" s="1"/>
  <c r="AC145" i="4"/>
  <c r="H145" i="4" s="1"/>
  <c r="AC137" i="4"/>
  <c r="H137" i="4" s="1"/>
  <c r="AC39" i="4"/>
  <c r="H39" i="4" s="1"/>
  <c r="AC40" i="4"/>
  <c r="H40" i="4" s="1"/>
  <c r="AC26" i="4"/>
  <c r="H26" i="4" s="1"/>
  <c r="AC173" i="4"/>
  <c r="H173" i="4" s="1"/>
  <c r="H227" i="19" s="1"/>
  <c r="AC193" i="4"/>
  <c r="H193" i="4" s="1"/>
  <c r="AC198" i="4"/>
  <c r="H198" i="4" s="1"/>
  <c r="AC199" i="4"/>
  <c r="H199" i="4" s="1"/>
  <c r="H93" i="2" s="1"/>
  <c r="AB174" i="4"/>
  <c r="G174" i="4" s="1"/>
  <c r="G230" i="19" s="1"/>
  <c r="AB177" i="4"/>
  <c r="G177" i="4" s="1"/>
  <c r="AC88" i="4"/>
  <c r="H88" i="4" s="1"/>
  <c r="AC63" i="4"/>
  <c r="H63" i="4" s="1"/>
  <c r="AC12" i="4"/>
  <c r="H12" i="4" s="1"/>
  <c r="AC89" i="4"/>
  <c r="H89" i="4" s="1"/>
  <c r="AC64" i="4"/>
  <c r="H64" i="4" s="1"/>
  <c r="AC13" i="4"/>
  <c r="H13" i="4" s="1"/>
  <c r="AC194" i="4"/>
  <c r="H194" i="4" s="1"/>
  <c r="AC191" i="4"/>
  <c r="H191" i="4" s="1"/>
  <c r="AB137" i="4"/>
  <c r="G137" i="4" s="1"/>
  <c r="AB226" i="4"/>
  <c r="G226" i="4" s="1"/>
  <c r="AB77" i="4"/>
  <c r="G77" i="4" s="1"/>
  <c r="AB102" i="4"/>
  <c r="G102" i="4" s="1"/>
  <c r="AB203" i="4"/>
  <c r="G203" i="4" s="1"/>
  <c r="G82" i="2" s="1"/>
  <c r="AB200" i="4"/>
  <c r="G200" i="4" s="1"/>
  <c r="G732" i="6" s="1"/>
  <c r="G734" i="6" s="1"/>
  <c r="G163" i="2" s="1"/>
  <c r="AA31" i="4"/>
  <c r="F31" i="4" s="1"/>
  <c r="AA41" i="4"/>
  <c r="F41" i="4" s="1"/>
  <c r="AB139" i="4"/>
  <c r="G139" i="4" s="1"/>
  <c r="AB231" i="4"/>
  <c r="G231" i="4" s="1"/>
  <c r="G643" i="18" s="1"/>
  <c r="AB227" i="4"/>
  <c r="G227" i="4" s="1"/>
  <c r="AB39" i="4"/>
  <c r="G39" i="4" s="1"/>
  <c r="AB40" i="4"/>
  <c r="G40" i="4" s="1"/>
  <c r="AB26" i="4"/>
  <c r="G26" i="4" s="1"/>
  <c r="AB173" i="4"/>
  <c r="G173" i="4" s="1"/>
  <c r="G227" i="19" s="1"/>
  <c r="AB193" i="4"/>
  <c r="G193" i="4" s="1"/>
  <c r="AB198" i="4"/>
  <c r="G198" i="4" s="1"/>
  <c r="AB199" i="4"/>
  <c r="G199" i="4" s="1"/>
  <c r="G93" i="2" s="1"/>
  <c r="AA174" i="4"/>
  <c r="F174" i="4" s="1"/>
  <c r="F230" i="19" s="1"/>
  <c r="AA177" i="4"/>
  <c r="F177" i="4" s="1"/>
  <c r="AB136" i="4"/>
  <c r="G136" i="4" s="1"/>
  <c r="AB205" i="4"/>
  <c r="G205" i="4" s="1"/>
  <c r="AB146" i="4"/>
  <c r="G146" i="4" s="1"/>
  <c r="AB230" i="4"/>
  <c r="G230" i="4" s="1"/>
  <c r="AB88" i="4"/>
  <c r="G88" i="4" s="1"/>
  <c r="AB63" i="4"/>
  <c r="G63" i="4" s="1"/>
  <c r="AB12" i="4"/>
  <c r="G12" i="4" s="1"/>
  <c r="AB89" i="4"/>
  <c r="G89" i="4" s="1"/>
  <c r="AB64" i="4"/>
  <c r="G64" i="4" s="1"/>
  <c r="AB13" i="4"/>
  <c r="G13" i="4" s="1"/>
  <c r="AB194" i="4"/>
  <c r="G194" i="4" s="1"/>
  <c r="AB191" i="4"/>
  <c r="G191" i="4" s="1"/>
  <c r="AB145" i="4"/>
  <c r="G145" i="4" s="1"/>
  <c r="AB192" i="4"/>
  <c r="G192" i="4" s="1"/>
  <c r="G680" i="6" s="1"/>
  <c r="AA181" i="4"/>
  <c r="F181" i="4" s="1"/>
  <c r="AA158" i="4"/>
  <c r="F158" i="4" s="1"/>
  <c r="AA94" i="4"/>
  <c r="F94" i="4" s="1"/>
  <c r="AA45" i="4"/>
  <c r="F45" i="4" s="1"/>
  <c r="AA137" i="4"/>
  <c r="F137" i="4" s="1"/>
  <c r="AA226" i="4"/>
  <c r="F226" i="4" s="1"/>
  <c r="AA77" i="4"/>
  <c r="F77" i="4" s="1"/>
  <c r="AA102" i="4"/>
  <c r="F102" i="4" s="1"/>
  <c r="AA203" i="4"/>
  <c r="F203" i="4" s="1"/>
  <c r="F82" i="2" s="1"/>
  <c r="AA200" i="4"/>
  <c r="F200" i="4" s="1"/>
  <c r="F732" i="6" s="1"/>
  <c r="F734" i="6" s="1"/>
  <c r="F163" i="2" s="1"/>
  <c r="Z31" i="4"/>
  <c r="E31" i="4" s="1"/>
  <c r="Z137" i="4"/>
  <c r="E137" i="4" s="1"/>
  <c r="Z226" i="4"/>
  <c r="E226" i="4" s="1"/>
  <c r="Z77" i="4"/>
  <c r="E77" i="4" s="1"/>
  <c r="Z102" i="4"/>
  <c r="E102" i="4" s="1"/>
  <c r="Z203" i="4"/>
  <c r="E203" i="4" s="1"/>
  <c r="E82" i="2" s="1"/>
  <c r="Z200" i="4"/>
  <c r="E200" i="4" s="1"/>
  <c r="E732" i="6" s="1"/>
  <c r="AA139" i="4"/>
  <c r="F139" i="4" s="1"/>
  <c r="AA231" i="4"/>
  <c r="F231" i="4" s="1"/>
  <c r="F643" i="18" s="1"/>
  <c r="AA227" i="4"/>
  <c r="F227" i="4" s="1"/>
  <c r="AA39" i="4"/>
  <c r="F39" i="4" s="1"/>
  <c r="AA40" i="4"/>
  <c r="F40" i="4" s="1"/>
  <c r="AA26" i="4"/>
  <c r="F26" i="4" s="1"/>
  <c r="AA173" i="4"/>
  <c r="F173" i="4" s="1"/>
  <c r="F227" i="19" s="1"/>
  <c r="AA193" i="4"/>
  <c r="F193" i="4" s="1"/>
  <c r="AA198" i="4"/>
  <c r="F198" i="4" s="1"/>
  <c r="AA199" i="4"/>
  <c r="F199" i="4" s="1"/>
  <c r="F93" i="2" s="1"/>
  <c r="Z94" i="4"/>
  <c r="E94" i="4" s="1"/>
  <c r="Z45" i="4"/>
  <c r="E45" i="4" s="1"/>
  <c r="Z139" i="4"/>
  <c r="E139" i="4" s="1"/>
  <c r="Z231" i="4"/>
  <c r="E231" i="4" s="1"/>
  <c r="Z227" i="4"/>
  <c r="E227" i="4" s="1"/>
  <c r="Z39" i="4"/>
  <c r="E39" i="4" s="1"/>
  <c r="Z40" i="4"/>
  <c r="E40" i="4" s="1"/>
  <c r="Z26" i="4"/>
  <c r="E26" i="4" s="1"/>
  <c r="Z173" i="4"/>
  <c r="E173" i="4" s="1"/>
  <c r="E227" i="19" s="1"/>
  <c r="Z193" i="4"/>
  <c r="E193" i="4" s="1"/>
  <c r="Z198" i="4"/>
  <c r="E198" i="4" s="1"/>
  <c r="Z199" i="4"/>
  <c r="E199" i="4" s="1"/>
  <c r="E93" i="2" s="1"/>
  <c r="AA136" i="4"/>
  <c r="F136" i="4" s="1"/>
  <c r="AA205" i="4"/>
  <c r="F205" i="4" s="1"/>
  <c r="AA146" i="4"/>
  <c r="F146" i="4" s="1"/>
  <c r="AA230" i="4"/>
  <c r="F230" i="4" s="1"/>
  <c r="AA88" i="4"/>
  <c r="F88" i="4" s="1"/>
  <c r="AA63" i="4"/>
  <c r="F63" i="4" s="1"/>
  <c r="AA12" i="4"/>
  <c r="F12" i="4" s="1"/>
  <c r="AA89" i="4"/>
  <c r="F89" i="4" s="1"/>
  <c r="AA64" i="4"/>
  <c r="F64" i="4" s="1"/>
  <c r="AA13" i="4"/>
  <c r="F13" i="4" s="1"/>
  <c r="AA194" i="4"/>
  <c r="F194" i="4" s="1"/>
  <c r="AA191" i="4"/>
  <c r="F191" i="4" s="1"/>
  <c r="Z41" i="4"/>
  <c r="E41" i="4" s="1"/>
  <c r="Z136" i="4"/>
  <c r="E136" i="4" s="1"/>
  <c r="Z205" i="4"/>
  <c r="E205" i="4" s="1"/>
  <c r="Z146" i="4"/>
  <c r="E146" i="4" s="1"/>
  <c r="Z230" i="4"/>
  <c r="E230" i="4" s="1"/>
  <c r="Z88" i="4"/>
  <c r="E88" i="4" s="1"/>
  <c r="Z63" i="4"/>
  <c r="E63" i="4" s="1"/>
  <c r="Z12" i="4"/>
  <c r="E12" i="4" s="1"/>
  <c r="Z89" i="4"/>
  <c r="E89" i="4" s="1"/>
  <c r="Z64" i="4"/>
  <c r="E64" i="4" s="1"/>
  <c r="Z13" i="4"/>
  <c r="E13" i="4" s="1"/>
  <c r="Z194" i="4"/>
  <c r="E194" i="4" s="1"/>
  <c r="Z191" i="4"/>
  <c r="E191" i="4" s="1"/>
  <c r="AA145" i="4"/>
  <c r="F145" i="4" s="1"/>
  <c r="AA192" i="4"/>
  <c r="F192" i="4" s="1"/>
  <c r="F680" i="6" s="1"/>
  <c r="Z181" i="4"/>
  <c r="E181" i="4" s="1"/>
  <c r="Z158" i="4"/>
  <c r="E158" i="4" s="1"/>
  <c r="Z174" i="4"/>
  <c r="E174" i="4" s="1"/>
  <c r="E230" i="19" s="1"/>
  <c r="Z177" i="4"/>
  <c r="E177" i="4" s="1"/>
  <c r="Z145" i="4"/>
  <c r="E145" i="4" s="1"/>
  <c r="Z192" i="4"/>
  <c r="E192" i="4" s="1"/>
  <c r="E680" i="6" s="1"/>
  <c r="AD51" i="4"/>
  <c r="I51" i="4" s="1"/>
  <c r="AD52" i="4"/>
  <c r="I52" i="4" s="1"/>
  <c r="AB51" i="4"/>
  <c r="G51" i="4" s="1"/>
  <c r="AB52" i="4"/>
  <c r="G52" i="4" s="1"/>
  <c r="Z51" i="4"/>
  <c r="E51" i="4" s="1"/>
  <c r="Z52" i="4"/>
  <c r="E52" i="4" s="1"/>
  <c r="AC51" i="4"/>
  <c r="H51" i="4" s="1"/>
  <c r="AC52" i="4"/>
  <c r="H52" i="4" s="1"/>
  <c r="AA51" i="4"/>
  <c r="F51" i="4" s="1"/>
  <c r="AA52" i="4"/>
  <c r="F52" i="4" s="1"/>
  <c r="AB43" i="4"/>
  <c r="G43" i="4" s="1"/>
  <c r="AB53" i="4"/>
  <c r="G53" i="4" s="1"/>
  <c r="AC162" i="4"/>
  <c r="H162" i="4" s="1"/>
  <c r="Z162" i="4"/>
  <c r="E162" i="4" s="1"/>
  <c r="AD43" i="4"/>
  <c r="I43" i="4" s="1"/>
  <c r="AD53" i="4"/>
  <c r="I53" i="4" s="1"/>
  <c r="AC170" i="4"/>
  <c r="H170" i="4" s="1"/>
  <c r="H547" i="19" s="1"/>
  <c r="AC169" i="4"/>
  <c r="H169" i="4" s="1"/>
  <c r="H546" i="19" s="1"/>
  <c r="AA170" i="4"/>
  <c r="F170" i="4" s="1"/>
  <c r="F547" i="19" s="1"/>
  <c r="AA169" i="4"/>
  <c r="F169" i="4" s="1"/>
  <c r="F546" i="19" s="1"/>
  <c r="AA43" i="4"/>
  <c r="F43" i="4" s="1"/>
  <c r="AA53" i="4"/>
  <c r="F53" i="4" s="1"/>
  <c r="Z43" i="4"/>
  <c r="E43" i="4" s="1"/>
  <c r="Z53" i="4"/>
  <c r="E53" i="4" s="1"/>
  <c r="AD54" i="4"/>
  <c r="Z113" i="4"/>
  <c r="AC125" i="4"/>
  <c r="AC186" i="4"/>
  <c r="AB33" i="4"/>
  <c r="G33" i="4" s="1"/>
  <c r="Z35" i="4"/>
  <c r="E35" i="4" s="1"/>
  <c r="AC36" i="4"/>
  <c r="H36" i="4" s="1"/>
  <c r="AA48" i="4"/>
  <c r="F48" i="4" s="1"/>
  <c r="AD49" i="4"/>
  <c r="I49" i="4" s="1"/>
  <c r="AA113" i="4"/>
  <c r="AD120" i="4"/>
  <c r="Z126" i="4"/>
  <c r="AB131" i="4"/>
  <c r="AD152" i="4"/>
  <c r="AC172" i="4"/>
  <c r="Z188" i="4"/>
  <c r="AA255" i="4"/>
  <c r="AD251" i="4"/>
  <c r="AB225" i="4"/>
  <c r="AD225" i="4"/>
  <c r="AA68" i="4"/>
  <c r="F68" i="4" s="1"/>
  <c r="Z81" i="4"/>
  <c r="AB115" i="4"/>
  <c r="AA129" i="4"/>
  <c r="AD163" i="4"/>
  <c r="I163" i="4" s="1"/>
  <c r="AD171" i="4"/>
  <c r="Z249" i="4"/>
  <c r="Z83" i="4"/>
  <c r="E83" i="4" s="1"/>
  <c r="AB93" i="4"/>
  <c r="G93" i="4" s="1"/>
  <c r="AB108" i="4"/>
  <c r="Z119" i="4"/>
  <c r="Z134" i="4"/>
  <c r="AC183" i="4"/>
  <c r="AC54" i="4"/>
  <c r="AC113" i="4"/>
  <c r="Z121" i="4"/>
  <c r="AB126" i="4"/>
  <c r="AD131" i="4"/>
  <c r="AA142" i="4"/>
  <c r="F142" i="4" s="1"/>
  <c r="AA161" i="4"/>
  <c r="AA171" i="4"/>
  <c r="Z187" i="4"/>
  <c r="AA225" i="4"/>
  <c r="AD234" i="4"/>
  <c r="AB252" i="4"/>
  <c r="AD258" i="4"/>
  <c r="AA254" i="4"/>
  <c r="AB207" i="4"/>
  <c r="G207" i="4" s="1"/>
  <c r="AC201" i="4"/>
  <c r="H201" i="4" s="1"/>
  <c r="AC234" i="4"/>
  <c r="AA7" i="4"/>
  <c r="F7" i="4" s="1"/>
  <c r="AB29" i="4"/>
  <c r="G29" i="4" s="1"/>
  <c r="Z34" i="4"/>
  <c r="E34" i="4" s="1"/>
  <c r="AD44" i="4"/>
  <c r="I44" i="4" s="1"/>
  <c r="AB54" i="4"/>
  <c r="AB113" i="4"/>
  <c r="AA126" i="4"/>
  <c r="Z6" i="4"/>
  <c r="E6" i="4" s="1"/>
  <c r="AD29" i="4"/>
  <c r="I29" i="4" s="1"/>
  <c r="Z75" i="4"/>
  <c r="E75" i="4" s="1"/>
  <c r="AD111" i="4"/>
  <c r="AC151" i="4"/>
  <c r="AC166" i="4"/>
  <c r="H166" i="4" s="1"/>
  <c r="AA6" i="4"/>
  <c r="F6" i="4" s="1"/>
  <c r="AA24" i="4"/>
  <c r="F24" i="4" s="1"/>
  <c r="AA32" i="4"/>
  <c r="F32" i="4" s="1"/>
  <c r="AB35" i="4"/>
  <c r="G35" i="4" s="1"/>
  <c r="AB49" i="4"/>
  <c r="G49" i="4" s="1"/>
  <c r="Z68" i="4"/>
  <c r="E68" i="4" s="1"/>
  <c r="AA80" i="4"/>
  <c r="F80" i="4" s="1"/>
  <c r="AA85" i="4"/>
  <c r="F85" i="4" s="1"/>
  <c r="AC101" i="4"/>
  <c r="H101" i="4" s="1"/>
  <c r="AA118" i="4"/>
  <c r="AB129" i="4"/>
  <c r="AC161" i="4"/>
  <c r="AB190" i="4"/>
  <c r="AC249" i="4"/>
  <c r="AA202" i="4"/>
  <c r="F202" i="4" s="1"/>
  <c r="F749" i="6" s="1"/>
  <c r="Z114" i="4"/>
  <c r="AD143" i="4"/>
  <c r="AC190" i="4"/>
  <c r="Z225" i="4"/>
  <c r="AC124" i="4"/>
  <c r="AC152" i="4"/>
  <c r="AC114" i="4"/>
  <c r="Z127" i="4"/>
  <c r="AC163" i="4"/>
  <c r="H163" i="4" s="1"/>
  <c r="AD187" i="4"/>
  <c r="AD202" i="4"/>
  <c r="I202" i="4" s="1"/>
  <c r="I749" i="6" s="1"/>
  <c r="Z250" i="4"/>
  <c r="AA17" i="4"/>
  <c r="F17" i="4" s="1"/>
  <c r="AA128" i="4"/>
  <c r="AD125" i="4"/>
  <c r="AC160" i="4"/>
  <c r="H160" i="4" s="1"/>
  <c r="AD183" i="4"/>
  <c r="AC251" i="4"/>
  <c r="AB249" i="4"/>
  <c r="AC254" i="4"/>
  <c r="AD101" i="4"/>
  <c r="I101" i="4" s="1"/>
  <c r="AA152" i="4"/>
  <c r="Z36" i="4"/>
  <c r="E36" i="4" s="1"/>
  <c r="AC55" i="4"/>
  <c r="Z123" i="4"/>
  <c r="AD162" i="4"/>
  <c r="I162" i="4" s="1"/>
  <c r="AB186" i="4"/>
  <c r="AC232" i="4"/>
  <c r="H232" i="4" s="1"/>
  <c r="H229" i="19" s="1"/>
  <c r="AD254" i="4"/>
  <c r="AB232" i="4"/>
  <c r="G232" i="4" s="1"/>
  <c r="G229" i="19" s="1"/>
  <c r="AA123" i="4"/>
  <c r="AC25" i="4"/>
  <c r="H25" i="4" s="1"/>
  <c r="AB114" i="4"/>
  <c r="Z165" i="4"/>
  <c r="E165" i="4" s="1"/>
  <c r="AA81" i="4"/>
  <c r="AA116" i="4"/>
  <c r="AD170" i="4"/>
  <c r="I170" i="4" s="1"/>
  <c r="I547" i="19" s="1"/>
  <c r="AA206" i="4"/>
  <c r="Z169" i="4"/>
  <c r="E169" i="4" s="1"/>
  <c r="Z257" i="4"/>
  <c r="AC17" i="4"/>
  <c r="H17" i="4" s="1"/>
  <c r="Z29" i="4"/>
  <c r="E29" i="4" s="1"/>
  <c r="AD57" i="4"/>
  <c r="I57" i="4" s="1"/>
  <c r="AD75" i="4"/>
  <c r="I75" i="4" s="1"/>
  <c r="AB81" i="4"/>
  <c r="AD115" i="4"/>
  <c r="AC129" i="4"/>
  <c r="AB160" i="4"/>
  <c r="G160" i="4" s="1"/>
  <c r="AD165" i="4"/>
  <c r="I165" i="4" s="1"/>
  <c r="AA190" i="4"/>
  <c r="AB7" i="4"/>
  <c r="G7" i="4" s="1"/>
  <c r="AD17" i="4"/>
  <c r="I17" i="4" s="1"/>
  <c r="AB25" i="4"/>
  <c r="G25" i="4" s="1"/>
  <c r="AA30" i="4"/>
  <c r="Z58" i="4"/>
  <c r="E58" i="4" s="1"/>
  <c r="AB68" i="4"/>
  <c r="G68" i="4" s="1"/>
  <c r="Z76" i="4"/>
  <c r="E76" i="4" s="1"/>
  <c r="AC80" i="4"/>
  <c r="H80" i="4" s="1"/>
  <c r="Z84" i="4"/>
  <c r="E84" i="4" s="1"/>
  <c r="AC85" i="4"/>
  <c r="H85" i="4" s="1"/>
  <c r="AB100" i="4"/>
  <c r="G100" i="4" s="1"/>
  <c r="AA107" i="4"/>
  <c r="AA115" i="4"/>
  <c r="Z122" i="4"/>
  <c r="AB127" i="4"/>
  <c r="AD132" i="4"/>
  <c r="AD169" i="4"/>
  <c r="I169" i="4" s="1"/>
  <c r="I546" i="19" s="1"/>
  <c r="Z184" i="4"/>
  <c r="AC189" i="4"/>
  <c r="AA207" i="4"/>
  <c r="F207" i="4" s="1"/>
  <c r="AB250" i="4"/>
  <c r="AD256" i="4"/>
  <c r="Z206" i="4"/>
  <c r="AD30" i="4"/>
  <c r="AA84" i="4"/>
  <c r="F84" i="4" s="1"/>
  <c r="AD93" i="4"/>
  <c r="I93" i="4" s="1"/>
  <c r="AB107" i="4"/>
  <c r="Z118" i="4"/>
  <c r="Z133" i="4"/>
  <c r="AA185" i="4"/>
  <c r="AD233" i="4"/>
  <c r="AC33" i="4"/>
  <c r="H33" i="4" s="1"/>
  <c r="AD36" i="4"/>
  <c r="I36" i="4" s="1"/>
  <c r="AD48" i="4"/>
  <c r="I48" i="4" s="1"/>
  <c r="Z111" i="4"/>
  <c r="AC122" i="4"/>
  <c r="Z142" i="4"/>
  <c r="E142" i="4" s="1"/>
  <c r="AC187" i="4"/>
  <c r="AC107" i="4"/>
  <c r="AC115" i="4"/>
  <c r="AB122" i="4"/>
  <c r="AD127" i="4"/>
  <c r="AA133" i="4"/>
  <c r="AD151" i="4"/>
  <c r="AB162" i="4"/>
  <c r="G162" i="4" s="1"/>
  <c r="Z164" i="4"/>
  <c r="E164" i="4" s="1"/>
  <c r="AC165" i="4"/>
  <c r="H165" i="4" s="1"/>
  <c r="AB169" i="4"/>
  <c r="G169" i="4" s="1"/>
  <c r="G546" i="19" s="1"/>
  <c r="Z183" i="4"/>
  <c r="AB188" i="4"/>
  <c r="Z202" i="4"/>
  <c r="E202" i="4" s="1"/>
  <c r="E749" i="6" s="1"/>
  <c r="AC228" i="4"/>
  <c r="H228" i="4" s="1"/>
  <c r="AC244" i="4"/>
  <c r="Z254" i="4"/>
  <c r="Z251" i="4"/>
  <c r="AD207" i="4"/>
  <c r="I207" i="4" s="1"/>
  <c r="AD81" i="4"/>
  <c r="Z116" i="4"/>
  <c r="AA130" i="4"/>
  <c r="Z143" i="4"/>
  <c r="AB172" i="4"/>
  <c r="Z117" i="4"/>
  <c r="AB163" i="4"/>
  <c r="G163" i="4" s="1"/>
  <c r="AB121" i="4"/>
  <c r="Z132" i="4"/>
  <c r="AC171" i="4"/>
  <c r="AC207" i="4"/>
  <c r="H207" i="4" s="1"/>
  <c r="AD252" i="4"/>
  <c r="AD259" i="4"/>
  <c r="AB80" i="4"/>
  <c r="G80" i="4" s="1"/>
  <c r="AA100" i="4"/>
  <c r="F100" i="4" s="1"/>
  <c r="AB119" i="4"/>
  <c r="AC164" i="4"/>
  <c r="H164" i="4" s="1"/>
  <c r="AB34" i="4"/>
  <c r="G34" i="4" s="1"/>
  <c r="AC49" i="4"/>
  <c r="H49" i="4" s="1"/>
  <c r="Z107" i="4"/>
  <c r="AC132" i="4"/>
  <c r="Z172" i="4"/>
  <c r="AC118" i="4"/>
  <c r="AD129" i="4"/>
  <c r="AD166" i="4"/>
  <c r="I166" i="4" s="1"/>
  <c r="AD190" i="4"/>
  <c r="AA253" i="4"/>
  <c r="Z259" i="4"/>
  <c r="AD206" i="4"/>
  <c r="Z44" i="4"/>
  <c r="E44" i="4" s="1"/>
  <c r="AB109" i="4"/>
  <c r="AB161" i="4"/>
  <c r="Z48" i="4"/>
  <c r="E48" i="4" s="1"/>
  <c r="AD109" i="4"/>
  <c r="AD161" i="4"/>
  <c r="Z131" i="4"/>
  <c r="AA189" i="4"/>
  <c r="Z258" i="4"/>
  <c r="AC202" i="4"/>
  <c r="H202" i="4" s="1"/>
  <c r="H749" i="6" s="1"/>
  <c r="Z55" i="4"/>
  <c r="AA166" i="4"/>
  <c r="F166" i="4" s="1"/>
  <c r="AC258" i="4"/>
  <c r="Z115" i="4"/>
  <c r="AC81" i="4"/>
  <c r="AB128" i="4"/>
  <c r="Z201" i="4"/>
  <c r="E201" i="4" s="1"/>
  <c r="Z233" i="4"/>
  <c r="Z93" i="4"/>
  <c r="E93" i="4" s="1"/>
  <c r="Z163" i="4"/>
  <c r="E163" i="4" s="1"/>
  <c r="AD232" i="4"/>
  <c r="I232" i="4" s="1"/>
  <c r="I229" i="19" s="1"/>
  <c r="AC127" i="4"/>
  <c r="Z25" i="4"/>
  <c r="E25" i="4" s="1"/>
  <c r="AA36" i="4"/>
  <c r="F36" i="4" s="1"/>
  <c r="AA55" i="4"/>
  <c r="AA93" i="4"/>
  <c r="F93" i="4" s="1"/>
  <c r="AD122" i="4"/>
  <c r="AC256" i="4"/>
  <c r="AD24" i="4"/>
  <c r="I24" i="4" s="1"/>
  <c r="AC68" i="4"/>
  <c r="H68" i="4" s="1"/>
  <c r="AB110" i="4"/>
  <c r="AD172" i="4"/>
  <c r="Z17" i="4"/>
  <c r="E17" i="4" s="1"/>
  <c r="AA29" i="4"/>
  <c r="F29" i="4" s="1"/>
  <c r="AA57" i="4"/>
  <c r="F57" i="4" s="1"/>
  <c r="AA75" i="4"/>
  <c r="F75" i="4" s="1"/>
  <c r="AA83" i="4"/>
  <c r="F83" i="4" s="1"/>
  <c r="AC93" i="4"/>
  <c r="H93" i="4" s="1"/>
  <c r="AA111" i="4"/>
  <c r="AD124" i="4"/>
  <c r="AB151" i="4"/>
  <c r="AD186" i="4"/>
  <c r="AA232" i="4"/>
  <c r="F232" i="4" s="1"/>
  <c r="F229" i="19" s="1"/>
  <c r="AC253" i="4"/>
  <c r="Z255" i="4"/>
  <c r="AB251" i="4"/>
  <c r="Z101" i="4"/>
  <c r="E101" i="4" s="1"/>
  <c r="AA125" i="4"/>
  <c r="Z32" i="4"/>
  <c r="E32" i="4" s="1"/>
  <c r="AB44" i="4"/>
  <c r="G44" i="4" s="1"/>
  <c r="AB116" i="4"/>
  <c r="AB143" i="4"/>
  <c r="AC111" i="4"/>
  <c r="Z125" i="4"/>
  <c r="AD164" i="4"/>
  <c r="I164" i="4" s="1"/>
  <c r="AB201" i="4"/>
  <c r="G201" i="4" s="1"/>
  <c r="AA233" i="4"/>
  <c r="AA257" i="4"/>
  <c r="AB257" i="4"/>
  <c r="Z4" i="4"/>
  <c r="AA122" i="4"/>
  <c r="AD160" i="4"/>
  <c r="I160" i="4" s="1"/>
  <c r="AA114" i="4"/>
  <c r="Z152" i="4"/>
  <c r="AC233" i="4"/>
  <c r="AA201" i="4"/>
  <c r="F201" i="4" s="1"/>
  <c r="AA58" i="4"/>
  <c r="F58" i="4" s="1"/>
  <c r="AD108" i="4"/>
  <c r="AA183" i="4"/>
  <c r="AD244" i="4"/>
  <c r="AB85" i="4"/>
  <c r="G85" i="4" s="1"/>
  <c r="AB124" i="4"/>
  <c r="AB152" i="4"/>
  <c r="AB170" i="4"/>
  <c r="G170" i="4" s="1"/>
  <c r="G547" i="19" s="1"/>
  <c r="AC259" i="4"/>
  <c r="AD34" i="4"/>
  <c r="I34" i="4" s="1"/>
  <c r="AA120" i="4"/>
  <c r="AD32" i="4"/>
  <c r="I32" i="4" s="1"/>
  <c r="AA187" i="4"/>
  <c r="AC100" i="4"/>
  <c r="H100" i="4" s="1"/>
  <c r="AC116" i="4"/>
  <c r="AD255" i="4"/>
  <c r="AB75" i="4"/>
  <c r="G75" i="4" s="1"/>
  <c r="Z33" i="4"/>
  <c r="E33" i="4" s="1"/>
  <c r="AC133" i="4"/>
  <c r="AA25" i="4"/>
  <c r="F25" i="4" s="1"/>
  <c r="AD55" i="4"/>
  <c r="AB58" i="4"/>
  <c r="G58" i="4" s="1"/>
  <c r="AB6" i="4"/>
  <c r="G6" i="4" s="1"/>
  <c r="Z232" i="4"/>
  <c r="E232" i="4" s="1"/>
  <c r="Z109" i="4"/>
  <c r="AA33" i="4"/>
  <c r="F33" i="4" s="1"/>
  <c r="AD119" i="4"/>
  <c r="AA250" i="4"/>
  <c r="AD130" i="4"/>
  <c r="Z170" i="4"/>
  <c r="E170" i="4" s="1"/>
  <c r="E547" i="19" s="1"/>
  <c r="AC250" i="4"/>
  <c r="AB118" i="4"/>
  <c r="AA4" i="4"/>
  <c r="AC32" i="4"/>
  <c r="H32" i="4" s="1"/>
  <c r="AD35" i="4"/>
  <c r="I35" i="4" s="1"/>
  <c r="Z49" i="4"/>
  <c r="E49" i="4" s="1"/>
  <c r="AA117" i="4"/>
  <c r="AD128" i="4"/>
  <c r="AB202" i="4"/>
  <c r="G202" i="4" s="1"/>
  <c r="G749" i="6" s="1"/>
  <c r="AB234" i="4"/>
  <c r="AB258" i="4"/>
  <c r="AD228" i="4"/>
  <c r="I228" i="4" s="1"/>
  <c r="AB57" i="4"/>
  <c r="G57" i="4" s="1"/>
  <c r="Z110" i="4"/>
  <c r="AA162" i="4"/>
  <c r="F162" i="4" s="1"/>
  <c r="Z189" i="4"/>
  <c r="AB101" i="4"/>
  <c r="G101" i="4" s="1"/>
  <c r="AC126" i="4"/>
  <c r="AC4" i="4"/>
  <c r="AC117" i="4"/>
  <c r="Z129" i="4"/>
  <c r="AA143" i="4"/>
  <c r="AB184" i="4"/>
  <c r="AA249" i="4"/>
  <c r="AB244" i="4"/>
  <c r="AD6" i="4"/>
  <c r="I6" i="4" s="1"/>
  <c r="AB30" i="4"/>
  <c r="Z80" i="4"/>
  <c r="E80" i="4" s="1"/>
  <c r="AC121" i="4"/>
  <c r="AA164" i="4"/>
  <c r="F164" i="4" s="1"/>
  <c r="AC6" i="4"/>
  <c r="H6" i="4" s="1"/>
  <c r="AC24" i="4"/>
  <c r="H24" i="4" s="1"/>
  <c r="AD58" i="4"/>
  <c r="I58" i="4" s="1"/>
  <c r="AD76" i="4"/>
  <c r="I76" i="4" s="1"/>
  <c r="AD84" i="4"/>
  <c r="I84" i="4" s="1"/>
  <c r="AA101" i="4"/>
  <c r="F101" i="4" s="1"/>
  <c r="AA119" i="4"/>
  <c r="Z130" i="4"/>
  <c r="AA244" i="4"/>
  <c r="AD85" i="4"/>
  <c r="I85" i="4" s="1"/>
  <c r="AD112" i="4"/>
  <c r="AB255" i="4"/>
  <c r="AA35" i="4"/>
  <c r="F35" i="4" s="1"/>
  <c r="AB55" i="4"/>
  <c r="AC130" i="4"/>
  <c r="AC30" i="4"/>
  <c r="AC119" i="4"/>
  <c r="AB130" i="4"/>
  <c r="AA163" i="4"/>
  <c r="F163" i="4" s="1"/>
  <c r="AB166" i="4"/>
  <c r="G166" i="4" s="1"/>
  <c r="AD185" i="4"/>
  <c r="AD250" i="4"/>
  <c r="AA234" i="4"/>
  <c r="AD249" i="4"/>
  <c r="AD110" i="4"/>
  <c r="AD189" i="4"/>
  <c r="AA252" i="4"/>
  <c r="AC131" i="4"/>
  <c r="AC188" i="4"/>
  <c r="AD126" i="4"/>
  <c r="AB187" i="4"/>
  <c r="AA259" i="4"/>
  <c r="Z85" i="4"/>
  <c r="E85" i="4" s="1"/>
  <c r="AB134" i="4"/>
  <c r="AC43" i="4"/>
  <c r="H43" i="4" s="1"/>
  <c r="AD117" i="4"/>
  <c r="AC110" i="4"/>
  <c r="AA165" i="4"/>
  <c r="F165" i="4" s="1"/>
  <c r="Z185" i="4"/>
  <c r="Z234" i="4"/>
  <c r="Z244" i="4"/>
  <c r="AC53" i="4"/>
  <c r="H53" i="4" s="1"/>
  <c r="AD83" i="4"/>
  <c r="I83" i="4" s="1"/>
  <c r="AB120" i="4"/>
  <c r="AA131" i="4"/>
  <c r="AC185" i="4"/>
  <c r="Z151" i="4"/>
  <c r="AC206" i="4"/>
  <c r="AB111" i="4"/>
  <c r="Z7" i="4"/>
  <c r="E7" i="4" s="1"/>
  <c r="AC48" i="4"/>
  <c r="H48" i="4" s="1"/>
  <c r="AA108" i="4"/>
  <c r="Z186" i="4"/>
  <c r="Z253" i="4"/>
  <c r="AB36" i="4"/>
  <c r="G36" i="4" s="1"/>
  <c r="AA132" i="4"/>
  <c r="AD253" i="4"/>
  <c r="AC29" i="4"/>
  <c r="H29" i="4" s="1"/>
  <c r="AA112" i="4"/>
  <c r="AD107" i="4"/>
  <c r="AB133" i="4"/>
  <c r="AA34" i="4"/>
  <c r="F34" i="4" s="1"/>
  <c r="AA44" i="4"/>
  <c r="F44" i="4" s="1"/>
  <c r="AA54" i="4"/>
  <c r="AA109" i="4"/>
  <c r="AB123" i="4"/>
  <c r="AC134" i="4"/>
  <c r="AB185" i="4"/>
  <c r="Z252" i="4"/>
  <c r="AA258" i="4"/>
  <c r="AD257" i="4"/>
  <c r="AA76" i="4"/>
  <c r="F76" i="4" s="1"/>
  <c r="AA121" i="4"/>
  <c r="AB165" i="4"/>
  <c r="G165" i="4" s="1"/>
  <c r="AB4" i="4"/>
  <c r="AC84" i="4"/>
  <c r="H84" i="4" s="1"/>
  <c r="AD113" i="4"/>
  <c r="AC109" i="4"/>
  <c r="AD123" i="4"/>
  <c r="AA160" i="4"/>
  <c r="F160" i="4" s="1"/>
  <c r="Z190" i="4"/>
  <c r="AC255" i="4"/>
  <c r="AB32" i="4"/>
  <c r="G32" i="4" s="1"/>
  <c r="AA49" i="4"/>
  <c r="F49" i="4" s="1"/>
  <c r="AD118" i="4"/>
  <c r="AA151" i="4"/>
  <c r="Z24" i="4"/>
  <c r="E24" i="4" s="1"/>
  <c r="AD80" i="4"/>
  <c r="I80" i="4" s="1"/>
  <c r="AD7" i="4"/>
  <c r="I7" i="4" s="1"/>
  <c r="AD33" i="4"/>
  <c r="I33" i="4" s="1"/>
  <c r="AC57" i="4"/>
  <c r="H57" i="4" s="1"/>
  <c r="AC83" i="4"/>
  <c r="H83" i="4" s="1"/>
  <c r="AA110" i="4"/>
  <c r="AC143" i="4"/>
  <c r="AB253" i="4"/>
  <c r="AD142" i="4"/>
  <c r="I142" i="4" s="1"/>
  <c r="AD121" i="4"/>
  <c r="AD201" i="4"/>
  <c r="I201" i="4" s="1"/>
  <c r="AB256" i="4"/>
  <c r="AC252" i="4"/>
  <c r="Z30" i="4"/>
  <c r="AD114" i="4"/>
  <c r="AA184" i="4"/>
  <c r="AC120" i="4"/>
  <c r="AC142" i="4"/>
  <c r="H142" i="4" s="1"/>
  <c r="AA228" i="4"/>
  <c r="F228" i="4" s="1"/>
  <c r="AB83" i="4"/>
  <c r="G83" i="4" s="1"/>
  <c r="Z54" i="4"/>
  <c r="AC108" i="4"/>
  <c r="Z166" i="4"/>
  <c r="E166" i="4" s="1"/>
  <c r="AD4" i="4"/>
  <c r="AD68" i="4"/>
  <c r="I68" i="4" s="1"/>
  <c r="Z128" i="4"/>
  <c r="AB254" i="4"/>
  <c r="AB206" i="4"/>
  <c r="Z160" i="4"/>
  <c r="E160" i="4" s="1"/>
  <c r="AC7" i="4"/>
  <c r="H7" i="4" s="1"/>
  <c r="AB183" i="4"/>
  <c r="AA124" i="4"/>
  <c r="AB76" i="4"/>
  <c r="G76" i="4" s="1"/>
  <c r="AA251" i="4"/>
  <c r="Z171" i="4"/>
  <c r="AC257" i="4"/>
  <c r="AC58" i="4"/>
  <c r="H58" i="4" s="1"/>
  <c r="AB24" i="4"/>
  <c r="G24" i="4" s="1"/>
  <c r="AA186" i="4"/>
  <c r="AB171" i="4"/>
  <c r="Z100" i="4"/>
  <c r="E100" i="4" s="1"/>
  <c r="AA127" i="4"/>
  <c r="AB132" i="4"/>
  <c r="AB164" i="4"/>
  <c r="G164" i="4" s="1"/>
  <c r="AD116" i="4"/>
  <c r="AC128" i="4"/>
  <c r="AB233" i="4"/>
  <c r="AB125" i="4"/>
  <c r="AB17" i="4"/>
  <c r="G17" i="4" s="1"/>
  <c r="Z112" i="4"/>
  <c r="Z228" i="4"/>
  <c r="E228" i="4" s="1"/>
  <c r="AC35" i="4"/>
  <c r="H35" i="4" s="1"/>
  <c r="AD25" i="4"/>
  <c r="I25" i="4" s="1"/>
  <c r="Z124" i="4"/>
  <c r="AB259" i="4"/>
  <c r="AA134" i="4"/>
  <c r="Z161" i="4"/>
  <c r="Z120" i="4"/>
  <c r="AB84" i="4"/>
  <c r="G84" i="4" s="1"/>
  <c r="AD134" i="4"/>
  <c r="Z108" i="4"/>
  <c r="Z57" i="4"/>
  <c r="E57" i="4" s="1"/>
  <c r="AC44" i="4"/>
  <c r="H44" i="4" s="1"/>
  <c r="AD184" i="4"/>
  <c r="AB228" i="4"/>
  <c r="G228" i="4" s="1"/>
  <c r="AB112" i="4"/>
  <c r="AA172" i="4"/>
  <c r="AC76" i="4"/>
  <c r="H76" i="4" s="1"/>
  <c r="AB117" i="4"/>
  <c r="AB142" i="4"/>
  <c r="G142" i="4" s="1"/>
  <c r="AD188" i="4"/>
  <c r="AD100" i="4"/>
  <c r="I100" i="4" s="1"/>
  <c r="AC75" i="4"/>
  <c r="H75" i="4" s="1"/>
  <c r="AB189" i="4"/>
  <c r="AA188" i="4"/>
  <c r="AD133" i="4"/>
  <c r="Z207" i="4"/>
  <c r="E207" i="4" s="1"/>
  <c r="AC184" i="4"/>
  <c r="AC225" i="4"/>
  <c r="AC123" i="4"/>
  <c r="AC112" i="4"/>
  <c r="AC34" i="4"/>
  <c r="H34" i="4" s="1"/>
  <c r="AA256" i="4"/>
  <c r="AB48" i="4"/>
  <c r="G48" i="4" s="1"/>
  <c r="Z256" i="4"/>
  <c r="F238" i="10"/>
  <c r="G238" i="10"/>
  <c r="J221" i="28"/>
  <c r="E91" i="11"/>
  <c r="E92" i="11" s="1"/>
  <c r="H221" i="26"/>
  <c r="H222" i="26" s="1"/>
  <c r="J219" i="27"/>
  <c r="D102" i="29"/>
  <c r="E102" i="29"/>
  <c r="E174" i="29" s="1"/>
  <c r="J174" i="29" s="1"/>
  <c r="I223" i="26"/>
  <c r="I224" i="26" s="1"/>
  <c r="J240" i="29"/>
  <c r="K240" i="29" s="1"/>
  <c r="F248" i="29" s="1"/>
  <c r="F257" i="29" s="1"/>
  <c r="G232" i="30"/>
  <c r="G236" i="30"/>
  <c r="AB155" i="4"/>
  <c r="G155" i="4" s="1"/>
  <c r="F197" i="8"/>
  <c r="F6" i="27" s="1"/>
  <c r="F662" i="19"/>
  <c r="L33" i="30"/>
  <c r="M33" i="30" s="1"/>
  <c r="L30" i="30"/>
  <c r="L32" i="30"/>
  <c r="M32" i="30" s="1"/>
  <c r="L36" i="30"/>
  <c r="L35" i="30"/>
  <c r="M35" i="30" s="1"/>
  <c r="L34" i="30"/>
  <c r="L31" i="30"/>
  <c r="M31" i="30" s="1"/>
  <c r="F232" i="29"/>
  <c r="L39" i="10"/>
  <c r="L40" i="10"/>
  <c r="L45" i="10"/>
  <c r="L44" i="10"/>
  <c r="L43" i="10"/>
  <c r="L42" i="10"/>
  <c r="L41" i="10"/>
  <c r="H238" i="10"/>
  <c r="H91" i="11"/>
  <c r="H92" i="11" s="1"/>
  <c r="D54" i="29"/>
  <c r="E54" i="29"/>
  <c r="E170" i="29" s="1"/>
  <c r="J170" i="29" s="1"/>
  <c r="G91" i="11"/>
  <c r="G92" i="11" s="1"/>
  <c r="I91" i="11"/>
  <c r="I92" i="11" s="1"/>
  <c r="D66" i="29"/>
  <c r="E66" i="29"/>
  <c r="E171" i="29" s="1"/>
  <c r="J171" i="29" s="1"/>
  <c r="D114" i="29"/>
  <c r="E114" i="29"/>
  <c r="E175" i="29" s="1"/>
  <c r="J175" i="29" s="1"/>
  <c r="I236" i="30"/>
  <c r="I232" i="30"/>
  <c r="J220" i="26"/>
  <c r="AC155" i="4"/>
  <c r="H155" i="4" s="1"/>
  <c r="C194" i="8"/>
  <c r="C201" i="8" s="1"/>
  <c r="E662" i="19"/>
  <c r="L102" i="30"/>
  <c r="L106" i="30"/>
  <c r="M106" i="30" s="1"/>
  <c r="L105" i="30"/>
  <c r="L103" i="30"/>
  <c r="M103" i="30" s="1"/>
  <c r="L108" i="30"/>
  <c r="L104" i="30"/>
  <c r="M104" i="30" s="1"/>
  <c r="L107" i="30"/>
  <c r="J236" i="29"/>
  <c r="K236" i="29" s="1"/>
  <c r="F244" i="29" s="1"/>
  <c r="F253" i="29" s="1"/>
  <c r="H166" i="3" l="1"/>
  <c r="G166" i="3"/>
  <c r="F166" i="3"/>
  <c r="I166" i="3"/>
  <c r="E166" i="3"/>
  <c r="I165" i="3"/>
  <c r="E165" i="3"/>
  <c r="H165" i="3"/>
  <c r="G165" i="3"/>
  <c r="F165" i="3"/>
  <c r="L165" i="3"/>
  <c r="F232" i="19"/>
  <c r="J184" i="10"/>
  <c r="E548" i="19"/>
  <c r="E160" i="19"/>
  <c r="E145" i="19"/>
  <c r="M14" i="55" s="1"/>
  <c r="E150" i="19"/>
  <c r="E304" i="2"/>
  <c r="E28" i="31" s="1"/>
  <c r="G160" i="19"/>
  <c r="G150" i="19"/>
  <c r="G145" i="19"/>
  <c r="G548" i="19"/>
  <c r="G304" i="2"/>
  <c r="F150" i="19"/>
  <c r="F548" i="19"/>
  <c r="F160" i="19"/>
  <c r="F304" i="2"/>
  <c r="F145" i="19"/>
  <c r="I548" i="19"/>
  <c r="I150" i="19"/>
  <c r="I145" i="19"/>
  <c r="I160" i="19"/>
  <c r="I304" i="2"/>
  <c r="H145" i="19"/>
  <c r="H548" i="19"/>
  <c r="H160" i="19"/>
  <c r="H304" i="2"/>
  <c r="H28" i="31" s="1"/>
  <c r="H150" i="19"/>
  <c r="H232" i="19"/>
  <c r="I232" i="19"/>
  <c r="G232" i="19"/>
  <c r="E232" i="19"/>
  <c r="J185" i="28"/>
  <c r="I102" i="7"/>
  <c r="F102" i="7"/>
  <c r="G102" i="7"/>
  <c r="J183" i="27"/>
  <c r="H102" i="7"/>
  <c r="E546" i="19"/>
  <c r="M393" i="8"/>
  <c r="F194" i="8"/>
  <c r="F201" i="8" s="1"/>
  <c r="M412" i="8"/>
  <c r="M107" i="30"/>
  <c r="M105" i="30"/>
  <c r="M34" i="30"/>
  <c r="M30" i="30"/>
  <c r="M108" i="30"/>
  <c r="M102" i="30"/>
  <c r="M36" i="30"/>
  <c r="L166" i="3"/>
  <c r="I505" i="18"/>
  <c r="H505" i="18"/>
  <c r="E505" i="18"/>
  <c r="K398" i="18"/>
  <c r="G505" i="18"/>
  <c r="M400" i="8"/>
  <c r="M398" i="8"/>
  <c r="F4" i="10"/>
  <c r="F288" i="18"/>
  <c r="G17" i="57"/>
  <c r="G288" i="18"/>
  <c r="H288" i="18"/>
  <c r="I288" i="18"/>
  <c r="E288" i="18"/>
  <c r="F5" i="10"/>
  <c r="D14" i="10" s="1"/>
  <c r="E470" i="18"/>
  <c r="H470" i="18"/>
  <c r="G17" i="60"/>
  <c r="F470" i="18"/>
  <c r="G470" i="18"/>
  <c r="I470" i="18"/>
  <c r="K771" i="19"/>
  <c r="K589" i="18"/>
  <c r="I17" i="60"/>
  <c r="E144" i="6"/>
  <c r="E399" i="6"/>
  <c r="F144" i="6"/>
  <c r="F399" i="6"/>
  <c r="I144" i="6"/>
  <c r="I399" i="6"/>
  <c r="G144" i="6"/>
  <c r="G399" i="6"/>
  <c r="H144" i="6"/>
  <c r="H399" i="6"/>
  <c r="L107" i="29"/>
  <c r="M107" i="29" s="1"/>
  <c r="L106" i="29"/>
  <c r="M106" i="29" s="1"/>
  <c r="L108" i="29"/>
  <c r="M108" i="29" s="1"/>
  <c r="L104" i="29"/>
  <c r="M104" i="29" s="1"/>
  <c r="L103" i="29"/>
  <c r="M103" i="29" s="1"/>
  <c r="L102" i="29"/>
  <c r="L105" i="29"/>
  <c r="L141" i="29"/>
  <c r="M141" i="29" s="1"/>
  <c r="L144" i="29"/>
  <c r="L139" i="29"/>
  <c r="M139" i="29" s="1"/>
  <c r="L140" i="29"/>
  <c r="L138" i="29"/>
  <c r="L142" i="29"/>
  <c r="M142" i="29" s="1"/>
  <c r="L143" i="29"/>
  <c r="L95" i="29"/>
  <c r="L96" i="29"/>
  <c r="M96" i="29" s="1"/>
  <c r="L92" i="29"/>
  <c r="M92" i="29" s="1"/>
  <c r="L90" i="29"/>
  <c r="M90" i="29" s="1"/>
  <c r="L91" i="29"/>
  <c r="L94" i="29"/>
  <c r="M94" i="29" s="1"/>
  <c r="L93" i="29"/>
  <c r="M93" i="29" s="1"/>
  <c r="L46" i="29"/>
  <c r="M46" i="29" s="1"/>
  <c r="L44" i="29"/>
  <c r="M44" i="29" s="1"/>
  <c r="L48" i="29"/>
  <c r="M48" i="29" s="1"/>
  <c r="L43" i="29"/>
  <c r="M43" i="29" s="1"/>
  <c r="L45" i="29"/>
  <c r="M45" i="29" s="1"/>
  <c r="L42" i="29"/>
  <c r="M42" i="29" s="1"/>
  <c r="L47" i="29"/>
  <c r="M47" i="29" s="1"/>
  <c r="L82" i="29"/>
  <c r="M82" i="29" s="1"/>
  <c r="L81" i="29"/>
  <c r="M81" i="29" s="1"/>
  <c r="L79" i="29"/>
  <c r="L83" i="29"/>
  <c r="M83" i="29" s="1"/>
  <c r="L84" i="29"/>
  <c r="M84" i="29" s="1"/>
  <c r="L78" i="29"/>
  <c r="M78" i="29" s="1"/>
  <c r="L80" i="29"/>
  <c r="L31" i="29"/>
  <c r="M31" i="29" s="1"/>
  <c r="L34" i="29"/>
  <c r="M34" i="29" s="1"/>
  <c r="L32" i="29"/>
  <c r="M32" i="29" s="1"/>
  <c r="L36" i="29"/>
  <c r="M36" i="29" s="1"/>
  <c r="L33" i="29"/>
  <c r="M33" i="29" s="1"/>
  <c r="L30" i="29"/>
  <c r="M30" i="29" s="1"/>
  <c r="L35" i="29"/>
  <c r="M35" i="29" s="1"/>
  <c r="L127" i="29"/>
  <c r="L130" i="29"/>
  <c r="M130" i="29" s="1"/>
  <c r="L129" i="29"/>
  <c r="M129" i="29" s="1"/>
  <c r="L131" i="29"/>
  <c r="M131" i="29" s="1"/>
  <c r="L128" i="29"/>
  <c r="M128" i="29" s="1"/>
  <c r="L132" i="29"/>
  <c r="M132" i="29" s="1"/>
  <c r="L126" i="29"/>
  <c r="M126" i="29" s="1"/>
  <c r="L59" i="29"/>
  <c r="M59" i="29" s="1"/>
  <c r="L55" i="29"/>
  <c r="L60" i="29"/>
  <c r="M60" i="29" s="1"/>
  <c r="L54" i="29"/>
  <c r="M54" i="29" s="1"/>
  <c r="L57" i="29"/>
  <c r="L56" i="29"/>
  <c r="L58" i="29"/>
  <c r="M58" i="29" s="1"/>
  <c r="L66" i="29"/>
  <c r="M66" i="29" s="1"/>
  <c r="L68" i="29"/>
  <c r="M68" i="29" s="1"/>
  <c r="L70" i="29"/>
  <c r="M70" i="29" s="1"/>
  <c r="L72" i="29"/>
  <c r="M72" i="29" s="1"/>
  <c r="L69" i="29"/>
  <c r="M69" i="29" s="1"/>
  <c r="L67" i="29"/>
  <c r="M67" i="29" s="1"/>
  <c r="L71" i="29"/>
  <c r="L116" i="29"/>
  <c r="M116" i="29" s="1"/>
  <c r="L115" i="29"/>
  <c r="M115" i="29" s="1"/>
  <c r="L118" i="29"/>
  <c r="M118" i="29" s="1"/>
  <c r="L120" i="29"/>
  <c r="L117" i="29"/>
  <c r="M117" i="29" s="1"/>
  <c r="L119" i="29"/>
  <c r="L114" i="29"/>
  <c r="M114" i="29" s="1"/>
  <c r="F505" i="18"/>
  <c r="M394" i="8"/>
  <c r="M403" i="8"/>
  <c r="M402" i="8"/>
  <c r="M406" i="8"/>
  <c r="M399" i="8"/>
  <c r="E324" i="18"/>
  <c r="M397" i="8"/>
  <c r="J166" i="30"/>
  <c r="J181" i="30" s="1"/>
  <c r="D19" i="30"/>
  <c r="D166" i="30" s="1"/>
  <c r="D21" i="30"/>
  <c r="J166" i="29"/>
  <c r="J181" i="29" s="1"/>
  <c r="H324" i="18"/>
  <c r="M411" i="8"/>
  <c r="M408" i="8"/>
  <c r="M405" i="8"/>
  <c r="M395" i="8"/>
  <c r="M410" i="8"/>
  <c r="M396" i="8"/>
  <c r="M407" i="8"/>
  <c r="D19" i="29"/>
  <c r="D166" i="29" s="1"/>
  <c r="D15" i="27"/>
  <c r="M409" i="8"/>
  <c r="M404" i="8"/>
  <c r="M401" i="8"/>
  <c r="O41" i="60"/>
  <c r="H210" i="29"/>
  <c r="H212" i="29" s="1"/>
  <c r="I210" i="29"/>
  <c r="I212" i="29" s="1"/>
  <c r="J238" i="29"/>
  <c r="K238" i="29" s="1"/>
  <c r="G246" i="29" s="1"/>
  <c r="G255" i="29" s="1"/>
  <c r="G248" i="30"/>
  <c r="G257" i="30" s="1"/>
  <c r="H248" i="30"/>
  <c r="H257" i="30" s="1"/>
  <c r="I246" i="30"/>
  <c r="I255" i="30" s="1"/>
  <c r="E248" i="30"/>
  <c r="E257" i="30" s="1"/>
  <c r="E210" i="30"/>
  <c r="E212" i="30" s="1"/>
  <c r="E213" i="30" s="1"/>
  <c r="E246" i="30"/>
  <c r="E255" i="30" s="1"/>
  <c r="G246" i="30"/>
  <c r="G255" i="30" s="1"/>
  <c r="F210" i="29"/>
  <c r="F212" i="29" s="1"/>
  <c r="G210" i="29"/>
  <c r="I217" i="26"/>
  <c r="G245" i="30"/>
  <c r="G254" i="30" s="1"/>
  <c r="H238" i="27"/>
  <c r="E245" i="30"/>
  <c r="E254" i="30" s="1"/>
  <c r="I245" i="30"/>
  <c r="I254" i="30" s="1"/>
  <c r="F245" i="30"/>
  <c r="F254" i="30" s="1"/>
  <c r="G247" i="29"/>
  <c r="G256" i="29" s="1"/>
  <c r="I248" i="30"/>
  <c r="I257" i="30" s="1"/>
  <c r="F246" i="30"/>
  <c r="F255" i="30" s="1"/>
  <c r="F710" i="19"/>
  <c r="F507" i="11" s="1"/>
  <c r="I708" i="19"/>
  <c r="I505" i="11" s="1"/>
  <c r="I710" i="19"/>
  <c r="I507" i="11" s="1"/>
  <c r="F708" i="19"/>
  <c r="F505" i="11" s="1"/>
  <c r="F709" i="19"/>
  <c r="F506" i="11" s="1"/>
  <c r="H710" i="19"/>
  <c r="H507" i="11" s="1"/>
  <c r="H711" i="19"/>
  <c r="H508" i="11" s="1"/>
  <c r="G709" i="19"/>
  <c r="G506" i="11" s="1"/>
  <c r="F711" i="19"/>
  <c r="F508" i="11" s="1"/>
  <c r="H709" i="19"/>
  <c r="H506" i="11" s="1"/>
  <c r="I711" i="19"/>
  <c r="I508" i="11" s="1"/>
  <c r="H708" i="19"/>
  <c r="H505" i="11" s="1"/>
  <c r="I709" i="19"/>
  <c r="I506" i="11" s="1"/>
  <c r="E270" i="26"/>
  <c r="E275" i="26" s="1"/>
  <c r="L57" i="28"/>
  <c r="L55" i="28"/>
  <c r="D60" i="28"/>
  <c r="M57" i="27"/>
  <c r="I210" i="30"/>
  <c r="I212" i="30" s="1"/>
  <c r="I213" i="30" s="1"/>
  <c r="I214" i="30" s="1"/>
  <c r="F210" i="30"/>
  <c r="F212" i="30" s="1"/>
  <c r="F213" i="30" s="1"/>
  <c r="F214" i="30" s="1"/>
  <c r="H210" i="30"/>
  <c r="H212" i="30" s="1"/>
  <c r="H213" i="30" s="1"/>
  <c r="H214" i="30" s="1"/>
  <c r="K703" i="19"/>
  <c r="G526" i="11"/>
  <c r="F1124" i="7"/>
  <c r="I1124" i="7"/>
  <c r="H1124" i="7"/>
  <c r="G1124" i="7"/>
  <c r="I194" i="8"/>
  <c r="I201" i="8" s="1"/>
  <c r="I233" i="8"/>
  <c r="I240" i="8" s="1"/>
  <c r="I4" i="28" s="1"/>
  <c r="I324" i="18"/>
  <c r="D105" i="8"/>
  <c r="D112" i="8" s="1"/>
  <c r="D194" i="8"/>
  <c r="D201" i="8" s="1"/>
  <c r="I17" i="57"/>
  <c r="F324" i="18"/>
  <c r="E4" i="27"/>
  <c r="D13" i="27" s="1"/>
  <c r="J173" i="27" s="1"/>
  <c r="J190" i="27" s="1"/>
  <c r="G324" i="18"/>
  <c r="G194" i="8"/>
  <c r="G201" i="8" s="1"/>
  <c r="H194" i="8"/>
  <c r="H201" i="8" s="1"/>
  <c r="M43" i="10"/>
  <c r="G44" i="10"/>
  <c r="G177" i="10" s="1"/>
  <c r="E4" i="10"/>
  <c r="E44" i="10"/>
  <c r="E177" i="10" s="1"/>
  <c r="C265" i="8"/>
  <c r="G296" i="8"/>
  <c r="H289" i="8"/>
  <c r="I289" i="8" s="1"/>
  <c r="H105" i="8"/>
  <c r="H112" i="8" s="1"/>
  <c r="G233" i="8"/>
  <c r="G240" i="8" s="1"/>
  <c r="G4" i="28" s="1"/>
  <c r="C233" i="8"/>
  <c r="C240" i="8" s="1"/>
  <c r="F233" i="8"/>
  <c r="F240" i="8" s="1"/>
  <c r="F4" i="28" s="1"/>
  <c r="D13" i="28" s="1"/>
  <c r="H233" i="8"/>
  <c r="H240" i="8" s="1"/>
  <c r="H4" i="28" s="1"/>
  <c r="D233" i="8"/>
  <c r="D240" i="8" s="1"/>
  <c r="D4" i="28" s="1"/>
  <c r="F105" i="8"/>
  <c r="F112" i="8" s="1"/>
  <c r="C105" i="8"/>
  <c r="C112" i="8" s="1"/>
  <c r="I235" i="8"/>
  <c r="I242" i="8" s="1"/>
  <c r="I6" i="28" s="1"/>
  <c r="F44" i="28"/>
  <c r="F178" i="28" s="1"/>
  <c r="I44" i="10"/>
  <c r="I177" i="10" s="1"/>
  <c r="M42" i="10"/>
  <c r="M40" i="10"/>
  <c r="G105" i="8"/>
  <c r="G112" i="8" s="1"/>
  <c r="I105" i="8"/>
  <c r="I112" i="8" s="1"/>
  <c r="E686" i="19"/>
  <c r="E687" i="19"/>
  <c r="E505" i="11"/>
  <c r="E685" i="19"/>
  <c r="E709" i="19" s="1"/>
  <c r="K681" i="19"/>
  <c r="M41" i="10"/>
  <c r="M44" i="10"/>
  <c r="M39" i="10"/>
  <c r="F44" i="10"/>
  <c r="F177" i="10" s="1"/>
  <c r="M45" i="10"/>
  <c r="D226" i="8"/>
  <c r="J184" i="28"/>
  <c r="M391" i="8"/>
  <c r="M346" i="8"/>
  <c r="M344" i="8"/>
  <c r="M392" i="8"/>
  <c r="M380" i="8"/>
  <c r="M369" i="8"/>
  <c r="M384" i="8"/>
  <c r="M390" i="8"/>
  <c r="M389" i="8"/>
  <c r="M361" i="8"/>
  <c r="M381" i="8"/>
  <c r="M367" i="8"/>
  <c r="M371" i="8"/>
  <c r="M379" i="8"/>
  <c r="M362" i="8"/>
  <c r="M373" i="8"/>
  <c r="M360" i="8"/>
  <c r="M378" i="8"/>
  <c r="M353" i="8"/>
  <c r="M366" i="8"/>
  <c r="M343" i="8"/>
  <c r="M385" i="8"/>
  <c r="M351" i="8"/>
  <c r="M372" i="8"/>
  <c r="M374" i="8"/>
  <c r="M349" i="8"/>
  <c r="M375" i="8"/>
  <c r="M356" i="8"/>
  <c r="M365" i="8"/>
  <c r="M368" i="8"/>
  <c r="M345" i="8"/>
  <c r="M370" i="8"/>
  <c r="M387" i="8"/>
  <c r="M383" i="8"/>
  <c r="M348" i="8"/>
  <c r="M352" i="8"/>
  <c r="M347" i="8"/>
  <c r="M357" i="8"/>
  <c r="M358" i="8"/>
  <c r="M359" i="8"/>
  <c r="M354" i="8"/>
  <c r="M388" i="8"/>
  <c r="M382" i="8"/>
  <c r="M364" i="8"/>
  <c r="M376" i="8"/>
  <c r="M355" i="8"/>
  <c r="M350" i="8"/>
  <c r="M363" i="8"/>
  <c r="M377" i="8"/>
  <c r="M386" i="8"/>
  <c r="AC14" i="55"/>
  <c r="F235" i="8"/>
  <c r="F242" i="8" s="1"/>
  <c r="F6" i="28" s="1"/>
  <c r="D15" i="28" s="1"/>
  <c r="D235" i="8"/>
  <c r="D242" i="8" s="1"/>
  <c r="D6" i="28" s="1"/>
  <c r="C226" i="8"/>
  <c r="G235" i="8"/>
  <c r="G242" i="8" s="1"/>
  <c r="G6" i="28" s="1"/>
  <c r="M40" i="28"/>
  <c r="I226" i="8"/>
  <c r="C235" i="8"/>
  <c r="C242" i="8" s="1"/>
  <c r="H226" i="8"/>
  <c r="I234" i="8"/>
  <c r="I241" i="8" s="1"/>
  <c r="I5" i="28" s="1"/>
  <c r="D234" i="8"/>
  <c r="H234" i="8"/>
  <c r="H241" i="8" s="1"/>
  <c r="H5" i="28" s="1"/>
  <c r="G234" i="8"/>
  <c r="E241" i="8"/>
  <c r="F234" i="8"/>
  <c r="C234" i="8"/>
  <c r="C241" i="8" s="1"/>
  <c r="G226" i="8"/>
  <c r="E226" i="8"/>
  <c r="H235" i="8"/>
  <c r="H242" i="8" s="1"/>
  <c r="H6" i="28" s="1"/>
  <c r="E239" i="8"/>
  <c r="E246" i="8" s="1"/>
  <c r="F226" i="8"/>
  <c r="D236" i="8"/>
  <c r="D243" i="8" s="1"/>
  <c r="D7" i="28" s="1"/>
  <c r="F236" i="8"/>
  <c r="F243" i="8" s="1"/>
  <c r="F7" i="28" s="1"/>
  <c r="E243" i="8"/>
  <c r="E7" i="28" s="1"/>
  <c r="C236" i="8"/>
  <c r="C243" i="8" s="1"/>
  <c r="I236" i="8"/>
  <c r="I243" i="8" s="1"/>
  <c r="I7" i="28" s="1"/>
  <c r="H236" i="8"/>
  <c r="H243" i="8" s="1"/>
  <c r="H7" i="28" s="1"/>
  <c r="G236" i="8"/>
  <c r="G243" i="8" s="1"/>
  <c r="G7" i="28" s="1"/>
  <c r="AC20" i="55"/>
  <c r="M42" i="28"/>
  <c r="G224" i="10"/>
  <c r="G239" i="10"/>
  <c r="H224" i="10"/>
  <c r="F224" i="10"/>
  <c r="I224" i="10"/>
  <c r="L56" i="10"/>
  <c r="M56" i="10" s="1"/>
  <c r="L59" i="28"/>
  <c r="L59" i="27"/>
  <c r="M59" i="27" s="1"/>
  <c r="G59" i="10"/>
  <c r="G178" i="10" s="1"/>
  <c r="L58" i="10"/>
  <c r="M58" i="10" s="1"/>
  <c r="L60" i="28"/>
  <c r="L56" i="28"/>
  <c r="L54" i="27"/>
  <c r="M54" i="27" s="1"/>
  <c r="L59" i="10"/>
  <c r="M59" i="10" s="1"/>
  <c r="L61" i="28"/>
  <c r="F59" i="27"/>
  <c r="F177" i="27" s="1"/>
  <c r="E240" i="26"/>
  <c r="E245" i="26" s="1"/>
  <c r="H240" i="26"/>
  <c r="H243" i="26" s="1"/>
  <c r="H244" i="26" s="1"/>
  <c r="M39" i="28"/>
  <c r="H217" i="26"/>
  <c r="F223" i="27"/>
  <c r="I223" i="27"/>
  <c r="F239" i="10"/>
  <c r="I239" i="10"/>
  <c r="G238" i="27"/>
  <c r="F238" i="27"/>
  <c r="I238" i="27"/>
  <c r="H239" i="10"/>
  <c r="G223" i="27"/>
  <c r="H223" i="27"/>
  <c r="H270" i="26"/>
  <c r="H273" i="26" s="1"/>
  <c r="H274" i="26" s="1"/>
  <c r="E59" i="10"/>
  <c r="E178" i="10" s="1"/>
  <c r="Y20" i="55"/>
  <c r="Q20" i="55" s="1"/>
  <c r="F59" i="10"/>
  <c r="F178" i="10" s="1"/>
  <c r="M45" i="28"/>
  <c r="G270" i="26"/>
  <c r="G273" i="26" s="1"/>
  <c r="G274" i="26" s="1"/>
  <c r="I59" i="10"/>
  <c r="I178" i="10" s="1"/>
  <c r="L57" i="10"/>
  <c r="M57" i="10" s="1"/>
  <c r="L60" i="10"/>
  <c r="M60" i="10" s="1"/>
  <c r="M26" i="52"/>
  <c r="M43" i="28"/>
  <c r="E44" i="28"/>
  <c r="E178" i="28" s="1"/>
  <c r="F270" i="26"/>
  <c r="F275" i="26" s="1"/>
  <c r="L54" i="10"/>
  <c r="M54" i="10" s="1"/>
  <c r="M44" i="28"/>
  <c r="M41" i="28"/>
  <c r="J182" i="27"/>
  <c r="I245" i="26"/>
  <c r="I280" i="26" s="1"/>
  <c r="I243" i="26"/>
  <c r="I244" i="26" s="1"/>
  <c r="E217" i="26"/>
  <c r="G217" i="26"/>
  <c r="F240" i="26"/>
  <c r="F245" i="26" s="1"/>
  <c r="G240" i="26"/>
  <c r="G243" i="26" s="1"/>
  <c r="G244" i="26" s="1"/>
  <c r="G217" i="10"/>
  <c r="E217" i="10"/>
  <c r="H217" i="10"/>
  <c r="E32" i="28"/>
  <c r="E177" i="28" s="1"/>
  <c r="J176" i="27"/>
  <c r="I273" i="26"/>
  <c r="I274" i="26" s="1"/>
  <c r="I275" i="26"/>
  <c r="I282" i="26" s="1"/>
  <c r="E252" i="26"/>
  <c r="J251" i="26"/>
  <c r="F217" i="10"/>
  <c r="I26" i="52"/>
  <c r="E53" i="39"/>
  <c r="I59" i="27"/>
  <c r="I177" i="27" s="1"/>
  <c r="G59" i="27"/>
  <c r="G177" i="27" s="1"/>
  <c r="H59" i="10"/>
  <c r="H178" i="10" s="1"/>
  <c r="H653" i="19"/>
  <c r="L58" i="27"/>
  <c r="M58" i="27" s="1"/>
  <c r="L55" i="27"/>
  <c r="M55" i="27" s="1"/>
  <c r="L56" i="27"/>
  <c r="M56" i="27" s="1"/>
  <c r="L60" i="27"/>
  <c r="M60" i="27" s="1"/>
  <c r="M55" i="10"/>
  <c r="E59" i="27"/>
  <c r="E177" i="27" s="1"/>
  <c r="H59" i="27"/>
  <c r="H177" i="27" s="1"/>
  <c r="G44" i="28"/>
  <c r="G178" i="28" s="1"/>
  <c r="H44" i="28"/>
  <c r="H178" i="28" s="1"/>
  <c r="H240" i="28"/>
  <c r="K736" i="6"/>
  <c r="K226" i="19"/>
  <c r="I704" i="18"/>
  <c r="I414" i="11"/>
  <c r="I152" i="2"/>
  <c r="I196" i="64"/>
  <c r="G36" i="15"/>
  <c r="K717" i="6"/>
  <c r="K701" i="18"/>
  <c r="K193" i="64"/>
  <c r="E152" i="2"/>
  <c r="E199" i="5" s="1"/>
  <c r="E414" i="11"/>
  <c r="E704" i="18"/>
  <c r="E196" i="64"/>
  <c r="L31" i="28"/>
  <c r="M31" i="28" s="1"/>
  <c r="L32" i="28"/>
  <c r="M32" i="28" s="1"/>
  <c r="L27" i="28"/>
  <c r="M27" i="28" s="1"/>
  <c r="F32" i="28"/>
  <c r="F177" i="28" s="1"/>
  <c r="L28" i="28"/>
  <c r="M28" i="28" s="1"/>
  <c r="L30" i="28"/>
  <c r="M30" i="28" s="1"/>
  <c r="I32" i="28"/>
  <c r="I177" i="28" s="1"/>
  <c r="L29" i="28"/>
  <c r="M29" i="28" s="1"/>
  <c r="L33" i="28"/>
  <c r="M33" i="28" s="1"/>
  <c r="G32" i="28"/>
  <c r="G177" i="28" s="1"/>
  <c r="H32" i="28"/>
  <c r="H177" i="28" s="1"/>
  <c r="G663" i="19"/>
  <c r="G686" i="19"/>
  <c r="E663" i="19"/>
  <c r="K652" i="19"/>
  <c r="K658" i="19"/>
  <c r="E653" i="19"/>
  <c r="F663" i="19"/>
  <c r="I663" i="19"/>
  <c r="F653" i="19"/>
  <c r="I653" i="19"/>
  <c r="K645" i="19"/>
  <c r="H646" i="19"/>
  <c r="H696" i="19" s="1"/>
  <c r="E646" i="19"/>
  <c r="E696" i="19" s="1"/>
  <c r="F646" i="19"/>
  <c r="F696" i="19" s="1"/>
  <c r="G646" i="19"/>
  <c r="G696" i="19" s="1"/>
  <c r="G514" i="11"/>
  <c r="K662" i="19"/>
  <c r="F697" i="19"/>
  <c r="K697" i="19" s="1"/>
  <c r="F694" i="19"/>
  <c r="K694" i="19" s="1"/>
  <c r="F692" i="19"/>
  <c r="K692" i="19" s="1"/>
  <c r="F695" i="19"/>
  <c r="K695" i="19" s="1"/>
  <c r="F693" i="19"/>
  <c r="K693" i="19" s="1"/>
  <c r="K689" i="19"/>
  <c r="G684" i="19"/>
  <c r="G687" i="19"/>
  <c r="G711" i="19" s="1"/>
  <c r="AB18" i="55"/>
  <c r="E223" i="19"/>
  <c r="E703" i="18" s="1"/>
  <c r="E576" i="19"/>
  <c r="I223" i="19"/>
  <c r="I703" i="18" s="1"/>
  <c r="G223" i="19"/>
  <c r="G703" i="18" s="1"/>
  <c r="J236" i="30"/>
  <c r="K236" i="30" s="1"/>
  <c r="E244" i="30" s="1"/>
  <c r="J237" i="10"/>
  <c r="E254" i="29"/>
  <c r="I247" i="30"/>
  <c r="I256" i="30" s="1"/>
  <c r="G247" i="30"/>
  <c r="G256" i="30" s="1"/>
  <c r="F247" i="30"/>
  <c r="F256" i="30" s="1"/>
  <c r="H247" i="30"/>
  <c r="H256" i="30" s="1"/>
  <c r="AB16" i="55"/>
  <c r="AC16" i="55"/>
  <c r="Y16" i="55"/>
  <c r="G213" i="30"/>
  <c r="G214" i="30" s="1"/>
  <c r="H247" i="29"/>
  <c r="H256" i="29" s="1"/>
  <c r="F247" i="29"/>
  <c r="F256" i="29" s="1"/>
  <c r="I247" i="29"/>
  <c r="I256" i="29" s="1"/>
  <c r="K26" i="52"/>
  <c r="K192" i="64"/>
  <c r="G245" i="29"/>
  <c r="G254" i="29" s="1"/>
  <c r="H245" i="29"/>
  <c r="H254" i="29" s="1"/>
  <c r="I245" i="29"/>
  <c r="I254" i="29" s="1"/>
  <c r="F245" i="29"/>
  <c r="F254" i="29" s="1"/>
  <c r="E247" i="30"/>
  <c r="F181" i="29"/>
  <c r="E181" i="29"/>
  <c r="H181" i="29"/>
  <c r="I181" i="29"/>
  <c r="G181" i="29"/>
  <c r="E180" i="29"/>
  <c r="J238" i="28"/>
  <c r="J183" i="10"/>
  <c r="F216" i="27"/>
  <c r="I216" i="27"/>
  <c r="E216" i="27"/>
  <c r="H216" i="27"/>
  <c r="Y18" i="55"/>
  <c r="E218" i="28"/>
  <c r="G218" i="28"/>
  <c r="F218" i="28"/>
  <c r="I218" i="28"/>
  <c r="K702" i="18"/>
  <c r="H196" i="64"/>
  <c r="H414" i="11"/>
  <c r="H704" i="18"/>
  <c r="H152" i="2"/>
  <c r="H265" i="8"/>
  <c r="H4" i="29" s="1"/>
  <c r="I264" i="8"/>
  <c r="H271" i="8"/>
  <c r="E256" i="29"/>
  <c r="F152" i="2"/>
  <c r="F196" i="64"/>
  <c r="F414" i="11"/>
  <c r="F704" i="18"/>
  <c r="G268" i="19"/>
  <c r="G152" i="64"/>
  <c r="G655" i="18"/>
  <c r="E152" i="64"/>
  <c r="J30" i="53"/>
  <c r="E655" i="18"/>
  <c r="I202" i="64"/>
  <c r="I711" i="18"/>
  <c r="G565" i="19"/>
  <c r="G563" i="19" s="1"/>
  <c r="G575" i="19" s="1"/>
  <c r="G196" i="7"/>
  <c r="I17" i="19"/>
  <c r="I135" i="2" s="1"/>
  <c r="I11" i="19"/>
  <c r="I132" i="2" s="1"/>
  <c r="G711" i="18"/>
  <c r="G202" i="64"/>
  <c r="I565" i="19"/>
  <c r="I563" i="19" s="1"/>
  <c r="I575" i="19" s="1"/>
  <c r="I196" i="7"/>
  <c r="E268" i="19"/>
  <c r="I14" i="54"/>
  <c r="K230" i="19"/>
  <c r="E751" i="6"/>
  <c r="E643" i="18"/>
  <c r="K643" i="18" s="1"/>
  <c r="J22" i="53"/>
  <c r="E296" i="6"/>
  <c r="E551" i="6"/>
  <c r="F651" i="18"/>
  <c r="F150" i="64"/>
  <c r="F268" i="19"/>
  <c r="G751" i="6"/>
  <c r="G150" i="64"/>
  <c r="G651" i="18"/>
  <c r="H751" i="6"/>
  <c r="H500" i="6"/>
  <c r="H503" i="6" s="1"/>
  <c r="H324" i="11" s="1"/>
  <c r="H245" i="6"/>
  <c r="H248" i="6" s="1"/>
  <c r="H305" i="11" s="1"/>
  <c r="I500" i="6"/>
  <c r="I503" i="6" s="1"/>
  <c r="I324" i="11" s="1"/>
  <c r="I245" i="6"/>
  <c r="I248" i="6" s="1"/>
  <c r="I305" i="11" s="1"/>
  <c r="I646" i="6"/>
  <c r="I649" i="18"/>
  <c r="H223" i="19"/>
  <c r="G223" i="26"/>
  <c r="G224" i="26" s="1"/>
  <c r="E224" i="10"/>
  <c r="J223" i="10"/>
  <c r="M80" i="29"/>
  <c r="M79" i="29"/>
  <c r="F223" i="26"/>
  <c r="F224" i="26" s="1"/>
  <c r="E225" i="28"/>
  <c r="J224" i="28"/>
  <c r="G225" i="28"/>
  <c r="E238" i="27"/>
  <c r="J237" i="27"/>
  <c r="M57" i="29"/>
  <c r="M56" i="29"/>
  <c r="M55" i="29"/>
  <c r="E229" i="19"/>
  <c r="I20" i="54"/>
  <c r="F17" i="19"/>
  <c r="F135" i="2" s="1"/>
  <c r="F11" i="19"/>
  <c r="F132" i="2" s="1"/>
  <c r="H152" i="64"/>
  <c r="H655" i="18"/>
  <c r="K680" i="6"/>
  <c r="O84" i="36"/>
  <c r="E675" i="6"/>
  <c r="E753" i="6"/>
  <c r="F675" i="6"/>
  <c r="F753" i="6"/>
  <c r="E228" i="19"/>
  <c r="E713" i="6"/>
  <c r="K227" i="19"/>
  <c r="F646" i="6"/>
  <c r="F649" i="18"/>
  <c r="E500" i="6"/>
  <c r="E245" i="6"/>
  <c r="F296" i="6"/>
  <c r="F299" i="6" s="1"/>
  <c r="F344" i="11" s="1"/>
  <c r="F551" i="6"/>
  <c r="F554" i="6" s="1"/>
  <c r="F364" i="11" s="1"/>
  <c r="G148" i="64"/>
  <c r="G645" i="18"/>
  <c r="G228" i="19"/>
  <c r="G713" i="6"/>
  <c r="G296" i="6"/>
  <c r="G299" i="6" s="1"/>
  <c r="G344" i="11" s="1"/>
  <c r="G551" i="6"/>
  <c r="G554" i="6" s="1"/>
  <c r="G364" i="11" s="1"/>
  <c r="H228" i="19"/>
  <c r="H713" i="6"/>
  <c r="H150" i="64"/>
  <c r="H651" i="18"/>
  <c r="H646" i="6"/>
  <c r="H649" i="18"/>
  <c r="I675" i="6"/>
  <c r="I753" i="6"/>
  <c r="G236" i="19"/>
  <c r="G708" i="18" s="1"/>
  <c r="G194" i="64"/>
  <c r="H236" i="19"/>
  <c r="H708" i="18" s="1"/>
  <c r="H194" i="64"/>
  <c r="M127" i="29"/>
  <c r="G240" i="28"/>
  <c r="J221" i="27"/>
  <c r="J223" i="28"/>
  <c r="I240" i="28"/>
  <c r="F225" i="28"/>
  <c r="I225" i="28"/>
  <c r="M102" i="29"/>
  <c r="M105" i="29"/>
  <c r="H223" i="26"/>
  <c r="H224" i="26" s="1"/>
  <c r="M71" i="29"/>
  <c r="H248" i="29"/>
  <c r="H257" i="29" s="1"/>
  <c r="I248" i="29"/>
  <c r="I257" i="29" s="1"/>
  <c r="E248" i="29"/>
  <c r="G248" i="29"/>
  <c r="G257" i="29" s="1"/>
  <c r="G17" i="19"/>
  <c r="G135" i="2" s="1"/>
  <c r="G11" i="19"/>
  <c r="G132" i="2" s="1"/>
  <c r="I152" i="64"/>
  <c r="I655" i="18"/>
  <c r="G576" i="19"/>
  <c r="K749" i="6"/>
  <c r="L15" i="31"/>
  <c r="K547" i="19"/>
  <c r="O42" i="60"/>
  <c r="H202" i="64"/>
  <c r="H711" i="18"/>
  <c r="H576" i="19"/>
  <c r="I576" i="19"/>
  <c r="H17" i="19"/>
  <c r="H135" i="2" s="1"/>
  <c r="H11" i="19"/>
  <c r="H132" i="2" s="1"/>
  <c r="H565" i="19"/>
  <c r="H563" i="19" s="1"/>
  <c r="H575" i="19" s="1"/>
  <c r="H196" i="7"/>
  <c r="F751" i="6"/>
  <c r="K732" i="6"/>
  <c r="E734" i="6"/>
  <c r="E163" i="2" s="1"/>
  <c r="F500" i="6"/>
  <c r="F503" i="6" s="1"/>
  <c r="F324" i="11" s="1"/>
  <c r="F245" i="6"/>
  <c r="F248" i="6" s="1"/>
  <c r="F305" i="11" s="1"/>
  <c r="G500" i="6"/>
  <c r="G503" i="6" s="1"/>
  <c r="G324" i="11" s="1"/>
  <c r="G245" i="6"/>
  <c r="G248" i="6" s="1"/>
  <c r="G305" i="11" s="1"/>
  <c r="H268" i="19"/>
  <c r="I751" i="6"/>
  <c r="I148" i="64"/>
  <c r="I645" i="18"/>
  <c r="E212" i="29"/>
  <c r="K661" i="19"/>
  <c r="G414" i="11"/>
  <c r="G196" i="64"/>
  <c r="G704" i="18"/>
  <c r="G152" i="2"/>
  <c r="K222" i="19"/>
  <c r="J221" i="26"/>
  <c r="F240" i="28"/>
  <c r="E223" i="27"/>
  <c r="J222" i="27"/>
  <c r="E244" i="29"/>
  <c r="I244" i="29"/>
  <c r="I253" i="29" s="1"/>
  <c r="H244" i="29"/>
  <c r="H253" i="29" s="1"/>
  <c r="G244" i="29"/>
  <c r="G253" i="29" s="1"/>
  <c r="M138" i="29"/>
  <c r="M144" i="29"/>
  <c r="M140" i="29"/>
  <c r="M119" i="29"/>
  <c r="M143" i="29"/>
  <c r="M120" i="29"/>
  <c r="F152" i="64"/>
  <c r="F655" i="18"/>
  <c r="F576" i="19"/>
  <c r="F196" i="7"/>
  <c r="F565" i="19"/>
  <c r="F563" i="19" s="1"/>
  <c r="F575" i="19" s="1"/>
  <c r="F202" i="64"/>
  <c r="F711" i="18"/>
  <c r="E11" i="19"/>
  <c r="E17" i="19"/>
  <c r="E565" i="19"/>
  <c r="E196" i="7"/>
  <c r="E645" i="18"/>
  <c r="L22" i="53"/>
  <c r="E148" i="64"/>
  <c r="F148" i="64"/>
  <c r="F645" i="18"/>
  <c r="E646" i="6"/>
  <c r="E649" i="18"/>
  <c r="J24" i="53"/>
  <c r="F228" i="19"/>
  <c r="F713" i="6"/>
  <c r="E150" i="64"/>
  <c r="L24" i="53"/>
  <c r="E651" i="18"/>
  <c r="G675" i="6"/>
  <c r="G753" i="6"/>
  <c r="G646" i="6"/>
  <c r="G649" i="18"/>
  <c r="H675" i="6"/>
  <c r="H753" i="6"/>
  <c r="H551" i="6"/>
  <c r="H554" i="6" s="1"/>
  <c r="H364" i="11" s="1"/>
  <c r="H296" i="6"/>
  <c r="H299" i="6" s="1"/>
  <c r="H344" i="11" s="1"/>
  <c r="H148" i="64"/>
  <c r="H645" i="18"/>
  <c r="I551" i="6"/>
  <c r="I554" i="6" s="1"/>
  <c r="I364" i="11" s="1"/>
  <c r="I296" i="6"/>
  <c r="I299" i="6" s="1"/>
  <c r="I344" i="11" s="1"/>
  <c r="I228" i="19"/>
  <c r="I713" i="6"/>
  <c r="I268" i="19"/>
  <c r="I150" i="64"/>
  <c r="I651" i="18"/>
  <c r="F236" i="19"/>
  <c r="F708" i="18" s="1"/>
  <c r="F194" i="64"/>
  <c r="F223" i="19"/>
  <c r="E236" i="19"/>
  <c r="E194" i="64"/>
  <c r="K221" i="19"/>
  <c r="I236" i="19"/>
  <c r="I708" i="18" s="1"/>
  <c r="I194" i="64"/>
  <c r="M91" i="29"/>
  <c r="M95" i="29"/>
  <c r="H225" i="28"/>
  <c r="E240" i="28"/>
  <c r="J239" i="28"/>
  <c r="J222" i="10"/>
  <c r="E223" i="26"/>
  <c r="E239" i="10"/>
  <c r="J238" i="10"/>
  <c r="J236" i="27"/>
  <c r="F93" i="55" l="1"/>
  <c r="F39" i="3"/>
  <c r="F17" i="7" s="1"/>
  <c r="H39" i="3"/>
  <c r="H17" i="7" s="1"/>
  <c r="G39" i="3"/>
  <c r="G17" i="7" s="1"/>
  <c r="I39" i="3"/>
  <c r="I17" i="7" s="1"/>
  <c r="E39" i="3"/>
  <c r="E17" i="7" s="1"/>
  <c r="E41" i="31"/>
  <c r="H41" i="31"/>
  <c r="F724" i="18"/>
  <c r="F41" i="31"/>
  <c r="H724" i="18"/>
  <c r="I724" i="18"/>
  <c r="G724" i="18"/>
  <c r="F28" i="31"/>
  <c r="E724" i="18"/>
  <c r="G41" i="31"/>
  <c r="G28" i="31"/>
  <c r="I41" i="31"/>
  <c r="I28" i="31"/>
  <c r="K232" i="19"/>
  <c r="K546" i="19"/>
  <c r="E102" i="7"/>
  <c r="L14" i="31"/>
  <c r="O43" i="57"/>
  <c r="E1124" i="7"/>
  <c r="E221" i="2"/>
  <c r="D13" i="10"/>
  <c r="D19" i="10" s="1"/>
  <c r="D174" i="10" s="1"/>
  <c r="L40" i="3"/>
  <c r="H93" i="6"/>
  <c r="G93" i="6"/>
  <c r="F93" i="6"/>
  <c r="I93" i="6"/>
  <c r="E93" i="6"/>
  <c r="D16" i="28"/>
  <c r="I361" i="18"/>
  <c r="D21" i="27"/>
  <c r="H361" i="18"/>
  <c r="G361" i="18"/>
  <c r="E361" i="18"/>
  <c r="F361" i="18"/>
  <c r="K17" i="57"/>
  <c r="Y67" i="55"/>
  <c r="Y85" i="55"/>
  <c r="N51" i="55"/>
  <c r="Y69" i="55"/>
  <c r="Y84" i="55"/>
  <c r="Y56" i="55"/>
  <c r="Y54" i="55"/>
  <c r="Y65" i="55"/>
  <c r="Y59" i="55"/>
  <c r="Y72" i="55"/>
  <c r="Y64" i="55"/>
  <c r="Y68" i="55"/>
  <c r="Y78" i="55"/>
  <c r="Y70" i="55"/>
  <c r="Y81" i="55"/>
  <c r="Y79" i="55"/>
  <c r="Y87" i="55"/>
  <c r="Y58" i="55"/>
  <c r="Y71" i="55"/>
  <c r="Y76" i="55"/>
  <c r="Y73" i="55"/>
  <c r="Y82" i="55"/>
  <c r="Y75" i="55"/>
  <c r="Y55" i="55"/>
  <c r="Y77" i="55"/>
  <c r="Y57" i="55"/>
  <c r="Y80" i="55"/>
  <c r="Y66" i="55"/>
  <c r="Y86" i="55"/>
  <c r="Y83" i="55"/>
  <c r="H246" i="29"/>
  <c r="H255" i="29" s="1"/>
  <c r="H259" i="29" s="1"/>
  <c r="E246" i="29"/>
  <c r="E255" i="29" s="1"/>
  <c r="F246" i="29"/>
  <c r="F255" i="29" s="1"/>
  <c r="F259" i="29" s="1"/>
  <c r="I246" i="29"/>
  <c r="I255" i="29" s="1"/>
  <c r="I259" i="29" s="1"/>
  <c r="J210" i="29"/>
  <c r="J212" i="30"/>
  <c r="G215" i="30" s="1"/>
  <c r="G212" i="29"/>
  <c r="G213" i="29" s="1"/>
  <c r="G214" i="29" s="1"/>
  <c r="I244" i="30"/>
  <c r="I253" i="30" s="1"/>
  <c r="I259" i="30" s="1"/>
  <c r="J257" i="30"/>
  <c r="J248" i="30"/>
  <c r="J255" i="30"/>
  <c r="J246" i="30"/>
  <c r="J245" i="30"/>
  <c r="H244" i="30"/>
  <c r="H253" i="30" s="1"/>
  <c r="H259" i="30" s="1"/>
  <c r="J254" i="30"/>
  <c r="E273" i="26"/>
  <c r="E274" i="26" s="1"/>
  <c r="G708" i="19"/>
  <c r="G505" i="11" s="1"/>
  <c r="G710" i="19"/>
  <c r="G507" i="11" s="1"/>
  <c r="M57" i="28"/>
  <c r="E711" i="19"/>
  <c r="E508" i="11" s="1"/>
  <c r="E710" i="19"/>
  <c r="H275" i="26"/>
  <c r="H282" i="26" s="1"/>
  <c r="H60" i="28"/>
  <c r="H179" i="28" s="1"/>
  <c r="M59" i="28"/>
  <c r="M61" i="28"/>
  <c r="M56" i="28"/>
  <c r="M58" i="28"/>
  <c r="G60" i="28"/>
  <c r="G179" i="28" s="1"/>
  <c r="M60" i="28"/>
  <c r="I60" i="28"/>
  <c r="I179" i="28" s="1"/>
  <c r="F60" i="28"/>
  <c r="F179" i="28" s="1"/>
  <c r="E60" i="28"/>
  <c r="E179" i="28" s="1"/>
  <c r="M55" i="28"/>
  <c r="G240" i="10"/>
  <c r="G245" i="10" s="1"/>
  <c r="D19" i="27"/>
  <c r="D173" i="27" s="1"/>
  <c r="F244" i="30"/>
  <c r="F253" i="30" s="1"/>
  <c r="F259" i="30" s="1"/>
  <c r="J210" i="30"/>
  <c r="G244" i="30"/>
  <c r="G253" i="30" s="1"/>
  <c r="G259" i="30" s="1"/>
  <c r="J247" i="29"/>
  <c r="E243" i="26"/>
  <c r="E244" i="26" s="1"/>
  <c r="F243" i="26"/>
  <c r="F244" i="26" s="1"/>
  <c r="N14" i="55"/>
  <c r="H296" i="8"/>
  <c r="H290" i="8"/>
  <c r="H4" i="30" s="1"/>
  <c r="J177" i="10"/>
  <c r="I239" i="8"/>
  <c r="I246" i="8" s="1"/>
  <c r="K685" i="19"/>
  <c r="H239" i="8"/>
  <c r="H246" i="8" s="1"/>
  <c r="F241" i="8"/>
  <c r="F5" i="28" s="1"/>
  <c r="F239" i="8"/>
  <c r="F246" i="8" s="1"/>
  <c r="D241" i="8"/>
  <c r="D5" i="28" s="1"/>
  <c r="D239" i="8"/>
  <c r="D246" i="8" s="1"/>
  <c r="C239" i="8"/>
  <c r="C246" i="8" s="1"/>
  <c r="E5" i="28"/>
  <c r="G241" i="8"/>
  <c r="G5" i="28" s="1"/>
  <c r="G239" i="8"/>
  <c r="G246" i="8" s="1"/>
  <c r="I296" i="8"/>
  <c r="I290" i="8"/>
  <c r="I4" i="30" s="1"/>
  <c r="J289" i="8"/>
  <c r="AA20" i="55"/>
  <c r="L119" i="3" s="1"/>
  <c r="F273" i="26"/>
  <c r="F274" i="26" s="1"/>
  <c r="F239" i="27"/>
  <c r="F244" i="27" s="1"/>
  <c r="H245" i="26"/>
  <c r="H280" i="26" s="1"/>
  <c r="G275" i="26"/>
  <c r="G282" i="26" s="1"/>
  <c r="J178" i="10"/>
  <c r="K696" i="19"/>
  <c r="J178" i="28"/>
  <c r="J240" i="26"/>
  <c r="J270" i="26"/>
  <c r="G245" i="26"/>
  <c r="G280" i="26" s="1"/>
  <c r="H240" i="10"/>
  <c r="H245" i="10" s="1"/>
  <c r="K548" i="19"/>
  <c r="H241" i="28"/>
  <c r="H244" i="28" s="1"/>
  <c r="H245" i="28" s="1"/>
  <c r="J177" i="27"/>
  <c r="E253" i="26"/>
  <c r="J252" i="26" s="1"/>
  <c r="K145" i="19"/>
  <c r="K150" i="19"/>
  <c r="K704" i="18"/>
  <c r="E195" i="64"/>
  <c r="I240" i="10"/>
  <c r="I243" i="10" s="1"/>
  <c r="K160" i="19"/>
  <c r="E240" i="10"/>
  <c r="E245" i="10" s="1"/>
  <c r="E241" i="28"/>
  <c r="E246" i="28" s="1"/>
  <c r="F240" i="10"/>
  <c r="F243" i="10" s="1"/>
  <c r="K653" i="19"/>
  <c r="K663" i="19"/>
  <c r="J177" i="28"/>
  <c r="I91" i="54"/>
  <c r="M176" i="8"/>
  <c r="M177" i="8" s="1"/>
  <c r="D152" i="1"/>
  <c r="M86" i="8"/>
  <c r="M87" i="8" s="1"/>
  <c r="M220" i="8"/>
  <c r="M221" i="8" s="1"/>
  <c r="K196" i="64"/>
  <c r="F241" i="28"/>
  <c r="F246" i="28" s="1"/>
  <c r="K686" i="19"/>
  <c r="K684" i="19"/>
  <c r="K687" i="19"/>
  <c r="K646" i="19"/>
  <c r="G195" i="64"/>
  <c r="I195" i="64"/>
  <c r="K576" i="19"/>
  <c r="I265" i="8"/>
  <c r="I4" i="29" s="1"/>
  <c r="J264" i="8"/>
  <c r="I271" i="8"/>
  <c r="K194" i="64"/>
  <c r="K649" i="18"/>
  <c r="E224" i="27"/>
  <c r="E227" i="27" s="1"/>
  <c r="G241" i="28"/>
  <c r="G244" i="28" s="1"/>
  <c r="J256" i="29"/>
  <c r="J245" i="29"/>
  <c r="I241" i="28"/>
  <c r="I244" i="28" s="1"/>
  <c r="E239" i="27"/>
  <c r="E244" i="27" s="1"/>
  <c r="AA16" i="55"/>
  <c r="L117" i="3" s="1"/>
  <c r="E214" i="30"/>
  <c r="J213" i="30"/>
  <c r="E256" i="30"/>
  <c r="J256" i="30" s="1"/>
  <c r="J247" i="30"/>
  <c r="J254" i="29"/>
  <c r="G657" i="18"/>
  <c r="AA18" i="55"/>
  <c r="L118" i="3" s="1"/>
  <c r="I674" i="6"/>
  <c r="I199" i="64"/>
  <c r="I707" i="18"/>
  <c r="I213" i="29"/>
  <c r="I214" i="29" s="1"/>
  <c r="H270" i="19"/>
  <c r="H231" i="19"/>
  <c r="H233" i="19" s="1"/>
  <c r="I153" i="64"/>
  <c r="G674" i="6"/>
  <c r="G707" i="18"/>
  <c r="G199" i="64"/>
  <c r="K500" i="6"/>
  <c r="E503" i="6"/>
  <c r="K713" i="6"/>
  <c r="K675" i="6"/>
  <c r="O77" i="36"/>
  <c r="H153" i="64"/>
  <c r="H703" i="18"/>
  <c r="H195" i="64"/>
  <c r="I402" i="6"/>
  <c r="I286" i="11" s="1"/>
  <c r="F270" i="19"/>
  <c r="F231" i="19"/>
  <c r="F233" i="19" s="1"/>
  <c r="F147" i="6"/>
  <c r="F267" i="11" s="1"/>
  <c r="G239" i="27"/>
  <c r="F153" i="64"/>
  <c r="G259" i="29"/>
  <c r="H147" i="6"/>
  <c r="H267" i="11" s="1"/>
  <c r="K236" i="19"/>
  <c r="E708" i="18"/>
  <c r="K708" i="18" s="1"/>
  <c r="K150" i="64"/>
  <c r="F674" i="6"/>
  <c r="F707" i="18"/>
  <c r="F199" i="64"/>
  <c r="O43" i="36"/>
  <c r="K646" i="6"/>
  <c r="K645" i="18"/>
  <c r="H402" i="6"/>
  <c r="H286" i="11" s="1"/>
  <c r="G147" i="6"/>
  <c r="G267" i="11" s="1"/>
  <c r="K734" i="6"/>
  <c r="I226" i="28"/>
  <c r="I224" i="27"/>
  <c r="G224" i="27"/>
  <c r="E280" i="26"/>
  <c r="H674" i="6"/>
  <c r="H707" i="18"/>
  <c r="H199" i="64"/>
  <c r="E674" i="6"/>
  <c r="E199" i="64"/>
  <c r="K228" i="19"/>
  <c r="E707" i="18"/>
  <c r="G226" i="28"/>
  <c r="F280" i="26"/>
  <c r="I147" i="6"/>
  <c r="I267" i="11" s="1"/>
  <c r="F402" i="6"/>
  <c r="F286" i="11" s="1"/>
  <c r="K655" i="18"/>
  <c r="E657" i="18"/>
  <c r="G153" i="64"/>
  <c r="H224" i="27"/>
  <c r="E253" i="30"/>
  <c r="J223" i="26"/>
  <c r="E224" i="26"/>
  <c r="G225" i="10"/>
  <c r="I225" i="10"/>
  <c r="F225" i="10"/>
  <c r="F703" i="18"/>
  <c r="F195" i="64"/>
  <c r="K565" i="19"/>
  <c r="E563" i="19"/>
  <c r="K17" i="19"/>
  <c r="E135" i="2"/>
  <c r="D135" i="1" s="1"/>
  <c r="E213" i="29"/>
  <c r="J212" i="29" s="1"/>
  <c r="K223" i="19"/>
  <c r="G402" i="6"/>
  <c r="G286" i="11" s="1"/>
  <c r="K144" i="6"/>
  <c r="E147" i="6"/>
  <c r="G54" i="36"/>
  <c r="J248" i="29"/>
  <c r="E257" i="29"/>
  <c r="J257" i="29" s="1"/>
  <c r="H213" i="29"/>
  <c r="H214" i="29" s="1"/>
  <c r="F226" i="28"/>
  <c r="E202" i="64"/>
  <c r="K202" i="64" s="1"/>
  <c r="K229" i="19"/>
  <c r="E711" i="18"/>
  <c r="K711" i="18" s="1"/>
  <c r="F282" i="26"/>
  <c r="E554" i="6"/>
  <c r="K551" i="6"/>
  <c r="K751" i="6"/>
  <c r="E231" i="19"/>
  <c r="E233" i="19" s="1"/>
  <c r="E270" i="19"/>
  <c r="K268" i="19"/>
  <c r="F224" i="27"/>
  <c r="I239" i="27"/>
  <c r="H225" i="10"/>
  <c r="E282" i="26"/>
  <c r="J222" i="26"/>
  <c r="H226" i="28"/>
  <c r="I270" i="19"/>
  <c r="I231" i="19"/>
  <c r="I233" i="19" s="1"/>
  <c r="K651" i="18"/>
  <c r="K148" i="64"/>
  <c r="E132" i="2"/>
  <c r="D132" i="1" s="1"/>
  <c r="K11" i="19"/>
  <c r="F657" i="18"/>
  <c r="E253" i="29"/>
  <c r="J244" i="29"/>
  <c r="E402" i="6"/>
  <c r="K399" i="6"/>
  <c r="I657" i="18"/>
  <c r="E248" i="6"/>
  <c r="K245" i="6"/>
  <c r="I54" i="36"/>
  <c r="K753" i="6"/>
  <c r="H657" i="18"/>
  <c r="F213" i="29"/>
  <c r="F214" i="29" s="1"/>
  <c r="E226" i="28"/>
  <c r="E225" i="10"/>
  <c r="K54" i="36"/>
  <c r="K296" i="6"/>
  <c r="E299" i="6"/>
  <c r="E153" i="64"/>
  <c r="K152" i="64"/>
  <c r="G270" i="19"/>
  <c r="G231" i="19"/>
  <c r="G233" i="19" s="1"/>
  <c r="H239" i="27"/>
  <c r="E381" i="12" l="1"/>
  <c r="E384" i="12" s="1"/>
  <c r="E208" i="19"/>
  <c r="J174" i="10"/>
  <c r="J191" i="10" s="1"/>
  <c r="L39" i="3"/>
  <c r="G43" i="6"/>
  <c r="F739" i="19"/>
  <c r="F76" i="6"/>
  <c r="G76" i="6"/>
  <c r="G739" i="19"/>
  <c r="E739" i="19"/>
  <c r="E76" i="6"/>
  <c r="H76" i="6"/>
  <c r="H739" i="19"/>
  <c r="I76" i="6"/>
  <c r="I739" i="19"/>
  <c r="G39" i="19"/>
  <c r="G46" i="12" s="1"/>
  <c r="G49" i="12" s="1"/>
  <c r="G367" i="19"/>
  <c r="H39" i="19"/>
  <c r="H46" i="12" s="1"/>
  <c r="H49" i="12" s="1"/>
  <c r="H367" i="19"/>
  <c r="E39" i="19"/>
  <c r="E46" i="12" s="1"/>
  <c r="E49" i="12" s="1"/>
  <c r="E367" i="19"/>
  <c r="F540" i="18"/>
  <c r="E540" i="18"/>
  <c r="I540" i="18"/>
  <c r="K17" i="60"/>
  <c r="G540" i="18"/>
  <c r="H540" i="18"/>
  <c r="D14" i="28"/>
  <c r="D21" i="28" s="1"/>
  <c r="E222" i="2"/>
  <c r="E211" i="19" s="1"/>
  <c r="E60" i="6"/>
  <c r="C62" i="39"/>
  <c r="E18" i="7"/>
  <c r="I222" i="2"/>
  <c r="I211" i="19" s="1"/>
  <c r="I60" i="6"/>
  <c r="I18" i="7"/>
  <c r="F86" i="6"/>
  <c r="F88" i="6" s="1"/>
  <c r="F222" i="2"/>
  <c r="F211" i="19" s="1"/>
  <c r="F60" i="6"/>
  <c r="F18" i="7"/>
  <c r="H18" i="7"/>
  <c r="H222" i="2"/>
  <c r="H211" i="19" s="1"/>
  <c r="H60" i="6"/>
  <c r="G86" i="6"/>
  <c r="G88" i="6" s="1"/>
  <c r="G222" i="2"/>
  <c r="G211" i="19" s="1"/>
  <c r="G60" i="6"/>
  <c r="G18" i="7"/>
  <c r="J255" i="29"/>
  <c r="J246" i="29"/>
  <c r="F215" i="30"/>
  <c r="F218" i="30" s="1"/>
  <c r="F219" i="30" s="1"/>
  <c r="H215" i="30"/>
  <c r="H220" i="30" s="1"/>
  <c r="I215" i="30"/>
  <c r="I218" i="30" s="1"/>
  <c r="I219" i="30" s="1"/>
  <c r="E215" i="30"/>
  <c r="J215" i="30" s="1"/>
  <c r="K708" i="19"/>
  <c r="K710" i="19"/>
  <c r="J244" i="30"/>
  <c r="G218" i="30"/>
  <c r="G219" i="30" s="1"/>
  <c r="E507" i="11"/>
  <c r="J179" i="28"/>
  <c r="J245" i="26"/>
  <c r="F246" i="26" s="1"/>
  <c r="G243" i="10"/>
  <c r="G244" i="10" s="1"/>
  <c r="F242" i="27"/>
  <c r="F243" i="27" s="1"/>
  <c r="K711" i="19"/>
  <c r="G508" i="11"/>
  <c r="K709" i="19"/>
  <c r="E506" i="11"/>
  <c r="J290" i="8"/>
  <c r="J4" i="30" s="1"/>
  <c r="J296" i="8"/>
  <c r="J275" i="26"/>
  <c r="H276" i="26" s="1"/>
  <c r="G220" i="30"/>
  <c r="H243" i="10"/>
  <c r="H476" i="18" s="1"/>
  <c r="H477" i="18" s="1"/>
  <c r="H546" i="18"/>
  <c r="H547" i="18" s="1"/>
  <c r="H260" i="30"/>
  <c r="H246" i="28"/>
  <c r="H121" i="64" s="1"/>
  <c r="E244" i="28"/>
  <c r="E245" i="28" s="1"/>
  <c r="G215" i="29"/>
  <c r="G220" i="29" s="1"/>
  <c r="I215" i="29"/>
  <c r="I220" i="29" s="1"/>
  <c r="F215" i="29"/>
  <c r="F220" i="29" s="1"/>
  <c r="E229" i="27"/>
  <c r="E309" i="19" s="1"/>
  <c r="H255" i="26"/>
  <c r="I255" i="26"/>
  <c r="G255" i="26"/>
  <c r="F255" i="26"/>
  <c r="E254" i="26"/>
  <c r="E255" i="26" s="1"/>
  <c r="J253" i="26"/>
  <c r="I245" i="10"/>
  <c r="E243" i="10"/>
  <c r="E244" i="10" s="1"/>
  <c r="I246" i="28"/>
  <c r="I121" i="64" s="1"/>
  <c r="F244" i="28"/>
  <c r="F245" i="28" s="1"/>
  <c r="G246" i="28"/>
  <c r="G121" i="64" s="1"/>
  <c r="J241" i="28"/>
  <c r="E242" i="27"/>
  <c r="E511" i="18" s="1"/>
  <c r="J240" i="10"/>
  <c r="F245" i="10"/>
  <c r="F381" i="12" s="1"/>
  <c r="F384" i="12" s="1"/>
  <c r="K703" i="18"/>
  <c r="K153" i="64"/>
  <c r="K195" i="64"/>
  <c r="J239" i="27"/>
  <c r="J224" i="27"/>
  <c r="H215" i="29"/>
  <c r="H220" i="29" s="1"/>
  <c r="J265" i="8"/>
  <c r="J4" i="29" s="1"/>
  <c r="J271" i="8"/>
  <c r="J225" i="10"/>
  <c r="E230" i="10"/>
  <c r="E228" i="10"/>
  <c r="H231" i="28"/>
  <c r="H229" i="28"/>
  <c r="F231" i="28"/>
  <c r="F229" i="28"/>
  <c r="I260" i="29"/>
  <c r="I228" i="10"/>
  <c r="I230" i="10"/>
  <c r="E259" i="30"/>
  <c r="E260" i="30"/>
  <c r="J253" i="30"/>
  <c r="J259" i="30" s="1"/>
  <c r="G260" i="29"/>
  <c r="E45" i="19"/>
  <c r="E113" i="12" s="1"/>
  <c r="E116" i="12" s="1"/>
  <c r="E369" i="19"/>
  <c r="G677" i="6"/>
  <c r="G695" i="6"/>
  <c r="G267" i="64"/>
  <c r="G870" i="18"/>
  <c r="I225" i="26"/>
  <c r="G225" i="26"/>
  <c r="F225" i="26"/>
  <c r="H225" i="26"/>
  <c r="I244" i="27"/>
  <c r="I242" i="27"/>
  <c r="K270" i="19"/>
  <c r="E267" i="11"/>
  <c r="K147" i="6"/>
  <c r="J213" i="29"/>
  <c r="E214" i="29"/>
  <c r="E215" i="29" s="1"/>
  <c r="G230" i="10"/>
  <c r="G228" i="10"/>
  <c r="H229" i="27"/>
  <c r="H227" i="27"/>
  <c r="K657" i="18"/>
  <c r="K707" i="18"/>
  <c r="F677" i="6"/>
  <c r="F695" i="6"/>
  <c r="F267" i="64"/>
  <c r="F870" i="18"/>
  <c r="F260" i="30"/>
  <c r="E677" i="6"/>
  <c r="E695" i="6"/>
  <c r="E870" i="18"/>
  <c r="K674" i="6"/>
  <c r="E267" i="64"/>
  <c r="O76" i="36"/>
  <c r="O79" i="36" s="1"/>
  <c r="H11" i="15"/>
  <c r="I229" i="28"/>
  <c r="I231" i="28"/>
  <c r="G546" i="18"/>
  <c r="G547" i="18" s="1"/>
  <c r="G245" i="28"/>
  <c r="H712" i="6"/>
  <c r="H715" i="6" s="1"/>
  <c r="H198" i="64"/>
  <c r="H706" i="18"/>
  <c r="I260" i="30"/>
  <c r="I677" i="6"/>
  <c r="I695" i="6"/>
  <c r="I870" i="18"/>
  <c r="I267" i="64"/>
  <c r="H244" i="27"/>
  <c r="H381" i="12" s="1"/>
  <c r="H384" i="12" s="1"/>
  <c r="H242" i="27"/>
  <c r="I244" i="10"/>
  <c r="I476" i="18"/>
  <c r="I477" i="18" s="1"/>
  <c r="E305" i="11"/>
  <c r="K248" i="6"/>
  <c r="J253" i="29"/>
  <c r="E259" i="29"/>
  <c r="E260" i="29"/>
  <c r="F260" i="29"/>
  <c r="I712" i="6"/>
  <c r="I715" i="6" s="1"/>
  <c r="I198" i="64"/>
  <c r="I706" i="18"/>
  <c r="G712" i="6"/>
  <c r="G715" i="6" s="1"/>
  <c r="G706" i="18"/>
  <c r="G198" i="64"/>
  <c r="J226" i="28"/>
  <c r="E229" i="28"/>
  <c r="E231" i="28"/>
  <c r="I245" i="28"/>
  <c r="I546" i="18"/>
  <c r="I547" i="18" s="1"/>
  <c r="E286" i="11"/>
  <c r="K402" i="6"/>
  <c r="K231" i="19"/>
  <c r="I96" i="54"/>
  <c r="E364" i="11"/>
  <c r="K554" i="6"/>
  <c r="F51" i="19"/>
  <c r="F179" i="12" s="1"/>
  <c r="F182" i="12" s="1"/>
  <c r="F370" i="19"/>
  <c r="F544" i="18"/>
  <c r="F545" i="18" s="1"/>
  <c r="F121" i="64"/>
  <c r="E575" i="19"/>
  <c r="K575" i="19" s="1"/>
  <c r="K563" i="19"/>
  <c r="H260" i="29"/>
  <c r="E225" i="26"/>
  <c r="F244" i="10"/>
  <c r="F476" i="18"/>
  <c r="F477" i="18" s="1"/>
  <c r="H677" i="6"/>
  <c r="H695" i="6"/>
  <c r="H267" i="64"/>
  <c r="H870" i="18"/>
  <c r="G229" i="27"/>
  <c r="G227" i="27"/>
  <c r="G260" i="30"/>
  <c r="G244" i="27"/>
  <c r="G242" i="27"/>
  <c r="F712" i="6"/>
  <c r="F715" i="6" s="1"/>
  <c r="F706" i="18"/>
  <c r="F198" i="64"/>
  <c r="K503" i="6"/>
  <c r="E324" i="11"/>
  <c r="F45" i="19"/>
  <c r="F113" i="12" s="1"/>
  <c r="F116" i="12" s="1"/>
  <c r="F369" i="19"/>
  <c r="E344" i="11"/>
  <c r="K299" i="6"/>
  <c r="H230" i="10"/>
  <c r="H228" i="10"/>
  <c r="F227" i="27"/>
  <c r="F229" i="27"/>
  <c r="E51" i="19"/>
  <c r="E179" i="12" s="1"/>
  <c r="E182" i="12" s="1"/>
  <c r="E370" i="19"/>
  <c r="E121" i="64"/>
  <c r="E544" i="18"/>
  <c r="F228" i="10"/>
  <c r="F230" i="10"/>
  <c r="G229" i="28"/>
  <c r="G231" i="28"/>
  <c r="K199" i="64"/>
  <c r="I229" i="27"/>
  <c r="I227" i="27"/>
  <c r="E228" i="27"/>
  <c r="E330" i="18"/>
  <c r="I381" i="12" l="1"/>
  <c r="I384" i="12" s="1"/>
  <c r="H373" i="12"/>
  <c r="H376" i="12" s="1"/>
  <c r="G373" i="12"/>
  <c r="G376" i="12" s="1"/>
  <c r="G381" i="12"/>
  <c r="G384" i="12" s="1"/>
  <c r="F373" i="12"/>
  <c r="F376" i="12" s="1"/>
  <c r="I373" i="12"/>
  <c r="I376" i="12" s="1"/>
  <c r="E373" i="12"/>
  <c r="E376" i="12" s="1"/>
  <c r="E456" i="6"/>
  <c r="E455" i="6"/>
  <c r="E186" i="6"/>
  <c r="E457" i="6"/>
  <c r="E172" i="6"/>
  <c r="E171" i="6"/>
  <c r="E187" i="6"/>
  <c r="E201" i="6"/>
  <c r="E200" i="6"/>
  <c r="E196" i="6"/>
  <c r="E426" i="6"/>
  <c r="E442" i="6"/>
  <c r="E202" i="6"/>
  <c r="E441" i="6"/>
  <c r="E427" i="6"/>
  <c r="E451" i="6"/>
  <c r="F551" i="19"/>
  <c r="F163" i="19"/>
  <c r="F153" i="19"/>
  <c r="F148" i="19"/>
  <c r="F307" i="2"/>
  <c r="F44" i="31" s="1"/>
  <c r="E153" i="19"/>
  <c r="E148" i="19"/>
  <c r="E307" i="2"/>
  <c r="E551" i="19"/>
  <c r="E163" i="19"/>
  <c r="H550" i="19"/>
  <c r="H147" i="19"/>
  <c r="H162" i="19"/>
  <c r="H152" i="19"/>
  <c r="H306" i="2"/>
  <c r="H43" i="31" s="1"/>
  <c r="H549" i="19"/>
  <c r="H146" i="19"/>
  <c r="H151" i="19"/>
  <c r="H161" i="19"/>
  <c r="H305" i="2"/>
  <c r="H29" i="31" s="1"/>
  <c r="F162" i="19"/>
  <c r="F306" i="2"/>
  <c r="F43" i="31" s="1"/>
  <c r="F147" i="19"/>
  <c r="F152" i="19"/>
  <c r="F550" i="19"/>
  <c r="H163" i="19"/>
  <c r="H153" i="19"/>
  <c r="H148" i="19"/>
  <c r="H551" i="19"/>
  <c r="H307" i="2"/>
  <c r="I148" i="19"/>
  <c r="I307" i="2"/>
  <c r="I153" i="19"/>
  <c r="I163" i="19"/>
  <c r="I551" i="19"/>
  <c r="G550" i="19"/>
  <c r="G306" i="2"/>
  <c r="G30" i="31" s="1"/>
  <c r="G152" i="19"/>
  <c r="G147" i="19"/>
  <c r="G162" i="19"/>
  <c r="I151" i="19"/>
  <c r="I161" i="19"/>
  <c r="I305" i="2"/>
  <c r="I42" i="31" s="1"/>
  <c r="I549" i="19"/>
  <c r="I146" i="19"/>
  <c r="E162" i="19"/>
  <c r="E152" i="19"/>
  <c r="E147" i="19"/>
  <c r="E550" i="19"/>
  <c r="N18" i="55" s="1"/>
  <c r="E306" i="2"/>
  <c r="E30" i="31" s="1"/>
  <c r="F161" i="19"/>
  <c r="F151" i="19"/>
  <c r="F146" i="19"/>
  <c r="F549" i="19"/>
  <c r="F305" i="2"/>
  <c r="F42" i="31" s="1"/>
  <c r="G551" i="19"/>
  <c r="G163" i="19"/>
  <c r="G148" i="19"/>
  <c r="G307" i="2"/>
  <c r="G153" i="19"/>
  <c r="I162" i="19"/>
  <c r="I152" i="19"/>
  <c r="I147" i="19"/>
  <c r="I550" i="19"/>
  <c r="I306" i="2"/>
  <c r="I30" i="31" s="1"/>
  <c r="E161" i="19"/>
  <c r="E305" i="2"/>
  <c r="E146" i="19"/>
  <c r="E151" i="19"/>
  <c r="E549" i="19"/>
  <c r="G549" i="19"/>
  <c r="G146" i="19"/>
  <c r="G161" i="19"/>
  <c r="G151" i="19"/>
  <c r="G305" i="2"/>
  <c r="H307" i="19"/>
  <c r="E42" i="19"/>
  <c r="G42" i="19"/>
  <c r="F307" i="19"/>
  <c r="F367" i="19"/>
  <c r="H42" i="19"/>
  <c r="K774" i="19"/>
  <c r="K739" i="19"/>
  <c r="D19" i="28"/>
  <c r="D175" i="28" s="1"/>
  <c r="J175" i="28"/>
  <c r="J192" i="28" s="1"/>
  <c r="K772" i="19"/>
  <c r="F738" i="19"/>
  <c r="F10" i="6"/>
  <c r="F26" i="6"/>
  <c r="K773" i="19"/>
  <c r="E738" i="19"/>
  <c r="E26" i="6"/>
  <c r="E10" i="6"/>
  <c r="E43" i="6"/>
  <c r="I26" i="6"/>
  <c r="I738" i="19"/>
  <c r="I10" i="6"/>
  <c r="H26" i="6"/>
  <c r="H738" i="19"/>
  <c r="H10" i="6"/>
  <c r="H43" i="6"/>
  <c r="G26" i="6"/>
  <c r="G738" i="19"/>
  <c r="G10" i="6"/>
  <c r="E517" i="6"/>
  <c r="E190" i="5" s="1"/>
  <c r="F517" i="6"/>
  <c r="F43" i="6"/>
  <c r="D222" i="1"/>
  <c r="I16" i="7"/>
  <c r="I43" i="6"/>
  <c r="I39" i="19"/>
  <c r="I46" i="12" s="1"/>
  <c r="I49" i="12" s="1"/>
  <c r="I367" i="19"/>
  <c r="F39" i="19"/>
  <c r="F46" i="12" s="1"/>
  <c r="F49" i="12" s="1"/>
  <c r="G20" i="19"/>
  <c r="G14" i="12" s="1"/>
  <c r="G17" i="12" s="1"/>
  <c r="G307" i="19"/>
  <c r="I20" i="19"/>
  <c r="I14" i="12" s="1"/>
  <c r="I17" i="12" s="1"/>
  <c r="I307" i="19"/>
  <c r="E20" i="19"/>
  <c r="E14" i="12" s="1"/>
  <c r="E17" i="12" s="1"/>
  <c r="E307" i="19"/>
  <c r="G365" i="6"/>
  <c r="E365" i="6"/>
  <c r="H365" i="6"/>
  <c r="F20" i="19"/>
  <c r="F14" i="12" s="1"/>
  <c r="F17" i="12" s="1"/>
  <c r="H20" i="19"/>
  <c r="H14" i="12" s="1"/>
  <c r="H17" i="12" s="1"/>
  <c r="J259" i="29"/>
  <c r="F276" i="26"/>
  <c r="F212" i="19"/>
  <c r="K76" i="6"/>
  <c r="N60" i="55"/>
  <c r="K60" i="6"/>
  <c r="G212" i="19"/>
  <c r="K93" i="6"/>
  <c r="F220" i="30"/>
  <c r="M20" i="55"/>
  <c r="H218" i="30"/>
  <c r="H219" i="30" s="1"/>
  <c r="F36" i="6"/>
  <c r="I220" i="30"/>
  <c r="E220" i="30"/>
  <c r="J220" i="30" s="1"/>
  <c r="E221" i="30" s="1"/>
  <c r="E218" i="30"/>
  <c r="E219" i="30" s="1"/>
  <c r="J276" i="26"/>
  <c r="F218" i="29"/>
  <c r="F219" i="29" s="1"/>
  <c r="F511" i="18"/>
  <c r="F221" i="2"/>
  <c r="F16" i="7"/>
  <c r="G51" i="19"/>
  <c r="G179" i="12" s="1"/>
  <c r="G182" i="12" s="1"/>
  <c r="I246" i="26"/>
  <c r="E246" i="26"/>
  <c r="H246" i="26"/>
  <c r="J246" i="26"/>
  <c r="G246" i="26"/>
  <c r="G476" i="18"/>
  <c r="G477" i="18" s="1"/>
  <c r="G218" i="29"/>
  <c r="G219" i="29" s="1"/>
  <c r="I276" i="26"/>
  <c r="G276" i="26"/>
  <c r="E276" i="26"/>
  <c r="H244" i="10"/>
  <c r="G544" i="18"/>
  <c r="G545" i="18" s="1"/>
  <c r="G370" i="19"/>
  <c r="E26" i="19"/>
  <c r="E79" i="12" s="1"/>
  <c r="E82" i="12" s="1"/>
  <c r="E476" i="18"/>
  <c r="E477" i="18" s="1"/>
  <c r="E546" i="18"/>
  <c r="E547" i="18" s="1"/>
  <c r="I218" i="29"/>
  <c r="I219" i="29" s="1"/>
  <c r="H218" i="29"/>
  <c r="H219" i="29" s="1"/>
  <c r="H16" i="7"/>
  <c r="H221" i="2"/>
  <c r="I221" i="2"/>
  <c r="C60" i="39"/>
  <c r="E16" i="7"/>
  <c r="G221" i="2"/>
  <c r="G16" i="7"/>
  <c r="I370" i="19"/>
  <c r="H544" i="18"/>
  <c r="H545" i="18" s="1"/>
  <c r="H51" i="19"/>
  <c r="H179" i="12" s="1"/>
  <c r="H182" i="12" s="1"/>
  <c r="H370" i="19"/>
  <c r="I544" i="18"/>
  <c r="I545" i="18" s="1"/>
  <c r="J246" i="28"/>
  <c r="G247" i="28" s="1"/>
  <c r="G119" i="64" s="1"/>
  <c r="I51" i="19"/>
  <c r="I179" i="12" s="1"/>
  <c r="I182" i="12" s="1"/>
  <c r="E243" i="27"/>
  <c r="J245" i="10"/>
  <c r="G246" i="10" s="1"/>
  <c r="G471" i="18" s="1"/>
  <c r="G258" i="26"/>
  <c r="G259" i="26" s="1"/>
  <c r="G260" i="26"/>
  <c r="I260" i="26"/>
  <c r="I258" i="26"/>
  <c r="I259" i="26" s="1"/>
  <c r="F258" i="26"/>
  <c r="F259" i="26" s="1"/>
  <c r="F260" i="26"/>
  <c r="J255" i="26"/>
  <c r="E258" i="26"/>
  <c r="E259" i="26" s="1"/>
  <c r="E260" i="26"/>
  <c r="H258" i="26"/>
  <c r="H259" i="26" s="1"/>
  <c r="H260" i="26"/>
  <c r="F546" i="18"/>
  <c r="F547" i="18" s="1"/>
  <c r="M16" i="55"/>
  <c r="K53" i="39"/>
  <c r="M18" i="55"/>
  <c r="K55" i="39"/>
  <c r="K121" i="64"/>
  <c r="E331" i="18"/>
  <c r="G309" i="19"/>
  <c r="G26" i="19"/>
  <c r="G79" i="12" s="1"/>
  <c r="G82" i="12" s="1"/>
  <c r="K870" i="18"/>
  <c r="G45" i="19"/>
  <c r="G113" i="12" s="1"/>
  <c r="G116" i="12" s="1"/>
  <c r="G369" i="19"/>
  <c r="G111" i="19"/>
  <c r="G40" i="19"/>
  <c r="G41" i="19" s="1"/>
  <c r="G99" i="64"/>
  <c r="G123" i="2"/>
  <c r="G427" i="11"/>
  <c r="G474" i="18"/>
  <c r="G475" i="18" s="1"/>
  <c r="E230" i="28"/>
  <c r="E367" i="18"/>
  <c r="H511" i="18"/>
  <c r="H243" i="27"/>
  <c r="K695" i="6"/>
  <c r="F234" i="64"/>
  <c r="F838" i="18"/>
  <c r="E371" i="19"/>
  <c r="E383" i="19" s="1"/>
  <c r="J215" i="29"/>
  <c r="E220" i="29"/>
  <c r="E218" i="29"/>
  <c r="E219" i="29" s="1"/>
  <c r="I45" i="19"/>
  <c r="I113" i="12" s="1"/>
  <c r="I116" i="12" s="1"/>
  <c r="I369" i="19"/>
  <c r="F230" i="26"/>
  <c r="F228" i="26"/>
  <c r="F229" i="26" s="1"/>
  <c r="F230" i="28"/>
  <c r="F367" i="18"/>
  <c r="F368" i="18" s="1"/>
  <c r="H310" i="19"/>
  <c r="H32" i="19"/>
  <c r="H146" i="12" s="1"/>
  <c r="H149" i="12" s="1"/>
  <c r="H369" i="19"/>
  <c r="H45" i="19"/>
  <c r="H113" i="12" s="1"/>
  <c r="H116" i="12" s="1"/>
  <c r="I234" i="64"/>
  <c r="I838" i="18"/>
  <c r="K267" i="64"/>
  <c r="E838" i="18"/>
  <c r="E234" i="64"/>
  <c r="K677" i="6"/>
  <c r="H228" i="27"/>
  <c r="H330" i="18"/>
  <c r="H331" i="18" s="1"/>
  <c r="G294" i="18"/>
  <c r="G229" i="10"/>
  <c r="G230" i="26"/>
  <c r="G228" i="26"/>
  <c r="G229" i="26" s="1"/>
  <c r="J244" i="27"/>
  <c r="I229" i="10"/>
  <c r="I294" i="18"/>
  <c r="F32" i="19"/>
  <c r="F146" i="12" s="1"/>
  <c r="F149" i="12" s="1"/>
  <c r="F310" i="19"/>
  <c r="E294" i="18"/>
  <c r="E229" i="10"/>
  <c r="G367" i="18"/>
  <c r="G368" i="18" s="1"/>
  <c r="G230" i="28"/>
  <c r="F330" i="18"/>
  <c r="F331" i="18" s="1"/>
  <c r="F228" i="27"/>
  <c r="E230" i="26"/>
  <c r="J225" i="26"/>
  <c r="E228" i="26"/>
  <c r="E229" i="26" s="1"/>
  <c r="H229" i="10"/>
  <c r="H294" i="18"/>
  <c r="F874" i="18"/>
  <c r="F235" i="11"/>
  <c r="F271" i="64"/>
  <c r="F211" i="11"/>
  <c r="F131" i="19"/>
  <c r="F52" i="19"/>
  <c r="F53" i="19" s="1"/>
  <c r="F54" i="19"/>
  <c r="F129" i="2"/>
  <c r="I330" i="18"/>
  <c r="I331" i="18" s="1"/>
  <c r="I228" i="27"/>
  <c r="G32" i="19"/>
  <c r="G146" i="12" s="1"/>
  <c r="G149" i="12" s="1"/>
  <c r="G310" i="19"/>
  <c r="F229" i="10"/>
  <c r="F294" i="18"/>
  <c r="E545" i="18"/>
  <c r="E131" i="19"/>
  <c r="E52" i="19"/>
  <c r="E54" i="19"/>
  <c r="E129" i="2"/>
  <c r="D129" i="1" s="1"/>
  <c r="F26" i="19"/>
  <c r="F79" i="12" s="1"/>
  <c r="F82" i="12" s="1"/>
  <c r="F309" i="19"/>
  <c r="F121" i="19"/>
  <c r="F46" i="19"/>
  <c r="F47" i="19" s="1"/>
  <c r="F48" i="19"/>
  <c r="F110" i="64"/>
  <c r="F126" i="2"/>
  <c r="F509" i="18"/>
  <c r="G228" i="27"/>
  <c r="G330" i="18"/>
  <c r="G331" i="18" s="1"/>
  <c r="H838" i="18"/>
  <c r="H234" i="64"/>
  <c r="E712" i="6"/>
  <c r="E198" i="64"/>
  <c r="K198" i="64" s="1"/>
  <c r="E706" i="18"/>
  <c r="K706" i="18" s="1"/>
  <c r="K233" i="19"/>
  <c r="I874" i="18"/>
  <c r="I211" i="11"/>
  <c r="I235" i="11"/>
  <c r="I271" i="64"/>
  <c r="H235" i="11"/>
  <c r="H211" i="11"/>
  <c r="H271" i="64"/>
  <c r="H874" i="18"/>
  <c r="I32" i="19"/>
  <c r="I146" i="12" s="1"/>
  <c r="I149" i="12" s="1"/>
  <c r="I310" i="19"/>
  <c r="H309" i="19"/>
  <c r="H26" i="19"/>
  <c r="H79" i="12" s="1"/>
  <c r="H82" i="12" s="1"/>
  <c r="I230" i="26"/>
  <c r="I228" i="26"/>
  <c r="I229" i="26" s="1"/>
  <c r="H111" i="19"/>
  <c r="H40" i="19"/>
  <c r="H41" i="19" s="1"/>
  <c r="H474" i="18"/>
  <c r="H475" i="18" s="1"/>
  <c r="H99" i="64"/>
  <c r="H123" i="2"/>
  <c r="H427" i="11"/>
  <c r="J230" i="10"/>
  <c r="J231" i="10" s="1"/>
  <c r="I26" i="19"/>
  <c r="I79" i="12" s="1"/>
  <c r="I82" i="12" s="1"/>
  <c r="I309" i="19"/>
  <c r="G511" i="18"/>
  <c r="G243" i="27"/>
  <c r="J229" i="27"/>
  <c r="E32" i="19"/>
  <c r="E146" i="12" s="1"/>
  <c r="E149" i="12" s="1"/>
  <c r="E310" i="19"/>
  <c r="J231" i="28"/>
  <c r="J232" i="28" s="1"/>
  <c r="G235" i="11"/>
  <c r="G874" i="18"/>
  <c r="G211" i="11"/>
  <c r="G271" i="64"/>
  <c r="I230" i="28"/>
  <c r="I367" i="18"/>
  <c r="I368" i="18" s="1"/>
  <c r="E111" i="19"/>
  <c r="E40" i="19"/>
  <c r="E41" i="19" s="1"/>
  <c r="E427" i="11"/>
  <c r="E123" i="2"/>
  <c r="D123" i="1" s="1"/>
  <c r="E474" i="18"/>
  <c r="E99" i="64"/>
  <c r="I243" i="27"/>
  <c r="I511" i="18"/>
  <c r="H230" i="26"/>
  <c r="H228" i="26"/>
  <c r="H229" i="26" s="1"/>
  <c r="G234" i="64"/>
  <c r="G838" i="18"/>
  <c r="E121" i="19"/>
  <c r="E48" i="19"/>
  <c r="E46" i="19"/>
  <c r="E47" i="19" s="1"/>
  <c r="E126" i="2"/>
  <c r="D126" i="1" s="1"/>
  <c r="E110" i="64"/>
  <c r="I7" i="45"/>
  <c r="E509" i="18"/>
  <c r="H367" i="18"/>
  <c r="H368" i="18" s="1"/>
  <c r="H230" i="28"/>
  <c r="M22" i="55" l="1"/>
  <c r="E121" i="12"/>
  <c r="E124" i="12" s="1"/>
  <c r="E129" i="12"/>
  <c r="E132" i="12" s="1"/>
  <c r="F129" i="12"/>
  <c r="F132" i="12" s="1"/>
  <c r="F121" i="12"/>
  <c r="F124" i="12" s="1"/>
  <c r="G62" i="12"/>
  <c r="G65" i="12" s="1"/>
  <c r="G54" i="12"/>
  <c r="G57" i="12" s="1"/>
  <c r="F195" i="12"/>
  <c r="F187" i="12"/>
  <c r="E54" i="12"/>
  <c r="E57" i="12" s="1"/>
  <c r="E62" i="12"/>
  <c r="E65" i="12" s="1"/>
  <c r="E187" i="12"/>
  <c r="E195" i="12"/>
  <c r="H54" i="12"/>
  <c r="H57" i="12" s="1"/>
  <c r="H62" i="12"/>
  <c r="H65" i="12" s="1"/>
  <c r="I455" i="6"/>
  <c r="I427" i="6"/>
  <c r="I196" i="6"/>
  <c r="I348" i="6" s="1"/>
  <c r="I171" i="6"/>
  <c r="I456" i="6"/>
  <c r="I441" i="6"/>
  <c r="I200" i="6"/>
  <c r="I172" i="6"/>
  <c r="I208" i="19"/>
  <c r="I442" i="6"/>
  <c r="I201" i="6"/>
  <c r="I186" i="6"/>
  <c r="I451" i="6"/>
  <c r="I603" i="6" s="1"/>
  <c r="I426" i="6"/>
  <c r="I578" i="6" s="1"/>
  <c r="I187" i="6"/>
  <c r="I202" i="6"/>
  <c r="I443" i="18" s="1"/>
  <c r="I457" i="6"/>
  <c r="I621" i="18" s="1"/>
  <c r="H451" i="6"/>
  <c r="H603" i="6" s="1"/>
  <c r="H426" i="6"/>
  <c r="H578" i="6" s="1"/>
  <c r="H187" i="6"/>
  <c r="H455" i="6"/>
  <c r="H427" i="6"/>
  <c r="H196" i="6"/>
  <c r="H348" i="6" s="1"/>
  <c r="H171" i="6"/>
  <c r="H456" i="6"/>
  <c r="H441" i="6"/>
  <c r="H200" i="6"/>
  <c r="H172" i="6"/>
  <c r="H208" i="19"/>
  <c r="H442" i="6"/>
  <c r="H201" i="6"/>
  <c r="H186" i="6"/>
  <c r="H202" i="6"/>
  <c r="H443" i="18" s="1"/>
  <c r="H457" i="6"/>
  <c r="H621" i="18" s="1"/>
  <c r="F30" i="31"/>
  <c r="G43" i="31"/>
  <c r="H42" i="31"/>
  <c r="F97" i="55"/>
  <c r="E43" i="31"/>
  <c r="G208" i="19"/>
  <c r="G456" i="6"/>
  <c r="G455" i="6"/>
  <c r="G451" i="6"/>
  <c r="G603" i="6" s="1"/>
  <c r="G442" i="6"/>
  <c r="G441" i="6"/>
  <c r="G427" i="6"/>
  <c r="G426" i="6"/>
  <c r="G578" i="6" s="1"/>
  <c r="G201" i="6"/>
  <c r="G200" i="6"/>
  <c r="G196" i="6"/>
  <c r="G348" i="6" s="1"/>
  <c r="G187" i="6"/>
  <c r="G186" i="6"/>
  <c r="G172" i="6"/>
  <c r="G171" i="6"/>
  <c r="G457" i="6"/>
  <c r="G621" i="18" s="1"/>
  <c r="G202" i="6"/>
  <c r="G443" i="18" s="1"/>
  <c r="G450" i="6"/>
  <c r="G602" i="6" s="1"/>
  <c r="G195" i="6"/>
  <c r="G347" i="6" s="1"/>
  <c r="I417" i="6"/>
  <c r="I162" i="6"/>
  <c r="E417" i="6"/>
  <c r="E569" i="6" s="1"/>
  <c r="E628" i="18" s="1"/>
  <c r="E162" i="6"/>
  <c r="G417" i="6"/>
  <c r="G569" i="6" s="1"/>
  <c r="G628" i="18" s="1"/>
  <c r="G162" i="6"/>
  <c r="G437" i="18" s="1"/>
  <c r="H417" i="6"/>
  <c r="H615" i="18" s="1"/>
  <c r="H162" i="6"/>
  <c r="H314" i="6" s="1"/>
  <c r="H75" i="64" s="1"/>
  <c r="I178" i="6"/>
  <c r="I433" i="6"/>
  <c r="I585" i="6" s="1"/>
  <c r="G433" i="6"/>
  <c r="G585" i="6" s="1"/>
  <c r="G178" i="6"/>
  <c r="H433" i="6"/>
  <c r="H585" i="6" s="1"/>
  <c r="H178" i="6"/>
  <c r="E433" i="6"/>
  <c r="E585" i="6" s="1"/>
  <c r="E178" i="6"/>
  <c r="F208" i="19"/>
  <c r="F442" i="6"/>
  <c r="F426" i="6"/>
  <c r="F578" i="6" s="1"/>
  <c r="F196" i="6"/>
  <c r="F348" i="6" s="1"/>
  <c r="F172" i="6"/>
  <c r="F433" i="6"/>
  <c r="F585" i="6" s="1"/>
  <c r="F456" i="6"/>
  <c r="F441" i="6"/>
  <c r="F417" i="6"/>
  <c r="F615" i="18" s="1"/>
  <c r="F187" i="6"/>
  <c r="F171" i="6"/>
  <c r="F186" i="6"/>
  <c r="F451" i="6"/>
  <c r="F603" i="6" s="1"/>
  <c r="F427" i="6"/>
  <c r="F200" i="6"/>
  <c r="F178" i="6"/>
  <c r="F455" i="6"/>
  <c r="F201" i="6"/>
  <c r="F162" i="6"/>
  <c r="F437" i="18" s="1"/>
  <c r="F202" i="6"/>
  <c r="F443" i="18" s="1"/>
  <c r="F457" i="6"/>
  <c r="F621" i="18" s="1"/>
  <c r="H450" i="6"/>
  <c r="H602" i="6" s="1"/>
  <c r="H195" i="6"/>
  <c r="H347" i="6" s="1"/>
  <c r="E725" i="18"/>
  <c r="E129" i="33"/>
  <c r="E110" i="33"/>
  <c r="E117" i="33"/>
  <c r="E105" i="33"/>
  <c r="E68" i="33"/>
  <c r="E48" i="33"/>
  <c r="E31" i="33"/>
  <c r="E19" i="33"/>
  <c r="E107" i="33"/>
  <c r="E125" i="33"/>
  <c r="E14" i="33"/>
  <c r="E5" i="33"/>
  <c r="E70" i="33"/>
  <c r="E51" i="33"/>
  <c r="E33" i="33"/>
  <c r="E71" i="33"/>
  <c r="E53" i="33"/>
  <c r="E34" i="33"/>
  <c r="E17" i="33"/>
  <c r="E8" i="33"/>
  <c r="E60" i="33"/>
  <c r="E36" i="33"/>
  <c r="E32" i="33"/>
  <c r="E45" i="33"/>
  <c r="E108" i="33"/>
  <c r="E115" i="33"/>
  <c r="E72" i="33"/>
  <c r="E43" i="33"/>
  <c r="E23" i="33"/>
  <c r="E118" i="33"/>
  <c r="E104" i="33"/>
  <c r="E9" i="33"/>
  <c r="E97" i="33"/>
  <c r="E46" i="33"/>
  <c r="E24" i="33"/>
  <c r="E98" i="33"/>
  <c r="E58" i="33"/>
  <c r="E30" i="33"/>
  <c r="E10" i="33"/>
  <c r="E124" i="33"/>
  <c r="E128" i="33"/>
  <c r="E15" i="33"/>
  <c r="K307" i="2"/>
  <c r="E63" i="33"/>
  <c r="E102" i="33"/>
  <c r="E41" i="33"/>
  <c r="E47" i="33"/>
  <c r="E69" i="33"/>
  <c r="E112" i="33"/>
  <c r="E101" i="33"/>
  <c r="E100" i="33"/>
  <c r="E59" i="33"/>
  <c r="E35" i="33"/>
  <c r="E123" i="33"/>
  <c r="E99" i="33"/>
  <c r="E16" i="33"/>
  <c r="E126" i="33"/>
  <c r="E61" i="33"/>
  <c r="E37" i="33"/>
  <c r="E67" i="33"/>
  <c r="E42" i="33"/>
  <c r="E75" i="33"/>
  <c r="K306" i="2"/>
  <c r="E73" i="33"/>
  <c r="E49" i="33"/>
  <c r="E27" i="33"/>
  <c r="E106" i="33"/>
  <c r="E113" i="33"/>
  <c r="E21" i="33"/>
  <c r="E20" i="33"/>
  <c r="E66" i="33"/>
  <c r="E74" i="33"/>
  <c r="E25" i="33"/>
  <c r="E40" i="33"/>
  <c r="E65" i="33"/>
  <c r="E111" i="33"/>
  <c r="E116" i="33"/>
  <c r="E76" i="33"/>
  <c r="E55" i="33"/>
  <c r="E26" i="33"/>
  <c r="E121" i="33"/>
  <c r="E130" i="33"/>
  <c r="E11" i="33"/>
  <c r="E119" i="33"/>
  <c r="E57" i="33"/>
  <c r="E28" i="33"/>
  <c r="E122" i="33"/>
  <c r="E62" i="33"/>
  <c r="E38" i="33"/>
  <c r="E6" i="33"/>
  <c r="K304" i="2"/>
  <c r="E56" i="33"/>
  <c r="E22" i="33"/>
  <c r="K305" i="2"/>
  <c r="E131" i="33"/>
  <c r="E39" i="33"/>
  <c r="E7" i="33"/>
  <c r="E12" i="33"/>
  <c r="E18" i="33"/>
  <c r="F725" i="18"/>
  <c r="F126" i="33"/>
  <c r="F117" i="33"/>
  <c r="F107" i="33"/>
  <c r="F98" i="33"/>
  <c r="F70" i="33"/>
  <c r="F61" i="33"/>
  <c r="F51" i="33"/>
  <c r="F41" i="33"/>
  <c r="F33" i="33"/>
  <c r="F24" i="33"/>
  <c r="F121" i="33"/>
  <c r="F111" i="33"/>
  <c r="F75" i="33"/>
  <c r="F58" i="33"/>
  <c r="F38" i="33"/>
  <c r="F131" i="33"/>
  <c r="F10" i="33"/>
  <c r="F7" i="33"/>
  <c r="F32" i="33"/>
  <c r="F9" i="33"/>
  <c r="F65" i="33"/>
  <c r="F36" i="33"/>
  <c r="F16" i="33"/>
  <c r="F17" i="33"/>
  <c r="F124" i="33"/>
  <c r="F115" i="33"/>
  <c r="F105" i="33"/>
  <c r="F76" i="33"/>
  <c r="F68" i="33"/>
  <c r="F59" i="33"/>
  <c r="F48" i="33"/>
  <c r="F39" i="33"/>
  <c r="F31" i="33"/>
  <c r="F128" i="33"/>
  <c r="F118" i="33"/>
  <c r="F108" i="33"/>
  <c r="F71" i="33"/>
  <c r="F53" i="33"/>
  <c r="F34" i="33"/>
  <c r="F19" i="33"/>
  <c r="F106" i="33"/>
  <c r="F5" i="33"/>
  <c r="F27" i="33"/>
  <c r="F56" i="33"/>
  <c r="F22" i="33"/>
  <c r="F14" i="33"/>
  <c r="F12" i="33"/>
  <c r="F122" i="33"/>
  <c r="F112" i="33"/>
  <c r="F102" i="33"/>
  <c r="F74" i="33"/>
  <c r="F66" i="33"/>
  <c r="F57" i="33"/>
  <c r="F46" i="33"/>
  <c r="F37" i="33"/>
  <c r="F28" i="33"/>
  <c r="F125" i="33"/>
  <c r="F116" i="33"/>
  <c r="F104" i="33"/>
  <c r="F67" i="33"/>
  <c r="F47" i="33"/>
  <c r="F30" i="33"/>
  <c r="F18" i="33"/>
  <c r="F129" i="33"/>
  <c r="F60" i="33"/>
  <c r="F15" i="33"/>
  <c r="F73" i="33"/>
  <c r="F49" i="33"/>
  <c r="F23" i="33"/>
  <c r="F97" i="33"/>
  <c r="F6" i="33"/>
  <c r="F130" i="33"/>
  <c r="F72" i="33"/>
  <c r="F35" i="33"/>
  <c r="F99" i="33"/>
  <c r="F11" i="33"/>
  <c r="F20" i="33"/>
  <c r="F26" i="33"/>
  <c r="F8" i="33"/>
  <c r="F110" i="33"/>
  <c r="F55" i="33"/>
  <c r="F123" i="33"/>
  <c r="F42" i="33"/>
  <c r="F45" i="33"/>
  <c r="F40" i="33"/>
  <c r="F119" i="33"/>
  <c r="F62" i="33"/>
  <c r="F100" i="33"/>
  <c r="F43" i="33"/>
  <c r="F113" i="33"/>
  <c r="F25" i="33"/>
  <c r="F101" i="33"/>
  <c r="F21" i="33"/>
  <c r="F63" i="33"/>
  <c r="F69" i="33"/>
  <c r="F38" i="6"/>
  <c r="F188" i="6"/>
  <c r="F443" i="6"/>
  <c r="F29" i="31"/>
  <c r="H725" i="18"/>
  <c r="H128" i="33"/>
  <c r="H118" i="33"/>
  <c r="H108" i="33"/>
  <c r="H99" i="33"/>
  <c r="H71" i="33"/>
  <c r="H62" i="33"/>
  <c r="H53" i="33"/>
  <c r="H42" i="33"/>
  <c r="H34" i="33"/>
  <c r="H25" i="33"/>
  <c r="H122" i="33"/>
  <c r="H112" i="33"/>
  <c r="H129" i="33"/>
  <c r="H70" i="33"/>
  <c r="H51" i="33"/>
  <c r="H33" i="33"/>
  <c r="H23" i="33"/>
  <c r="H8" i="33"/>
  <c r="H63" i="33"/>
  <c r="H43" i="33"/>
  <c r="H26" i="33"/>
  <c r="H6" i="33"/>
  <c r="H22" i="33"/>
  <c r="H14" i="33"/>
  <c r="H125" i="33"/>
  <c r="H116" i="33"/>
  <c r="H106" i="33"/>
  <c r="H97" i="33"/>
  <c r="H69" i="33"/>
  <c r="H60" i="33"/>
  <c r="H49" i="33"/>
  <c r="H40" i="33"/>
  <c r="H32" i="33"/>
  <c r="H130" i="33"/>
  <c r="H119" i="33"/>
  <c r="H110" i="33"/>
  <c r="H102" i="33"/>
  <c r="H66" i="33"/>
  <c r="H46" i="33"/>
  <c r="H28" i="33"/>
  <c r="H7" i="33"/>
  <c r="H59" i="33"/>
  <c r="H39" i="33"/>
  <c r="H18" i="33"/>
  <c r="H5" i="33"/>
  <c r="H21" i="33"/>
  <c r="H11" i="33"/>
  <c r="H123" i="33"/>
  <c r="H113" i="33"/>
  <c r="H104" i="33"/>
  <c r="H75" i="33"/>
  <c r="H67" i="33"/>
  <c r="H58" i="33"/>
  <c r="H47" i="33"/>
  <c r="H38" i="33"/>
  <c r="H30" i="33"/>
  <c r="H126" i="33"/>
  <c r="H117" i="33"/>
  <c r="H107" i="33"/>
  <c r="H98" i="33"/>
  <c r="H61" i="33"/>
  <c r="H41" i="33"/>
  <c r="H24" i="33"/>
  <c r="H17" i="33"/>
  <c r="H72" i="33"/>
  <c r="H55" i="33"/>
  <c r="H35" i="33"/>
  <c r="H9" i="33"/>
  <c r="H105" i="33"/>
  <c r="H19" i="33"/>
  <c r="H10" i="33"/>
  <c r="H101" i="33"/>
  <c r="H45" i="33"/>
  <c r="H115" i="33"/>
  <c r="H37" i="33"/>
  <c r="H68" i="33"/>
  <c r="H76" i="33"/>
  <c r="H73" i="33"/>
  <c r="H48" i="33"/>
  <c r="H121" i="33"/>
  <c r="H65" i="33"/>
  <c r="H27" i="33"/>
  <c r="H74" i="33"/>
  <c r="H31" i="33"/>
  <c r="H20" i="33"/>
  <c r="H131" i="33"/>
  <c r="H100" i="33"/>
  <c r="H111" i="33"/>
  <c r="H56" i="33"/>
  <c r="H124" i="33"/>
  <c r="H57" i="33"/>
  <c r="H16" i="33"/>
  <c r="H12" i="33"/>
  <c r="H36" i="33"/>
  <c r="H15" i="33"/>
  <c r="G725" i="18"/>
  <c r="G131" i="33"/>
  <c r="G115" i="33"/>
  <c r="G100" i="33"/>
  <c r="G122" i="33"/>
  <c r="G22" i="33"/>
  <c r="G125" i="33"/>
  <c r="G101" i="33"/>
  <c r="G65" i="33"/>
  <c r="G45" i="33"/>
  <c r="G27" i="33"/>
  <c r="G10" i="33"/>
  <c r="G98" i="33"/>
  <c r="G62" i="33"/>
  <c r="G42" i="33"/>
  <c r="G25" i="33"/>
  <c r="G129" i="33"/>
  <c r="G113" i="33"/>
  <c r="G99" i="33"/>
  <c r="G121" i="33"/>
  <c r="G20" i="33"/>
  <c r="G111" i="33"/>
  <c r="G97" i="33"/>
  <c r="G60" i="33"/>
  <c r="G40" i="33"/>
  <c r="G17" i="33"/>
  <c r="G8" i="33"/>
  <c r="G74" i="33"/>
  <c r="G58" i="33"/>
  <c r="G38" i="33"/>
  <c r="G9" i="33"/>
  <c r="G110" i="33"/>
  <c r="G61" i="33"/>
  <c r="G41" i="33"/>
  <c r="G24" i="33"/>
  <c r="G11" i="33"/>
  <c r="G59" i="33"/>
  <c r="G39" i="33"/>
  <c r="G107" i="33"/>
  <c r="G19" i="33"/>
  <c r="G117" i="33"/>
  <c r="G105" i="33"/>
  <c r="G124" i="33"/>
  <c r="G119" i="33"/>
  <c r="G18" i="33"/>
  <c r="G126" i="33"/>
  <c r="G73" i="33"/>
  <c r="G56" i="33"/>
  <c r="G36" i="33"/>
  <c r="G15" i="33"/>
  <c r="G6" i="33"/>
  <c r="G71" i="33"/>
  <c r="G53" i="33"/>
  <c r="G116" i="33"/>
  <c r="G130" i="33"/>
  <c r="G32" i="33"/>
  <c r="G47" i="33"/>
  <c r="G108" i="33"/>
  <c r="G66" i="33"/>
  <c r="G37" i="33"/>
  <c r="G16" i="33"/>
  <c r="G63" i="33"/>
  <c r="G35" i="33"/>
  <c r="G23" i="33"/>
  <c r="G34" i="33"/>
  <c r="G33" i="33"/>
  <c r="G21" i="33"/>
  <c r="G123" i="33"/>
  <c r="G69" i="33"/>
  <c r="G106" i="33"/>
  <c r="G30" i="33"/>
  <c r="G102" i="33"/>
  <c r="G51" i="33"/>
  <c r="G28" i="33"/>
  <c r="G72" i="33"/>
  <c r="G48" i="33"/>
  <c r="G26" i="33"/>
  <c r="G7" i="33"/>
  <c r="G112" i="33"/>
  <c r="G12" i="33"/>
  <c r="G57" i="33"/>
  <c r="G14" i="33"/>
  <c r="G31" i="33"/>
  <c r="G118" i="33"/>
  <c r="G49" i="33"/>
  <c r="G67" i="33"/>
  <c r="G128" i="33"/>
  <c r="G70" i="33"/>
  <c r="G46" i="33"/>
  <c r="G68" i="33"/>
  <c r="G43" i="33"/>
  <c r="G76" i="33"/>
  <c r="G5" i="33"/>
  <c r="G104" i="33"/>
  <c r="G75" i="33"/>
  <c r="G55" i="33"/>
  <c r="I725" i="18"/>
  <c r="I129" i="33"/>
  <c r="I122" i="33"/>
  <c r="I102" i="33"/>
  <c r="I126" i="33"/>
  <c r="I101" i="33"/>
  <c r="I65" i="33"/>
  <c r="I45" i="33"/>
  <c r="I27" i="33"/>
  <c r="I17" i="33"/>
  <c r="I117" i="33"/>
  <c r="I76" i="33"/>
  <c r="I71" i="33"/>
  <c r="I66" i="33"/>
  <c r="I59" i="33"/>
  <c r="I53" i="33"/>
  <c r="I46" i="33"/>
  <c r="I39" i="33"/>
  <c r="I34" i="33"/>
  <c r="I28" i="33"/>
  <c r="I22" i="33"/>
  <c r="I9" i="33"/>
  <c r="I18" i="33"/>
  <c r="I99" i="33"/>
  <c r="I12" i="33"/>
  <c r="I131" i="33"/>
  <c r="I121" i="33"/>
  <c r="I98" i="33"/>
  <c r="I125" i="33"/>
  <c r="I97" i="33"/>
  <c r="I60" i="33"/>
  <c r="I40" i="33"/>
  <c r="I23" i="33"/>
  <c r="I112" i="33"/>
  <c r="I115" i="33"/>
  <c r="I75" i="33"/>
  <c r="I70" i="33"/>
  <c r="I63" i="33"/>
  <c r="I58" i="33"/>
  <c r="I51" i="33"/>
  <c r="I43" i="33"/>
  <c r="I38" i="33"/>
  <c r="I33" i="33"/>
  <c r="I26" i="33"/>
  <c r="I16" i="33"/>
  <c r="I7" i="33"/>
  <c r="I15" i="33"/>
  <c r="I10" i="33"/>
  <c r="I124" i="33"/>
  <c r="I119" i="33"/>
  <c r="I130" i="33"/>
  <c r="I107" i="33"/>
  <c r="I73" i="33"/>
  <c r="I56" i="33"/>
  <c r="I36" i="33"/>
  <c r="I21" i="33"/>
  <c r="I104" i="33"/>
  <c r="I108" i="33"/>
  <c r="I74" i="33"/>
  <c r="I68" i="33"/>
  <c r="I62" i="33"/>
  <c r="I57" i="33"/>
  <c r="I48" i="33"/>
  <c r="I42" i="33"/>
  <c r="I37" i="33"/>
  <c r="I31" i="33"/>
  <c r="I25" i="33"/>
  <c r="I14" i="33"/>
  <c r="I5" i="33"/>
  <c r="I6" i="33"/>
  <c r="I116" i="33"/>
  <c r="I110" i="33"/>
  <c r="I118" i="33"/>
  <c r="I49" i="33"/>
  <c r="I105" i="33"/>
  <c r="I55" i="33"/>
  <c r="I30" i="33"/>
  <c r="I113" i="33"/>
  <c r="I72" i="33"/>
  <c r="I20" i="33"/>
  <c r="I106" i="33"/>
  <c r="I19" i="33"/>
  <c r="I67" i="33"/>
  <c r="I41" i="33"/>
  <c r="I11" i="33"/>
  <c r="I128" i="33"/>
  <c r="I32" i="33"/>
  <c r="I24" i="33"/>
  <c r="I123" i="33"/>
  <c r="I69" i="33"/>
  <c r="I100" i="33"/>
  <c r="I61" i="33"/>
  <c r="I35" i="33"/>
  <c r="I111" i="33"/>
  <c r="I8" i="33"/>
  <c r="I47" i="33"/>
  <c r="F195" i="6"/>
  <c r="F347" i="6" s="1"/>
  <c r="F450" i="6"/>
  <c r="F602" i="6" s="1"/>
  <c r="G29" i="31"/>
  <c r="F31" i="31"/>
  <c r="I450" i="6"/>
  <c r="I602" i="6" s="1"/>
  <c r="I195" i="6"/>
  <c r="I347" i="6" s="1"/>
  <c r="E450" i="6"/>
  <c r="E602" i="6" s="1"/>
  <c r="E195" i="6"/>
  <c r="E347" i="6" s="1"/>
  <c r="I29" i="31"/>
  <c r="G42" i="31"/>
  <c r="I43" i="31"/>
  <c r="H30" i="31"/>
  <c r="E220" i="7"/>
  <c r="E44" i="31"/>
  <c r="E31" i="31"/>
  <c r="I44" i="31"/>
  <c r="I31" i="31"/>
  <c r="H31" i="31"/>
  <c r="H44" i="31"/>
  <c r="E42" i="31"/>
  <c r="E29" i="31"/>
  <c r="G44" i="31"/>
  <c r="G31" i="31"/>
  <c r="F104" i="7"/>
  <c r="I104" i="7"/>
  <c r="H104" i="7"/>
  <c r="G104" i="7"/>
  <c r="N20" i="55"/>
  <c r="E104" i="7"/>
  <c r="F95" i="55"/>
  <c r="F23" i="19"/>
  <c r="I42" i="19"/>
  <c r="H23" i="19"/>
  <c r="I23" i="19"/>
  <c r="E23" i="19"/>
  <c r="G23" i="19"/>
  <c r="F42" i="19"/>
  <c r="K738" i="19"/>
  <c r="K33" i="60"/>
  <c r="K30" i="60"/>
  <c r="E262" i="6"/>
  <c r="E185" i="5" s="1"/>
  <c r="I262" i="6"/>
  <c r="H262" i="6"/>
  <c r="I517" i="6"/>
  <c r="I601" i="18" s="1"/>
  <c r="H517" i="6"/>
  <c r="G262" i="6"/>
  <c r="F262" i="6"/>
  <c r="G517" i="6"/>
  <c r="G601" i="18" s="1"/>
  <c r="G211" i="6"/>
  <c r="E211" i="6"/>
  <c r="F211" i="6"/>
  <c r="I211" i="6"/>
  <c r="H211" i="6"/>
  <c r="E210" i="18"/>
  <c r="E233" i="18"/>
  <c r="E186" i="18"/>
  <c r="E209" i="18"/>
  <c r="E257" i="18"/>
  <c r="E185" i="18"/>
  <c r="F15" i="26"/>
  <c r="F186" i="18"/>
  <c r="F209" i="18"/>
  <c r="F210" i="18"/>
  <c r="F233" i="18"/>
  <c r="F258" i="18"/>
  <c r="F185" i="18"/>
  <c r="F234" i="18"/>
  <c r="F257" i="18"/>
  <c r="H14" i="26"/>
  <c r="H257" i="18"/>
  <c r="H185" i="18"/>
  <c r="H210" i="18"/>
  <c r="H233" i="18"/>
  <c r="H186" i="18"/>
  <c r="H209" i="18"/>
  <c r="H187" i="18"/>
  <c r="I210" i="18"/>
  <c r="I233" i="18"/>
  <c r="I187" i="18"/>
  <c r="I186" i="18"/>
  <c r="I209" i="18"/>
  <c r="I185" i="18"/>
  <c r="I257" i="18"/>
  <c r="G15" i="26"/>
  <c r="G185" i="18"/>
  <c r="G257" i="18"/>
  <c r="G186" i="18"/>
  <c r="G209" i="18"/>
  <c r="G210" i="18"/>
  <c r="G233" i="18"/>
  <c r="G33" i="60"/>
  <c r="G30" i="60"/>
  <c r="I365" i="6"/>
  <c r="I575" i="18" s="1"/>
  <c r="F365" i="6"/>
  <c r="F575" i="18" s="1"/>
  <c r="K54" i="60"/>
  <c r="G7" i="45"/>
  <c r="H54" i="60"/>
  <c r="H53" i="60"/>
  <c r="H57" i="60" s="1"/>
  <c r="J60" i="55"/>
  <c r="N53" i="60"/>
  <c r="N57" i="60" s="1"/>
  <c r="K7" i="45"/>
  <c r="N54" i="60"/>
  <c r="K53" i="60"/>
  <c r="K57" i="60" s="1"/>
  <c r="F99" i="55"/>
  <c r="E158" i="19"/>
  <c r="E655" i="6" s="1"/>
  <c r="H235" i="18"/>
  <c r="H15" i="26"/>
  <c r="E116" i="2"/>
  <c r="D116" i="1" s="1"/>
  <c r="F16" i="26"/>
  <c r="H256" i="18"/>
  <c r="F71" i="18"/>
  <c r="F190" i="18" s="1"/>
  <c r="F235" i="18"/>
  <c r="G52" i="19"/>
  <c r="G53" i="19" s="1"/>
  <c r="G129" i="2"/>
  <c r="G131" i="19"/>
  <c r="G132" i="19" s="1"/>
  <c r="G133" i="19" s="1"/>
  <c r="G54" i="19"/>
  <c r="I7" i="43"/>
  <c r="E328" i="18"/>
  <c r="E329" i="18" s="1"/>
  <c r="K54" i="57"/>
  <c r="E90" i="19"/>
  <c r="E91" i="19" s="1"/>
  <c r="E92" i="19" s="1"/>
  <c r="H258" i="18"/>
  <c r="F75" i="18"/>
  <c r="F214" i="18" s="1"/>
  <c r="F187" i="18"/>
  <c r="F78" i="18"/>
  <c r="F70" i="18"/>
  <c r="F209" i="19"/>
  <c r="F184" i="18"/>
  <c r="H16" i="26"/>
  <c r="H24" i="26" s="1"/>
  <c r="H96" i="26" s="1"/>
  <c r="H159" i="7"/>
  <c r="AC50" i="4" s="1"/>
  <c r="H50" i="4" s="1"/>
  <c r="H234" i="18"/>
  <c r="F82" i="18"/>
  <c r="F256" i="18"/>
  <c r="F14" i="26"/>
  <c r="F159" i="7"/>
  <c r="AA50" i="4" s="1"/>
  <c r="F50" i="4" s="1"/>
  <c r="F83" i="18"/>
  <c r="F262" i="18" s="1"/>
  <c r="F208" i="18"/>
  <c r="F74" i="18"/>
  <c r="F13" i="26"/>
  <c r="F232" i="18"/>
  <c r="F211" i="18"/>
  <c r="F79" i="18"/>
  <c r="F238" i="18" s="1"/>
  <c r="F259" i="18"/>
  <c r="K53" i="57"/>
  <c r="K57" i="57" s="1"/>
  <c r="E29" i="19"/>
  <c r="E52" i="64"/>
  <c r="I7" i="36"/>
  <c r="E27" i="19"/>
  <c r="E28" i="19" s="1"/>
  <c r="G247" i="26"/>
  <c r="F247" i="26"/>
  <c r="H247" i="26"/>
  <c r="E247" i="26"/>
  <c r="I247" i="26"/>
  <c r="K476" i="18"/>
  <c r="K477" i="18"/>
  <c r="I277" i="26"/>
  <c r="G277" i="26"/>
  <c r="H277" i="26"/>
  <c r="E277" i="26"/>
  <c r="F277" i="26"/>
  <c r="G371" i="19"/>
  <c r="G383" i="19" s="1"/>
  <c r="F99" i="64"/>
  <c r="H246" i="10"/>
  <c r="H471" i="18" s="1"/>
  <c r="I246" i="10"/>
  <c r="I471" i="18" s="1"/>
  <c r="G97" i="64"/>
  <c r="I247" i="28"/>
  <c r="I119" i="64" s="1"/>
  <c r="H247" i="28"/>
  <c r="H541" i="18" s="1"/>
  <c r="H82" i="18"/>
  <c r="H13" i="26"/>
  <c r="H211" i="18"/>
  <c r="F1123" i="7"/>
  <c r="F1126" i="7"/>
  <c r="G1123" i="7"/>
  <c r="G1126" i="7"/>
  <c r="I1126" i="7"/>
  <c r="I1123" i="7"/>
  <c r="H1126" i="7"/>
  <c r="H1123" i="7"/>
  <c r="N16" i="55"/>
  <c r="E1126" i="7"/>
  <c r="E1123" i="7"/>
  <c r="H83" i="18"/>
  <c r="H262" i="18" s="1"/>
  <c r="H259" i="18"/>
  <c r="E259" i="18"/>
  <c r="G159" i="7"/>
  <c r="AB50" i="4" s="1"/>
  <c r="G50" i="4" s="1"/>
  <c r="G36" i="6" s="1"/>
  <c r="G234" i="18"/>
  <c r="I232" i="18"/>
  <c r="I83" i="18"/>
  <c r="I262" i="18" s="1"/>
  <c r="I259" i="18"/>
  <c r="K551" i="19"/>
  <c r="G82" i="18"/>
  <c r="I79" i="18"/>
  <c r="I238" i="18" s="1"/>
  <c r="I78" i="18"/>
  <c r="I15" i="26"/>
  <c r="I258" i="18"/>
  <c r="I211" i="18"/>
  <c r="I16" i="26"/>
  <c r="I24" i="26" s="1"/>
  <c r="I235" i="18"/>
  <c r="I13" i="26"/>
  <c r="I159" i="7"/>
  <c r="AD50" i="4" s="1"/>
  <c r="I50" i="4" s="1"/>
  <c r="I256" i="18"/>
  <c r="I82" i="18"/>
  <c r="I14" i="26"/>
  <c r="I234" i="18"/>
  <c r="K153" i="19"/>
  <c r="K148" i="19"/>
  <c r="E15" i="26"/>
  <c r="E159" i="7"/>
  <c r="Z50" i="4" s="1"/>
  <c r="E50" i="4" s="1"/>
  <c r="E79" i="18"/>
  <c r="E238" i="18" s="1"/>
  <c r="E258" i="18"/>
  <c r="E235" i="18"/>
  <c r="E211" i="18"/>
  <c r="E78" i="18"/>
  <c r="M42" i="45"/>
  <c r="E443" i="18"/>
  <c r="E83" i="18"/>
  <c r="E262" i="18" s="1"/>
  <c r="E232" i="18"/>
  <c r="E82" i="18"/>
  <c r="E13" i="26"/>
  <c r="E621" i="18"/>
  <c r="E348" i="6"/>
  <c r="F123" i="2"/>
  <c r="F474" i="18"/>
  <c r="F475" i="18" s="1"/>
  <c r="F111" i="19"/>
  <c r="F112" i="19" s="1"/>
  <c r="F113" i="19" s="1"/>
  <c r="F40" i="19"/>
  <c r="F41" i="19" s="1"/>
  <c r="F427" i="11"/>
  <c r="I131" i="19"/>
  <c r="I132" i="19" s="1"/>
  <c r="I133" i="19" s="1"/>
  <c r="E578" i="6"/>
  <c r="E256" i="18"/>
  <c r="E16" i="26"/>
  <c r="E24" i="26" s="1"/>
  <c r="E96" i="26" s="1"/>
  <c r="E603" i="6"/>
  <c r="E234" i="18"/>
  <c r="E187" i="18"/>
  <c r="D221" i="1"/>
  <c r="E14" i="26"/>
  <c r="K163" i="19"/>
  <c r="G259" i="18"/>
  <c r="G70" i="18"/>
  <c r="G232" i="18"/>
  <c r="G13" i="26"/>
  <c r="G211" i="18"/>
  <c r="G78" i="18"/>
  <c r="G14" i="26"/>
  <c r="G79" i="18"/>
  <c r="G238" i="18" s="1"/>
  <c r="G71" i="18"/>
  <c r="G190" i="18" s="1"/>
  <c r="G235" i="18"/>
  <c r="K10" i="6"/>
  <c r="G258" i="18"/>
  <c r="G256" i="18"/>
  <c r="G16" i="26"/>
  <c r="G187" i="18"/>
  <c r="G184" i="18"/>
  <c r="G83" i="18"/>
  <c r="G262" i="18" s="1"/>
  <c r="K51" i="19"/>
  <c r="I404" i="11"/>
  <c r="H404" i="11"/>
  <c r="E404" i="11"/>
  <c r="I52" i="19"/>
  <c r="I53" i="19" s="1"/>
  <c r="K26" i="6"/>
  <c r="K43" i="6"/>
  <c r="K370" i="19"/>
  <c r="G156" i="19"/>
  <c r="G653" i="6" s="1"/>
  <c r="K367" i="19"/>
  <c r="I371" i="19"/>
  <c r="I383" i="19" s="1"/>
  <c r="F371" i="19"/>
  <c r="F383" i="19" s="1"/>
  <c r="G541" i="18"/>
  <c r="K545" i="18"/>
  <c r="H428" i="11"/>
  <c r="F247" i="28"/>
  <c r="F119" i="64" s="1"/>
  <c r="K544" i="18"/>
  <c r="F404" i="11"/>
  <c r="I380" i="11"/>
  <c r="I427" i="11"/>
  <c r="K39" i="19"/>
  <c r="H380" i="11"/>
  <c r="E246" i="10"/>
  <c r="E471" i="18" s="1"/>
  <c r="G428" i="11"/>
  <c r="J247" i="28"/>
  <c r="I428" i="11"/>
  <c r="I111" i="19"/>
  <c r="I112" i="19" s="1"/>
  <c r="I113" i="19" s="1"/>
  <c r="F380" i="11"/>
  <c r="F246" i="10"/>
  <c r="F471" i="18" s="1"/>
  <c r="E380" i="11"/>
  <c r="I99" i="64"/>
  <c r="G380" i="11"/>
  <c r="I474" i="18"/>
  <c r="I475" i="18" s="1"/>
  <c r="I123" i="2"/>
  <c r="I40" i="19"/>
  <c r="I41" i="19" s="1"/>
  <c r="E428" i="11"/>
  <c r="I129" i="2"/>
  <c r="I54" i="19"/>
  <c r="G404" i="11"/>
  <c r="F428" i="11"/>
  <c r="H371" i="19"/>
  <c r="H384" i="19" s="1"/>
  <c r="E247" i="28"/>
  <c r="H131" i="19"/>
  <c r="H132" i="19" s="1"/>
  <c r="H133" i="19" s="1"/>
  <c r="H134" i="19" s="1"/>
  <c r="H135" i="19" s="1"/>
  <c r="H54" i="19"/>
  <c r="H129" i="2"/>
  <c r="H52" i="19"/>
  <c r="H53" i="19" s="1"/>
  <c r="H144" i="19"/>
  <c r="J246" i="10"/>
  <c r="H281" i="26"/>
  <c r="F281" i="26"/>
  <c r="G281" i="26"/>
  <c r="I281" i="26"/>
  <c r="J260" i="26"/>
  <c r="J261" i="26" s="1"/>
  <c r="E281" i="26"/>
  <c r="E156" i="19"/>
  <c r="E653" i="6" s="1"/>
  <c r="H157" i="19"/>
  <c r="H654" i="6" s="1"/>
  <c r="K547" i="18"/>
  <c r="K546" i="18"/>
  <c r="I168" i="19"/>
  <c r="I441" i="11" s="1"/>
  <c r="F166" i="19"/>
  <c r="F721" i="18" s="1"/>
  <c r="E392" i="11"/>
  <c r="G155" i="19"/>
  <c r="G652" i="6" s="1"/>
  <c r="E155" i="19"/>
  <c r="E652" i="6" s="1"/>
  <c r="G157" i="19"/>
  <c r="G654" i="6" s="1"/>
  <c r="H158" i="19"/>
  <c r="H655" i="6" s="1"/>
  <c r="I155" i="19"/>
  <c r="I652" i="6" s="1"/>
  <c r="F165" i="19"/>
  <c r="F720" i="18" s="1"/>
  <c r="I166" i="19"/>
  <c r="I439" i="11" s="1"/>
  <c r="G167" i="19"/>
  <c r="G722" i="18" s="1"/>
  <c r="G168" i="19"/>
  <c r="G441" i="11" s="1"/>
  <c r="G166" i="19"/>
  <c r="G721" i="18" s="1"/>
  <c r="E385" i="19"/>
  <c r="I167" i="19"/>
  <c r="I440" i="11" s="1"/>
  <c r="F167" i="19"/>
  <c r="F440" i="11" s="1"/>
  <c r="E386" i="19"/>
  <c r="E144" i="19"/>
  <c r="F155" i="19"/>
  <c r="F652" i="6" s="1"/>
  <c r="F392" i="11"/>
  <c r="G165" i="19"/>
  <c r="G438" i="11" s="1"/>
  <c r="F558" i="19"/>
  <c r="I156" i="19"/>
  <c r="I653" i="6" s="1"/>
  <c r="F156" i="19"/>
  <c r="F653" i="6" s="1"/>
  <c r="I158" i="19"/>
  <c r="I655" i="6" s="1"/>
  <c r="I165" i="19"/>
  <c r="I720" i="18" s="1"/>
  <c r="I157" i="19"/>
  <c r="I654" i="6" s="1"/>
  <c r="F168" i="19"/>
  <c r="F441" i="11" s="1"/>
  <c r="H558" i="19"/>
  <c r="K161" i="19"/>
  <c r="H168" i="19"/>
  <c r="H441" i="11" s="1"/>
  <c r="H156" i="19"/>
  <c r="H653" i="6" s="1"/>
  <c r="F144" i="19"/>
  <c r="K550" i="19"/>
  <c r="H165" i="19"/>
  <c r="H720" i="18" s="1"/>
  <c r="K369" i="19"/>
  <c r="H166" i="19"/>
  <c r="H721" i="18" s="1"/>
  <c r="E166" i="19"/>
  <c r="E439" i="11" s="1"/>
  <c r="I558" i="19"/>
  <c r="G158" i="19"/>
  <c r="G655" i="6" s="1"/>
  <c r="H155" i="19"/>
  <c r="H652" i="6" s="1"/>
  <c r="E157" i="19"/>
  <c r="E654" i="6" s="1"/>
  <c r="I144" i="19"/>
  <c r="F158" i="19"/>
  <c r="F655" i="6" s="1"/>
  <c r="G144" i="19"/>
  <c r="G231" i="10"/>
  <c r="G289" i="18" s="1"/>
  <c r="E167" i="19"/>
  <c r="E440" i="11" s="1"/>
  <c r="G558" i="19"/>
  <c r="J221" i="30"/>
  <c r="H221" i="30"/>
  <c r="F221" i="30"/>
  <c r="G221" i="30"/>
  <c r="I221" i="30"/>
  <c r="K549" i="19"/>
  <c r="K146" i="19"/>
  <c r="I232" i="28"/>
  <c r="I61" i="64" s="1"/>
  <c r="H167" i="19"/>
  <c r="H722" i="18" s="1"/>
  <c r="E165" i="19"/>
  <c r="E438" i="11" s="1"/>
  <c r="E558" i="19"/>
  <c r="L16" i="31" s="1"/>
  <c r="K147" i="19"/>
  <c r="E222" i="30"/>
  <c r="E250" i="30"/>
  <c r="E235" i="30"/>
  <c r="F157" i="19"/>
  <c r="F654" i="6" s="1"/>
  <c r="K45" i="19"/>
  <c r="E231" i="10"/>
  <c r="E39" i="64" s="1"/>
  <c r="E168" i="19"/>
  <c r="E441" i="11" s="1"/>
  <c r="H231" i="10"/>
  <c r="H289" i="18" s="1"/>
  <c r="K162" i="19"/>
  <c r="K152" i="19"/>
  <c r="K151" i="19"/>
  <c r="E367" i="6"/>
  <c r="E182" i="2"/>
  <c r="E575" i="18"/>
  <c r="K310" i="19"/>
  <c r="J230" i="27"/>
  <c r="E230" i="27"/>
  <c r="H230" i="27"/>
  <c r="F90" i="19"/>
  <c r="F29" i="19"/>
  <c r="F27" i="19"/>
  <c r="F28" i="19" s="1"/>
  <c r="F116" i="2"/>
  <c r="F52" i="64"/>
  <c r="F386" i="11"/>
  <c r="F328" i="18"/>
  <c r="F329" i="18" s="1"/>
  <c r="F519" i="6"/>
  <c r="F601" i="18"/>
  <c r="F245" i="2"/>
  <c r="F132" i="18" s="1"/>
  <c r="F132" i="19"/>
  <c r="F133" i="19" s="1"/>
  <c r="J245" i="27"/>
  <c r="E245" i="27"/>
  <c r="F245" i="27"/>
  <c r="H100" i="19"/>
  <c r="H33" i="19"/>
  <c r="H34" i="19" s="1"/>
  <c r="H35" i="19"/>
  <c r="H119" i="2"/>
  <c r="H63" i="64"/>
  <c r="H398" i="11"/>
  <c r="H365" i="18"/>
  <c r="H366" i="18" s="1"/>
  <c r="I80" i="19"/>
  <c r="I21" i="19"/>
  <c r="I22" i="19" s="1"/>
  <c r="I374" i="11"/>
  <c r="I41" i="64"/>
  <c r="I292" i="18"/>
  <c r="I113" i="2"/>
  <c r="I635" i="19"/>
  <c r="I422" i="11"/>
  <c r="I421" i="11"/>
  <c r="G112" i="19"/>
  <c r="G113" i="19" s="1"/>
  <c r="E100" i="19"/>
  <c r="E33" i="19"/>
  <c r="E34" i="19" s="1"/>
  <c r="E35" i="19"/>
  <c r="K7" i="43"/>
  <c r="N53" i="57"/>
  <c r="N57" i="57" s="1"/>
  <c r="K32" i="19"/>
  <c r="E119" i="2"/>
  <c r="D119" i="1" s="1"/>
  <c r="E398" i="11"/>
  <c r="E63" i="64"/>
  <c r="K7" i="36"/>
  <c r="E365" i="18"/>
  <c r="N54" i="57"/>
  <c r="I90" i="19"/>
  <c r="I27" i="19"/>
  <c r="I28" i="19" s="1"/>
  <c r="I29" i="19"/>
  <c r="I386" i="11"/>
  <c r="I52" i="64"/>
  <c r="I116" i="2"/>
  <c r="I328" i="18"/>
  <c r="I329" i="18" s="1"/>
  <c r="E311" i="19"/>
  <c r="E323" i="19" s="1"/>
  <c r="K307" i="19"/>
  <c r="H90" i="19"/>
  <c r="H29" i="19"/>
  <c r="H27" i="19"/>
  <c r="H28" i="19" s="1"/>
  <c r="H116" i="2"/>
  <c r="H52" i="64"/>
  <c r="H328" i="18"/>
  <c r="H329" i="18" s="1"/>
  <c r="H386" i="11"/>
  <c r="H80" i="19"/>
  <c r="H21" i="19"/>
  <c r="H22" i="19" s="1"/>
  <c r="H421" i="11"/>
  <c r="H41" i="64"/>
  <c r="H113" i="2"/>
  <c r="H292" i="18"/>
  <c r="H635" i="19"/>
  <c r="H374" i="11"/>
  <c r="H422" i="11"/>
  <c r="E519" i="6"/>
  <c r="E245" i="2"/>
  <c r="E601" i="18"/>
  <c r="E132" i="19"/>
  <c r="K511" i="18"/>
  <c r="K294" i="18"/>
  <c r="F232" i="28"/>
  <c r="K234" i="64"/>
  <c r="H245" i="27"/>
  <c r="F231" i="10"/>
  <c r="I231" i="10"/>
  <c r="I245" i="27"/>
  <c r="J220" i="29"/>
  <c r="E221" i="29" s="1"/>
  <c r="E384" i="19"/>
  <c r="G245" i="27"/>
  <c r="G90" i="19"/>
  <c r="G27" i="19"/>
  <c r="G28" i="19" s="1"/>
  <c r="G29" i="19"/>
  <c r="G52" i="64"/>
  <c r="G116" i="2"/>
  <c r="G328" i="18"/>
  <c r="G329" i="18" s="1"/>
  <c r="G386" i="11"/>
  <c r="G367" i="6"/>
  <c r="G575" i="18"/>
  <c r="G182" i="2"/>
  <c r="G124" i="18" s="1"/>
  <c r="G230" i="27"/>
  <c r="E112" i="19"/>
  <c r="E113" i="19" s="1"/>
  <c r="E80" i="19"/>
  <c r="E21" i="19"/>
  <c r="E22" i="19" s="1"/>
  <c r="E422" i="11"/>
  <c r="H54" i="57"/>
  <c r="G7" i="36"/>
  <c r="H53" i="57"/>
  <c r="H57" i="57" s="1"/>
  <c r="E41" i="64"/>
  <c r="E635" i="19"/>
  <c r="E113" i="2"/>
  <c r="D113" i="1" s="1"/>
  <c r="E292" i="18"/>
  <c r="G7" i="43"/>
  <c r="E421" i="11"/>
  <c r="K20" i="19"/>
  <c r="E374" i="11"/>
  <c r="G80" i="19"/>
  <c r="G21" i="19"/>
  <c r="G22" i="19" s="1"/>
  <c r="G374" i="11"/>
  <c r="G292" i="18"/>
  <c r="G422" i="11"/>
  <c r="G635" i="19"/>
  <c r="G41" i="64"/>
  <c r="G113" i="2"/>
  <c r="G421" i="11"/>
  <c r="I100" i="19"/>
  <c r="I35" i="19"/>
  <c r="I33" i="19"/>
  <c r="I34" i="19" s="1"/>
  <c r="I365" i="18"/>
  <c r="I366" i="18" s="1"/>
  <c r="I119" i="2"/>
  <c r="I63" i="64"/>
  <c r="I398" i="11"/>
  <c r="E715" i="6"/>
  <c r="E207" i="5" s="1"/>
  <c r="K712" i="6"/>
  <c r="F230" i="27"/>
  <c r="E53" i="19"/>
  <c r="E279" i="26"/>
  <c r="J230" i="26"/>
  <c r="J231" i="26" s="1"/>
  <c r="G279" i="26"/>
  <c r="K838" i="18"/>
  <c r="H121" i="19"/>
  <c r="H46" i="19"/>
  <c r="H47" i="19" s="1"/>
  <c r="H48" i="19"/>
  <c r="H126" i="2"/>
  <c r="H110" i="64"/>
  <c r="H509" i="18"/>
  <c r="H392" i="11"/>
  <c r="E368" i="18"/>
  <c r="K368" i="18" s="1"/>
  <c r="K367" i="18"/>
  <c r="K330" i="18"/>
  <c r="H311" i="19"/>
  <c r="H326" i="19" s="1"/>
  <c r="G100" i="19"/>
  <c r="G35" i="19"/>
  <c r="G33" i="19"/>
  <c r="G34" i="19" s="1"/>
  <c r="G365" i="18"/>
  <c r="G366" i="18" s="1"/>
  <c r="G119" i="2"/>
  <c r="G63" i="64"/>
  <c r="G398" i="11"/>
  <c r="F80" i="19"/>
  <c r="F21" i="19"/>
  <c r="F22" i="19" s="1"/>
  <c r="F41" i="64"/>
  <c r="F422" i="11"/>
  <c r="F292" i="18"/>
  <c r="F374" i="11"/>
  <c r="F421" i="11"/>
  <c r="F113" i="2"/>
  <c r="F635" i="19"/>
  <c r="F279" i="26"/>
  <c r="G232" i="28"/>
  <c r="K309" i="19"/>
  <c r="K26" i="19"/>
  <c r="E122" i="19"/>
  <c r="E123" i="19" s="1"/>
  <c r="H279" i="26"/>
  <c r="E475" i="18"/>
  <c r="E232" i="28"/>
  <c r="I230" i="27"/>
  <c r="H367" i="6"/>
  <c r="H182" i="2"/>
  <c r="H124" i="18" s="1"/>
  <c r="H575" i="18"/>
  <c r="H112" i="19"/>
  <c r="H113" i="19" s="1"/>
  <c r="I279" i="26"/>
  <c r="G311" i="19"/>
  <c r="G323" i="19" s="1"/>
  <c r="F122" i="19"/>
  <c r="F123" i="19" s="1"/>
  <c r="E386" i="11"/>
  <c r="F100" i="19"/>
  <c r="F33" i="19"/>
  <c r="F34" i="19" s="1"/>
  <c r="F35" i="19"/>
  <c r="F63" i="64"/>
  <c r="F398" i="11"/>
  <c r="F119" i="2"/>
  <c r="F365" i="18"/>
  <c r="F366" i="18" s="1"/>
  <c r="F311" i="19"/>
  <c r="F325" i="19" s="1"/>
  <c r="H232" i="28"/>
  <c r="I311" i="19"/>
  <c r="I121" i="19"/>
  <c r="I48" i="19"/>
  <c r="I46" i="19"/>
  <c r="I47" i="19" s="1"/>
  <c r="I110" i="64"/>
  <c r="I126" i="2"/>
  <c r="I392" i="11"/>
  <c r="I509" i="18"/>
  <c r="G121" i="19"/>
  <c r="G46" i="19"/>
  <c r="G48" i="19"/>
  <c r="G110" i="64"/>
  <c r="G509" i="18"/>
  <c r="G392" i="11"/>
  <c r="G126" i="2"/>
  <c r="K331" i="18"/>
  <c r="H232" i="18"/>
  <c r="H78" i="18"/>
  <c r="H70" i="18"/>
  <c r="H184" i="18"/>
  <c r="G74" i="18"/>
  <c r="I208" i="18"/>
  <c r="E70" i="18"/>
  <c r="E208" i="18"/>
  <c r="H74" i="18"/>
  <c r="E184" i="18"/>
  <c r="E74" i="18"/>
  <c r="H208" i="18"/>
  <c r="I184" i="18"/>
  <c r="G208" i="18"/>
  <c r="I70" i="18"/>
  <c r="I74" i="18"/>
  <c r="K10" i="5" l="1"/>
  <c r="K11" i="5"/>
  <c r="O22" i="55"/>
  <c r="E198" i="12"/>
  <c r="E230" i="12"/>
  <c r="F254" i="12"/>
  <c r="F190" i="12"/>
  <c r="E254" i="12"/>
  <c r="E190" i="12"/>
  <c r="F198" i="12"/>
  <c r="F230" i="12"/>
  <c r="I121" i="12"/>
  <c r="I124" i="12" s="1"/>
  <c r="I129" i="12"/>
  <c r="I132" i="12" s="1"/>
  <c r="F162" i="12"/>
  <c r="F165" i="12" s="1"/>
  <c r="F154" i="12"/>
  <c r="F157" i="12" s="1"/>
  <c r="H121" i="12"/>
  <c r="H124" i="12" s="1"/>
  <c r="H129" i="12"/>
  <c r="H132" i="12" s="1"/>
  <c r="I154" i="12"/>
  <c r="I157" i="12" s="1"/>
  <c r="I162" i="12"/>
  <c r="I165" i="12" s="1"/>
  <c r="H187" i="12"/>
  <c r="H195" i="12"/>
  <c r="F62" i="12"/>
  <c r="F65" i="12" s="1"/>
  <c r="F54" i="12"/>
  <c r="F57" i="12" s="1"/>
  <c r="H22" i="12"/>
  <c r="H25" i="12" s="1"/>
  <c r="H30" i="12"/>
  <c r="H33" i="12" s="1"/>
  <c r="G129" i="12"/>
  <c r="G132" i="12" s="1"/>
  <c r="G121" i="12"/>
  <c r="G124" i="12" s="1"/>
  <c r="H154" i="12"/>
  <c r="H157" i="12" s="1"/>
  <c r="H162" i="12"/>
  <c r="H165" i="12" s="1"/>
  <c r="G195" i="12"/>
  <c r="G187" i="12"/>
  <c r="G30" i="12"/>
  <c r="G33" i="12" s="1"/>
  <c r="G22" i="12"/>
  <c r="G25" i="12" s="1"/>
  <c r="I54" i="12"/>
  <c r="I57" i="12" s="1"/>
  <c r="I62" i="12"/>
  <c r="I65" i="12" s="1"/>
  <c r="E87" i="12"/>
  <c r="E90" i="12" s="1"/>
  <c r="E95" i="12"/>
  <c r="E98" i="12" s="1"/>
  <c r="G162" i="12"/>
  <c r="G165" i="12" s="1"/>
  <c r="G154" i="12"/>
  <c r="G157" i="12" s="1"/>
  <c r="G95" i="12"/>
  <c r="G98" i="12" s="1"/>
  <c r="G87" i="12"/>
  <c r="G90" i="12" s="1"/>
  <c r="H87" i="12"/>
  <c r="H90" i="12" s="1"/>
  <c r="H95" i="12"/>
  <c r="H98" i="12" s="1"/>
  <c r="I87" i="12"/>
  <c r="I90" i="12" s="1"/>
  <c r="I95" i="12"/>
  <c r="I98" i="12" s="1"/>
  <c r="E154" i="12"/>
  <c r="E157" i="12" s="1"/>
  <c r="E162" i="12"/>
  <c r="E165" i="12" s="1"/>
  <c r="F95" i="12"/>
  <c r="F98" i="12" s="1"/>
  <c r="F87" i="12"/>
  <c r="F90" i="12" s="1"/>
  <c r="I187" i="12"/>
  <c r="I195" i="12"/>
  <c r="E22" i="12"/>
  <c r="E25" i="12" s="1"/>
  <c r="E30" i="12"/>
  <c r="E33" i="12" s="1"/>
  <c r="F30" i="12"/>
  <c r="F33" i="12" s="1"/>
  <c r="F22" i="12"/>
  <c r="F25" i="12" s="1"/>
  <c r="I22" i="12"/>
  <c r="I25" i="12" s="1"/>
  <c r="I30" i="12"/>
  <c r="I33" i="12" s="1"/>
  <c r="D13" i="26"/>
  <c r="D14" i="26"/>
  <c r="D15" i="26"/>
  <c r="F24" i="26"/>
  <c r="F31" i="26" s="1"/>
  <c r="F32" i="26" s="1"/>
  <c r="F176" i="26" s="1"/>
  <c r="F189" i="26" s="1"/>
  <c r="F191" i="26" s="1"/>
  <c r="D16" i="26"/>
  <c r="J174" i="26" s="1"/>
  <c r="J191" i="26" s="1"/>
  <c r="F190" i="6"/>
  <c r="F445" i="6"/>
  <c r="G38" i="6"/>
  <c r="G188" i="6"/>
  <c r="G443" i="6"/>
  <c r="E193" i="5"/>
  <c r="E194" i="5"/>
  <c r="E196" i="5"/>
  <c r="E195" i="5"/>
  <c r="E24" i="5"/>
  <c r="M43" i="45"/>
  <c r="K30" i="57"/>
  <c r="K33" i="57"/>
  <c r="K34" i="57" s="1"/>
  <c r="I33" i="57"/>
  <c r="I34" i="57" s="1"/>
  <c r="I30" i="57"/>
  <c r="I36" i="6"/>
  <c r="I86" i="6"/>
  <c r="I88" i="6" s="1"/>
  <c r="E213" i="6"/>
  <c r="G34" i="60"/>
  <c r="M42" i="43"/>
  <c r="G9" i="45"/>
  <c r="G10" i="45" s="1"/>
  <c r="M42" i="36"/>
  <c r="H36" i="6"/>
  <c r="H86" i="6"/>
  <c r="H88" i="6" s="1"/>
  <c r="G22" i="60"/>
  <c r="G23" i="60"/>
  <c r="K9" i="45"/>
  <c r="K14" i="45" s="1"/>
  <c r="K34" i="60"/>
  <c r="K23" i="60"/>
  <c r="E36" i="6"/>
  <c r="E86" i="6"/>
  <c r="N83" i="55" s="1"/>
  <c r="M12" i="43"/>
  <c r="O12" i="43" s="1"/>
  <c r="K22" i="60"/>
  <c r="I22" i="57"/>
  <c r="H97" i="64"/>
  <c r="E227" i="2"/>
  <c r="D227" i="1" s="1"/>
  <c r="E410" i="18"/>
  <c r="I9" i="43"/>
  <c r="I14" i="43" s="1"/>
  <c r="F657" i="6"/>
  <c r="I23" i="57"/>
  <c r="H284" i="26"/>
  <c r="H7" i="19" s="1"/>
  <c r="I245" i="2"/>
  <c r="I132" i="18" s="1"/>
  <c r="G245" i="2"/>
  <c r="G132" i="18" s="1"/>
  <c r="F569" i="6"/>
  <c r="F132" i="64" s="1"/>
  <c r="K517" i="6"/>
  <c r="H657" i="6"/>
  <c r="F80" i="18"/>
  <c r="F239" i="18" s="1"/>
  <c r="F285" i="26"/>
  <c r="F13" i="19" s="1"/>
  <c r="F367" i="6"/>
  <c r="F20" i="11" s="1"/>
  <c r="F284" i="26"/>
  <c r="F7" i="19" s="1"/>
  <c r="F72" i="18"/>
  <c r="F192" i="18" s="1"/>
  <c r="K201" i="6"/>
  <c r="G519" i="6"/>
  <c r="G22" i="11" s="1"/>
  <c r="F182" i="2"/>
  <c r="F124" i="18" s="1"/>
  <c r="G386" i="19"/>
  <c r="G384" i="19"/>
  <c r="G385" i="19"/>
  <c r="F76" i="18"/>
  <c r="F215" i="18" s="1"/>
  <c r="F314" i="6"/>
  <c r="F75" i="64" s="1"/>
  <c r="F84" i="18"/>
  <c r="F264" i="18" s="1"/>
  <c r="H58" i="26"/>
  <c r="H43" i="26"/>
  <c r="H120" i="26"/>
  <c r="H121" i="26" s="1"/>
  <c r="H183" i="26" s="1"/>
  <c r="H157" i="26"/>
  <c r="H158" i="26" s="1"/>
  <c r="H132" i="26"/>
  <c r="H133" i="26" s="1"/>
  <c r="H184" i="26" s="1"/>
  <c r="H144" i="26"/>
  <c r="H145" i="26" s="1"/>
  <c r="H185" i="26" s="1"/>
  <c r="H84" i="26"/>
  <c r="F656" i="6"/>
  <c r="H71" i="26"/>
  <c r="H108" i="26"/>
  <c r="H109" i="26" s="1"/>
  <c r="H182" i="26" s="1"/>
  <c r="H285" i="26"/>
  <c r="H13" i="19" s="1"/>
  <c r="I97" i="64"/>
  <c r="K41" i="19"/>
  <c r="H569" i="6"/>
  <c r="H132" i="64" s="1"/>
  <c r="H119" i="64"/>
  <c r="K99" i="64"/>
  <c r="I519" i="6"/>
  <c r="I22" i="11" s="1"/>
  <c r="E97" i="64"/>
  <c r="F541" i="18"/>
  <c r="I182" i="2"/>
  <c r="I124" i="18" s="1"/>
  <c r="I541" i="18"/>
  <c r="K365" i="6"/>
  <c r="G248" i="28"/>
  <c r="I367" i="6"/>
  <c r="I184" i="2" s="1"/>
  <c r="I125" i="18" s="1"/>
  <c r="K111" i="19"/>
  <c r="F97" i="64"/>
  <c r="K42" i="19"/>
  <c r="E314" i="6"/>
  <c r="E450" i="18" s="1"/>
  <c r="H437" i="18"/>
  <c r="G132" i="64"/>
  <c r="H656" i="6"/>
  <c r="H84" i="18"/>
  <c r="H263" i="18" s="1"/>
  <c r="H450" i="18"/>
  <c r="I657" i="6"/>
  <c r="K348" i="6"/>
  <c r="M12" i="45"/>
  <c r="O12" i="45" s="1"/>
  <c r="K578" i="6"/>
  <c r="K257" i="18"/>
  <c r="K196" i="6"/>
  <c r="E437" i="18"/>
  <c r="G657" i="6"/>
  <c r="K171" i="6"/>
  <c r="K210" i="18"/>
  <c r="I84" i="18"/>
  <c r="I263" i="18" s="1"/>
  <c r="I80" i="18"/>
  <c r="I239" i="18" s="1"/>
  <c r="K442" i="6"/>
  <c r="K234" i="18"/>
  <c r="K162" i="6"/>
  <c r="I144" i="26"/>
  <c r="I145" i="26" s="1"/>
  <c r="I185" i="26" s="1"/>
  <c r="I108" i="26"/>
  <c r="I109" i="26" s="1"/>
  <c r="I182" i="26" s="1"/>
  <c r="K200" i="6"/>
  <c r="E656" i="6"/>
  <c r="I157" i="26"/>
  <c r="I158" i="26" s="1"/>
  <c r="I84" i="26"/>
  <c r="I58" i="26"/>
  <c r="I43" i="26"/>
  <c r="I284" i="26"/>
  <c r="I7" i="19" s="1"/>
  <c r="G314" i="6"/>
  <c r="G75" i="64" s="1"/>
  <c r="I132" i="26"/>
  <c r="I133" i="26" s="1"/>
  <c r="I184" i="26" s="1"/>
  <c r="K621" i="18"/>
  <c r="I120" i="26"/>
  <c r="I121" i="26" s="1"/>
  <c r="I183" i="26" s="1"/>
  <c r="K186" i="6"/>
  <c r="K258" i="18"/>
  <c r="M7" i="26"/>
  <c r="N7" i="26" s="1"/>
  <c r="I96" i="26"/>
  <c r="I71" i="26"/>
  <c r="M30" i="36"/>
  <c r="I285" i="26"/>
  <c r="I13" i="19" s="1"/>
  <c r="E615" i="18"/>
  <c r="E132" i="64"/>
  <c r="K417" i="6"/>
  <c r="K456" i="6"/>
  <c r="K186" i="18"/>
  <c r="K443" i="18"/>
  <c r="E80" i="18"/>
  <c r="E239" i="18" s="1"/>
  <c r="K603" i="6"/>
  <c r="M12" i="36"/>
  <c r="O12" i="36" s="1"/>
  <c r="M31" i="45"/>
  <c r="O31" i="45" s="1"/>
  <c r="G615" i="18"/>
  <c r="E657" i="6"/>
  <c r="K187" i="6"/>
  <c r="K455" i="6"/>
  <c r="K172" i="6"/>
  <c r="M53" i="36"/>
  <c r="O53" i="36" s="1"/>
  <c r="M43" i="43"/>
  <c r="M31" i="43"/>
  <c r="M6" i="26"/>
  <c r="N6" i="26" s="1"/>
  <c r="G285" i="26"/>
  <c r="G13" i="19" s="1"/>
  <c r="K427" i="6"/>
  <c r="M4" i="26"/>
  <c r="N4" i="26" s="1"/>
  <c r="M62" i="36"/>
  <c r="M66" i="36" s="1"/>
  <c r="K451" i="6"/>
  <c r="M54" i="43"/>
  <c r="M57" i="43" s="1"/>
  <c r="M54" i="45"/>
  <c r="M57" i="45" s="1"/>
  <c r="K208" i="18"/>
  <c r="K185" i="18"/>
  <c r="E84" i="18"/>
  <c r="E264" i="18" s="1"/>
  <c r="K202" i="6"/>
  <c r="K433" i="6"/>
  <c r="M54" i="36"/>
  <c r="O54" i="36" s="1"/>
  <c r="Q78" i="18"/>
  <c r="K232" i="18"/>
  <c r="K184" i="18"/>
  <c r="K426" i="6"/>
  <c r="K441" i="6"/>
  <c r="M41" i="36"/>
  <c r="Q82" i="18"/>
  <c r="K585" i="6"/>
  <c r="G656" i="6"/>
  <c r="K457" i="6"/>
  <c r="E285" i="26"/>
  <c r="E13" i="19" s="1"/>
  <c r="E284" i="26"/>
  <c r="E7" i="19" s="1"/>
  <c r="M5" i="26"/>
  <c r="N5" i="26" s="1"/>
  <c r="K233" i="18"/>
  <c r="K474" i="18"/>
  <c r="Q74" i="18"/>
  <c r="K256" i="18"/>
  <c r="G80" i="18"/>
  <c r="G239" i="18" s="1"/>
  <c r="Q83" i="18"/>
  <c r="K209" i="18"/>
  <c r="G72" i="18"/>
  <c r="G191" i="18" s="1"/>
  <c r="G84" i="18"/>
  <c r="G263" i="18" s="1"/>
  <c r="Q70" i="18"/>
  <c r="G24" i="26"/>
  <c r="G284" i="26"/>
  <c r="G7" i="19" s="1"/>
  <c r="K602" i="6"/>
  <c r="K450" i="6"/>
  <c r="K347" i="6"/>
  <c r="I386" i="19"/>
  <c r="K195" i="6"/>
  <c r="I385" i="19"/>
  <c r="I656" i="6"/>
  <c r="I615" i="18"/>
  <c r="I569" i="6"/>
  <c r="I314" i="6"/>
  <c r="I437" i="18"/>
  <c r="E43" i="26"/>
  <c r="H383" i="19"/>
  <c r="E84" i="26"/>
  <c r="K178" i="6"/>
  <c r="F384" i="19"/>
  <c r="I384" i="19"/>
  <c r="F385" i="19"/>
  <c r="K371" i="19"/>
  <c r="F386" i="19"/>
  <c r="H386" i="19"/>
  <c r="H385" i="19"/>
  <c r="E248" i="28"/>
  <c r="E120" i="26"/>
  <c r="E157" i="26"/>
  <c r="E158" i="26" s="1"/>
  <c r="E108" i="26"/>
  <c r="E144" i="26"/>
  <c r="E145" i="26" s="1"/>
  <c r="E185" i="26" s="1"/>
  <c r="E58" i="26"/>
  <c r="E71" i="26"/>
  <c r="E132" i="26"/>
  <c r="E133" i="26" s="1"/>
  <c r="E184" i="26" s="1"/>
  <c r="I248" i="28"/>
  <c r="E541" i="18"/>
  <c r="F439" i="11"/>
  <c r="K52" i="19"/>
  <c r="K475" i="18"/>
  <c r="G39" i="64"/>
  <c r="H247" i="10"/>
  <c r="G247" i="10"/>
  <c r="E247" i="10"/>
  <c r="I247" i="10"/>
  <c r="F247" i="10"/>
  <c r="E119" i="64"/>
  <c r="F248" i="28"/>
  <c r="H248" i="28"/>
  <c r="K40" i="19"/>
  <c r="K131" i="19"/>
  <c r="K54" i="19"/>
  <c r="H245" i="2"/>
  <c r="H132" i="18" s="1"/>
  <c r="H601" i="18"/>
  <c r="K601" i="18" s="1"/>
  <c r="H519" i="6"/>
  <c r="H231" i="26"/>
  <c r="F231" i="26"/>
  <c r="I231" i="26"/>
  <c r="G261" i="26"/>
  <c r="I261" i="26"/>
  <c r="F261" i="26"/>
  <c r="E261" i="26"/>
  <c r="H261" i="26"/>
  <c r="I362" i="18"/>
  <c r="H39" i="64"/>
  <c r="H232" i="10"/>
  <c r="E289" i="18"/>
  <c r="K29" i="19"/>
  <c r="G232" i="10"/>
  <c r="H440" i="11"/>
  <c r="I722" i="18"/>
  <c r="G720" i="18"/>
  <c r="F722" i="18"/>
  <c r="G439" i="11"/>
  <c r="H438" i="11"/>
  <c r="F438" i="11"/>
  <c r="I721" i="18"/>
  <c r="G440" i="11"/>
  <c r="E721" i="18"/>
  <c r="K156" i="19"/>
  <c r="E720" i="18"/>
  <c r="E722" i="18"/>
  <c r="K168" i="19"/>
  <c r="H323" i="19"/>
  <c r="H348" i="19" s="1"/>
  <c r="I438" i="11"/>
  <c r="I442" i="11" s="1"/>
  <c r="K328" i="18"/>
  <c r="G326" i="19"/>
  <c r="K155" i="19"/>
  <c r="K157" i="19"/>
  <c r="F323" i="19"/>
  <c r="F348" i="19" s="1"/>
  <c r="K167" i="19"/>
  <c r="K165" i="19"/>
  <c r="K144" i="19"/>
  <c r="K158" i="19"/>
  <c r="K52" i="64"/>
  <c r="K166" i="19"/>
  <c r="H439" i="11"/>
  <c r="K558" i="19"/>
  <c r="I250" i="30"/>
  <c r="I222" i="30"/>
  <c r="I235" i="30"/>
  <c r="K110" i="64"/>
  <c r="K46" i="19"/>
  <c r="K329" i="18"/>
  <c r="G222" i="30"/>
  <c r="G235" i="30"/>
  <c r="G250" i="30"/>
  <c r="K121" i="19"/>
  <c r="E232" i="10"/>
  <c r="F222" i="30"/>
  <c r="F250" i="30"/>
  <c r="F235" i="30"/>
  <c r="K27" i="19"/>
  <c r="H250" i="30"/>
  <c r="H222" i="30"/>
  <c r="H235" i="30"/>
  <c r="H114" i="19"/>
  <c r="H115" i="19" s="1"/>
  <c r="E348" i="19"/>
  <c r="K28" i="19"/>
  <c r="F124" i="19"/>
  <c r="F125" i="19" s="1"/>
  <c r="E124" i="19"/>
  <c r="E125" i="19" s="1"/>
  <c r="K22" i="19"/>
  <c r="H351" i="19"/>
  <c r="G114" i="19"/>
  <c r="G115" i="19" s="1"/>
  <c r="I324" i="19"/>
  <c r="G348" i="19"/>
  <c r="E233" i="28"/>
  <c r="E362" i="18"/>
  <c r="E61" i="64"/>
  <c r="M55" i="36"/>
  <c r="K655" i="6"/>
  <c r="G231" i="26"/>
  <c r="H325" i="19"/>
  <c r="K292" i="18"/>
  <c r="K23" i="19"/>
  <c r="G577" i="18"/>
  <c r="G20" i="11"/>
  <c r="G184" i="2"/>
  <c r="G125" i="18" s="1"/>
  <c r="F61" i="64"/>
  <c r="F233" i="28"/>
  <c r="F362" i="18"/>
  <c r="E93" i="19"/>
  <c r="K132" i="19"/>
  <c r="H81" i="19"/>
  <c r="H82" i="19" s="1"/>
  <c r="I213" i="6"/>
  <c r="I410" i="18"/>
  <c r="I227" i="2"/>
  <c r="I104" i="18" s="1"/>
  <c r="I91" i="19"/>
  <c r="I92" i="19" s="1"/>
  <c r="K34" i="19"/>
  <c r="E101" i="19"/>
  <c r="E102" i="19" s="1"/>
  <c r="K100" i="19"/>
  <c r="K55" i="36"/>
  <c r="K57" i="36" s="1"/>
  <c r="K654" i="6"/>
  <c r="H264" i="6"/>
  <c r="H244" i="2"/>
  <c r="H108" i="18" s="1"/>
  <c r="H423" i="18"/>
  <c r="H101" i="19"/>
  <c r="H102" i="19" s="1"/>
  <c r="K575" i="18"/>
  <c r="G122" i="19"/>
  <c r="G123" i="19" s="1"/>
  <c r="G47" i="19"/>
  <c r="I122" i="19"/>
  <c r="I123" i="19" s="1"/>
  <c r="H61" i="64"/>
  <c r="H362" i="18"/>
  <c r="H233" i="28"/>
  <c r="F324" i="19"/>
  <c r="F264" i="6"/>
  <c r="F333" i="12" s="1"/>
  <c r="F336" i="12" s="1"/>
  <c r="F244" i="2"/>
  <c r="F108" i="18" s="1"/>
  <c r="F423" i="18"/>
  <c r="F101" i="19"/>
  <c r="F102" i="19" s="1"/>
  <c r="G324" i="19"/>
  <c r="H184" i="2"/>
  <c r="H125" i="18" s="1"/>
  <c r="H577" i="18"/>
  <c r="H20" i="11"/>
  <c r="I231" i="27"/>
  <c r="I50" i="64"/>
  <c r="I325" i="18"/>
  <c r="G264" i="6"/>
  <c r="G333" i="12" s="1"/>
  <c r="G336" i="12" s="1"/>
  <c r="G423" i="18"/>
  <c r="G244" i="2"/>
  <c r="G108" i="18" s="1"/>
  <c r="G101" i="19"/>
  <c r="G102" i="19" s="1"/>
  <c r="I233" i="28"/>
  <c r="G325" i="19"/>
  <c r="K53" i="19"/>
  <c r="E81" i="19"/>
  <c r="K80" i="19"/>
  <c r="G213" i="6"/>
  <c r="G227" i="2"/>
  <c r="G104" i="18" s="1"/>
  <c r="G410" i="18"/>
  <c r="G91" i="19"/>
  <c r="G92" i="19" s="1"/>
  <c r="J221" i="29"/>
  <c r="I221" i="29"/>
  <c r="G221" i="29"/>
  <c r="F221" i="29"/>
  <c r="H221" i="29"/>
  <c r="F39" i="64"/>
  <c r="F289" i="18"/>
  <c r="F232" i="10"/>
  <c r="E133" i="19"/>
  <c r="K63" i="64"/>
  <c r="E264" i="6"/>
  <c r="E333" i="12" s="1"/>
  <c r="E336" i="12" s="1"/>
  <c r="K9" i="43"/>
  <c r="K23" i="57"/>
  <c r="K262" i="6"/>
  <c r="E244" i="2"/>
  <c r="K22" i="57"/>
  <c r="K9" i="36"/>
  <c r="E423" i="18"/>
  <c r="I81" i="19"/>
  <c r="I82" i="19" s="1"/>
  <c r="F506" i="18"/>
  <c r="F108" i="64"/>
  <c r="F246" i="27"/>
  <c r="F213" i="6"/>
  <c r="F410" i="18"/>
  <c r="F227" i="2"/>
  <c r="F104" i="18" s="1"/>
  <c r="F91" i="19"/>
  <c r="F92" i="19" s="1"/>
  <c r="I323" i="19"/>
  <c r="F350" i="19"/>
  <c r="K509" i="18"/>
  <c r="G233" i="28"/>
  <c r="G362" i="18"/>
  <c r="G61" i="64"/>
  <c r="F81" i="19"/>
  <c r="F82" i="19" s="1"/>
  <c r="G134" i="19"/>
  <c r="H122" i="19"/>
  <c r="F231" i="27"/>
  <c r="F50" i="64"/>
  <c r="F325" i="18"/>
  <c r="E874" i="18"/>
  <c r="K874" i="18" s="1"/>
  <c r="E235" i="11"/>
  <c r="K74" i="53"/>
  <c r="E271" i="64"/>
  <c r="K271" i="64" s="1"/>
  <c r="E211" i="11"/>
  <c r="G25" i="15"/>
  <c r="H26" i="15" s="1"/>
  <c r="H28" i="15" s="1"/>
  <c r="L12" i="46" s="1"/>
  <c r="Y13" i="46" s="1"/>
  <c r="K715" i="6"/>
  <c r="K635" i="19"/>
  <c r="K21" i="19"/>
  <c r="E114" i="19"/>
  <c r="E115" i="19" s="1"/>
  <c r="K113" i="19"/>
  <c r="K48" i="19"/>
  <c r="I114" i="19"/>
  <c r="I115" i="19" s="1"/>
  <c r="G231" i="27"/>
  <c r="G50" i="64"/>
  <c r="G325" i="18"/>
  <c r="F114" i="19"/>
  <c r="K653" i="6"/>
  <c r="I55" i="36"/>
  <c r="I57" i="36" s="1"/>
  <c r="G108" i="64"/>
  <c r="G246" i="27"/>
  <c r="G506" i="18"/>
  <c r="E250" i="29"/>
  <c r="E222" i="29"/>
  <c r="E235" i="29"/>
  <c r="H506" i="18"/>
  <c r="H246" i="27"/>
  <c r="H108" i="64"/>
  <c r="K211" i="6"/>
  <c r="E132" i="18"/>
  <c r="D245" i="1"/>
  <c r="H213" i="6"/>
  <c r="H410" i="18"/>
  <c r="H227" i="2"/>
  <c r="H104" i="18" s="1"/>
  <c r="H91" i="19"/>
  <c r="H92" i="19" s="1"/>
  <c r="E324" i="19"/>
  <c r="K311" i="19"/>
  <c r="E325" i="19"/>
  <c r="K35" i="19"/>
  <c r="E108" i="64"/>
  <c r="E506" i="18"/>
  <c r="E246" i="27"/>
  <c r="F134" i="19"/>
  <c r="F135" i="19" s="1"/>
  <c r="E442" i="11"/>
  <c r="H50" i="64"/>
  <c r="H231" i="27"/>
  <c r="H325" i="18"/>
  <c r="I325" i="19"/>
  <c r="E326" i="19"/>
  <c r="E124" i="18"/>
  <c r="D182" i="1"/>
  <c r="G55" i="36"/>
  <c r="K652" i="6"/>
  <c r="I134" i="19"/>
  <c r="I135" i="19" s="1"/>
  <c r="H324" i="19"/>
  <c r="F326" i="19"/>
  <c r="E231" i="26"/>
  <c r="I264" i="6"/>
  <c r="I333" i="12" s="1"/>
  <c r="I336" i="12" s="1"/>
  <c r="I423" i="18"/>
  <c r="I244" i="2"/>
  <c r="I108" i="18" s="1"/>
  <c r="I101" i="19"/>
  <c r="I102" i="19" s="1"/>
  <c r="G81" i="19"/>
  <c r="G82" i="19" s="1"/>
  <c r="K41" i="64"/>
  <c r="K112" i="19"/>
  <c r="I108" i="64"/>
  <c r="I246" i="27"/>
  <c r="I506" i="18"/>
  <c r="I289" i="18"/>
  <c r="I39" i="64"/>
  <c r="I232" i="10"/>
  <c r="K90" i="19"/>
  <c r="E247" i="2"/>
  <c r="E22" i="11"/>
  <c r="E603" i="18"/>
  <c r="I326" i="19"/>
  <c r="E366" i="18"/>
  <c r="K366" i="18" s="1"/>
  <c r="K365" i="18"/>
  <c r="K33" i="19"/>
  <c r="F22" i="11"/>
  <c r="F247" i="2"/>
  <c r="F133" i="18" s="1"/>
  <c r="F603" i="18"/>
  <c r="E325" i="18"/>
  <c r="E50" i="64"/>
  <c r="E231" i="27"/>
  <c r="E577" i="18"/>
  <c r="E184" i="2"/>
  <c r="E20" i="11"/>
  <c r="H79" i="18"/>
  <c r="H71" i="18"/>
  <c r="H75" i="18"/>
  <c r="E71" i="18"/>
  <c r="I71" i="18"/>
  <c r="I75" i="18"/>
  <c r="E75" i="18"/>
  <c r="G75" i="18"/>
  <c r="I198" i="12" l="1"/>
  <c r="I230" i="12"/>
  <c r="G254" i="12"/>
  <c r="G190" i="12"/>
  <c r="I254" i="12"/>
  <c r="I190" i="12"/>
  <c r="G230" i="12"/>
  <c r="G198" i="12"/>
  <c r="H333" i="12"/>
  <c r="H336" i="12" s="1"/>
  <c r="H230" i="12"/>
  <c r="H198" i="12"/>
  <c r="H190" i="12"/>
  <c r="H254" i="12"/>
  <c r="E227" i="12"/>
  <c r="E211" i="12"/>
  <c r="E214" i="12" s="1"/>
  <c r="G259" i="12"/>
  <c r="G262" i="12" s="1"/>
  <c r="G243" i="12"/>
  <c r="G246" i="12" s="1"/>
  <c r="I259" i="12"/>
  <c r="I262" i="12" s="1"/>
  <c r="I243" i="12"/>
  <c r="I246" i="12" s="1"/>
  <c r="F259" i="12"/>
  <c r="F262" i="12" s="1"/>
  <c r="F243" i="12"/>
  <c r="F246" i="12" s="1"/>
  <c r="E259" i="12"/>
  <c r="E262" i="12" s="1"/>
  <c r="E243" i="12"/>
  <c r="E246" i="12" s="1"/>
  <c r="H259" i="12"/>
  <c r="H262" i="12" s="1"/>
  <c r="H243" i="12"/>
  <c r="H246" i="12" s="1"/>
  <c r="F227" i="12"/>
  <c r="F211" i="12"/>
  <c r="F214" i="12" s="1"/>
  <c r="G227" i="12"/>
  <c r="G211" i="12"/>
  <c r="G214" i="12" s="1"/>
  <c r="I227" i="12"/>
  <c r="I211" i="12"/>
  <c r="I214" i="12" s="1"/>
  <c r="H227" i="12"/>
  <c r="H211" i="12"/>
  <c r="H214" i="12" s="1"/>
  <c r="Q7" i="55"/>
  <c r="L24" i="5"/>
  <c r="F132" i="26"/>
  <c r="F133" i="26" s="1"/>
  <c r="F184" i="26" s="1"/>
  <c r="F58" i="26"/>
  <c r="F59" i="26" s="1"/>
  <c r="F178" i="26" s="1"/>
  <c r="F96" i="26"/>
  <c r="F97" i="26" s="1"/>
  <c r="F181" i="26" s="1"/>
  <c r="F71" i="26"/>
  <c r="F72" i="26" s="1"/>
  <c r="F179" i="26" s="1"/>
  <c r="J24" i="26"/>
  <c r="F108" i="26"/>
  <c r="F109" i="26" s="1"/>
  <c r="F182" i="26" s="1"/>
  <c r="F43" i="26"/>
  <c r="F44" i="26" s="1"/>
  <c r="F177" i="26" s="1"/>
  <c r="F144" i="26"/>
  <c r="F145" i="26" s="1"/>
  <c r="F185" i="26" s="1"/>
  <c r="F157" i="26"/>
  <c r="F158" i="26" s="1"/>
  <c r="F84" i="26"/>
  <c r="F85" i="26" s="1"/>
  <c r="F180" i="26" s="1"/>
  <c r="F120" i="26"/>
  <c r="F121" i="26" s="1"/>
  <c r="F183" i="26" s="1"/>
  <c r="I135" i="18"/>
  <c r="I111" i="18"/>
  <c r="H38" i="6"/>
  <c r="H443" i="6"/>
  <c r="H188" i="6"/>
  <c r="E135" i="18"/>
  <c r="M7" i="45"/>
  <c r="O7" i="45" s="1"/>
  <c r="J56" i="55"/>
  <c r="M7" i="43"/>
  <c r="E111" i="18"/>
  <c r="J57" i="55"/>
  <c r="G111" i="18"/>
  <c r="G135" i="18"/>
  <c r="F111" i="18"/>
  <c r="F135" i="18"/>
  <c r="I38" i="6"/>
  <c r="I443" i="6"/>
  <c r="I188" i="6"/>
  <c r="G445" i="6"/>
  <c r="G190" i="6"/>
  <c r="N56" i="55"/>
  <c r="N57" i="55"/>
  <c r="H135" i="18"/>
  <c r="H111" i="18"/>
  <c r="E443" i="6"/>
  <c r="M44" i="45" s="1"/>
  <c r="M46" i="45" s="1"/>
  <c r="E188" i="6"/>
  <c r="G9" i="6"/>
  <c r="F9" i="6"/>
  <c r="E9" i="6"/>
  <c r="G59" i="6"/>
  <c r="I59" i="6"/>
  <c r="I9" i="6"/>
  <c r="I11" i="6" s="1"/>
  <c r="F59" i="6"/>
  <c r="F199" i="2" s="1"/>
  <c r="E59" i="6"/>
  <c r="H9" i="6"/>
  <c r="H59" i="6"/>
  <c r="H199" i="2" s="1"/>
  <c r="E38" i="6"/>
  <c r="J83" i="55"/>
  <c r="I190" i="18"/>
  <c r="I72" i="18"/>
  <c r="I191" i="18" s="1"/>
  <c r="I214" i="18"/>
  <c r="I76" i="18"/>
  <c r="I215" i="18" s="1"/>
  <c r="G214" i="18"/>
  <c r="G76" i="18"/>
  <c r="G215" i="18" s="1"/>
  <c r="I36" i="57"/>
  <c r="H190" i="18"/>
  <c r="H72" i="18"/>
  <c r="H191" i="18" s="1"/>
  <c r="E104" i="18"/>
  <c r="K104" i="18" s="1"/>
  <c r="E229" i="2"/>
  <c r="D229" i="1" s="1"/>
  <c r="K10" i="45"/>
  <c r="E412" i="18"/>
  <c r="K36" i="60"/>
  <c r="G36" i="60"/>
  <c r="E15" i="11"/>
  <c r="G14" i="45"/>
  <c r="F69" i="19"/>
  <c r="F70" i="19" s="1"/>
  <c r="F71" i="19" s="1"/>
  <c r="F72" i="19" s="1"/>
  <c r="K36" i="6"/>
  <c r="H238" i="18"/>
  <c r="H80" i="18"/>
  <c r="H239" i="18" s="1"/>
  <c r="Q79" i="18"/>
  <c r="Q71" i="18"/>
  <c r="E190" i="18"/>
  <c r="E72" i="18"/>
  <c r="E191" i="18" s="1"/>
  <c r="K86" i="6"/>
  <c r="E88" i="6"/>
  <c r="H214" i="18"/>
  <c r="H76" i="18"/>
  <c r="H215" i="18" s="1"/>
  <c r="H26" i="11"/>
  <c r="I10" i="43"/>
  <c r="G247" i="2"/>
  <c r="G133" i="18" s="1"/>
  <c r="F184" i="2"/>
  <c r="F125" i="18" s="1"/>
  <c r="F577" i="18"/>
  <c r="H8" i="19"/>
  <c r="H9" i="19" s="1"/>
  <c r="F659" i="6"/>
  <c r="F421" i="12" s="1"/>
  <c r="F424" i="12" s="1"/>
  <c r="H133" i="2"/>
  <c r="H60" i="19"/>
  <c r="H61" i="19" s="1"/>
  <c r="H62" i="19" s="1"/>
  <c r="H63" i="19" s="1"/>
  <c r="H64" i="19" s="1"/>
  <c r="F628" i="18"/>
  <c r="F14" i="19"/>
  <c r="F15" i="19" s="1"/>
  <c r="H66" i="18"/>
  <c r="H659" i="6"/>
  <c r="H421" i="12" s="1"/>
  <c r="H424" i="12" s="1"/>
  <c r="H27" i="11"/>
  <c r="H136" i="2"/>
  <c r="E214" i="18"/>
  <c r="Q75" i="18"/>
  <c r="E76" i="18"/>
  <c r="E216" i="18" s="1"/>
  <c r="F66" i="18"/>
  <c r="F60" i="19"/>
  <c r="F61" i="19" s="1"/>
  <c r="F62" i="19" s="1"/>
  <c r="F63" i="19" s="1"/>
  <c r="F64" i="19" s="1"/>
  <c r="F27" i="11"/>
  <c r="F136" i="2"/>
  <c r="F133" i="2"/>
  <c r="H69" i="19"/>
  <c r="H70" i="19" s="1"/>
  <c r="H71" i="19" s="1"/>
  <c r="H72" i="19" s="1"/>
  <c r="H73" i="19" s="1"/>
  <c r="H14" i="19"/>
  <c r="H15" i="19" s="1"/>
  <c r="F240" i="18"/>
  <c r="F8" i="19"/>
  <c r="F9" i="19" s="1"/>
  <c r="F26" i="11"/>
  <c r="F191" i="18"/>
  <c r="F216" i="18"/>
  <c r="F450" i="18"/>
  <c r="G603" i="18"/>
  <c r="F620" i="6"/>
  <c r="F143" i="18" s="1"/>
  <c r="I603" i="18"/>
  <c r="I247" i="2"/>
  <c r="I133" i="18" s="1"/>
  <c r="F263" i="18"/>
  <c r="K97" i="64"/>
  <c r="K569" i="6"/>
  <c r="H620" i="6"/>
  <c r="H814" i="18" s="1"/>
  <c r="H628" i="18"/>
  <c r="K119" i="64"/>
  <c r="K367" i="6"/>
  <c r="I20" i="11"/>
  <c r="I577" i="18"/>
  <c r="K519" i="6"/>
  <c r="K124" i="18"/>
  <c r="E620" i="6"/>
  <c r="E210" i="64" s="1"/>
  <c r="H264" i="18"/>
  <c r="E75" i="64"/>
  <c r="E27" i="11"/>
  <c r="G136" i="2"/>
  <c r="I264" i="18"/>
  <c r="I659" i="6"/>
  <c r="I421" i="12" s="1"/>
  <c r="I424" i="12" s="1"/>
  <c r="G659" i="6"/>
  <c r="G421" i="12" s="1"/>
  <c r="G424" i="12" s="1"/>
  <c r="M57" i="36"/>
  <c r="K657" i="6"/>
  <c r="K437" i="18"/>
  <c r="I240" i="18"/>
  <c r="E263" i="18"/>
  <c r="I8" i="19"/>
  <c r="I9" i="19" s="1"/>
  <c r="I133" i="2"/>
  <c r="I26" i="11"/>
  <c r="K615" i="18"/>
  <c r="G27" i="11"/>
  <c r="K314" i="6"/>
  <c r="G450" i="18"/>
  <c r="G620" i="6"/>
  <c r="G143" i="18" s="1"/>
  <c r="E240" i="18"/>
  <c r="G69" i="19"/>
  <c r="G70" i="19" s="1"/>
  <c r="G71" i="19" s="1"/>
  <c r="G72" i="19" s="1"/>
  <c r="G73" i="19" s="1"/>
  <c r="E136" i="2"/>
  <c r="D136" i="1" s="1"/>
  <c r="E14" i="19"/>
  <c r="E15" i="19" s="1"/>
  <c r="I60" i="19"/>
  <c r="I61" i="19" s="1"/>
  <c r="I62" i="19" s="1"/>
  <c r="I63" i="19" s="1"/>
  <c r="I64" i="19" s="1"/>
  <c r="I14" i="19"/>
  <c r="I15" i="19" s="1"/>
  <c r="I69" i="19"/>
  <c r="I70" i="19" s="1"/>
  <c r="I71" i="19" s="1"/>
  <c r="I72" i="19" s="1"/>
  <c r="I73" i="19" s="1"/>
  <c r="I27" i="11"/>
  <c r="I66" i="18"/>
  <c r="I136" i="2"/>
  <c r="G14" i="19"/>
  <c r="G15" i="19" s="1"/>
  <c r="E66" i="18"/>
  <c r="E60" i="19"/>
  <c r="E61" i="19" s="1"/>
  <c r="E62" i="19" s="1"/>
  <c r="E63" i="19" s="1"/>
  <c r="E133" i="2"/>
  <c r="D133" i="1" s="1"/>
  <c r="E659" i="6"/>
  <c r="E421" i="12" s="1"/>
  <c r="E424" i="12" s="1"/>
  <c r="E8" i="19"/>
  <c r="E9" i="19" s="1"/>
  <c r="K13" i="19"/>
  <c r="K7" i="19"/>
  <c r="M7" i="36"/>
  <c r="O7" i="36" s="1"/>
  <c r="E69" i="19"/>
  <c r="E70" i="19" s="1"/>
  <c r="E26" i="11"/>
  <c r="G240" i="18"/>
  <c r="G192" i="18"/>
  <c r="G264" i="18"/>
  <c r="Q81" i="18"/>
  <c r="K656" i="6"/>
  <c r="Q84" i="18"/>
  <c r="G8" i="19"/>
  <c r="G9" i="19" s="1"/>
  <c r="G133" i="2"/>
  <c r="G26" i="11"/>
  <c r="G60" i="19"/>
  <c r="G61" i="19" s="1"/>
  <c r="G62" i="19" s="1"/>
  <c r="G66" i="18"/>
  <c r="G71" i="26"/>
  <c r="G96" i="26"/>
  <c r="G144" i="26"/>
  <c r="G145" i="26" s="1"/>
  <c r="G185" i="26" s="1"/>
  <c r="G84" i="26"/>
  <c r="G58" i="26"/>
  <c r="G132" i="26"/>
  <c r="G133" i="26" s="1"/>
  <c r="G184" i="26" s="1"/>
  <c r="G157" i="26"/>
  <c r="G158" i="26" s="1"/>
  <c r="G108" i="26"/>
  <c r="G109" i="26" s="1"/>
  <c r="G182" i="26" s="1"/>
  <c r="G43" i="26"/>
  <c r="G120" i="26"/>
  <c r="G121" i="26" s="1"/>
  <c r="G183" i="26" s="1"/>
  <c r="K383" i="19"/>
  <c r="E121" i="26"/>
  <c r="E183" i="26" s="1"/>
  <c r="I620" i="6"/>
  <c r="I75" i="64"/>
  <c r="I450" i="18"/>
  <c r="I132" i="64"/>
  <c r="K132" i="64" s="1"/>
  <c r="I628" i="18"/>
  <c r="E109" i="26"/>
  <c r="E182" i="26" s="1"/>
  <c r="F442" i="11"/>
  <c r="K384" i="19"/>
  <c r="K385" i="19"/>
  <c r="K386" i="19"/>
  <c r="K132" i="18"/>
  <c r="H603" i="18"/>
  <c r="H22" i="11"/>
  <c r="H247" i="2"/>
  <c r="H133" i="18" s="1"/>
  <c r="E232" i="26"/>
  <c r="K122" i="19"/>
  <c r="E262" i="26"/>
  <c r="I262" i="26"/>
  <c r="G262" i="26"/>
  <c r="F262" i="26"/>
  <c r="H262" i="26"/>
  <c r="K39" i="64"/>
  <c r="G442" i="11"/>
  <c r="H442" i="11"/>
  <c r="G351" i="19"/>
  <c r="H123" i="19"/>
  <c r="K123" i="19" s="1"/>
  <c r="K410" i="18"/>
  <c r="K50" i="64"/>
  <c r="K91" i="19"/>
  <c r="K92" i="19"/>
  <c r="K213" i="6"/>
  <c r="G103" i="19"/>
  <c r="G104" i="19" s="1"/>
  <c r="F103" i="19"/>
  <c r="I124" i="19"/>
  <c r="I125" i="19" s="1"/>
  <c r="F83" i="19"/>
  <c r="I351" i="19"/>
  <c r="D247" i="1"/>
  <c r="E133" i="18"/>
  <c r="E125" i="18"/>
  <c r="D184" i="1"/>
  <c r="E350" i="19"/>
  <c r="K325" i="19"/>
  <c r="H229" i="2"/>
  <c r="H105" i="18" s="1"/>
  <c r="H412" i="18"/>
  <c r="H15" i="11"/>
  <c r="I348" i="19"/>
  <c r="K348" i="19" s="1"/>
  <c r="E134" i="19"/>
  <c r="K133" i="19"/>
  <c r="G250" i="29"/>
  <c r="G235" i="29"/>
  <c r="G222" i="29"/>
  <c r="G350" i="19"/>
  <c r="F349" i="19"/>
  <c r="H350" i="19"/>
  <c r="K61" i="64"/>
  <c r="K323" i="19"/>
  <c r="I246" i="2"/>
  <c r="I109" i="18" s="1"/>
  <c r="I16" i="11"/>
  <c r="I425" i="18"/>
  <c r="F351" i="19"/>
  <c r="K114" i="19"/>
  <c r="H232" i="26"/>
  <c r="F93" i="19"/>
  <c r="F94" i="19" s="1"/>
  <c r="K423" i="18"/>
  <c r="D244" i="1"/>
  <c r="E108" i="18"/>
  <c r="K108" i="18" s="1"/>
  <c r="K14" i="43"/>
  <c r="K10" i="43"/>
  <c r="I250" i="29"/>
  <c r="I222" i="29"/>
  <c r="I235" i="29"/>
  <c r="K81" i="19"/>
  <c r="G349" i="19"/>
  <c r="H246" i="2"/>
  <c r="H109" i="18" s="1"/>
  <c r="H425" i="18"/>
  <c r="H16" i="11"/>
  <c r="E103" i="19"/>
  <c r="E104" i="19" s="1"/>
  <c r="K102" i="19"/>
  <c r="I412" i="18"/>
  <c r="I15" i="11"/>
  <c r="I229" i="2"/>
  <c r="I105" i="18" s="1"/>
  <c r="H83" i="19"/>
  <c r="H84" i="19" s="1"/>
  <c r="G232" i="26"/>
  <c r="H349" i="19"/>
  <c r="O55" i="36"/>
  <c r="O57" i="36" s="1"/>
  <c r="G57" i="36"/>
  <c r="K326" i="19"/>
  <c r="E351" i="19"/>
  <c r="K108" i="64"/>
  <c r="E349" i="19"/>
  <c r="K324" i="19"/>
  <c r="F115" i="19"/>
  <c r="G135" i="19"/>
  <c r="I232" i="26"/>
  <c r="F15" i="11"/>
  <c r="F229" i="2"/>
  <c r="F105" i="18" s="1"/>
  <c r="F412" i="18"/>
  <c r="I83" i="19"/>
  <c r="I84" i="19" s="1"/>
  <c r="K10" i="36"/>
  <c r="K14" i="36"/>
  <c r="C22" i="46"/>
  <c r="E425" i="18"/>
  <c r="G9" i="38"/>
  <c r="K264" i="6"/>
  <c r="E16" i="11"/>
  <c r="E246" i="2"/>
  <c r="H250" i="29"/>
  <c r="H222" i="29"/>
  <c r="H235" i="29"/>
  <c r="G93" i="19"/>
  <c r="E82" i="19"/>
  <c r="G16" i="11"/>
  <c r="G425" i="18"/>
  <c r="G246" i="2"/>
  <c r="G109" i="18" s="1"/>
  <c r="F16" i="11"/>
  <c r="F246" i="2"/>
  <c r="F109" i="18" s="1"/>
  <c r="F425" i="18"/>
  <c r="G124" i="19"/>
  <c r="G125" i="19" s="1"/>
  <c r="K101" i="19"/>
  <c r="E94" i="19"/>
  <c r="F232" i="26"/>
  <c r="I349" i="19"/>
  <c r="G83" i="19"/>
  <c r="I103" i="19"/>
  <c r="I350" i="19"/>
  <c r="H93" i="19"/>
  <c r="H94" i="19" s="1"/>
  <c r="K36" i="57"/>
  <c r="F222" i="29"/>
  <c r="F250" i="29"/>
  <c r="F235" i="29"/>
  <c r="G412" i="18"/>
  <c r="G15" i="11"/>
  <c r="G229" i="2"/>
  <c r="G105" i="18" s="1"/>
  <c r="K47" i="19"/>
  <c r="H103" i="19"/>
  <c r="H104" i="19" s="1"/>
  <c r="I93" i="19"/>
  <c r="I94" i="19" s="1"/>
  <c r="J184" i="26" l="1"/>
  <c r="J97" i="26"/>
  <c r="L94" i="26" s="1"/>
  <c r="J185" i="26"/>
  <c r="K38" i="6"/>
  <c r="E190" i="6"/>
  <c r="E445" i="6"/>
  <c r="E11" i="6"/>
  <c r="E416" i="6"/>
  <c r="E203" i="2" s="1"/>
  <c r="D203" i="1" s="1"/>
  <c r="E161" i="6"/>
  <c r="I445" i="6"/>
  <c r="I190" i="6"/>
  <c r="I161" i="6"/>
  <c r="I416" i="6"/>
  <c r="I614" i="18" s="1"/>
  <c r="F11" i="6"/>
  <c r="F416" i="6"/>
  <c r="F161" i="6"/>
  <c r="H445" i="6"/>
  <c r="H190" i="6"/>
  <c r="H11" i="6"/>
  <c r="H416" i="6"/>
  <c r="H161" i="6"/>
  <c r="G161" i="6"/>
  <c r="G416" i="6"/>
  <c r="E105" i="18"/>
  <c r="K105" i="18" s="1"/>
  <c r="M44" i="43"/>
  <c r="M46" i="43" s="1"/>
  <c r="I192" i="18"/>
  <c r="I216" i="18"/>
  <c r="G216" i="18"/>
  <c r="H192" i="18"/>
  <c r="J109" i="26"/>
  <c r="L107" i="26" s="1"/>
  <c r="J72" i="26"/>
  <c r="K443" i="6"/>
  <c r="M44" i="36"/>
  <c r="M46" i="36" s="1"/>
  <c r="K188" i="6"/>
  <c r="Q80" i="18"/>
  <c r="Q77" i="18"/>
  <c r="H240" i="18"/>
  <c r="J121" i="26"/>
  <c r="L118" i="26" s="1"/>
  <c r="J133" i="26"/>
  <c r="L133" i="26" s="1"/>
  <c r="J145" i="26"/>
  <c r="L141" i="26" s="1"/>
  <c r="E192" i="18"/>
  <c r="Q72" i="18"/>
  <c r="K88" i="6"/>
  <c r="J59" i="26"/>
  <c r="H216" i="18"/>
  <c r="H198" i="2"/>
  <c r="K125" i="18"/>
  <c r="K577" i="18"/>
  <c r="F764" i="6"/>
  <c r="F447" i="11" s="1"/>
  <c r="F228" i="64"/>
  <c r="F128" i="11"/>
  <c r="F832" i="18"/>
  <c r="H228" i="64"/>
  <c r="F61" i="6"/>
  <c r="F24" i="11" s="1"/>
  <c r="H128" i="11"/>
  <c r="H764" i="6"/>
  <c r="H447" i="11" s="1"/>
  <c r="Q76" i="18"/>
  <c r="H832" i="18"/>
  <c r="J44" i="26"/>
  <c r="J85" i="26"/>
  <c r="Q69" i="18"/>
  <c r="E215" i="18"/>
  <c r="Q68" i="18"/>
  <c r="Q73" i="18"/>
  <c r="H143" i="18"/>
  <c r="H61" i="6"/>
  <c r="F210" i="64"/>
  <c r="K603" i="18"/>
  <c r="F198" i="2"/>
  <c r="F814" i="18"/>
  <c r="H210" i="64"/>
  <c r="K628" i="18"/>
  <c r="E143" i="18"/>
  <c r="E814" i="18"/>
  <c r="K75" i="64"/>
  <c r="E198" i="2"/>
  <c r="D198" i="1" s="1"/>
  <c r="K9" i="6"/>
  <c r="J59" i="55"/>
  <c r="J62" i="55" s="1"/>
  <c r="I198" i="2"/>
  <c r="I832" i="18"/>
  <c r="I228" i="64"/>
  <c r="I764" i="6"/>
  <c r="I447" i="11" s="1"/>
  <c r="I128" i="11"/>
  <c r="G764" i="6"/>
  <c r="G447" i="11" s="1"/>
  <c r="G228" i="64"/>
  <c r="G832" i="18"/>
  <c r="G128" i="11"/>
  <c r="K450" i="18"/>
  <c r="J183" i="26"/>
  <c r="K620" i="6"/>
  <c r="E128" i="11"/>
  <c r="K70" i="19"/>
  <c r="G210" i="64"/>
  <c r="G814" i="18"/>
  <c r="K15" i="19"/>
  <c r="K59" i="6"/>
  <c r="K62" i="19"/>
  <c r="K9" i="19"/>
  <c r="K14" i="19"/>
  <c r="K135" i="18"/>
  <c r="N59" i="55"/>
  <c r="N62" i="55" s="1"/>
  <c r="G61" i="6"/>
  <c r="G201" i="2" s="1"/>
  <c r="G199" i="2"/>
  <c r="I61" i="6"/>
  <c r="I201" i="2" s="1"/>
  <c r="I199" i="2"/>
  <c r="F22" i="46"/>
  <c r="E199" i="2"/>
  <c r="D199" i="1" s="1"/>
  <c r="E61" i="6"/>
  <c r="P9" i="38"/>
  <c r="K66" i="18"/>
  <c r="E228" i="64"/>
  <c r="E832" i="18"/>
  <c r="K659" i="6"/>
  <c r="E764" i="6"/>
  <c r="I200" i="2"/>
  <c r="O7" i="43"/>
  <c r="K111" i="18"/>
  <c r="K69" i="19"/>
  <c r="E71" i="19"/>
  <c r="E72" i="19" s="1"/>
  <c r="E73" i="19" s="1"/>
  <c r="K53" i="18"/>
  <c r="K54" i="18"/>
  <c r="G63" i="19"/>
  <c r="G64" i="19" s="1"/>
  <c r="G65" i="19" s="1"/>
  <c r="G67" i="19" s="1"/>
  <c r="Q278" i="18"/>
  <c r="Q182" i="18"/>
  <c r="K61" i="19"/>
  <c r="Q181" i="18"/>
  <c r="D85" i="26"/>
  <c r="G85" i="26" s="1"/>
  <c r="G180" i="26" s="1"/>
  <c r="D145" i="26"/>
  <c r="D133" i="26"/>
  <c r="K8" i="19"/>
  <c r="K60" i="19"/>
  <c r="J182" i="26"/>
  <c r="D97" i="26"/>
  <c r="H97" i="26" s="1"/>
  <c r="H181" i="26" s="1"/>
  <c r="D59" i="26"/>
  <c r="D109" i="26"/>
  <c r="D121" i="26"/>
  <c r="G11" i="6"/>
  <c r="G198" i="2"/>
  <c r="D72" i="26"/>
  <c r="D44" i="26"/>
  <c r="I210" i="64"/>
  <c r="I814" i="18"/>
  <c r="I143" i="18"/>
  <c r="K133" i="18"/>
  <c r="H124" i="19"/>
  <c r="H125" i="19" s="1"/>
  <c r="K412" i="18"/>
  <c r="K351" i="19"/>
  <c r="H74" i="19"/>
  <c r="H76" i="19" s="1"/>
  <c r="I65" i="19"/>
  <c r="I67" i="19" s="1"/>
  <c r="I74" i="19"/>
  <c r="I76" i="19" s="1"/>
  <c r="H65" i="19"/>
  <c r="H67" i="19" s="1"/>
  <c r="F65" i="19"/>
  <c r="F67" i="19" s="1"/>
  <c r="K134" i="19"/>
  <c r="G84" i="19"/>
  <c r="E83" i="19"/>
  <c r="E84" i="19" s="1"/>
  <c r="K82" i="19"/>
  <c r="G94" i="19"/>
  <c r="K349" i="19"/>
  <c r="G74" i="19"/>
  <c r="G75" i="19" s="1"/>
  <c r="E109" i="18"/>
  <c r="K109" i="18" s="1"/>
  <c r="D246" i="1"/>
  <c r="K425" i="18"/>
  <c r="K93" i="19"/>
  <c r="K103" i="19"/>
  <c r="K115" i="19"/>
  <c r="I104" i="19"/>
  <c r="I140" i="19" s="1"/>
  <c r="E135" i="19"/>
  <c r="K350" i="19"/>
  <c r="F73" i="19"/>
  <c r="E64" i="19"/>
  <c r="F84" i="19"/>
  <c r="F104" i="19"/>
  <c r="L95" i="26" l="1"/>
  <c r="M95" i="26" s="1"/>
  <c r="L92" i="26"/>
  <c r="M92" i="26" s="1"/>
  <c r="L97" i="26"/>
  <c r="M97" i="26" s="1"/>
  <c r="L98" i="26"/>
  <c r="M98" i="26" s="1"/>
  <c r="L93" i="26"/>
  <c r="M93" i="26" s="1"/>
  <c r="L96" i="26"/>
  <c r="M96" i="26" s="1"/>
  <c r="I418" i="6"/>
  <c r="K445" i="6"/>
  <c r="K190" i="6"/>
  <c r="H200" i="2"/>
  <c r="H418" i="6"/>
  <c r="H205" i="2" s="1"/>
  <c r="H136" i="18" s="1"/>
  <c r="H163" i="6"/>
  <c r="H204" i="2" s="1"/>
  <c r="H112" i="18" s="1"/>
  <c r="I484" i="19"/>
  <c r="I541" i="19"/>
  <c r="G479" i="19"/>
  <c r="G536" i="19"/>
  <c r="F536" i="19"/>
  <c r="F214" i="2" s="1"/>
  <c r="F479" i="19"/>
  <c r="F213" i="2" s="1"/>
  <c r="I536" i="19"/>
  <c r="I479" i="19"/>
  <c r="G418" i="6"/>
  <c r="G163" i="6"/>
  <c r="H484" i="19"/>
  <c r="H541" i="19"/>
  <c r="E200" i="2"/>
  <c r="D200" i="1" s="1"/>
  <c r="E163" i="6"/>
  <c r="E204" i="2" s="1"/>
  <c r="E418" i="6"/>
  <c r="H536" i="19"/>
  <c r="H479" i="19"/>
  <c r="F200" i="2"/>
  <c r="F418" i="6"/>
  <c r="F205" i="2" s="1"/>
  <c r="F136" i="18" s="1"/>
  <c r="F163" i="6"/>
  <c r="F438" i="18" s="1"/>
  <c r="F441" i="18" s="1"/>
  <c r="I163" i="6"/>
  <c r="G59" i="26"/>
  <c r="G178" i="26" s="1"/>
  <c r="G97" i="26"/>
  <c r="G181" i="26" s="1"/>
  <c r="E44" i="26"/>
  <c r="E177" i="26" s="1"/>
  <c r="L105" i="26"/>
  <c r="M105" i="26" s="1"/>
  <c r="L109" i="26"/>
  <c r="M109" i="26" s="1"/>
  <c r="L110" i="26"/>
  <c r="M110" i="26" s="1"/>
  <c r="M107" i="26"/>
  <c r="L104" i="26"/>
  <c r="M104" i="26" s="1"/>
  <c r="I44" i="26"/>
  <c r="I177" i="26" s="1"/>
  <c r="L70" i="26"/>
  <c r="M70" i="26" s="1"/>
  <c r="I72" i="26"/>
  <c r="I179" i="26" s="1"/>
  <c r="G44" i="26"/>
  <c r="G177" i="26" s="1"/>
  <c r="L67" i="26"/>
  <c r="M67" i="26" s="1"/>
  <c r="I31" i="26"/>
  <c r="G31" i="26"/>
  <c r="I85" i="26"/>
  <c r="I180" i="26" s="1"/>
  <c r="L55" i="26"/>
  <c r="M55" i="26" s="1"/>
  <c r="I59" i="26"/>
  <c r="I178" i="26" s="1"/>
  <c r="G72" i="26"/>
  <c r="G179" i="26" s="1"/>
  <c r="I97" i="26"/>
  <c r="I181" i="26" s="1"/>
  <c r="H59" i="26"/>
  <c r="H178" i="26" s="1"/>
  <c r="L72" i="26"/>
  <c r="M72" i="26" s="1"/>
  <c r="L68" i="26"/>
  <c r="M68" i="26" s="1"/>
  <c r="L73" i="26"/>
  <c r="M73" i="26" s="1"/>
  <c r="L106" i="26"/>
  <c r="M106" i="26" s="1"/>
  <c r="L108" i="26"/>
  <c r="M108" i="26" s="1"/>
  <c r="L71" i="26"/>
  <c r="M71" i="26" s="1"/>
  <c r="L69" i="26"/>
  <c r="M69" i="26" s="1"/>
  <c r="L131" i="26"/>
  <c r="M131" i="26" s="1"/>
  <c r="F201" i="2"/>
  <c r="L143" i="26"/>
  <c r="M143" i="26" s="1"/>
  <c r="L142" i="26"/>
  <c r="M142" i="26" s="1"/>
  <c r="L145" i="26"/>
  <c r="M145" i="26" s="1"/>
  <c r="L146" i="26"/>
  <c r="M146" i="26" s="1"/>
  <c r="L57" i="26"/>
  <c r="M57" i="26" s="1"/>
  <c r="L128" i="26"/>
  <c r="M128" i="26" s="1"/>
  <c r="L60" i="26"/>
  <c r="M60" i="26" s="1"/>
  <c r="L130" i="26"/>
  <c r="M130" i="26" s="1"/>
  <c r="L129" i="26"/>
  <c r="M129" i="26" s="1"/>
  <c r="L134" i="26"/>
  <c r="M134" i="26" s="1"/>
  <c r="H436" i="18"/>
  <c r="L120" i="26"/>
  <c r="M120" i="26" s="1"/>
  <c r="L121" i="26"/>
  <c r="M121" i="26" s="1"/>
  <c r="L117" i="26"/>
  <c r="M117" i="26" s="1"/>
  <c r="L122" i="26"/>
  <c r="M122" i="26" s="1"/>
  <c r="L116" i="26"/>
  <c r="M116" i="26" s="1"/>
  <c r="L119" i="26"/>
  <c r="M119" i="26" s="1"/>
  <c r="L140" i="26"/>
  <c r="M140" i="26" s="1"/>
  <c r="L144" i="26"/>
  <c r="M144" i="26" s="1"/>
  <c r="L132" i="26"/>
  <c r="M132" i="26" s="1"/>
  <c r="M141" i="26"/>
  <c r="L54" i="26"/>
  <c r="M54" i="26" s="1"/>
  <c r="L56" i="26"/>
  <c r="M56" i="26" s="1"/>
  <c r="L59" i="26"/>
  <c r="M59" i="26" s="1"/>
  <c r="L58" i="26"/>
  <c r="M58" i="26" s="1"/>
  <c r="F147" i="18"/>
  <c r="L39" i="26"/>
  <c r="M39" i="26" s="1"/>
  <c r="H44" i="26"/>
  <c r="H177" i="26" s="1"/>
  <c r="H72" i="26"/>
  <c r="H179" i="26" s="1"/>
  <c r="L86" i="26"/>
  <c r="M86" i="26" s="1"/>
  <c r="H31" i="26"/>
  <c r="H85" i="26"/>
  <c r="H180" i="26" s="1"/>
  <c r="H201" i="2"/>
  <c r="E18" i="11"/>
  <c r="H147" i="18"/>
  <c r="L45" i="26"/>
  <c r="M45" i="26" s="1"/>
  <c r="L44" i="26"/>
  <c r="M44" i="26" s="1"/>
  <c r="L84" i="26"/>
  <c r="M84" i="26" s="1"/>
  <c r="L82" i="26"/>
  <c r="M82" i="26" s="1"/>
  <c r="L80" i="26"/>
  <c r="M80" i="26" s="1"/>
  <c r="L83" i="26"/>
  <c r="M83" i="26" s="1"/>
  <c r="L42" i="26"/>
  <c r="M42" i="26" s="1"/>
  <c r="L40" i="26"/>
  <c r="M40" i="26" s="1"/>
  <c r="L41" i="26"/>
  <c r="M41" i="26" s="1"/>
  <c r="L43" i="26"/>
  <c r="M43" i="26" s="1"/>
  <c r="H202" i="2"/>
  <c r="H18" i="11"/>
  <c r="L85" i="26"/>
  <c r="M85" i="26" s="1"/>
  <c r="L81" i="26"/>
  <c r="M81" i="26" s="1"/>
  <c r="E31" i="26"/>
  <c r="E59" i="26"/>
  <c r="E178" i="26" s="1"/>
  <c r="E72" i="26"/>
  <c r="E179" i="26" s="1"/>
  <c r="E85" i="26"/>
  <c r="E180" i="26" s="1"/>
  <c r="E97" i="26"/>
  <c r="E181" i="26" s="1"/>
  <c r="H614" i="18"/>
  <c r="H203" i="2"/>
  <c r="F614" i="18"/>
  <c r="F203" i="2"/>
  <c r="F436" i="18"/>
  <c r="F202" i="2"/>
  <c r="K143" i="18"/>
  <c r="E202" i="2"/>
  <c r="D202" i="1" s="1"/>
  <c r="E436" i="18"/>
  <c r="K124" i="19"/>
  <c r="M9" i="43"/>
  <c r="I203" i="2"/>
  <c r="I147" i="18"/>
  <c r="K228" i="64"/>
  <c r="K764" i="6"/>
  <c r="G147" i="18"/>
  <c r="K832" i="18"/>
  <c r="K814" i="18"/>
  <c r="K210" i="64"/>
  <c r="K161" i="6"/>
  <c r="K71" i="19"/>
  <c r="E24" i="11"/>
  <c r="E201" i="2"/>
  <c r="D201" i="1" s="1"/>
  <c r="M9" i="36"/>
  <c r="K61" i="6"/>
  <c r="E614" i="18"/>
  <c r="K416" i="6"/>
  <c r="M9" i="45"/>
  <c r="M10" i="45" s="1"/>
  <c r="I67" i="18"/>
  <c r="I202" i="2"/>
  <c r="I436" i="18"/>
  <c r="E147" i="18"/>
  <c r="E447" i="11"/>
  <c r="K63" i="19"/>
  <c r="G614" i="18"/>
  <c r="G203" i="2"/>
  <c r="M94" i="26"/>
  <c r="K11" i="6"/>
  <c r="G200" i="2"/>
  <c r="G67" i="18" s="1"/>
  <c r="M133" i="26"/>
  <c r="G436" i="18"/>
  <c r="G202" i="2"/>
  <c r="M118" i="26"/>
  <c r="I66" i="19"/>
  <c r="I131" i="2" s="1"/>
  <c r="H75" i="19"/>
  <c r="H134" i="2" s="1"/>
  <c r="G66" i="19"/>
  <c r="G131" i="2" s="1"/>
  <c r="I75" i="19"/>
  <c r="I134" i="2" s="1"/>
  <c r="H66" i="19"/>
  <c r="H131" i="2" s="1"/>
  <c r="G140" i="19"/>
  <c r="G76" i="19"/>
  <c r="F66" i="19"/>
  <c r="F131" i="2" s="1"/>
  <c r="K84" i="19"/>
  <c r="H210" i="19"/>
  <c r="H179" i="19"/>
  <c r="H178" i="19"/>
  <c r="H207" i="19"/>
  <c r="F260" i="19"/>
  <c r="F261" i="19"/>
  <c r="F207" i="19"/>
  <c r="I179" i="19"/>
  <c r="I178" i="19"/>
  <c r="I207" i="19"/>
  <c r="F74" i="19"/>
  <c r="F75" i="19" s="1"/>
  <c r="G134" i="2"/>
  <c r="H140" i="19"/>
  <c r="K83" i="19"/>
  <c r="G207" i="19"/>
  <c r="K125" i="19"/>
  <c r="E74" i="19"/>
  <c r="K73" i="19"/>
  <c r="K94" i="19"/>
  <c r="E140" i="19"/>
  <c r="K135" i="19"/>
  <c r="E65" i="19"/>
  <c r="E67" i="19" s="1"/>
  <c r="K64" i="19"/>
  <c r="K72" i="19"/>
  <c r="F140" i="19"/>
  <c r="I210" i="19"/>
  <c r="K104" i="19"/>
  <c r="H438" i="18" l="1"/>
  <c r="F616" i="18"/>
  <c r="F619" i="18" s="1"/>
  <c r="E438" i="18"/>
  <c r="H67" i="18"/>
  <c r="E112" i="18"/>
  <c r="D204" i="1"/>
  <c r="G210" i="19"/>
  <c r="G541" i="19"/>
  <c r="G216" i="2" s="1"/>
  <c r="G484" i="19"/>
  <c r="G215" i="2" s="1"/>
  <c r="E479" i="19"/>
  <c r="E536" i="19"/>
  <c r="F67" i="18"/>
  <c r="I14" i="2"/>
  <c r="I181" i="19"/>
  <c r="H14" i="2"/>
  <c r="H181" i="19"/>
  <c r="I212" i="19"/>
  <c r="J181" i="26"/>
  <c r="J177" i="26"/>
  <c r="J178" i="26"/>
  <c r="I209" i="19"/>
  <c r="G209" i="19"/>
  <c r="J180" i="26"/>
  <c r="F18" i="11"/>
  <c r="F446" i="18"/>
  <c r="F204" i="2"/>
  <c r="F112" i="18" s="1"/>
  <c r="D32" i="26"/>
  <c r="H212" i="19"/>
  <c r="H24" i="11"/>
  <c r="J179" i="26"/>
  <c r="J32" i="26"/>
  <c r="L31" i="26" s="1"/>
  <c r="H209" i="19"/>
  <c r="H91" i="18"/>
  <c r="H616" i="18"/>
  <c r="M14" i="36"/>
  <c r="M10" i="36"/>
  <c r="M14" i="43"/>
  <c r="M10" i="43"/>
  <c r="I204" i="2"/>
  <c r="I112" i="18" s="1"/>
  <c r="I18" i="11"/>
  <c r="K147" i="18"/>
  <c r="E205" i="2"/>
  <c r="D205" i="1" s="1"/>
  <c r="G10" i="38"/>
  <c r="D10" i="38" s="1"/>
  <c r="C24" i="46"/>
  <c r="C23" i="46" s="1"/>
  <c r="E616" i="18"/>
  <c r="K436" i="18"/>
  <c r="Q438" i="18" s="1"/>
  <c r="K614" i="18"/>
  <c r="Q622" i="18" s="1"/>
  <c r="E67" i="18"/>
  <c r="K418" i="6"/>
  <c r="I24" i="11"/>
  <c r="I205" i="2"/>
  <c r="I136" i="18" s="1"/>
  <c r="I616" i="18"/>
  <c r="M14" i="45"/>
  <c r="I438" i="18"/>
  <c r="H115" i="18"/>
  <c r="F115" i="18"/>
  <c r="G18" i="11"/>
  <c r="G204" i="2"/>
  <c r="G112" i="18" s="1"/>
  <c r="K163" i="6"/>
  <c r="G438" i="18"/>
  <c r="G24" i="11"/>
  <c r="G205" i="2"/>
  <c r="G136" i="18" s="1"/>
  <c r="G616" i="18"/>
  <c r="I22" i="2"/>
  <c r="H22" i="2"/>
  <c r="K74" i="19"/>
  <c r="H15" i="2"/>
  <c r="I21" i="2"/>
  <c r="I15" i="2"/>
  <c r="G179" i="19"/>
  <c r="G21" i="2" s="1"/>
  <c r="G178" i="19"/>
  <c r="E75" i="19"/>
  <c r="E134" i="2" s="1"/>
  <c r="D134" i="1" s="1"/>
  <c r="E76" i="19"/>
  <c r="E207" i="19"/>
  <c r="K67" i="19"/>
  <c r="F218" i="2"/>
  <c r="F65" i="6"/>
  <c r="F217" i="2"/>
  <c r="F15" i="6"/>
  <c r="K65" i="19"/>
  <c r="E66" i="19"/>
  <c r="K140" i="19"/>
  <c r="F76" i="19"/>
  <c r="F134" i="2"/>
  <c r="I211" i="2"/>
  <c r="I13" i="6"/>
  <c r="I212" i="2"/>
  <c r="I63" i="6"/>
  <c r="H211" i="2"/>
  <c r="H13" i="6"/>
  <c r="H212" i="2"/>
  <c r="H63" i="6"/>
  <c r="H21" i="2"/>
  <c r="F624" i="18" l="1"/>
  <c r="K67" i="18"/>
  <c r="H165" i="6"/>
  <c r="H420" i="6"/>
  <c r="F167" i="6"/>
  <c r="F422" i="6"/>
  <c r="E484" i="19"/>
  <c r="E541" i="19"/>
  <c r="F541" i="19"/>
  <c r="F216" i="2" s="1"/>
  <c r="F484" i="19"/>
  <c r="F215" i="2" s="1"/>
  <c r="I420" i="6"/>
  <c r="I165" i="6"/>
  <c r="G15" i="2"/>
  <c r="G181" i="19"/>
  <c r="H18" i="2"/>
  <c r="I115" i="18"/>
  <c r="I215" i="2"/>
  <c r="I216" i="2"/>
  <c r="I32" i="26"/>
  <c r="I176" i="26" s="1"/>
  <c r="G32" i="26"/>
  <c r="G176" i="26" s="1"/>
  <c r="M31" i="26"/>
  <c r="H215" i="2"/>
  <c r="H216" i="2"/>
  <c r="E32" i="26"/>
  <c r="E176" i="26" s="1"/>
  <c r="L33" i="26"/>
  <c r="M33" i="26" s="1"/>
  <c r="H32" i="26"/>
  <c r="H176" i="26" s="1"/>
  <c r="L29" i="26"/>
  <c r="M29" i="26" s="1"/>
  <c r="L32" i="26"/>
  <c r="M32" i="26" s="1"/>
  <c r="L30" i="26"/>
  <c r="M30" i="26" s="1"/>
  <c r="L28" i="26"/>
  <c r="M28" i="26" s="1"/>
  <c r="L27" i="26"/>
  <c r="M27" i="26" s="1"/>
  <c r="F91" i="18"/>
  <c r="K112" i="18"/>
  <c r="K207" i="19"/>
  <c r="K208" i="19"/>
  <c r="Q447" i="18"/>
  <c r="Q445" i="18"/>
  <c r="Q443" i="18"/>
  <c r="E136" i="18"/>
  <c r="K136" i="18" s="1"/>
  <c r="Q621" i="18"/>
  <c r="Q615" i="18"/>
  <c r="Q436" i="18"/>
  <c r="Q437" i="18"/>
  <c r="Q440" i="18"/>
  <c r="Q439" i="18"/>
  <c r="Q442" i="18"/>
  <c r="Q435" i="18"/>
  <c r="Q441" i="18"/>
  <c r="Q446" i="18"/>
  <c r="Q444" i="18"/>
  <c r="Q614" i="18"/>
  <c r="Q616" i="18"/>
  <c r="Q617" i="18"/>
  <c r="Q613" i="18"/>
  <c r="Q624" i="18"/>
  <c r="Q618" i="18"/>
  <c r="Q619" i="18"/>
  <c r="Q623" i="18"/>
  <c r="Q620" i="18"/>
  <c r="I91" i="18"/>
  <c r="F61" i="18"/>
  <c r="H61" i="18"/>
  <c r="K438" i="18"/>
  <c r="K616" i="18"/>
  <c r="I25" i="2"/>
  <c r="E179" i="19"/>
  <c r="E21" i="2" s="1"/>
  <c r="D21" i="1" s="1"/>
  <c r="E178" i="19"/>
  <c r="E210" i="19"/>
  <c r="G13" i="6"/>
  <c r="G211" i="2"/>
  <c r="G14" i="2"/>
  <c r="K76" i="19"/>
  <c r="G63" i="6"/>
  <c r="I18" i="2"/>
  <c r="G22" i="2"/>
  <c r="G212" i="2"/>
  <c r="K75" i="19"/>
  <c r="F210" i="19"/>
  <c r="F178" i="19"/>
  <c r="F179" i="19"/>
  <c r="F284" i="19"/>
  <c r="F283" i="19"/>
  <c r="E131" i="2"/>
  <c r="D131" i="1" s="1"/>
  <c r="K66" i="19"/>
  <c r="H25" i="2"/>
  <c r="G420" i="6" l="1"/>
  <c r="G165" i="6"/>
  <c r="F181" i="19"/>
  <c r="G18" i="2"/>
  <c r="E14" i="2"/>
  <c r="D14" i="1" s="1"/>
  <c r="E181" i="19"/>
  <c r="E186" i="26"/>
  <c r="E187" i="26" s="1"/>
  <c r="I186" i="26"/>
  <c r="I187" i="26" s="1"/>
  <c r="K211" i="19"/>
  <c r="H186" i="26"/>
  <c r="H187" i="26" s="1"/>
  <c r="G186" i="26"/>
  <c r="G187" i="26" s="1"/>
  <c r="J176" i="26"/>
  <c r="F186" i="26"/>
  <c r="F187" i="26" s="1"/>
  <c r="E209" i="19"/>
  <c r="K209" i="19" s="1"/>
  <c r="G91" i="18"/>
  <c r="K51" i="18"/>
  <c r="E115" i="18"/>
  <c r="G115" i="18"/>
  <c r="E91" i="18"/>
  <c r="K50" i="18"/>
  <c r="E211" i="2"/>
  <c r="D211" i="1" s="1"/>
  <c r="E212" i="2"/>
  <c r="D212" i="1" s="1"/>
  <c r="K179" i="19"/>
  <c r="N68" i="55"/>
  <c r="E63" i="6"/>
  <c r="E22" i="2"/>
  <c r="D22" i="1" s="1"/>
  <c r="E13" i="6"/>
  <c r="K178" i="19"/>
  <c r="J68" i="55"/>
  <c r="E15" i="2"/>
  <c r="D15" i="1" s="1"/>
  <c r="K210" i="19"/>
  <c r="G25" i="2"/>
  <c r="F66" i="6"/>
  <c r="F220" i="2"/>
  <c r="F601" i="19"/>
  <c r="F212" i="2"/>
  <c r="F611" i="19"/>
  <c r="F600" i="19"/>
  <c r="F612" i="19"/>
  <c r="F63" i="6"/>
  <c r="F22" i="2"/>
  <c r="F211" i="2"/>
  <c r="F610" i="19"/>
  <c r="F599" i="19"/>
  <c r="F609" i="19"/>
  <c r="F598" i="19"/>
  <c r="F13" i="6"/>
  <c r="F15" i="2"/>
  <c r="F14" i="2"/>
  <c r="F16" i="6"/>
  <c r="F219" i="2"/>
  <c r="F21" i="2"/>
  <c r="F423" i="6" l="1"/>
  <c r="F168" i="6"/>
  <c r="F420" i="6"/>
  <c r="F165" i="6"/>
  <c r="E420" i="6"/>
  <c r="E165" i="6"/>
  <c r="G189" i="26"/>
  <c r="G191" i="26" s="1"/>
  <c r="I189" i="26"/>
  <c r="I191" i="26" s="1"/>
  <c r="E212" i="19"/>
  <c r="K212" i="19" s="1"/>
  <c r="H189" i="26"/>
  <c r="H191" i="26" s="1"/>
  <c r="J186" i="26"/>
  <c r="J187" i="26" s="1"/>
  <c r="K181" i="19"/>
  <c r="E188" i="26"/>
  <c r="E189" i="26"/>
  <c r="E191" i="26" s="1"/>
  <c r="G188" i="26"/>
  <c r="I188" i="26"/>
  <c r="F188" i="26"/>
  <c r="H188" i="26"/>
  <c r="E61" i="18"/>
  <c r="I61" i="18"/>
  <c r="K91" i="18"/>
  <c r="K115" i="18"/>
  <c r="K63" i="6"/>
  <c r="K13" i="6"/>
  <c r="E18" i="2"/>
  <c r="E25" i="2"/>
  <c r="F25" i="2"/>
  <c r="F18" i="2"/>
  <c r="E216" i="2" l="1"/>
  <c r="D216" i="1" s="1"/>
  <c r="K541" i="19"/>
  <c r="K484" i="19"/>
  <c r="E215" i="2"/>
  <c r="D215" i="1" s="1"/>
  <c r="E214" i="2"/>
  <c r="D214" i="1" s="1"/>
  <c r="G61" i="18"/>
  <c r="M19" i="45"/>
  <c r="M19" i="43"/>
  <c r="M18" i="36"/>
  <c r="K165" i="6"/>
  <c r="K420" i="6"/>
  <c r="M49" i="43" l="1"/>
  <c r="M49" i="45"/>
  <c r="M50" i="36" l="1"/>
  <c r="E260" i="19" l="1"/>
  <c r="E261" i="19"/>
  <c r="E217" i="2" l="1"/>
  <c r="D217" i="1" s="1"/>
  <c r="E15" i="6"/>
  <c r="E609" i="19"/>
  <c r="E65" i="6"/>
  <c r="E218" i="2"/>
  <c r="D218" i="1" s="1"/>
  <c r="N69" i="55"/>
  <c r="N71" i="55" s="1"/>
  <c r="N73" i="55" s="1"/>
  <c r="E611" i="19"/>
  <c r="E600" i="19"/>
  <c r="E422" i="6" l="1"/>
  <c r="E167" i="6"/>
  <c r="M23" i="36"/>
  <c r="M24" i="43"/>
  <c r="M24" i="45"/>
  <c r="M27" i="45" l="1"/>
  <c r="M27" i="43"/>
  <c r="M26" i="36"/>
  <c r="M63" i="45" l="1"/>
  <c r="M64" i="45"/>
  <c r="M73" i="36"/>
  <c r="M72" i="36"/>
  <c r="M63" i="43"/>
  <c r="M64" i="43"/>
  <c r="E619" i="18" l="1"/>
  <c r="E441" i="18"/>
  <c r="E624" i="18" l="1"/>
  <c r="E446" i="18"/>
  <c r="E40" i="18" l="1"/>
  <c r="E27" i="64" s="1"/>
  <c r="G40" i="18" l="1"/>
  <c r="G27" i="64" s="1"/>
  <c r="I40" i="18"/>
  <c r="I27" i="64" s="1"/>
  <c r="H40" i="18"/>
  <c r="H27" i="64" s="1"/>
  <c r="F40" i="18"/>
  <c r="F27" i="64" s="1"/>
  <c r="E39" i="18"/>
  <c r="E26" i="64" s="1"/>
  <c r="I39" i="18" l="1"/>
  <c r="I26" i="64" s="1"/>
  <c r="H39" i="18"/>
  <c r="H26" i="64" s="1"/>
  <c r="F39" i="18"/>
  <c r="F26" i="64" s="1"/>
  <c r="G39" i="18"/>
  <c r="G26" i="64" s="1"/>
  <c r="G619" i="18"/>
  <c r="H619" i="18"/>
  <c r="I619" i="18"/>
  <c r="G441" i="18"/>
  <c r="H441" i="18"/>
  <c r="I441" i="18"/>
  <c r="I446" i="18"/>
  <c r="G446" i="18"/>
  <c r="G260" i="19"/>
  <c r="G15" i="6" s="1"/>
  <c r="G261" i="19"/>
  <c r="G65" i="6" s="1"/>
  <c r="H260" i="19"/>
  <c r="H15" i="6" s="1"/>
  <c r="H261" i="19"/>
  <c r="H65" i="6" s="1"/>
  <c r="I260" i="19"/>
  <c r="I15" i="6" s="1"/>
  <c r="I261" i="19"/>
  <c r="I65" i="6" s="1"/>
  <c r="G624" i="18"/>
  <c r="I624" i="18"/>
  <c r="H446" i="18"/>
  <c r="I214" i="2"/>
  <c r="H624" i="18"/>
  <c r="E283" i="19"/>
  <c r="E16" i="6" s="1"/>
  <c r="E284" i="19"/>
  <c r="E66" i="6" s="1"/>
  <c r="G283" i="19"/>
  <c r="G16" i="6" s="1"/>
  <c r="G284" i="19"/>
  <c r="G66" i="6" s="1"/>
  <c r="H283" i="19"/>
  <c r="H16" i="6" s="1"/>
  <c r="H284" i="19"/>
  <c r="H66" i="6" s="1"/>
  <c r="I283" i="19"/>
  <c r="I219" i="2" s="1"/>
  <c r="I284" i="19"/>
  <c r="I66" i="6" s="1"/>
  <c r="G213" i="2"/>
  <c r="M69" i="36"/>
  <c r="J69" i="55"/>
  <c r="J71" i="55" s="1"/>
  <c r="J73" i="55" s="1"/>
  <c r="M60" i="45"/>
  <c r="M60" i="43"/>
  <c r="D21" i="26"/>
  <c r="P19" i="14"/>
  <c r="D102" i="1"/>
  <c r="F854" i="18"/>
  <c r="F251" i="64"/>
  <c r="F195" i="11"/>
  <c r="I768" i="6"/>
  <c r="I251" i="64"/>
  <c r="I195" i="11"/>
  <c r="I854" i="18"/>
  <c r="F768" i="6"/>
  <c r="F258" i="64"/>
  <c r="F861" i="18"/>
  <c r="I746" i="6"/>
  <c r="I258" i="64"/>
  <c r="I861" i="18"/>
  <c r="H861" i="18"/>
  <c r="H258" i="64"/>
  <c r="G861" i="18"/>
  <c r="G258" i="64"/>
  <c r="G746" i="6"/>
  <c r="H746" i="6"/>
  <c r="H768" i="6"/>
  <c r="H854" i="18"/>
  <c r="H195" i="11"/>
  <c r="H251" i="64"/>
  <c r="P14" i="14"/>
  <c r="D97" i="1"/>
  <c r="F746" i="6"/>
  <c r="F718" i="6"/>
  <c r="F103" i="2" s="1"/>
  <c r="F747" i="6" s="1"/>
  <c r="G718" i="6"/>
  <c r="G103" i="2" s="1"/>
  <c r="G747" i="6" s="1"/>
  <c r="H718" i="6"/>
  <c r="H103" i="2" s="1"/>
  <c r="H747" i="6" s="1"/>
  <c r="G251" i="64"/>
  <c r="G195" i="11"/>
  <c r="G854" i="18"/>
  <c r="G768" i="6"/>
  <c r="I718" i="6"/>
  <c r="I103" i="2" s="1"/>
  <c r="I747" i="6" s="1"/>
  <c r="E541" i="7"/>
  <c r="E454" i="7"/>
  <c r="E675" i="7"/>
  <c r="E648" i="7"/>
  <c r="E795" i="7"/>
  <c r="E638" i="7"/>
  <c r="E337" i="7"/>
  <c r="E534" i="7"/>
  <c r="E508" i="7"/>
  <c r="E810" i="7"/>
  <c r="E582" i="7"/>
  <c r="E625" i="7"/>
  <c r="E497" i="7"/>
  <c r="E604" i="7"/>
  <c r="E742" i="7"/>
  <c r="E557" i="7"/>
  <c r="E771" i="7"/>
  <c r="E509" i="7"/>
  <c r="E464" i="7"/>
  <c r="E349" i="7"/>
  <c r="E365" i="7"/>
  <c r="E851" i="7"/>
  <c r="E384" i="7"/>
  <c r="E336" i="7"/>
  <c r="E850" i="7"/>
  <c r="E718" i="7"/>
  <c r="E467" i="7"/>
  <c r="E527" i="7"/>
  <c r="E790" i="7"/>
  <c r="E473" i="7"/>
  <c r="E641" i="7"/>
  <c r="E465" i="7"/>
  <c r="E472" i="7"/>
  <c r="E515" i="7"/>
  <c r="E619" i="7"/>
  <c r="E839" i="7"/>
  <c r="E634" i="7"/>
  <c r="E622" i="7"/>
  <c r="E547" i="7"/>
  <c r="E853" i="7"/>
  <c r="E341" i="7"/>
  <c r="E477" i="7"/>
  <c r="E498" i="7"/>
  <c r="E806" i="7"/>
  <c r="E685" i="7"/>
  <c r="E832" i="7"/>
  <c r="E825" i="7"/>
  <c r="E387" i="7"/>
  <c r="E651" i="7"/>
  <c r="E814" i="7"/>
  <c r="E430" i="7"/>
  <c r="E546" i="7"/>
  <c r="E694" i="7"/>
  <c r="E712" i="7"/>
  <c r="E600" i="7"/>
  <c r="E777" i="7"/>
  <c r="E535" i="7"/>
  <c r="E456" i="7"/>
  <c r="E670" i="7"/>
  <c r="E626" i="7"/>
  <c r="E548" i="7"/>
  <c r="E852" i="7"/>
  <c r="E660" i="7"/>
  <c r="E770" i="7"/>
  <c r="E525" i="7"/>
  <c r="E483" i="7"/>
  <c r="E872" i="7"/>
  <c r="E569" i="7"/>
  <c r="E354" i="7"/>
  <c r="E550" i="7"/>
  <c r="E1051" i="7"/>
  <c r="E677" i="7"/>
  <c r="E565" i="7"/>
  <c r="E458" i="7"/>
  <c r="E714" i="7"/>
  <c r="E392" i="7"/>
  <c r="E858" i="7"/>
  <c r="E1009" i="7"/>
  <c r="E426" i="7"/>
  <c r="E429" i="7"/>
  <c r="E773" i="7"/>
  <c r="E529" i="7"/>
  <c r="E448" i="7"/>
  <c r="E911" i="7"/>
  <c r="E378" i="7"/>
  <c r="E444" i="7"/>
  <c r="E1035" i="7"/>
  <c r="E1002" i="7"/>
  <c r="E668" i="7"/>
  <c r="E1005" i="7"/>
  <c r="E921" i="7"/>
  <c r="E566" i="7"/>
  <c r="E1071" i="7"/>
  <c r="E957" i="7"/>
  <c r="E900" i="7"/>
  <c r="E1022" i="7"/>
  <c r="E1031" i="7"/>
  <c r="E898" i="7"/>
  <c r="E933" i="7"/>
  <c r="E999" i="7"/>
  <c r="E980" i="7"/>
  <c r="E946" i="7"/>
  <c r="E932" i="7"/>
  <c r="E919" i="7"/>
  <c r="E896" i="7"/>
  <c r="E899" i="7"/>
  <c r="E939" i="7"/>
  <c r="E1069" i="7"/>
  <c r="E1062" i="7"/>
  <c r="E944" i="7"/>
  <c r="E1061" i="7"/>
  <c r="E950" i="7"/>
  <c r="E925" i="7"/>
  <c r="E924" i="7"/>
  <c r="E910" i="7"/>
  <c r="E891" i="7"/>
  <c r="E959" i="7"/>
  <c r="E991" i="7"/>
  <c r="E1039" i="7"/>
  <c r="E1038" i="7"/>
  <c r="E1030" i="7"/>
  <c r="E1037" i="7"/>
  <c r="E1007" i="7"/>
  <c r="E1010" i="7"/>
  <c r="E969" i="7"/>
  <c r="E879" i="7"/>
  <c r="E926" i="7"/>
  <c r="E951" i="7"/>
  <c r="E886" i="7"/>
  <c r="E1052" i="7"/>
  <c r="E1084" i="7"/>
  <c r="E1026" i="7"/>
  <c r="E845" i="7"/>
  <c r="E672" i="7"/>
  <c r="E620" i="7"/>
  <c r="E612" i="7"/>
  <c r="E635" i="7"/>
  <c r="E624" i="7"/>
  <c r="E785" i="7"/>
  <c r="E475" i="7"/>
  <c r="E664" i="7"/>
  <c r="E636" i="7"/>
  <c r="E679" i="7"/>
  <c r="E756" i="7"/>
  <c r="E784" i="7"/>
  <c r="E621" i="7"/>
  <c r="E754" i="7"/>
  <c r="E646" i="7"/>
  <c r="E443" i="7"/>
  <c r="E824" i="7"/>
  <c r="E822" i="7"/>
  <c r="E721" i="7"/>
  <c r="E457" i="7"/>
  <c r="E843" i="7"/>
  <c r="E821" i="7"/>
  <c r="E650" i="7"/>
  <c r="E755" i="7"/>
  <c r="E780" i="7"/>
  <c r="E516" i="7"/>
  <c r="E661" i="7"/>
  <c r="E841" i="7"/>
  <c r="E808" i="7"/>
  <c r="E613" i="7"/>
  <c r="E583" i="7"/>
  <c r="E779" i="7"/>
  <c r="E391" i="7"/>
  <c r="E485" i="7"/>
  <c r="E617" i="7"/>
  <c r="E741" i="7"/>
  <c r="E802" i="7"/>
  <c r="E811" i="7"/>
  <c r="E597" i="7"/>
  <c r="E746" i="7"/>
  <c r="E560" i="7"/>
  <c r="E382" i="7"/>
  <c r="E799" i="7"/>
  <c r="E545" i="7"/>
  <c r="E818" i="7"/>
  <c r="E772" i="7"/>
  <c r="E752" i="7"/>
  <c r="E377" i="7"/>
  <c r="E482" i="7"/>
  <c r="E390" i="7"/>
  <c r="E505" i="7"/>
  <c r="E724" i="7"/>
  <c r="E885" i="7"/>
  <c r="E499" i="7"/>
  <c r="E376" i="7"/>
  <c r="E375" i="7"/>
  <c r="E798" i="7"/>
  <c r="E526" i="7"/>
  <c r="E355" i="7"/>
  <c r="E652" i="7"/>
  <c r="E631" i="7"/>
  <c r="E809" i="7"/>
  <c r="E833" i="7"/>
  <c r="E782" i="7"/>
  <c r="E711" i="7"/>
  <c r="E669" i="7"/>
  <c r="E834" i="7"/>
  <c r="E538" i="7"/>
  <c r="E478" i="7"/>
  <c r="E686" i="7"/>
  <c r="E826" i="7"/>
  <c r="E906" i="7"/>
  <c r="E466" i="7"/>
  <c r="E446" i="7"/>
  <c r="E689" i="7"/>
  <c r="E502" i="7"/>
  <c r="E564" i="7"/>
  <c r="E880" i="7"/>
  <c r="E642" i="7"/>
  <c r="E628" i="7"/>
  <c r="E792" i="7"/>
  <c r="E437" i="7"/>
  <c r="E882" i="7"/>
  <c r="E511" i="7"/>
  <c r="E1033" i="7"/>
  <c r="E1006" i="7"/>
  <c r="E1040" i="7"/>
  <c r="E942" i="7"/>
  <c r="E947" i="7"/>
  <c r="E971" i="7"/>
  <c r="E404" i="7"/>
  <c r="E968" i="7"/>
  <c r="E955" i="7"/>
  <c r="E904" i="7"/>
  <c r="E1045" i="7"/>
  <c r="E962" i="7"/>
  <c r="E1065" i="7"/>
  <c r="E970" i="7"/>
  <c r="E893" i="7"/>
  <c r="E897" i="7"/>
  <c r="E883" i="7"/>
  <c r="E878" i="7"/>
  <c r="E881" i="7"/>
  <c r="E1044" i="7"/>
  <c r="E1049" i="7"/>
  <c r="E1042" i="7"/>
  <c r="E1011" i="7"/>
  <c r="E876" i="7"/>
  <c r="E974" i="7"/>
  <c r="E888" i="7"/>
  <c r="E875" i="7"/>
  <c r="E877" i="7"/>
  <c r="E1063" i="7"/>
  <c r="E985" i="7"/>
  <c r="E1019" i="7"/>
  <c r="E1018" i="7"/>
  <c r="E989" i="7"/>
  <c r="E992" i="7"/>
  <c r="E958" i="7"/>
  <c r="E908" i="7"/>
  <c r="E922" i="7"/>
  <c r="E572" i="7"/>
  <c r="E1059" i="7"/>
  <c r="E1034" i="7"/>
  <c r="E1074" i="7"/>
  <c r="E857" i="7"/>
  <c r="E581" i="7"/>
  <c r="E484" i="7"/>
  <c r="E514" i="7"/>
  <c r="E609" i="7"/>
  <c r="E753" i="7"/>
  <c r="E500" i="7"/>
  <c r="E520" i="7"/>
  <c r="E778" i="7"/>
  <c r="E580" i="7"/>
  <c r="E649" i="7"/>
  <c r="E749" i="7"/>
  <c r="E578" i="7"/>
  <c r="E510" i="7"/>
  <c r="E576" i="7"/>
  <c r="E720" i="7"/>
  <c r="E598" i="7"/>
  <c r="E414" i="7"/>
  <c r="E801" i="7"/>
  <c r="E608" i="7"/>
  <c r="E605" i="7"/>
  <c r="E704" i="7"/>
  <c r="E640" i="7"/>
  <c r="E471" i="7"/>
  <c r="E680" i="7"/>
  <c r="E559" i="7"/>
  <c r="E837" i="7"/>
  <c r="E607" i="7"/>
  <c r="E501" i="7"/>
  <c r="E804" i="7"/>
  <c r="E476" i="7"/>
  <c r="E796" i="7"/>
  <c r="E803" i="7"/>
  <c r="E637" i="7"/>
  <c r="E831" i="7"/>
  <c r="E738" i="7"/>
  <c r="E570" i="7"/>
  <c r="E807" i="7"/>
  <c r="E611" i="7"/>
  <c r="E844" i="7"/>
  <c r="E722" i="7"/>
  <c r="E838" i="7"/>
  <c r="E871" i="7"/>
  <c r="E870" i="7"/>
  <c r="E800" i="7"/>
  <c r="E823" i="7"/>
  <c r="E692" i="7"/>
  <c r="E889" i="7"/>
  <c r="E819" i="7"/>
  <c r="E599" i="7"/>
  <c r="E571" i="7"/>
  <c r="E751" i="7"/>
  <c r="E849" i="7"/>
  <c r="E678" i="7"/>
  <c r="E518" i="7"/>
  <c r="E656" i="7"/>
  <c r="E425" i="7"/>
  <c r="E797" i="7"/>
  <c r="E573" i="7"/>
  <c r="E723" i="7"/>
  <c r="E737" i="7"/>
  <c r="E486" i="7"/>
  <c r="E855" i="7"/>
  <c r="E842" i="7"/>
  <c r="E659" i="7"/>
  <c r="E440" i="7"/>
  <c r="E846" i="7"/>
  <c r="E447" i="7"/>
  <c r="E441" i="7"/>
  <c r="E403" i="7"/>
  <c r="E431" i="7"/>
  <c r="E342" i="7"/>
  <c r="E829" i="7"/>
  <c r="E561" i="7"/>
  <c r="E830" i="7"/>
  <c r="E614" i="7"/>
  <c r="E682" i="7"/>
  <c r="E601" i="7"/>
  <c r="E892" i="7"/>
  <c r="E791" i="7"/>
  <c r="E353" i="7"/>
  <c r="E856" i="7"/>
  <c r="E671" i="7"/>
  <c r="E1083" i="7"/>
  <c r="E965" i="7"/>
  <c r="E705" i="7"/>
  <c r="E415" i="7"/>
  <c r="E1050" i="7"/>
  <c r="E1008" i="7"/>
  <c r="E954" i="7"/>
  <c r="E1066" i="7"/>
  <c r="E757" i="7"/>
  <c r="E690" i="7"/>
  <c r="E920" i="7"/>
  <c r="E1070" i="7"/>
  <c r="E936" i="7"/>
  <c r="E902" i="7"/>
  <c r="E1017" i="7"/>
  <c r="E1058" i="7"/>
  <c r="E1048" i="7"/>
  <c r="E1054" i="7"/>
  <c r="E1046" i="7"/>
  <c r="E1016" i="7"/>
  <c r="E1001" i="7"/>
  <c r="E961" i="7"/>
  <c r="E967" i="7"/>
  <c r="E931" i="7"/>
  <c r="E934" i="7"/>
  <c r="E1068" i="7"/>
  <c r="E1072" i="7"/>
  <c r="E1024" i="7"/>
  <c r="E976" i="7"/>
  <c r="E1023" i="7"/>
  <c r="E993" i="7"/>
  <c r="E997" i="7"/>
  <c r="E956" i="7"/>
  <c r="E963" i="7"/>
  <c r="E927" i="7"/>
  <c r="E930" i="7"/>
  <c r="E894" i="7"/>
  <c r="E1000" i="7"/>
  <c r="E1073" i="7"/>
  <c r="E1076" i="7"/>
  <c r="E977" i="7"/>
  <c r="E981" i="7"/>
  <c r="E966" i="7"/>
  <c r="E964" i="7"/>
  <c r="E937" i="7"/>
  <c r="E941" i="7"/>
  <c r="E905" i="7"/>
  <c r="E890" i="7"/>
  <c r="E978" i="7"/>
  <c r="E1041" i="7"/>
  <c r="E379" i="7"/>
  <c r="E533" i="7"/>
  <c r="E366" i="7"/>
  <c r="E1047" i="7"/>
  <c r="E519" i="7"/>
  <c r="E717" i="7"/>
  <c r="E787" i="7"/>
  <c r="E719" i="7"/>
  <c r="E788" i="7"/>
  <c r="E463" i="7"/>
  <c r="E781" i="7"/>
  <c r="E507" i="7"/>
  <c r="E740" i="7"/>
  <c r="E432" i="7"/>
  <c r="E506" i="7"/>
  <c r="E783" i="7"/>
  <c r="E606" i="7"/>
  <c r="E708" i="7"/>
  <c r="E462" i="7"/>
  <c r="E789" i="7"/>
  <c r="E543" i="7"/>
  <c r="E618" i="7"/>
  <c r="E588" i="7"/>
  <c r="E544" i="7"/>
  <c r="E585" i="7"/>
  <c r="E744" i="7"/>
  <c r="E340" i="7"/>
  <c r="E854" i="7"/>
  <c r="E435" i="7"/>
  <c r="E339" i="7"/>
  <c r="E610" i="7"/>
  <c r="E388" i="7"/>
  <c r="E436" i="7"/>
  <c r="E584" i="7"/>
  <c r="E383" i="7"/>
  <c r="E633" i="7"/>
  <c r="E709" i="7"/>
  <c r="E703" i="7"/>
  <c r="E632" i="7"/>
  <c r="E627" i="7"/>
  <c r="E743" i="7"/>
  <c r="E645" i="7"/>
  <c r="E542" i="7"/>
  <c r="E474" i="7"/>
  <c r="E487" i="7"/>
  <c r="E517" i="7"/>
  <c r="E470" i="7"/>
  <c r="E536" i="7"/>
  <c r="E663" i="7"/>
  <c r="E816" i="7"/>
  <c r="E662" i="7"/>
  <c r="E639" i="7"/>
  <c r="E815" i="7"/>
  <c r="E658" i="7"/>
  <c r="E452" i="7"/>
  <c r="E817" i="7"/>
  <c r="E750" i="7"/>
  <c r="E479" i="7"/>
  <c r="E451" i="7"/>
  <c r="E840" i="7"/>
  <c r="E739" i="7"/>
  <c r="E453" i="7"/>
  <c r="E710" i="7"/>
  <c r="E820" i="7"/>
  <c r="E335" i="7"/>
  <c r="E523" i="7"/>
  <c r="E623" i="7"/>
  <c r="E389" i="7"/>
  <c r="E665" i="7"/>
  <c r="E549" i="7"/>
  <c r="E393" i="7"/>
  <c r="E687" i="7"/>
  <c r="E603" i="7"/>
  <c r="E568" i="7"/>
  <c r="E442" i="7"/>
  <c r="E567" i="7"/>
  <c r="E935" i="7"/>
  <c r="E984" i="7"/>
  <c r="E1029" i="7"/>
  <c r="E983" i="7"/>
  <c r="E917" i="7"/>
  <c r="E1082" i="7"/>
  <c r="E975" i="7"/>
  <c r="E909" i="7"/>
  <c r="E1055" i="7"/>
  <c r="E1056" i="7"/>
  <c r="E915" i="7"/>
  <c r="E1020" i="7"/>
  <c r="E688" i="7"/>
  <c r="E407" i="7"/>
  <c r="E681" i="7"/>
  <c r="E691" i="7"/>
  <c r="E918" i="7"/>
  <c r="E1064" i="7"/>
  <c r="E994" i="7"/>
  <c r="E943" i="7"/>
  <c r="E987" i="7"/>
  <c r="E986" i="7"/>
  <c r="E912" i="7"/>
  <c r="E1015" i="7"/>
  <c r="E916" i="7"/>
  <c r="E901" i="7"/>
  <c r="E995" i="7"/>
  <c r="E537" i="7"/>
  <c r="E758" i="7"/>
  <c r="E1036" i="7"/>
  <c r="E418" i="7"/>
  <c r="E713" i="7"/>
  <c r="E953" i="7"/>
  <c r="E973" i="7"/>
  <c r="E884" i="7"/>
  <c r="E1028" i="7"/>
  <c r="E949" i="7"/>
  <c r="E1014" i="7"/>
  <c r="E1081" i="7"/>
  <c r="E938" i="7"/>
  <c r="E913" i="7"/>
  <c r="E1057" i="7"/>
  <c r="E929" i="7"/>
  <c r="E1003" i="7"/>
  <c r="E488" i="7"/>
  <c r="E338" i="7"/>
  <c r="E745" i="7"/>
  <c r="E693" i="7"/>
  <c r="E653" i="7"/>
  <c r="E1032" i="7"/>
  <c r="E928" i="7"/>
  <c r="E1025" i="7"/>
  <c r="E998" i="7"/>
  <c r="E982" i="7"/>
  <c r="E990" i="7"/>
  <c r="E945" i="7"/>
  <c r="E907" i="7"/>
  <c r="E1012" i="7"/>
  <c r="E776" i="7"/>
  <c r="G672" i="7"/>
  <c r="G817" i="7"/>
  <c r="G719" i="7"/>
  <c r="G635" i="7"/>
  <c r="G336" i="7"/>
  <c r="G375" i="7"/>
  <c r="G463" i="7"/>
  <c r="G634" i="7"/>
  <c r="G507" i="7"/>
  <c r="G535" i="7"/>
  <c r="G639" i="7"/>
  <c r="G663" i="7"/>
  <c r="G432" i="7"/>
  <c r="G508" i="7"/>
  <c r="G832" i="7"/>
  <c r="G451" i="7"/>
  <c r="G376" i="7"/>
  <c r="G819" i="7"/>
  <c r="G570" i="7"/>
  <c r="G624" i="7"/>
  <c r="G645" i="7"/>
  <c r="G611" i="7"/>
  <c r="G547" i="7"/>
  <c r="G525" i="7"/>
  <c r="G804" i="7"/>
  <c r="G780" i="7"/>
  <c r="G800" i="7"/>
  <c r="G853" i="7"/>
  <c r="G514" i="7"/>
  <c r="G665" i="7"/>
  <c r="G720" i="7"/>
  <c r="G543" i="7"/>
  <c r="G777" i="7"/>
  <c r="G718" i="7"/>
  <c r="G787" i="7"/>
  <c r="G820" i="7"/>
  <c r="G850" i="7"/>
  <c r="G557" i="7"/>
  <c r="G648" i="7"/>
  <c r="G619" i="7"/>
  <c r="G443" i="7"/>
  <c r="G559" i="7"/>
  <c r="G854" i="7"/>
  <c r="G838" i="7"/>
  <c r="G711" i="7"/>
  <c r="G799" i="7"/>
  <c r="G456" i="7"/>
  <c r="G841" i="7"/>
  <c r="G806" i="7"/>
  <c r="G534" i="7"/>
  <c r="G625" i="7"/>
  <c r="G382" i="7"/>
  <c r="G785" i="7"/>
  <c r="G452" i="7"/>
  <c r="G797" i="7"/>
  <c r="G389" i="7"/>
  <c r="G483" i="7"/>
  <c r="G807" i="7"/>
  <c r="G818" i="7"/>
  <c r="G831" i="7"/>
  <c r="G576" i="7"/>
  <c r="G337" i="7"/>
  <c r="G703" i="7"/>
  <c r="G340" i="7"/>
  <c r="G339" i="7"/>
  <c r="G679" i="7"/>
  <c r="G783" i="7"/>
  <c r="G795" i="7"/>
  <c r="G588" i="7"/>
  <c r="G599" i="7"/>
  <c r="G852" i="7"/>
  <c r="G754" i="7"/>
  <c r="G740" i="7"/>
  <c r="G464" i="7"/>
  <c r="G474" i="7"/>
  <c r="G609" i="7"/>
  <c r="G640" i="7"/>
  <c r="G627" i="7"/>
  <c r="G757" i="7"/>
  <c r="G950" i="7"/>
  <c r="G998" i="7"/>
  <c r="G927" i="7"/>
  <c r="G560" i="7"/>
  <c r="G418" i="7"/>
  <c r="G601" i="7"/>
  <c r="G441" i="7"/>
  <c r="G613" i="7"/>
  <c r="G745" i="7"/>
  <c r="G628" i="7"/>
  <c r="G1057" i="7"/>
  <c r="G1035" i="7"/>
  <c r="G965" i="7"/>
  <c r="G564" i="7"/>
  <c r="G792" i="7"/>
  <c r="G365" i="7"/>
  <c r="G457" i="7"/>
  <c r="G429" i="7"/>
  <c r="G584" i="7"/>
  <c r="G1017" i="7"/>
  <c r="G981" i="7"/>
  <c r="G928" i="7"/>
  <c r="G550" i="7"/>
  <c r="G444" i="7"/>
  <c r="G520" i="7"/>
  <c r="G566" i="7"/>
  <c r="G567" i="7"/>
  <c r="G756" i="7"/>
  <c r="G669" i="7"/>
  <c r="G871" i="7"/>
  <c r="G724" i="7"/>
  <c r="G935" i="7"/>
  <c r="G858" i="7"/>
  <c r="G1007" i="7"/>
  <c r="G1082" i="7"/>
  <c r="G905" i="7"/>
  <c r="G1068" i="7"/>
  <c r="G946" i="7"/>
  <c r="G962" i="7"/>
  <c r="G921" i="7"/>
  <c r="G934" i="7"/>
  <c r="G907" i="7"/>
  <c r="G906" i="7"/>
  <c r="G1065" i="7"/>
  <c r="G1019" i="7"/>
  <c r="G1023" i="7"/>
  <c r="G1011" i="7"/>
  <c r="G1083" i="7"/>
  <c r="G1006" i="7"/>
  <c r="G977" i="7"/>
  <c r="G970" i="7"/>
  <c r="G945" i="7"/>
  <c r="G938" i="7"/>
  <c r="G920" i="7"/>
  <c r="G919" i="7"/>
  <c r="G414" i="7"/>
  <c r="G1024" i="7"/>
  <c r="G973" i="7"/>
  <c r="G1058" i="7"/>
  <c r="G900" i="7"/>
  <c r="G944" i="7"/>
  <c r="G904" i="7"/>
  <c r="G917" i="7"/>
  <c r="G898" i="7"/>
  <c r="G897" i="7"/>
  <c r="G978" i="7"/>
  <c r="G902" i="7"/>
  <c r="G857" i="7"/>
  <c r="G1047" i="7"/>
  <c r="G366" i="7"/>
  <c r="G1059" i="7"/>
  <c r="G995" i="7"/>
  <c r="G379" i="7"/>
  <c r="G837" i="7"/>
  <c r="G606" i="7"/>
  <c r="G803" i="7"/>
  <c r="G743" i="7"/>
  <c r="G598" i="7"/>
  <c r="G349" i="7"/>
  <c r="G620" i="7"/>
  <c r="G384" i="7"/>
  <c r="G788" i="7"/>
  <c r="G779" i="7"/>
  <c r="G622" i="7"/>
  <c r="G840" i="7"/>
  <c r="G690" i="7"/>
  <c r="G849" i="7"/>
  <c r="G583" i="7"/>
  <c r="G470" i="7"/>
  <c r="G692" i="7"/>
  <c r="G737" i="7"/>
  <c r="G661" i="7"/>
  <c r="G523" i="7"/>
  <c r="G581" i="7"/>
  <c r="G704" i="7"/>
  <c r="G802" i="7"/>
  <c r="G755" i="7"/>
  <c r="G824" i="7"/>
  <c r="G545" i="7"/>
  <c r="G390" i="7"/>
  <c r="G778" i="7"/>
  <c r="G509" i="7"/>
  <c r="G750" i="7"/>
  <c r="G604" i="7"/>
  <c r="G621" i="7"/>
  <c r="G742" i="7"/>
  <c r="G830" i="7"/>
  <c r="G822" i="7"/>
  <c r="G485" i="7"/>
  <c r="G722" i="7"/>
  <c r="G752" i="7"/>
  <c r="G677" i="7"/>
  <c r="G486" i="7"/>
  <c r="G815" i="7"/>
  <c r="G526" i="7"/>
  <c r="G738" i="7"/>
  <c r="G662" i="7"/>
  <c r="G675" i="7"/>
  <c r="G610" i="7"/>
  <c r="G388" i="7"/>
  <c r="G825" i="7"/>
  <c r="G571" i="7"/>
  <c r="G686" i="7"/>
  <c r="G931" i="7"/>
  <c r="G689" i="7"/>
  <c r="G407" i="7"/>
  <c r="G1054" i="7"/>
  <c r="G511" i="7"/>
  <c r="G392" i="7"/>
  <c r="G573" i="7"/>
  <c r="G671" i="7"/>
  <c r="G691" i="7"/>
  <c r="G693" i="7"/>
  <c r="G758" i="7"/>
  <c r="G834" i="7"/>
  <c r="G687" i="7"/>
  <c r="G342" i="7"/>
  <c r="G431" i="7"/>
  <c r="G810" i="7"/>
  <c r="G1032" i="7"/>
  <c r="G1005" i="7"/>
  <c r="G487" i="7"/>
  <c r="G437" i="7"/>
  <c r="G442" i="7"/>
  <c r="G614" i="7"/>
  <c r="G641" i="7"/>
  <c r="G772" i="7"/>
  <c r="G1029" i="7"/>
  <c r="G983" i="7"/>
  <c r="G954" i="7"/>
  <c r="G913" i="7"/>
  <c r="G714" i="7"/>
  <c r="G603" i="7"/>
  <c r="G653" i="7"/>
  <c r="G685" i="7"/>
  <c r="G501" i="7"/>
  <c r="G378" i="7"/>
  <c r="G688" i="7"/>
  <c r="G488" i="7"/>
  <c r="G1073" i="7"/>
  <c r="G955" i="7"/>
  <c r="G911" i="7"/>
  <c r="G1033" i="7"/>
  <c r="G1069" i="7"/>
  <c r="G984" i="7"/>
  <c r="G1049" i="7"/>
  <c r="G885" i="7"/>
  <c r="G899" i="7"/>
  <c r="G889" i="7"/>
  <c r="G888" i="7"/>
  <c r="G341" i="7"/>
  <c r="G942" i="7"/>
  <c r="G1071" i="7"/>
  <c r="G1064" i="7"/>
  <c r="G975" i="7"/>
  <c r="G1063" i="7"/>
  <c r="G957" i="7"/>
  <c r="G918" i="7"/>
  <c r="G953" i="7"/>
  <c r="G912" i="7"/>
  <c r="G926" i="7"/>
  <c r="G901" i="7"/>
  <c r="G681" i="7"/>
  <c r="G510" i="7"/>
  <c r="G1061" i="7"/>
  <c r="G1037" i="7"/>
  <c r="G1040" i="7"/>
  <c r="G1046" i="7"/>
  <c r="G1039" i="7"/>
  <c r="G1009" i="7"/>
  <c r="G878" i="7"/>
  <c r="G881" i="7"/>
  <c r="G880" i="7"/>
  <c r="G879" i="7"/>
  <c r="G951" i="7"/>
  <c r="G894" i="7"/>
  <c r="G537" i="7"/>
  <c r="G1041" i="7"/>
  <c r="G1020" i="7"/>
  <c r="G845" i="7"/>
  <c r="G656" i="7"/>
  <c r="G823" i="7"/>
  <c r="G751" i="7"/>
  <c r="G633" i="7"/>
  <c r="G517" i="7"/>
  <c r="G506" i="7"/>
  <c r="G770" i="7"/>
  <c r="G473" i="7"/>
  <c r="G746" i="7"/>
  <c r="G784" i="7"/>
  <c r="G626" i="7"/>
  <c r="G1055" i="7"/>
  <c r="G465" i="7"/>
  <c r="G796" i="7"/>
  <c r="G475" i="7"/>
  <c r="G498" i="7"/>
  <c r="G632" i="7"/>
  <c r="G721" i="7"/>
  <c r="G582" i="7"/>
  <c r="G578" i="7"/>
  <c r="G882" i="7"/>
  <c r="G790" i="7"/>
  <c r="G500" i="7"/>
  <c r="G798" i="7"/>
  <c r="G855" i="7"/>
  <c r="G623" i="7"/>
  <c r="G814" i="7"/>
  <c r="G499" i="7"/>
  <c r="G816" i="7"/>
  <c r="G541" i="7"/>
  <c r="G741" i="7"/>
  <c r="G462" i="7"/>
  <c r="G453" i="7"/>
  <c r="G617" i="7"/>
  <c r="G781" i="7"/>
  <c r="G476" i="7"/>
  <c r="G839" i="7"/>
  <c r="G646" i="7"/>
  <c r="G851" i="7"/>
  <c r="G710" i="7"/>
  <c r="G338" i="7"/>
  <c r="G842" i="7"/>
  <c r="G597" i="7"/>
  <c r="G808" i="7"/>
  <c r="G649" i="7"/>
  <c r="G335" i="7"/>
  <c r="G478" i="7"/>
  <c r="G479" i="7"/>
  <c r="G404" i="7"/>
  <c r="G600" i="7"/>
  <c r="G892" i="7"/>
  <c r="G642" i="7"/>
  <c r="G713" i="7"/>
  <c r="G353" i="7"/>
  <c r="G791" i="7"/>
  <c r="G908" i="7"/>
  <c r="G502" i="7"/>
  <c r="G546" i="7"/>
  <c r="G440" i="7"/>
  <c r="G436" i="7"/>
  <c r="G846" i="7"/>
  <c r="G415" i="7"/>
  <c r="G565" i="7"/>
  <c r="G694" i="7"/>
  <c r="G1036" i="7"/>
  <c r="G999" i="7"/>
  <c r="G876" i="7"/>
  <c r="G458" i="7"/>
  <c r="G568" i="7"/>
  <c r="G448" i="7"/>
  <c r="G548" i="7"/>
  <c r="G664" i="7"/>
  <c r="G773" i="7"/>
  <c r="G678" i="7"/>
  <c r="G974" i="7"/>
  <c r="G1016" i="7"/>
  <c r="G947" i="7"/>
  <c r="G403" i="7"/>
  <c r="G705" i="7"/>
  <c r="G826" i="7"/>
  <c r="G771" i="7"/>
  <c r="G518" i="7"/>
  <c r="G856" i="7"/>
  <c r="G993" i="7"/>
  <c r="G968" i="7"/>
  <c r="G910" i="7"/>
  <c r="G430" i="7"/>
  <c r="G561" i="7"/>
  <c r="G1081" i="7"/>
  <c r="G1056" i="7"/>
  <c r="G1050" i="7"/>
  <c r="G909" i="7"/>
  <c r="G1030" i="7"/>
  <c r="G1000" i="7"/>
  <c r="G994" i="7"/>
  <c r="G967" i="7"/>
  <c r="G961" i="7"/>
  <c r="G922" i="7"/>
  <c r="G549" i="7"/>
  <c r="G980" i="7"/>
  <c r="G1045" i="7"/>
  <c r="G1044" i="7"/>
  <c r="G1014" i="7"/>
  <c r="G1008" i="7"/>
  <c r="G896" i="7"/>
  <c r="G877" i="7"/>
  <c r="G890" i="7"/>
  <c r="G884" i="7"/>
  <c r="G883" i="7"/>
  <c r="G393" i="7"/>
  <c r="G1048" i="7"/>
  <c r="G989" i="7"/>
  <c r="G992" i="7"/>
  <c r="G1022" i="7"/>
  <c r="G1001" i="7"/>
  <c r="G991" i="7"/>
  <c r="G985" i="7"/>
  <c r="G958" i="7"/>
  <c r="G933" i="7"/>
  <c r="G932" i="7"/>
  <c r="G939" i="7"/>
  <c r="G572" i="7"/>
  <c r="G987" i="7"/>
  <c r="G886" i="7"/>
  <c r="G1003" i="7"/>
  <c r="G1066" i="7"/>
  <c r="G533" i="7"/>
  <c r="G1012" i="7"/>
  <c r="G717" i="7"/>
  <c r="G542" i="7"/>
  <c r="G612" i="7"/>
  <c r="G658" i="7"/>
  <c r="G631" i="7"/>
  <c r="G605" i="7"/>
  <c r="G670" i="7"/>
  <c r="G515" i="7"/>
  <c r="G580" i="7"/>
  <c r="G454" i="7"/>
  <c r="G739" i="7"/>
  <c r="G870" i="7"/>
  <c r="G782" i="7"/>
  <c r="G637" i="7"/>
  <c r="G516" i="7"/>
  <c r="G660" i="7"/>
  <c r="G789" i="7"/>
  <c r="G482" i="7"/>
  <c r="G608" i="7"/>
  <c r="G544" i="7"/>
  <c r="G843" i="7"/>
  <c r="G472" i="7"/>
  <c r="G477" i="7"/>
  <c r="G618" i="7"/>
  <c r="G651" i="7"/>
  <c r="G749" i="7"/>
  <c r="G829" i="7"/>
  <c r="G659" i="7"/>
  <c r="G709" i="7"/>
  <c r="G650" i="7"/>
  <c r="G607" i="7"/>
  <c r="G708" i="7"/>
  <c r="G893" i="7"/>
  <c r="G712" i="7"/>
  <c r="G505" i="7"/>
  <c r="G387" i="7"/>
  <c r="G471" i="7"/>
  <c r="G809" i="7"/>
  <c r="G821" i="7"/>
  <c r="G497" i="7"/>
  <c r="G801" i="7"/>
  <c r="G753" i="7"/>
  <c r="G638" i="7"/>
  <c r="G484" i="7"/>
  <c r="G585" i="7"/>
  <c r="G466" i="7"/>
  <c r="G811" i="7"/>
  <c r="G529" i="7"/>
  <c r="G682" i="7"/>
  <c r="G383" i="7"/>
  <c r="G435" i="7"/>
  <c r="G872" i="7"/>
  <c r="G636" i="7"/>
  <c r="G425" i="7"/>
  <c r="G391" i="7"/>
  <c r="G527" i="7"/>
  <c r="G569" i="7"/>
  <c r="G536" i="7"/>
  <c r="G744" i="7"/>
  <c r="G1042" i="7"/>
  <c r="G844" i="7"/>
  <c r="G467" i="7"/>
  <c r="G668" i="7"/>
  <c r="G538" i="7"/>
  <c r="G723" i="7"/>
  <c r="G355" i="7"/>
  <c r="G446" i="7"/>
  <c r="G833" i="7"/>
  <c r="G966" i="7"/>
  <c r="G986" i="7"/>
  <c r="G929" i="7"/>
  <c r="G426" i="7"/>
  <c r="G354" i="7"/>
  <c r="G447" i="7"/>
  <c r="G680" i="7"/>
  <c r="G652" i="7"/>
  <c r="G1076" i="7"/>
  <c r="G1072" i="7"/>
  <c r="G930" i="7"/>
  <c r="G1038" i="7"/>
  <c r="G1028" i="7"/>
  <c r="G1031" i="7"/>
  <c r="G1018" i="7"/>
  <c r="G1015" i="7"/>
  <c r="G982" i="7"/>
  <c r="G976" i="7"/>
  <c r="G949" i="7"/>
  <c r="G943" i="7"/>
  <c r="G925" i="7"/>
  <c r="G924" i="7"/>
  <c r="G971" i="7"/>
  <c r="G1070" i="7"/>
  <c r="G1051" i="7"/>
  <c r="G1010" i="7"/>
  <c r="G1025" i="7"/>
  <c r="G990" i="7"/>
  <c r="G963" i="7"/>
  <c r="G956" i="7"/>
  <c r="G937" i="7"/>
  <c r="G959" i="7"/>
  <c r="G377" i="7"/>
  <c r="G891" i="7"/>
  <c r="G1062" i="7"/>
  <c r="G1002" i="7"/>
  <c r="G997" i="7"/>
  <c r="G964" i="7"/>
  <c r="G969" i="7"/>
  <c r="G941" i="7"/>
  <c r="G936" i="7"/>
  <c r="G916" i="7"/>
  <c r="G915" i="7"/>
  <c r="G875" i="7"/>
  <c r="G1074" i="7"/>
  <c r="G1026" i="7"/>
  <c r="G1052" i="7"/>
  <c r="G1034" i="7"/>
  <c r="G519" i="7"/>
  <c r="G1084" i="7"/>
  <c r="I640" i="7"/>
  <c r="I718" i="7"/>
  <c r="I618" i="7"/>
  <c r="I752" i="7"/>
  <c r="I339" i="7"/>
  <c r="I464" i="7"/>
  <c r="I642" i="7"/>
  <c r="I856" i="7"/>
  <c r="I544" i="7"/>
  <c r="I475" i="7"/>
  <c r="I340" i="7"/>
  <c r="I739" i="7"/>
  <c r="I757" i="7"/>
  <c r="I785" i="7"/>
  <c r="I721" i="7"/>
  <c r="I710" i="7"/>
  <c r="I755" i="7"/>
  <c r="I625" i="7"/>
  <c r="I377" i="7"/>
  <c r="I570" i="7"/>
  <c r="I535" i="7"/>
  <c r="I815" i="7"/>
  <c r="I454" i="7"/>
  <c r="I637" i="7"/>
  <c r="I505" i="7"/>
  <c r="I754" i="7"/>
  <c r="I516" i="7"/>
  <c r="I808" i="7"/>
  <c r="I622" i="7"/>
  <c r="I576" i="7"/>
  <c r="I571" i="7"/>
  <c r="I393" i="7"/>
  <c r="I536" i="7"/>
  <c r="I451" i="7"/>
  <c r="I338" i="7"/>
  <c r="I499" i="7"/>
  <c r="I778" i="7"/>
  <c r="I477" i="7"/>
  <c r="I839" i="7"/>
  <c r="I648" i="7"/>
  <c r="I474" i="7"/>
  <c r="I807" i="7"/>
  <c r="I742" i="7"/>
  <c r="I690" i="7"/>
  <c r="I566" i="7"/>
  <c r="I567" i="7"/>
  <c r="I523" i="7"/>
  <c r="I772" i="7"/>
  <c r="I389" i="7"/>
  <c r="I588" i="7"/>
  <c r="I632" i="7"/>
  <c r="I824" i="7"/>
  <c r="I483" i="7"/>
  <c r="I619" i="7"/>
  <c r="I443" i="7"/>
  <c r="I543" i="7"/>
  <c r="I337" i="7"/>
  <c r="I872" i="7"/>
  <c r="I546" i="7"/>
  <c r="I564" i="7"/>
  <c r="I627" i="7"/>
  <c r="I802" i="7"/>
  <c r="I852" i="7"/>
  <c r="I678" i="7"/>
  <c r="I585" i="7"/>
  <c r="I691" i="7"/>
  <c r="I466" i="7"/>
  <c r="I488" i="7"/>
  <c r="I549" i="7"/>
  <c r="I771" i="7"/>
  <c r="I792" i="7"/>
  <c r="I614" i="7"/>
  <c r="I560" i="7"/>
  <c r="I568" i="7"/>
  <c r="I704" i="7"/>
  <c r="I758" i="7"/>
  <c r="I811" i="7"/>
  <c r="I826" i="7"/>
  <c r="I668" i="7"/>
  <c r="I479" i="7"/>
  <c r="I898" i="7"/>
  <c r="I943" i="7"/>
  <c r="I1055" i="7"/>
  <c r="I1049" i="7"/>
  <c r="I880" i="7"/>
  <c r="I936" i="7"/>
  <c r="I885" i="7"/>
  <c r="I1064" i="7"/>
  <c r="I876" i="7"/>
  <c r="I1037" i="7"/>
  <c r="I883" i="7"/>
  <c r="I1050" i="7"/>
  <c r="I1076" i="7"/>
  <c r="I1018" i="7"/>
  <c r="I958" i="7"/>
  <c r="I966" i="7"/>
  <c r="I1035" i="7"/>
  <c r="I1058" i="7"/>
  <c r="I1051" i="7"/>
  <c r="I893" i="7"/>
  <c r="I925" i="7"/>
  <c r="I920" i="7"/>
  <c r="I910" i="7"/>
  <c r="I897" i="7"/>
  <c r="I882" i="7"/>
  <c r="I881" i="7"/>
  <c r="I1074" i="7"/>
  <c r="I1065" i="7"/>
  <c r="I964" i="7"/>
  <c r="I962" i="7"/>
  <c r="I950" i="7"/>
  <c r="I934" i="7"/>
  <c r="I924" i="7"/>
  <c r="I896" i="7"/>
  <c r="I959" i="7"/>
  <c r="I1045" i="7"/>
  <c r="I1039" i="7"/>
  <c r="I1042" i="7"/>
  <c r="I1007" i="7"/>
  <c r="I889" i="7"/>
  <c r="I884" i="7"/>
  <c r="I892" i="7"/>
  <c r="I879" i="7"/>
  <c r="I1012" i="7"/>
  <c r="I533" i="7"/>
  <c r="I519" i="7"/>
  <c r="I1034" i="7"/>
  <c r="I1059" i="7"/>
  <c r="I837" i="7"/>
  <c r="I652" i="7"/>
  <c r="I724" i="7"/>
  <c r="I797" i="7"/>
  <c r="I624" i="7"/>
  <c r="I452" i="7"/>
  <c r="I708" i="7"/>
  <c r="I818" i="7"/>
  <c r="I388" i="7"/>
  <c r="I788" i="7"/>
  <c r="I753" i="7"/>
  <c r="I447" i="7"/>
  <c r="I376" i="7"/>
  <c r="I514" i="7"/>
  <c r="I599" i="7"/>
  <c r="I722" i="7"/>
  <c r="I849" i="7"/>
  <c r="I806" i="7"/>
  <c r="I509" i="7"/>
  <c r="I656" i="7"/>
  <c r="I498" i="7"/>
  <c r="I659" i="7"/>
  <c r="I703" i="7"/>
  <c r="I473" i="7"/>
  <c r="I604" i="7"/>
  <c r="I482" i="7"/>
  <c r="I349" i="7"/>
  <c r="I650" i="7"/>
  <c r="I649" i="7"/>
  <c r="I580" i="7"/>
  <c r="I581" i="7"/>
  <c r="I442" i="7"/>
  <c r="I529" i="7"/>
  <c r="I669" i="7"/>
  <c r="I382" i="7"/>
  <c r="I854" i="7"/>
  <c r="I781" i="7"/>
  <c r="I436" i="7"/>
  <c r="I801" i="7"/>
  <c r="I534" i="7"/>
  <c r="I750" i="7"/>
  <c r="I598" i="7"/>
  <c r="I557" i="7"/>
  <c r="I542" i="7"/>
  <c r="I646" i="7"/>
  <c r="I446" i="7"/>
  <c r="I502" i="7"/>
  <c r="I548" i="7"/>
  <c r="I342" i="7"/>
  <c r="I688" i="7"/>
  <c r="I526" i="7"/>
  <c r="I507" i="7"/>
  <c r="I404" i="7"/>
  <c r="I844" i="7"/>
  <c r="I390" i="7"/>
  <c r="I790" i="7"/>
  <c r="I840" i="7"/>
  <c r="I612" i="7"/>
  <c r="I829" i="7"/>
  <c r="I738" i="7"/>
  <c r="I609" i="7"/>
  <c r="I634" i="7"/>
  <c r="I463" i="7"/>
  <c r="I484" i="7"/>
  <c r="I520" i="7"/>
  <c r="I435" i="7"/>
  <c r="I723" i="7"/>
  <c r="I355" i="7"/>
  <c r="I693" i="7"/>
  <c r="I677" i="7"/>
  <c r="I770" i="7"/>
  <c r="I712" i="7"/>
  <c r="I527" i="7"/>
  <c r="I418" i="7"/>
  <c r="I444" i="7"/>
  <c r="I694" i="7"/>
  <c r="I538" i="7"/>
  <c r="I689" i="7"/>
  <c r="I478" i="7"/>
  <c r="I525" i="7"/>
  <c r="I682" i="7"/>
  <c r="I584" i="7"/>
  <c r="I687" i="7"/>
  <c r="I680" i="7"/>
  <c r="I834" i="7"/>
  <c r="I1029" i="7"/>
  <c r="I905" i="7"/>
  <c r="I977" i="7"/>
  <c r="I902" i="7"/>
  <c r="I976" i="7"/>
  <c r="I1073" i="7"/>
  <c r="I955" i="7"/>
  <c r="I1056" i="7"/>
  <c r="I919" i="7"/>
  <c r="I379" i="7"/>
  <c r="I1068" i="7"/>
  <c r="I1048" i="7"/>
  <c r="I1002" i="7"/>
  <c r="I1038" i="7"/>
  <c r="I984" i="7"/>
  <c r="I1008" i="7"/>
  <c r="I1033" i="7"/>
  <c r="I1016" i="7"/>
  <c r="I1032" i="7"/>
  <c r="I998" i="7"/>
  <c r="I1010" i="7"/>
  <c r="I974" i="7"/>
  <c r="I875" i="7"/>
  <c r="I935" i="7"/>
  <c r="I1044" i="7"/>
  <c r="I1046" i="7"/>
  <c r="I1011" i="7"/>
  <c r="I907" i="7"/>
  <c r="I901" i="7"/>
  <c r="I888" i="7"/>
  <c r="I878" i="7"/>
  <c r="I877" i="7"/>
  <c r="I1047" i="7"/>
  <c r="I933" i="7"/>
  <c r="I981" i="7"/>
  <c r="I1024" i="7"/>
  <c r="I1023" i="7"/>
  <c r="I989" i="7"/>
  <c r="I1001" i="7"/>
  <c r="I965" i="7"/>
  <c r="I963" i="7"/>
  <c r="I927" i="7"/>
  <c r="I926" i="7"/>
  <c r="I951" i="7"/>
  <c r="I537" i="7"/>
  <c r="I886" i="7"/>
  <c r="I1041" i="7"/>
  <c r="I572" i="7"/>
  <c r="I366" i="7"/>
  <c r="I672" i="7"/>
  <c r="I800" i="7"/>
  <c r="I487" i="7"/>
  <c r="I809" i="7"/>
  <c r="I645" i="7"/>
  <c r="I830" i="7"/>
  <c r="I719" i="7"/>
  <c r="I601" i="7"/>
  <c r="I497" i="7"/>
  <c r="I559" i="7"/>
  <c r="I709" i="7"/>
  <c r="I853" i="7"/>
  <c r="I789" i="7"/>
  <c r="I831" i="7"/>
  <c r="I746" i="7"/>
  <c r="I825" i="7"/>
  <c r="I472" i="7"/>
  <c r="I658" i="7"/>
  <c r="I547" i="7"/>
  <c r="I541" i="7"/>
  <c r="I858" i="7"/>
  <c r="I822" i="7"/>
  <c r="I569" i="7"/>
  <c r="I751" i="7"/>
  <c r="I711" i="7"/>
  <c r="I782" i="7"/>
  <c r="I465" i="7"/>
  <c r="I471" i="7"/>
  <c r="I851" i="7"/>
  <c r="I841" i="7"/>
  <c r="I662" i="7"/>
  <c r="I506" i="7"/>
  <c r="I787" i="7"/>
  <c r="I432" i="7"/>
  <c r="I641" i="7"/>
  <c r="I365" i="7"/>
  <c r="I664" i="7"/>
  <c r="I871" i="7"/>
  <c r="I783" i="7"/>
  <c r="I670" i="7"/>
  <c r="I686" i="7"/>
  <c r="I407" i="7"/>
  <c r="I870" i="7"/>
  <c r="I838" i="7"/>
  <c r="I606" i="7"/>
  <c r="I816" i="7"/>
  <c r="I375" i="7"/>
  <c r="I639" i="7"/>
  <c r="I720" i="7"/>
  <c r="I675" i="7"/>
  <c r="I437" i="7"/>
  <c r="I685" i="7"/>
  <c r="I403" i="7"/>
  <c r="I804" i="7"/>
  <c r="I467" i="7"/>
  <c r="I665" i="7"/>
  <c r="I855" i="7"/>
  <c r="I821" i="7"/>
  <c r="I583" i="7"/>
  <c r="I796" i="7"/>
  <c r="I500" i="7"/>
  <c r="I638" i="7"/>
  <c r="I660" i="7"/>
  <c r="I517" i="7"/>
  <c r="I623" i="7"/>
  <c r="I817" i="7"/>
  <c r="I819" i="7"/>
  <c r="I795" i="7"/>
  <c r="I636" i="7"/>
  <c r="I671" i="7"/>
  <c r="I784" i="7"/>
  <c r="I780" i="7"/>
  <c r="I515" i="7"/>
  <c r="I621" i="7"/>
  <c r="I457" i="7"/>
  <c r="I354" i="7"/>
  <c r="I545" i="7"/>
  <c r="I384" i="7"/>
  <c r="I582" i="7"/>
  <c r="I578" i="7"/>
  <c r="I603" i="7"/>
  <c r="I626" i="7"/>
  <c r="I850" i="7"/>
  <c r="I810" i="7"/>
  <c r="I628" i="7"/>
  <c r="I561" i="7"/>
  <c r="I415" i="7"/>
  <c r="I705" i="7"/>
  <c r="I904" i="7"/>
  <c r="I1031" i="7"/>
  <c r="I1019" i="7"/>
  <c r="I1036" i="7"/>
  <c r="I1025" i="7"/>
  <c r="I1015" i="7"/>
  <c r="I961" i="7"/>
  <c r="I986" i="7"/>
  <c r="I957" i="7"/>
  <c r="I967" i="7"/>
  <c r="I932" i="7"/>
  <c r="I899" i="7"/>
  <c r="I911" i="7"/>
  <c r="I975" i="7"/>
  <c r="I894" i="7"/>
  <c r="I1054" i="7"/>
  <c r="I916" i="7"/>
  <c r="I946" i="7"/>
  <c r="I942" i="7"/>
  <c r="I915" i="7"/>
  <c r="I890" i="7"/>
  <c r="I857" i="7"/>
  <c r="I1003" i="7"/>
  <c r="I635" i="7"/>
  <c r="I607" i="7"/>
  <c r="I777" i="7"/>
  <c r="I605" i="7"/>
  <c r="I779" i="7"/>
  <c r="I681" i="7"/>
  <c r="I679" i="7"/>
  <c r="I798" i="7"/>
  <c r="I462" i="7"/>
  <c r="I426" i="7"/>
  <c r="I740" i="7"/>
  <c r="I663" i="7"/>
  <c r="I741" i="7"/>
  <c r="I453" i="7"/>
  <c r="I651" i="7"/>
  <c r="I799" i="7"/>
  <c r="I717" i="7"/>
  <c r="I620" i="7"/>
  <c r="I392" i="7"/>
  <c r="I803" i="7"/>
  <c r="I429" i="7"/>
  <c r="I335" i="7"/>
  <c r="I631" i="7"/>
  <c r="I511" i="7"/>
  <c r="I440" i="7"/>
  <c r="I745" i="7"/>
  <c r="I600" i="7"/>
  <c r="I391" i="7"/>
  <c r="I550" i="7"/>
  <c r="I999" i="7"/>
  <c r="I941" i="7"/>
  <c r="I1005" i="7"/>
  <c r="I929" i="7"/>
  <c r="I1072" i="7"/>
  <c r="I982" i="7"/>
  <c r="I921" i="7"/>
  <c r="I937" i="7"/>
  <c r="I968" i="7"/>
  <c r="I980" i="7"/>
  <c r="I956" i="7"/>
  <c r="I918" i="7"/>
  <c r="I987" i="7"/>
  <c r="I1028" i="7"/>
  <c r="I1006" i="7"/>
  <c r="I930" i="7"/>
  <c r="I1084" i="7"/>
  <c r="I1082" i="7"/>
  <c r="I1081" i="7"/>
  <c r="I973" i="7"/>
  <c r="I947" i="7"/>
  <c r="I909" i="7"/>
  <c r="I922" i="7"/>
  <c r="I995" i="7"/>
  <c r="I518" i="7"/>
  <c r="I458" i="7"/>
  <c r="I692" i="7"/>
  <c r="I378" i="7"/>
  <c r="I387" i="7"/>
  <c r="I383" i="7"/>
  <c r="I470" i="7"/>
  <c r="I508" i="7"/>
  <c r="I846" i="7"/>
  <c r="I814" i="7"/>
  <c r="I737" i="7"/>
  <c r="I597" i="7"/>
  <c r="I653" i="7"/>
  <c r="I336" i="7"/>
  <c r="I617" i="7"/>
  <c r="I820" i="7"/>
  <c r="I608" i="7"/>
  <c r="I611" i="7"/>
  <c r="I353" i="7"/>
  <c r="I430" i="7"/>
  <c r="I510" i="7"/>
  <c r="I661" i="7"/>
  <c r="I573" i="7"/>
  <c r="I613" i="7"/>
  <c r="I565" i="7"/>
  <c r="I833" i="7"/>
  <c r="I414" i="7"/>
  <c r="I714" i="7"/>
  <c r="I425" i="7"/>
  <c r="I1063" i="7"/>
  <c r="I944" i="7"/>
  <c r="I1030" i="7"/>
  <c r="I1017" i="7"/>
  <c r="I990" i="7"/>
  <c r="I971" i="7"/>
  <c r="I1071" i="7"/>
  <c r="I1070" i="7"/>
  <c r="I970" i="7"/>
  <c r="I938" i="7"/>
  <c r="I900" i="7"/>
  <c r="I939" i="7"/>
  <c r="I994" i="7"/>
  <c r="I949" i="7"/>
  <c r="I912" i="7"/>
  <c r="I845" i="7"/>
  <c r="I1062" i="7"/>
  <c r="I1061" i="7"/>
  <c r="I953" i="7"/>
  <c r="I928" i="7"/>
  <c r="I891" i="7"/>
  <c r="I978" i="7"/>
  <c r="I1066" i="7"/>
  <c r="I486" i="7"/>
  <c r="I843" i="7"/>
  <c r="I713" i="7"/>
  <c r="I749" i="7"/>
  <c r="I743" i="7"/>
  <c r="I485" i="7"/>
  <c r="I610" i="7"/>
  <c r="I448" i="7"/>
  <c r="I441" i="7"/>
  <c r="I633" i="7"/>
  <c r="I756" i="7"/>
  <c r="I476" i="7"/>
  <c r="I842" i="7"/>
  <c r="I823" i="7"/>
  <c r="I791" i="7"/>
  <c r="I456" i="7"/>
  <c r="I832" i="7"/>
  <c r="I341" i="7"/>
  <c r="I744" i="7"/>
  <c r="I501" i="7"/>
  <c r="I773" i="7"/>
  <c r="I431" i="7"/>
  <c r="I1057" i="7"/>
  <c r="I906" i="7"/>
  <c r="I1083" i="7"/>
  <c r="I1000" i="7"/>
  <c r="I1022" i="7"/>
  <c r="I997" i="7"/>
  <c r="I1069" i="7"/>
  <c r="I1009" i="7"/>
  <c r="I992" i="7"/>
  <c r="I954" i="7"/>
  <c r="I917" i="7"/>
  <c r="I1014" i="7"/>
  <c r="I993" i="7"/>
  <c r="I969" i="7"/>
  <c r="I931" i="7"/>
  <c r="I913" i="7"/>
  <c r="I1040" i="7"/>
  <c r="I991" i="7"/>
  <c r="I985" i="7"/>
  <c r="I983" i="7"/>
  <c r="I945" i="7"/>
  <c r="I908" i="7"/>
  <c r="I1026" i="7"/>
  <c r="I1052" i="7"/>
  <c r="I1020" i="7"/>
  <c r="G776" i="7"/>
  <c r="I776" i="7"/>
  <c r="H507" i="7"/>
  <c r="H825" i="7"/>
  <c r="H744" i="7"/>
  <c r="H788" i="7"/>
  <c r="H620" i="7"/>
  <c r="H796" i="7"/>
  <c r="H588" i="7"/>
  <c r="H717" i="7"/>
  <c r="H622" i="7"/>
  <c r="H806" i="7"/>
  <c r="H418" i="7"/>
  <c r="H384" i="7"/>
  <c r="H576" i="7"/>
  <c r="H338" i="7"/>
  <c r="H432" i="7"/>
  <c r="H645" i="7"/>
  <c r="H557" i="7"/>
  <c r="H638" i="7"/>
  <c r="H741" i="7"/>
  <c r="H391" i="7"/>
  <c r="H841" i="7"/>
  <c r="H335" i="7"/>
  <c r="H751" i="7"/>
  <c r="H710" i="7"/>
  <c r="H851" i="7"/>
  <c r="H429" i="7"/>
  <c r="H452" i="7"/>
  <c r="H571" i="7"/>
  <c r="H849" i="7"/>
  <c r="H772" i="7"/>
  <c r="H547" i="7"/>
  <c r="H656" i="7"/>
  <c r="H453" i="7"/>
  <c r="H832" i="7"/>
  <c r="H483" i="7"/>
  <c r="H440" i="7"/>
  <c r="H804" i="7"/>
  <c r="H688" i="7"/>
  <c r="H415" i="7"/>
  <c r="H414" i="7"/>
  <c r="H808" i="7"/>
  <c r="H618" i="7"/>
  <c r="H559" i="7"/>
  <c r="H705" i="7"/>
  <c r="H511" i="7"/>
  <c r="H340" i="7"/>
  <c r="H790" i="7"/>
  <c r="H795" i="7"/>
  <c r="H632" i="7"/>
  <c r="H443" i="7"/>
  <c r="H599" i="7"/>
  <c r="H821" i="7"/>
  <c r="H662" i="7"/>
  <c r="H714" i="7"/>
  <c r="H811" i="7"/>
  <c r="H431" i="7"/>
  <c r="H723" i="7"/>
  <c r="H561" i="7"/>
  <c r="H798" i="7"/>
  <c r="H843" i="7"/>
  <c r="H712" i="7"/>
  <c r="H854" i="7"/>
  <c r="H514" i="7"/>
  <c r="H781" i="7"/>
  <c r="H535" i="7"/>
  <c r="H708" i="7"/>
  <c r="H435" i="7"/>
  <c r="H407" i="7"/>
  <c r="H488" i="7"/>
  <c r="H773" i="7"/>
  <c r="H600" i="7"/>
  <c r="H846" i="7"/>
  <c r="H663" i="7"/>
  <c r="H471" i="7"/>
  <c r="H626" i="7"/>
  <c r="H853" i="7"/>
  <c r="H692" i="7"/>
  <c r="H799" i="7"/>
  <c r="H682" i="7"/>
  <c r="H341" i="7"/>
  <c r="H430" i="7"/>
  <c r="H872" i="7"/>
  <c r="H479" i="7"/>
  <c r="H665" i="7"/>
  <c r="H826" i="7"/>
  <c r="H694" i="7"/>
  <c r="H1045" i="7"/>
  <c r="H1023" i="7"/>
  <c r="H977" i="7"/>
  <c r="H930" i="7"/>
  <c r="H1032" i="7"/>
  <c r="H1065" i="7"/>
  <c r="H1014" i="7"/>
  <c r="H968" i="7"/>
  <c r="H919" i="7"/>
  <c r="H572" i="7"/>
  <c r="H1064" i="7"/>
  <c r="H1031" i="7"/>
  <c r="H1054" i="7"/>
  <c r="H1057" i="7"/>
  <c r="H951" i="7"/>
  <c r="H1028" i="7"/>
  <c r="H1068" i="7"/>
  <c r="H986" i="7"/>
  <c r="H934" i="7"/>
  <c r="H882" i="7"/>
  <c r="H921" i="7"/>
  <c r="H956" i="7"/>
  <c r="H933" i="7"/>
  <c r="H920" i="7"/>
  <c r="H897" i="7"/>
  <c r="H896" i="7"/>
  <c r="H971" i="7"/>
  <c r="H1026" i="7"/>
  <c r="H1029" i="7"/>
  <c r="H672" i="7"/>
  <c r="H382" i="7"/>
  <c r="H580" i="7"/>
  <c r="H738" i="7"/>
  <c r="H536" i="7"/>
  <c r="H842" i="7"/>
  <c r="H721" i="7"/>
  <c r="H855" i="7"/>
  <c r="H720" i="7"/>
  <c r="H454" i="7"/>
  <c r="H754" i="7"/>
  <c r="H403" i="7"/>
  <c r="H640" i="7"/>
  <c r="H342" i="7"/>
  <c r="H573" i="7"/>
  <c r="H659" i="7"/>
  <c r="H598" i="7"/>
  <c r="H784" i="7"/>
  <c r="H484" i="7"/>
  <c r="H833" i="7"/>
  <c r="H538" i="7"/>
  <c r="H546" i="7"/>
  <c r="H831" i="7"/>
  <c r="H597" i="7"/>
  <c r="H389" i="7"/>
  <c r="H567" i="7"/>
  <c r="H466" i="7"/>
  <c r="H560" i="7"/>
  <c r="H824" i="7"/>
  <c r="H544" i="7"/>
  <c r="H390" i="7"/>
  <c r="H756" i="7"/>
  <c r="H617" i="7"/>
  <c r="H820" i="7"/>
  <c r="H755" i="7"/>
  <c r="H646" i="7"/>
  <c r="H658" i="7"/>
  <c r="H498" i="7"/>
  <c r="H628" i="7"/>
  <c r="H585" i="7"/>
  <c r="H426" i="7"/>
  <c r="H783" i="7"/>
  <c r="H639" i="7"/>
  <c r="H797" i="7"/>
  <c r="H750" i="7"/>
  <c r="H679" i="7"/>
  <c r="H823" i="7"/>
  <c r="H840" i="7"/>
  <c r="H437" i="7"/>
  <c r="H834" i="7"/>
  <c r="H566" i="7"/>
  <c r="H377" i="7"/>
  <c r="H635" i="7"/>
  <c r="H777" i="7"/>
  <c r="H839" i="7"/>
  <c r="H609" i="7"/>
  <c r="H819" i="7"/>
  <c r="H753" i="7"/>
  <c r="H502" i="7"/>
  <c r="H436" i="7"/>
  <c r="H653" i="7"/>
  <c r="H758" i="7"/>
  <c r="H995" i="7"/>
  <c r="H1017" i="7"/>
  <c r="H1051" i="7"/>
  <c r="H936" i="7"/>
  <c r="H993" i="7"/>
  <c r="H1010" i="7"/>
  <c r="H950" i="7"/>
  <c r="H992" i="7"/>
  <c r="H945" i="7"/>
  <c r="H1035" i="7"/>
  <c r="H941" i="7"/>
  <c r="H900" i="7"/>
  <c r="H877" i="7"/>
  <c r="H890" i="7"/>
  <c r="H1038" i="7"/>
  <c r="H893" i="7"/>
  <c r="H1015" i="7"/>
  <c r="H1033" i="7"/>
  <c r="H981" i="7"/>
  <c r="H974" i="7"/>
  <c r="H898" i="7"/>
  <c r="H932" i="7"/>
  <c r="H1041" i="7"/>
  <c r="H904" i="7"/>
  <c r="H947" i="7"/>
  <c r="H889" i="7"/>
  <c r="H876" i="7"/>
  <c r="H875" i="7"/>
  <c r="H1034" i="7"/>
  <c r="H519" i="7"/>
  <c r="H954" i="7"/>
  <c r="H1008" i="7"/>
  <c r="H885" i="7"/>
  <c r="H938" i="7"/>
  <c r="H916" i="7"/>
  <c r="H888" i="7"/>
  <c r="H902" i="7"/>
  <c r="H1074" i="7"/>
  <c r="H1084" i="7"/>
  <c r="H474" i="7"/>
  <c r="H801" i="7"/>
  <c r="H624" i="7"/>
  <c r="H677" i="7"/>
  <c r="H605" i="7"/>
  <c r="H636" i="7"/>
  <c r="H463" i="7"/>
  <c r="H550" i="7"/>
  <c r="H584" i="7"/>
  <c r="H652" i="7"/>
  <c r="H606" i="7"/>
  <c r="H336" i="7"/>
  <c r="H703" i="7"/>
  <c r="H745" i="7"/>
  <c r="H569" i="7"/>
  <c r="H844" i="7"/>
  <c r="H612" i="7"/>
  <c r="H570" i="7"/>
  <c r="H607" i="7"/>
  <c r="H487" i="7"/>
  <c r="H375" i="7"/>
  <c r="H871" i="7"/>
  <c r="H448" i="7"/>
  <c r="H685" i="7"/>
  <c r="H800" i="7"/>
  <c r="H456" i="7"/>
  <c r="H499" i="7"/>
  <c r="H515" i="7"/>
  <c r="H680" i="7"/>
  <c r="H458" i="7"/>
  <c r="H724" i="7"/>
  <c r="H619" i="7"/>
  <c r="H623" i="7"/>
  <c r="H752" i="7"/>
  <c r="H778" i="7"/>
  <c r="H392" i="7"/>
  <c r="H709" i="7"/>
  <c r="H472" i="7"/>
  <c r="H739" i="7"/>
  <c r="H581" i="7"/>
  <c r="H822" i="7"/>
  <c r="H742" i="7"/>
  <c r="H404" i="7"/>
  <c r="H353" i="7"/>
  <c r="H442" i="7"/>
  <c r="H529" i="7"/>
  <c r="H856" i="7"/>
  <c r="H850" i="7"/>
  <c r="H634" i="7"/>
  <c r="H545" i="7"/>
  <c r="H660" i="7"/>
  <c r="H743" i="7"/>
  <c r="H582" i="7"/>
  <c r="H691" i="7"/>
  <c r="H791" i="7"/>
  <c r="H664" i="7"/>
  <c r="H603" i="7"/>
  <c r="H476" i="7"/>
  <c r="H830" i="7"/>
  <c r="H837" i="7"/>
  <c r="H376" i="7"/>
  <c r="H737" i="7"/>
  <c r="H462" i="7"/>
  <c r="H365" i="7"/>
  <c r="H518" i="7"/>
  <c r="H565" i="7"/>
  <c r="H627" i="7"/>
  <c r="H670" i="7"/>
  <c r="H1044" i="7"/>
  <c r="H1070" i="7"/>
  <c r="H1073" i="7"/>
  <c r="H1001" i="7"/>
  <c r="H1058" i="7"/>
  <c r="H982" i="7"/>
  <c r="H918" i="7"/>
  <c r="H1046" i="7"/>
  <c r="H1005" i="7"/>
  <c r="H997" i="7"/>
  <c r="H965" i="7"/>
  <c r="H1069" i="7"/>
  <c r="H1037" i="7"/>
  <c r="H1049" i="7"/>
  <c r="H883" i="7"/>
  <c r="H1009" i="7"/>
  <c r="H967" i="7"/>
  <c r="H917" i="7"/>
  <c r="H964" i="7"/>
  <c r="H915" i="7"/>
  <c r="H878" i="7"/>
  <c r="H366" i="7"/>
  <c r="H1048" i="7"/>
  <c r="H994" i="7"/>
  <c r="H1002" i="7"/>
  <c r="H899" i="7"/>
  <c r="H928" i="7"/>
  <c r="H927" i="7"/>
  <c r="H922" i="7"/>
  <c r="H1059" i="7"/>
  <c r="H1066" i="7"/>
  <c r="H1050" i="7"/>
  <c r="H1024" i="7"/>
  <c r="H990" i="7"/>
  <c r="H998" i="7"/>
  <c r="H881" i="7"/>
  <c r="H880" i="7"/>
  <c r="H913" i="7"/>
  <c r="H886" i="7"/>
  <c r="H621" i="7"/>
  <c r="H814" i="7"/>
  <c r="H648" i="7"/>
  <c r="H757" i="7"/>
  <c r="H870" i="7"/>
  <c r="H541" i="7"/>
  <c r="H534" i="7"/>
  <c r="H451" i="7"/>
  <c r="H690" i="7"/>
  <c r="H789" i="7"/>
  <c r="H650" i="7"/>
  <c r="H564" i="7"/>
  <c r="H601" i="7"/>
  <c r="H525" i="7"/>
  <c r="H704" i="7"/>
  <c r="H633" i="7"/>
  <c r="H465" i="7"/>
  <c r="H583" i="7"/>
  <c r="H651" i="7"/>
  <c r="H771" i="7"/>
  <c r="H641" i="7"/>
  <c r="H719" i="7"/>
  <c r="H542" i="7"/>
  <c r="H387" i="7"/>
  <c r="H642" i="7"/>
  <c r="H527" i="7"/>
  <c r="H457" i="7"/>
  <c r="H669" i="7"/>
  <c r="H817" i="7"/>
  <c r="H497" i="7"/>
  <c r="H687" i="7"/>
  <c r="H508" i="7"/>
  <c r="H505" i="7"/>
  <c r="H816" i="7"/>
  <c r="H809" i="7"/>
  <c r="H852" i="7"/>
  <c r="H520" i="7"/>
  <c r="H378" i="7"/>
  <c r="H792" i="7"/>
  <c r="H613" i="7"/>
  <c r="H689" i="7"/>
  <c r="H803" i="7"/>
  <c r="H802" i="7"/>
  <c r="H477" i="7"/>
  <c r="H611" i="7"/>
  <c r="H818" i="7"/>
  <c r="H388" i="7"/>
  <c r="H649" i="7"/>
  <c r="H548" i="7"/>
  <c r="H510" i="7"/>
  <c r="H467" i="7"/>
  <c r="H661" i="7"/>
  <c r="H464" i="7"/>
  <c r="H475" i="7"/>
  <c r="H523" i="7"/>
  <c r="H355" i="7"/>
  <c r="H713" i="7"/>
  <c r="H568" i="7"/>
  <c r="H810" i="7"/>
  <c r="H441" i="7"/>
  <c r="H983" i="7"/>
  <c r="H1063" i="7"/>
  <c r="H1019" i="7"/>
  <c r="H1016" i="7"/>
  <c r="H1018" i="7"/>
  <c r="H1061" i="7"/>
  <c r="H1040" i="7"/>
  <c r="H1039" i="7"/>
  <c r="H975" i="7"/>
  <c r="H939" i="7"/>
  <c r="H963" i="7"/>
  <c r="H926" i="7"/>
  <c r="H1036" i="7"/>
  <c r="H929" i="7"/>
  <c r="H1081" i="7"/>
  <c r="H1025" i="7"/>
  <c r="H1003" i="7"/>
  <c r="H1022" i="7"/>
  <c r="H961" i="7"/>
  <c r="H1007" i="7"/>
  <c r="H970" i="7"/>
  <c r="H946" i="7"/>
  <c r="H879" i="7"/>
  <c r="H894" i="7"/>
  <c r="H1020" i="7"/>
  <c r="H1000" i="7"/>
  <c r="H976" i="7"/>
  <c r="H984" i="7"/>
  <c r="H966" i="7"/>
  <c r="H942" i="7"/>
  <c r="H910" i="7"/>
  <c r="H909" i="7"/>
  <c r="H978" i="7"/>
  <c r="H845" i="7"/>
  <c r="H1082" i="7"/>
  <c r="H991" i="7"/>
  <c r="H969" i="7"/>
  <c r="H980" i="7"/>
  <c r="H962" i="7"/>
  <c r="H955" i="7"/>
  <c r="H924" i="7"/>
  <c r="H905" i="7"/>
  <c r="H1047" i="7"/>
  <c r="H537" i="7"/>
  <c r="H470" i="7"/>
  <c r="H604" i="7"/>
  <c r="H675" i="7"/>
  <c r="H718" i="7"/>
  <c r="H578" i="7"/>
  <c r="H444" i="7"/>
  <c r="H838" i="7"/>
  <c r="H625" i="7"/>
  <c r="H526" i="7"/>
  <c r="H349" i="7"/>
  <c r="H506" i="7"/>
  <c r="H785" i="7"/>
  <c r="H517" i="7"/>
  <c r="H478" i="7"/>
  <c r="H608" i="7"/>
  <c r="H516" i="7"/>
  <c r="H779" i="7"/>
  <c r="H749" i="7"/>
  <c r="H671" i="7"/>
  <c r="H614" i="7"/>
  <c r="H393" i="7"/>
  <c r="H383" i="7"/>
  <c r="H782" i="7"/>
  <c r="H787" i="7"/>
  <c r="H693" i="7"/>
  <c r="H780" i="7"/>
  <c r="H858" i="7"/>
  <c r="H722" i="7"/>
  <c r="H482" i="7"/>
  <c r="H446" i="7"/>
  <c r="H711" i="7"/>
  <c r="H509" i="7"/>
  <c r="H337" i="7"/>
  <c r="H486" i="7"/>
  <c r="H815" i="7"/>
  <c r="H678" i="7"/>
  <c r="H501" i="7"/>
  <c r="H770" i="7"/>
  <c r="H485" i="7"/>
  <c r="H631" i="7"/>
  <c r="H807" i="7"/>
  <c r="H473" i="7"/>
  <c r="H500" i="7"/>
  <c r="H354" i="7"/>
  <c r="H686" i="7"/>
  <c r="H549" i="7"/>
  <c r="H746" i="7"/>
  <c r="H829" i="7"/>
  <c r="H740" i="7"/>
  <c r="H339" i="7"/>
  <c r="H543" i="7"/>
  <c r="H637" i="7"/>
  <c r="H610" i="7"/>
  <c r="H681" i="7"/>
  <c r="H425" i="7"/>
  <c r="H668" i="7"/>
  <c r="H447" i="7"/>
  <c r="H1076" i="7"/>
  <c r="H985" i="7"/>
  <c r="H1083" i="7"/>
  <c r="H912" i="7"/>
  <c r="H1011" i="7"/>
  <c r="H1055" i="7"/>
  <c r="H957" i="7"/>
  <c r="H857" i="7"/>
  <c r="H1056" i="7"/>
  <c r="H1072" i="7"/>
  <c r="H908" i="7"/>
  <c r="H901" i="7"/>
  <c r="H1042" i="7"/>
  <c r="H907" i="7"/>
  <c r="H1030" i="7"/>
  <c r="H1071" i="7"/>
  <c r="H999" i="7"/>
  <c r="H989" i="7"/>
  <c r="H953" i="7"/>
  <c r="H884" i="7"/>
  <c r="H931" i="7"/>
  <c r="H959" i="7"/>
  <c r="H1052" i="7"/>
  <c r="H943" i="7"/>
  <c r="H958" i="7"/>
  <c r="H973" i="7"/>
  <c r="H925" i="7"/>
  <c r="H911" i="7"/>
  <c r="H892" i="7"/>
  <c r="H891" i="7"/>
  <c r="H987" i="7"/>
  <c r="H379" i="7"/>
  <c r="H1006" i="7"/>
  <c r="H1062" i="7"/>
  <c r="H935" i="7"/>
  <c r="H949" i="7"/>
  <c r="H944" i="7"/>
  <c r="H937" i="7"/>
  <c r="H906" i="7"/>
  <c r="H1012" i="7"/>
  <c r="H533" i="7"/>
  <c r="F672" i="7"/>
  <c r="F830" i="7"/>
  <c r="F801" i="7"/>
  <c r="F806" i="7"/>
  <c r="F752" i="7"/>
  <c r="F649" i="7"/>
  <c r="F620" i="7"/>
  <c r="F375" i="7"/>
  <c r="F682" i="7"/>
  <c r="F740" i="7"/>
  <c r="F658" i="7"/>
  <c r="F718" i="7"/>
  <c r="F578" i="7"/>
  <c r="F739" i="7"/>
  <c r="F675" i="7"/>
  <c r="F387" i="7"/>
  <c r="F646" i="7"/>
  <c r="F516" i="7"/>
  <c r="F624" i="7"/>
  <c r="F746" i="7"/>
  <c r="F772" i="7"/>
  <c r="F499" i="7"/>
  <c r="F663" i="7"/>
  <c r="F670" i="7"/>
  <c r="F384" i="7"/>
  <c r="F456" i="7"/>
  <c r="F656" i="7"/>
  <c r="F839" i="7"/>
  <c r="F611" i="7"/>
  <c r="F475" i="7"/>
  <c r="F737" i="7"/>
  <c r="F719" i="7"/>
  <c r="F823" i="7"/>
  <c r="F609" i="7"/>
  <c r="F636" i="7"/>
  <c r="F518" i="7"/>
  <c r="F709" i="7"/>
  <c r="F388" i="7"/>
  <c r="F851" i="7"/>
  <c r="F570" i="7"/>
  <c r="F482" i="7"/>
  <c r="F338" i="7"/>
  <c r="F807" i="7"/>
  <c r="F390" i="7"/>
  <c r="F814" i="7"/>
  <c r="F808" i="7"/>
  <c r="F581" i="7"/>
  <c r="F598" i="7"/>
  <c r="F621" i="7"/>
  <c r="F336" i="7"/>
  <c r="F713" i="7"/>
  <c r="F802" i="7"/>
  <c r="F816" i="7"/>
  <c r="F465" i="7"/>
  <c r="F749" i="7"/>
  <c r="F780" i="7"/>
  <c r="F690" i="7"/>
  <c r="F467" i="7"/>
  <c r="F818" i="7"/>
  <c r="F680" i="7"/>
  <c r="F573" i="7"/>
  <c r="F755" i="7"/>
  <c r="F791" i="7"/>
  <c r="F568" i="7"/>
  <c r="F626" i="7"/>
  <c r="F407" i="7"/>
  <c r="F777" i="7"/>
  <c r="F564" i="7"/>
  <c r="F342" i="7"/>
  <c r="F377" i="7"/>
  <c r="F834" i="7"/>
  <c r="F487" i="7"/>
  <c r="F1039" i="7"/>
  <c r="F909" i="7"/>
  <c r="F832" i="7"/>
  <c r="F538" i="7"/>
  <c r="F614" i="7"/>
  <c r="F1033" i="7"/>
  <c r="F1015" i="7"/>
  <c r="F446" i="7"/>
  <c r="F565" i="7"/>
  <c r="F341" i="7"/>
  <c r="F664" i="7"/>
  <c r="F440" i="7"/>
  <c r="F685" i="7"/>
  <c r="F584" i="7"/>
  <c r="F945" i="7"/>
  <c r="F997" i="7"/>
  <c r="F921" i="7"/>
  <c r="F569" i="7"/>
  <c r="F549" i="7"/>
  <c r="F1019" i="7"/>
  <c r="F1032" i="7"/>
  <c r="F1038" i="7"/>
  <c r="F1036" i="7"/>
  <c r="F1010" i="7"/>
  <c r="F879" i="7"/>
  <c r="F875" i="7"/>
  <c r="F934" i="7"/>
  <c r="F441" i="7"/>
  <c r="F969" i="7"/>
  <c r="F906" i="7"/>
  <c r="F883" i="7"/>
  <c r="F999" i="7"/>
  <c r="F980" i="7"/>
  <c r="F1014" i="7"/>
  <c r="F991" i="7"/>
  <c r="F955" i="7"/>
  <c r="F898" i="7"/>
  <c r="F987" i="7"/>
  <c r="F665" i="7"/>
  <c r="F1058" i="7"/>
  <c r="F994" i="7"/>
  <c r="F1061" i="7"/>
  <c r="F947" i="7"/>
  <c r="F1064" i="7"/>
  <c r="F958" i="7"/>
  <c r="F890" i="7"/>
  <c r="F1012" i="7"/>
  <c r="F995" i="7"/>
  <c r="F635" i="7"/>
  <c r="F606" i="7"/>
  <c r="F541" i="7"/>
  <c r="F505" i="7"/>
  <c r="F831" i="7"/>
  <c r="F599" i="7"/>
  <c r="F721" i="7"/>
  <c r="F477" i="7"/>
  <c r="F854" i="7"/>
  <c r="F486" i="7"/>
  <c r="F585" i="7"/>
  <c r="F453" i="7"/>
  <c r="F779" i="7"/>
  <c r="F743" i="7"/>
  <c r="F840" i="7"/>
  <c r="F463" i="7"/>
  <c r="F604" i="7"/>
  <c r="F650" i="7"/>
  <c r="F788" i="7"/>
  <c r="F523" i="7"/>
  <c r="F846" i="7"/>
  <c r="F617" i="7"/>
  <c r="F660" i="7"/>
  <c r="F500" i="7"/>
  <c r="F451" i="7"/>
  <c r="F633" i="7"/>
  <c r="F850" i="7"/>
  <c r="F837" i="7"/>
  <c r="F429" i="7"/>
  <c r="F711" i="7"/>
  <c r="F637" i="7"/>
  <c r="F829" i="7"/>
  <c r="F607" i="7"/>
  <c r="F789" i="7"/>
  <c r="F662" i="7"/>
  <c r="F833" i="7"/>
  <c r="F628" i="7"/>
  <c r="F452" i="7"/>
  <c r="F817" i="7"/>
  <c r="F485" i="7"/>
  <c r="F800" i="7"/>
  <c r="F795" i="7"/>
  <c r="F442" i="7"/>
  <c r="F855" i="7"/>
  <c r="F631" i="7"/>
  <c r="F497" i="7"/>
  <c r="F610" i="7"/>
  <c r="F625" i="7"/>
  <c r="F349" i="7"/>
  <c r="F545" i="7"/>
  <c r="F583" i="7"/>
  <c r="F783" i="7"/>
  <c r="F824" i="7"/>
  <c r="F426" i="7"/>
  <c r="F798" i="7"/>
  <c r="F738" i="7"/>
  <c r="F797" i="7"/>
  <c r="F415" i="7"/>
  <c r="F641" i="7"/>
  <c r="F511" i="7"/>
  <c r="F1068" i="7"/>
  <c r="F404" i="7"/>
  <c r="F559" i="7"/>
  <c r="F904" i="7"/>
  <c r="F447" i="7"/>
  <c r="F714" i="7"/>
  <c r="F758" i="7"/>
  <c r="F981" i="7"/>
  <c r="F804" i="7"/>
  <c r="F418" i="7"/>
  <c r="F510" i="7"/>
  <c r="F546" i="7"/>
  <c r="F810" i="7"/>
  <c r="F613" i="7"/>
  <c r="F975" i="7"/>
  <c r="F905" i="7"/>
  <c r="F431" i="7"/>
  <c r="F353" i="7"/>
  <c r="F414" i="7"/>
  <c r="F355" i="7"/>
  <c r="F642" i="7"/>
  <c r="F1037" i="7"/>
  <c r="F897" i="7"/>
  <c r="F392" i="7"/>
  <c r="F871" i="7"/>
  <c r="F756" i="7"/>
  <c r="F844" i="7"/>
  <c r="F691" i="7"/>
  <c r="F1018" i="7"/>
  <c r="F1000" i="7"/>
  <c r="F925" i="7"/>
  <c r="F1071" i="7"/>
  <c r="F919" i="7"/>
  <c r="F1008" i="7"/>
  <c r="F998" i="7"/>
  <c r="F1017" i="7"/>
  <c r="F992" i="7"/>
  <c r="F953" i="7"/>
  <c r="F917" i="7"/>
  <c r="F920" i="7"/>
  <c r="F978" i="7"/>
  <c r="F571" i="7"/>
  <c r="F1063" i="7"/>
  <c r="F1030" i="7"/>
  <c r="F1065" i="7"/>
  <c r="F965" i="7"/>
  <c r="F1069" i="7"/>
  <c r="F993" i="7"/>
  <c r="F967" i="7"/>
  <c r="F927" i="7"/>
  <c r="F877" i="7"/>
  <c r="F880" i="7"/>
  <c r="F536" i="7"/>
  <c r="F686" i="7"/>
  <c r="F938" i="7"/>
  <c r="F1042" i="7"/>
  <c r="F1057" i="7"/>
  <c r="F1045" i="7"/>
  <c r="F915" i="7"/>
  <c r="F910" i="7"/>
  <c r="F882" i="7"/>
  <c r="F878" i="7"/>
  <c r="F876" i="7"/>
  <c r="F1066" i="7"/>
  <c r="F1003" i="7"/>
  <c r="F815" i="7"/>
  <c r="F580" i="7"/>
  <c r="F639" i="7"/>
  <c r="F436" i="7"/>
  <c r="F622" i="7"/>
  <c r="F378" i="7"/>
  <c r="F782" i="7"/>
  <c r="F507" i="7"/>
  <c r="F790" i="7"/>
  <c r="F340" i="7"/>
  <c r="F852" i="7"/>
  <c r="F529" i="7"/>
  <c r="F838" i="7"/>
  <c r="F796" i="7"/>
  <c r="F535" i="7"/>
  <c r="F582" i="7"/>
  <c r="F605" i="7"/>
  <c r="F506" i="7"/>
  <c r="F648" i="7"/>
  <c r="F464" i="7"/>
  <c r="F652" i="7"/>
  <c r="F653" i="7"/>
  <c r="F841" i="7"/>
  <c r="F661" i="7"/>
  <c r="F781" i="7"/>
  <c r="F618" i="7"/>
  <c r="F608" i="7"/>
  <c r="F692" i="7"/>
  <c r="F849" i="7"/>
  <c r="F787" i="7"/>
  <c r="F337" i="7"/>
  <c r="F741" i="7"/>
  <c r="F432" i="7"/>
  <c r="F757" i="7"/>
  <c r="F803" i="7"/>
  <c r="F612" i="7"/>
  <c r="F542" i="7"/>
  <c r="F799" i="7"/>
  <c r="F498" i="7"/>
  <c r="F638" i="7"/>
  <c r="F651" i="7"/>
  <c r="F483" i="7"/>
  <c r="F462" i="7"/>
  <c r="F753" i="7"/>
  <c r="F754" i="7"/>
  <c r="F488" i="7"/>
  <c r="F820" i="7"/>
  <c r="F476" i="7"/>
  <c r="F517" i="7"/>
  <c r="F335" i="7"/>
  <c r="F454" i="7"/>
  <c r="F853" i="7"/>
  <c r="F710" i="7"/>
  <c r="F951" i="7"/>
  <c r="F623" i="7"/>
  <c r="F365" i="7"/>
  <c r="F1011" i="7"/>
  <c r="F784" i="7"/>
  <c r="F383" i="7"/>
  <c r="F632" i="7"/>
  <c r="F822" i="7"/>
  <c r="F354" i="7"/>
  <c r="F704" i="7"/>
  <c r="F982" i="7"/>
  <c r="F688" i="7"/>
  <c r="F478" i="7"/>
  <c r="F689" i="7"/>
  <c r="F550" i="7"/>
  <c r="F792" i="7"/>
  <c r="F560" i="7"/>
  <c r="F448" i="7"/>
  <c r="F1056" i="7"/>
  <c r="F937" i="7"/>
  <c r="F885" i="7"/>
  <c r="F437" i="7"/>
  <c r="F525" i="7"/>
  <c r="F744" i="7"/>
  <c r="F627" i="7"/>
  <c r="F561" i="7"/>
  <c r="F391" i="7"/>
  <c r="F668" i="7"/>
  <c r="F1082" i="7"/>
  <c r="F892" i="7"/>
  <c r="F724" i="7"/>
  <c r="F825" i="7"/>
  <c r="F671" i="7"/>
  <c r="F693" i="7"/>
  <c r="F1025" i="7"/>
  <c r="F1007" i="7"/>
  <c r="F964" i="7"/>
  <c r="F959" i="7"/>
  <c r="F479" i="7"/>
  <c r="F985" i="7"/>
  <c r="F1070" i="7"/>
  <c r="F970" i="7"/>
  <c r="F1073" i="7"/>
  <c r="F1002" i="7"/>
  <c r="F961" i="7"/>
  <c r="F977" i="7"/>
  <c r="F942" i="7"/>
  <c r="F931" i="7"/>
  <c r="F899" i="7"/>
  <c r="F971" i="7"/>
  <c r="F501" i="7"/>
  <c r="F976" i="7"/>
  <c r="F1048" i="7"/>
  <c r="F1046" i="7"/>
  <c r="F888" i="7"/>
  <c r="F1050" i="7"/>
  <c r="F901" i="7"/>
  <c r="F932" i="7"/>
  <c r="F928" i="7"/>
  <c r="F891" i="7"/>
  <c r="F930" i="7"/>
  <c r="F933" i="7"/>
  <c r="F902" i="7"/>
  <c r="F520" i="7"/>
  <c r="F1044" i="7"/>
  <c r="F1035" i="7"/>
  <c r="F974" i="7"/>
  <c r="F1023" i="7"/>
  <c r="F1024" i="7"/>
  <c r="F1001" i="7"/>
  <c r="F1005" i="7"/>
  <c r="F968" i="7"/>
  <c r="F962" i="7"/>
  <c r="F926" i="7"/>
  <c r="F929" i="7"/>
  <c r="F939" i="7"/>
  <c r="F1059" i="7"/>
  <c r="F379" i="7"/>
  <c r="F886" i="7"/>
  <c r="F572" i="7"/>
  <c r="F857" i="7"/>
  <c r="F1026" i="7"/>
  <c r="F984" i="7"/>
  <c r="F918" i="7"/>
  <c r="F922" i="7"/>
  <c r="F1074" i="7"/>
  <c r="F845" i="7"/>
  <c r="F1041" i="7"/>
  <c r="F457" i="7"/>
  <c r="F809" i="7"/>
  <c r="F720" i="7"/>
  <c r="F526" i="7"/>
  <c r="F722" i="7"/>
  <c r="F677" i="7"/>
  <c r="F515" i="7"/>
  <c r="F472" i="7"/>
  <c r="F1083" i="7"/>
  <c r="F588" i="7"/>
  <c r="F508" i="7"/>
  <c r="F458" i="7"/>
  <c r="F703" i="7"/>
  <c r="F600" i="7"/>
  <c r="F751" i="7"/>
  <c r="F543" i="7"/>
  <c r="F742" i="7"/>
  <c r="F597" i="7"/>
  <c r="F557" i="7"/>
  <c r="F634" i="7"/>
  <c r="F576" i="7"/>
  <c r="F870" i="7"/>
  <c r="F785" i="7"/>
  <c r="F393" i="7"/>
  <c r="F750" i="7"/>
  <c r="F640" i="7"/>
  <c r="F708" i="7"/>
  <c r="F842" i="7"/>
  <c r="F619" i="7"/>
  <c r="F376" i="7"/>
  <c r="F819" i="7"/>
  <c r="F484" i="7"/>
  <c r="F474" i="7"/>
  <c r="F534" i="7"/>
  <c r="F872" i="7"/>
  <c r="F712" i="7"/>
  <c r="F509" i="7"/>
  <c r="F547" i="7"/>
  <c r="F843" i="7"/>
  <c r="F470" i="7"/>
  <c r="F473" i="7"/>
  <c r="F502" i="7"/>
  <c r="F946" i="7"/>
  <c r="F389" i="7"/>
  <c r="F778" i="7"/>
  <c r="F443" i="7"/>
  <c r="F514" i="7"/>
  <c r="F717" i="7"/>
  <c r="F645" i="7"/>
  <c r="F811" i="7"/>
  <c r="F544" i="7"/>
  <c r="F745" i="7"/>
  <c r="F821" i="7"/>
  <c r="F770" i="7"/>
  <c r="F659" i="7"/>
  <c r="F339" i="7"/>
  <c r="F679" i="7"/>
  <c r="F382" i="7"/>
  <c r="F430" i="7"/>
  <c r="F471" i="7"/>
  <c r="F694" i="7"/>
  <c r="F773" i="7"/>
  <c r="F681" i="7"/>
  <c r="F858" i="7"/>
  <c r="F907" i="7"/>
  <c r="F527" i="7"/>
  <c r="F435" i="7"/>
  <c r="F936" i="7"/>
  <c r="F949" i="7"/>
  <c r="F889" i="7"/>
  <c r="F403" i="7"/>
  <c r="F705" i="7"/>
  <c r="F603" i="7"/>
  <c r="F687" i="7"/>
  <c r="F723" i="7"/>
  <c r="F601" i="7"/>
  <c r="F826" i="7"/>
  <c r="F566" i="7"/>
  <c r="F466" i="7"/>
  <c r="F1076" i="7"/>
  <c r="F1040" i="7"/>
  <c r="F678" i="7"/>
  <c r="F567" i="7"/>
  <c r="F425" i="7"/>
  <c r="F669" i="7"/>
  <c r="F548" i="7"/>
  <c r="F1016" i="7"/>
  <c r="F1022" i="7"/>
  <c r="F957" i="7"/>
  <c r="F856" i="7"/>
  <c r="F1072" i="7"/>
  <c r="F1049" i="7"/>
  <c r="F1051" i="7"/>
  <c r="F924" i="7"/>
  <c r="F1055" i="7"/>
  <c r="F954" i="7"/>
  <c r="F935" i="7"/>
  <c r="F941" i="7"/>
  <c r="F900" i="7"/>
  <c r="F896" i="7"/>
  <c r="F881" i="7"/>
  <c r="F884" i="7"/>
  <c r="F771" i="7"/>
  <c r="F1062" i="7"/>
  <c r="F1054" i="7"/>
  <c r="F989" i="7"/>
  <c r="F1028" i="7"/>
  <c r="F1029" i="7"/>
  <c r="F1031" i="7"/>
  <c r="F1006" i="7"/>
  <c r="F1009" i="7"/>
  <c r="F973" i="7"/>
  <c r="F966" i="7"/>
  <c r="F912" i="7"/>
  <c r="F916" i="7"/>
  <c r="F894" i="7"/>
  <c r="F444" i="7"/>
  <c r="F956" i="7"/>
  <c r="F1081" i="7"/>
  <c r="F990" i="7"/>
  <c r="F963" i="7"/>
  <c r="F983" i="7"/>
  <c r="F986" i="7"/>
  <c r="F950" i="7"/>
  <c r="F944" i="7"/>
  <c r="F908" i="7"/>
  <c r="F911" i="7"/>
  <c r="F913" i="7"/>
  <c r="F1047" i="7"/>
  <c r="F519" i="7"/>
  <c r="F537" i="7"/>
  <c r="F366" i="7"/>
  <c r="F1034" i="7"/>
  <c r="F533" i="7"/>
  <c r="F943" i="7"/>
  <c r="F893" i="7"/>
  <c r="F1084" i="7"/>
  <c r="F1052" i="7"/>
  <c r="F1020" i="7"/>
  <c r="F776" i="7"/>
  <c r="G461" i="7"/>
  <c r="H776" i="7"/>
  <c r="E461" i="7"/>
  <c r="G187" i="7"/>
  <c r="G151" i="64"/>
  <c r="G653" i="18"/>
  <c r="F461" i="7"/>
  <c r="G676" i="7"/>
  <c r="AB175" i="4" s="1"/>
  <c r="G175" i="4" s="1"/>
  <c r="I554" i="7"/>
  <c r="AD156" i="4" s="1"/>
  <c r="I156" i="4" s="1"/>
  <c r="G554" i="7"/>
  <c r="AB156" i="4" s="1"/>
  <c r="G156" i="4" s="1"/>
  <c r="I461" i="7"/>
  <c r="E676" i="7"/>
  <c r="Z175" i="4" s="1"/>
  <c r="E175" i="4" s="1"/>
  <c r="E554" i="7"/>
  <c r="Z156" i="4" s="1"/>
  <c r="E156" i="4" s="1"/>
  <c r="H461" i="7"/>
  <c r="F182" i="7"/>
  <c r="F151" i="64"/>
  <c r="F653" i="18"/>
  <c r="F187" i="7"/>
  <c r="H554" i="7"/>
  <c r="AC156" i="4" s="1"/>
  <c r="H156" i="4" s="1"/>
  <c r="F676" i="7"/>
  <c r="AA175" i="4" s="1"/>
  <c r="F175" i="4" s="1"/>
  <c r="F554" i="7"/>
  <c r="AA156" i="4" s="1"/>
  <c r="F156" i="4" s="1"/>
  <c r="I676" i="7"/>
  <c r="AD175" i="4" s="1"/>
  <c r="I175" i="4" s="1"/>
  <c r="I182" i="7"/>
  <c r="I653" i="18"/>
  <c r="I187" i="7"/>
  <c r="I151" i="64"/>
  <c r="H182" i="7"/>
  <c r="H187" i="7"/>
  <c r="H151" i="64"/>
  <c r="H653" i="18"/>
  <c r="G182" i="7"/>
  <c r="H676" i="7"/>
  <c r="AC175" i="4" s="1"/>
  <c r="H175" i="4" s="1"/>
  <c r="G786" i="7"/>
  <c r="AB195" i="4" s="1"/>
  <c r="G195" i="4" s="1"/>
  <c r="I786" i="7"/>
  <c r="AD195" i="4" s="1"/>
  <c r="I195" i="4" s="1"/>
  <c r="G594" i="7"/>
  <c r="AB14" i="4" s="1"/>
  <c r="G14" i="4" s="1"/>
  <c r="E786" i="7"/>
  <c r="Z195" i="4" s="1"/>
  <c r="E195" i="4" s="1"/>
  <c r="E596" i="7"/>
  <c r="E594" i="7"/>
  <c r="Z14" i="4" s="1"/>
  <c r="E14" i="4" s="1"/>
  <c r="G592" i="7"/>
  <c r="AB56" i="4" s="1"/>
  <c r="G56" i="4" s="1"/>
  <c r="F591" i="7"/>
  <c r="AA5" i="4" s="1"/>
  <c r="F5" i="4" s="1"/>
  <c r="F805" i="7"/>
  <c r="AA196" i="4" s="1"/>
  <c r="F196" i="4" s="1"/>
  <c r="I595" i="7"/>
  <c r="G593" i="7"/>
  <c r="AB82" i="4" s="1"/>
  <c r="G82" i="4" s="1"/>
  <c r="H594" i="7"/>
  <c r="AC14" i="4" s="1"/>
  <c r="H14" i="4" s="1"/>
  <c r="F594" i="7"/>
  <c r="AA14" i="4" s="1"/>
  <c r="F14" i="4" s="1"/>
  <c r="H786" i="7"/>
  <c r="AC195" i="4" s="1"/>
  <c r="H195" i="4" s="1"/>
  <c r="E579" i="7"/>
  <c r="Z42" i="4" s="1"/>
  <c r="E42" i="4" s="1"/>
  <c r="E805" i="7"/>
  <c r="Z196" i="4" s="1"/>
  <c r="E196" i="4" s="1"/>
  <c r="F786" i="7"/>
  <c r="AA195" i="4" s="1"/>
  <c r="F195" i="4" s="1"/>
  <c r="I805" i="7"/>
  <c r="AD196" i="4" s="1"/>
  <c r="I196" i="4" s="1"/>
  <c r="E370" i="7"/>
  <c r="I592" i="7"/>
  <c r="AD56" i="4" s="1"/>
  <c r="I56" i="4" s="1"/>
  <c r="G591" i="7"/>
  <c r="AB5" i="4" s="1"/>
  <c r="G5" i="4" s="1"/>
  <c r="G116" i="19" s="1"/>
  <c r="E372" i="7"/>
  <c r="G805" i="7"/>
  <c r="AB196" i="4" s="1"/>
  <c r="G196" i="4" s="1"/>
  <c r="E371" i="7"/>
  <c r="F370" i="7"/>
  <c r="G371" i="7"/>
  <c r="H595" i="7"/>
  <c r="H372" i="7"/>
  <c r="F592" i="7"/>
  <c r="AA56" i="4" s="1"/>
  <c r="F56" i="4" s="1"/>
  <c r="E595" i="7"/>
  <c r="G595" i="7"/>
  <c r="G372" i="7"/>
  <c r="H371" i="7"/>
  <c r="I579" i="7"/>
  <c r="AD42" i="4" s="1"/>
  <c r="I42" i="4" s="1"/>
  <c r="F579" i="7"/>
  <c r="AA42" i="4" s="1"/>
  <c r="F42" i="4" s="1"/>
  <c r="I370" i="7"/>
  <c r="F371" i="7"/>
  <c r="H805" i="7"/>
  <c r="AC196" i="4" s="1"/>
  <c r="H196" i="4" s="1"/>
  <c r="I371" i="7"/>
  <c r="I594" i="7"/>
  <c r="AD14" i="4" s="1"/>
  <c r="I14" i="4" s="1"/>
  <c r="G579" i="7"/>
  <c r="AB42" i="4" s="1"/>
  <c r="G42" i="4" s="1"/>
  <c r="H592" i="7"/>
  <c r="AC56" i="4" s="1"/>
  <c r="H56" i="4" s="1"/>
  <c r="H579" i="7"/>
  <c r="AC42" i="4" s="1"/>
  <c r="H42" i="4" s="1"/>
  <c r="I372" i="7"/>
  <c r="G370" i="7"/>
  <c r="H370" i="7"/>
  <c r="I591" i="7"/>
  <c r="AD5" i="4" s="1"/>
  <c r="I5" i="4" s="1"/>
  <c r="F372" i="7"/>
  <c r="F593" i="7"/>
  <c r="AA82" i="4" s="1"/>
  <c r="F82" i="4" s="1"/>
  <c r="I593" i="7"/>
  <c r="AD82" i="4" s="1"/>
  <c r="I82" i="4" s="1"/>
  <c r="G181" i="7"/>
  <c r="H590" i="7"/>
  <c r="E182" i="7"/>
  <c r="E187" i="7"/>
  <c r="D176" i="1"/>
  <c r="K93" i="55"/>
  <c r="F181" i="7"/>
  <c r="G596" i="7"/>
  <c r="I596" i="7"/>
  <c r="H589" i="7"/>
  <c r="E351" i="7"/>
  <c r="G350" i="7"/>
  <c r="H528" i="7"/>
  <c r="H331" i="7"/>
  <c r="E528" i="7"/>
  <c r="F590" i="7"/>
  <c r="E590" i="7"/>
  <c r="F595" i="7"/>
  <c r="I181" i="7"/>
  <c r="H591" i="7"/>
  <c r="AC5" i="4" s="1"/>
  <c r="H5" i="4" s="1"/>
  <c r="H181" i="7"/>
  <c r="G590" i="7"/>
  <c r="I590" i="7"/>
  <c r="H596" i="7"/>
  <c r="H350" i="7"/>
  <c r="E352" i="7"/>
  <c r="E181" i="7"/>
  <c r="E350" i="7"/>
  <c r="I589" i="7"/>
  <c r="G589" i="7"/>
  <c r="H593" i="7"/>
  <c r="AC82" i="4" s="1"/>
  <c r="H82" i="4" s="1"/>
  <c r="H455" i="7"/>
  <c r="AC211" i="4" s="1"/>
  <c r="H211" i="4" s="1"/>
  <c r="H51" i="6" s="1"/>
  <c r="I455" i="7"/>
  <c r="AD211" i="4" s="1"/>
  <c r="I211" i="4" s="1"/>
  <c r="I51" i="6" s="1"/>
  <c r="I350" i="7"/>
  <c r="H352" i="7"/>
  <c r="G352" i="7"/>
  <c r="F589" i="7"/>
  <c r="G330" i="7"/>
  <c r="I352" i="7"/>
  <c r="E331" i="7"/>
  <c r="F331" i="7"/>
  <c r="F350" i="7"/>
  <c r="I528" i="7"/>
  <c r="E589" i="7"/>
  <c r="G22" i="14"/>
  <c r="E195" i="11"/>
  <c r="M20" i="38"/>
  <c r="E251" i="64"/>
  <c r="F670" i="6"/>
  <c r="F269" i="64" s="1"/>
  <c r="H670" i="6"/>
  <c r="H697" i="6" s="1"/>
  <c r="I670" i="6"/>
  <c r="I872" i="18" s="1"/>
  <c r="G670" i="6"/>
  <c r="G835" i="18" s="1"/>
  <c r="F259" i="64"/>
  <c r="F862" i="18"/>
  <c r="F750" i="6"/>
  <c r="G87" i="18"/>
  <c r="E334" i="7"/>
  <c r="H334" i="7"/>
  <c r="G334" i="7"/>
  <c r="D163" i="1"/>
  <c r="K97" i="55"/>
  <c r="H256" i="64"/>
  <c r="H706" i="6"/>
  <c r="H859" i="18"/>
  <c r="F528" i="7"/>
  <c r="G701" i="7"/>
  <c r="AB37" i="4" s="1"/>
  <c r="G37" i="4" s="1"/>
  <c r="F701" i="7"/>
  <c r="AA37" i="4" s="1"/>
  <c r="F37" i="4" s="1"/>
  <c r="F702" i="7"/>
  <c r="AA38" i="4" s="1"/>
  <c r="F38" i="4" s="1"/>
  <c r="H702" i="7"/>
  <c r="AC38" i="4" s="1"/>
  <c r="H38" i="4" s="1"/>
  <c r="E256" i="64"/>
  <c r="E706" i="6"/>
  <c r="G18" i="15" s="1"/>
  <c r="E859" i="18"/>
  <c r="D93" i="1"/>
  <c r="P10" i="14"/>
  <c r="H259" i="64"/>
  <c r="H750" i="6"/>
  <c r="H862" i="18"/>
  <c r="H186" i="7"/>
  <c r="H185" i="7"/>
  <c r="F179" i="7"/>
  <c r="E179" i="7"/>
  <c r="E653" i="18"/>
  <c r="I185" i="7"/>
  <c r="G185" i="7"/>
  <c r="E185" i="7"/>
  <c r="F184" i="7"/>
  <c r="E359" i="7"/>
  <c r="G360" i="7"/>
  <c r="G359" i="7"/>
  <c r="H358" i="7"/>
  <c r="E358" i="7"/>
  <c r="H532" i="7"/>
  <c r="F386" i="7"/>
  <c r="G188" i="7"/>
  <c r="AB159" i="4" s="1"/>
  <c r="G159" i="4" s="1"/>
  <c r="I386" i="7"/>
  <c r="F647" i="7"/>
  <c r="F334" i="7"/>
  <c r="E373" i="7"/>
  <c r="I532" i="7"/>
  <c r="I577" i="7"/>
  <c r="F385" i="7"/>
  <c r="I556" i="7"/>
  <c r="I361" i="7"/>
  <c r="F596" i="7"/>
  <c r="F330" i="7"/>
  <c r="H330" i="7"/>
  <c r="G455" i="7"/>
  <c r="AB211" i="4" s="1"/>
  <c r="G211" i="4" s="1"/>
  <c r="G51" i="6" s="1"/>
  <c r="G331" i="7"/>
  <c r="E670" i="6"/>
  <c r="E697" i="6" s="1"/>
  <c r="E592" i="7"/>
  <c r="Z56" i="4" s="1"/>
  <c r="E56" i="4" s="1"/>
  <c r="M179" i="8" s="1"/>
  <c r="E591" i="7"/>
  <c r="Z5" i="4" s="1"/>
  <c r="E5" i="4" s="1"/>
  <c r="M89" i="8" s="1"/>
  <c r="M90" i="8" s="1"/>
  <c r="M91" i="8" s="1"/>
  <c r="E186" i="7"/>
  <c r="E854" i="18"/>
  <c r="E363" i="7"/>
  <c r="H681" i="6"/>
  <c r="H683" i="6" s="1"/>
  <c r="E746" i="6"/>
  <c r="I343" i="7"/>
  <c r="F681" i="6"/>
  <c r="F683" i="6" s="1"/>
  <c r="G327" i="7"/>
  <c r="F363" i="7"/>
  <c r="I183" i="7"/>
  <c r="F553" i="7"/>
  <c r="I186" i="7"/>
  <c r="G363" i="7"/>
  <c r="F327" i="7"/>
  <c r="G553" i="7"/>
  <c r="F183" i="7"/>
  <c r="H180" i="7"/>
  <c r="H553" i="7"/>
  <c r="E329" i="7"/>
  <c r="E151" i="64"/>
  <c r="G374" i="7"/>
  <c r="H327" i="7"/>
  <c r="E325" i="7"/>
  <c r="E455" i="7"/>
  <c r="Z211" i="4" s="1"/>
  <c r="E211" i="4" s="1"/>
  <c r="E51" i="6" s="1"/>
  <c r="H374" i="7"/>
  <c r="G184" i="7"/>
  <c r="F325" i="7"/>
  <c r="I327" i="7"/>
  <c r="G183" i="7"/>
  <c r="G186" i="7"/>
  <c r="E360" i="7"/>
  <c r="I87" i="18"/>
  <c r="F360" i="7"/>
  <c r="I359" i="7"/>
  <c r="I189" i="7"/>
  <c r="G532" i="7"/>
  <c r="G577" i="7"/>
  <c r="H373" i="7"/>
  <c r="AD154" i="4"/>
  <c r="I154" i="4" s="1"/>
  <c r="F326" i="7"/>
  <c r="F524" i="7"/>
  <c r="AA240" i="4" s="1"/>
  <c r="F240" i="4" s="1"/>
  <c r="F174" i="18" s="1"/>
  <c r="F556" i="7"/>
  <c r="E386" i="7"/>
  <c r="I647" i="7"/>
  <c r="F577" i="7"/>
  <c r="AB154" i="4"/>
  <c r="G154" i="4" s="1"/>
  <c r="F555" i="7"/>
  <c r="H386" i="7"/>
  <c r="H367" i="7"/>
  <c r="I330" i="7"/>
  <c r="H351" i="7"/>
  <c r="F455" i="7"/>
  <c r="AA211" i="4" s="1"/>
  <c r="F211" i="4" s="1"/>
  <c r="F51" i="6" s="1"/>
  <c r="G528" i="7"/>
  <c r="I331" i="7"/>
  <c r="F351" i="7"/>
  <c r="H701" i="7"/>
  <c r="AC37" i="4" s="1"/>
  <c r="H37" i="4" s="1"/>
  <c r="F352" i="7"/>
  <c r="E701" i="7"/>
  <c r="Z37" i="4" s="1"/>
  <c r="E37" i="4" s="1"/>
  <c r="I701" i="7"/>
  <c r="AD37" i="4" s="1"/>
  <c r="I37" i="4" s="1"/>
  <c r="I702" i="7"/>
  <c r="AD38" i="4" s="1"/>
  <c r="I38" i="4" s="1"/>
  <c r="G702" i="7"/>
  <c r="AB38" i="4" s="1"/>
  <c r="G38" i="4" s="1"/>
  <c r="E702" i="7"/>
  <c r="Z38" i="4" s="1"/>
  <c r="E38" i="4" s="1"/>
  <c r="F347" i="7"/>
  <c r="E593" i="7"/>
  <c r="Z82" i="4" s="1"/>
  <c r="E82" i="4" s="1"/>
  <c r="I348" i="7"/>
  <c r="H347" i="7"/>
  <c r="H348" i="7"/>
  <c r="G348" i="7"/>
  <c r="I347" i="7"/>
  <c r="G346" i="7"/>
  <c r="E362" i="7"/>
  <c r="E558" i="7"/>
  <c r="Z167" i="4" s="1"/>
  <c r="E167" i="4" s="1"/>
  <c r="I346" i="7"/>
  <c r="H343" i="7"/>
  <c r="E768" i="6"/>
  <c r="I558" i="7"/>
  <c r="AD167" i="4" s="1"/>
  <c r="I167" i="4" s="1"/>
  <c r="I566" i="19" s="1"/>
  <c r="E681" i="6"/>
  <c r="O85" i="36" s="1"/>
  <c r="O87" i="36" s="1"/>
  <c r="I681" i="6"/>
  <c r="I683" i="6" s="1"/>
  <c r="I259" i="64"/>
  <c r="I862" i="18"/>
  <c r="I750" i="6"/>
  <c r="E347" i="7"/>
  <c r="G558" i="7"/>
  <c r="AB167" i="4" s="1"/>
  <c r="G167" i="4" s="1"/>
  <c r="F558" i="7"/>
  <c r="AA167" i="4" s="1"/>
  <c r="F167" i="4" s="1"/>
  <c r="F566" i="19" s="1"/>
  <c r="G681" i="6"/>
  <c r="G683" i="6" s="1"/>
  <c r="G259" i="64"/>
  <c r="G862" i="18"/>
  <c r="G750" i="6"/>
  <c r="H558" i="7"/>
  <c r="AC167" i="4" s="1"/>
  <c r="H167" i="4" s="1"/>
  <c r="H325" i="7"/>
  <c r="E258" i="64"/>
  <c r="E348" i="7"/>
  <c r="E657" i="7"/>
  <c r="Z74" i="4" s="1"/>
  <c r="E74" i="4" s="1"/>
  <c r="E861" i="18"/>
  <c r="F343" i="7"/>
  <c r="G343" i="7"/>
  <c r="E343" i="7"/>
  <c r="I184" i="7"/>
  <c r="I553" i="7"/>
  <c r="E374" i="7"/>
  <c r="I180" i="7"/>
  <c r="F185" i="7"/>
  <c r="E326" i="7"/>
  <c r="H363" i="7"/>
  <c r="E553" i="7"/>
  <c r="E948" i="7"/>
  <c r="E87" i="18"/>
  <c r="G324" i="7"/>
  <c r="G180" i="7"/>
  <c r="F180" i="7"/>
  <c r="H323" i="7"/>
  <c r="I323" i="7"/>
  <c r="G323" i="7"/>
  <c r="H179" i="7"/>
  <c r="G179" i="7"/>
  <c r="G347" i="7"/>
  <c r="F348" i="7"/>
  <c r="H346" i="7"/>
  <c r="E346" i="7"/>
  <c r="E323" i="7"/>
  <c r="I362" i="7"/>
  <c r="E328" i="7"/>
  <c r="I657" i="7"/>
  <c r="AD74" i="4" s="1"/>
  <c r="I74" i="4" s="1"/>
  <c r="E184" i="7"/>
  <c r="E524" i="7"/>
  <c r="Z240" i="4" s="1"/>
  <c r="E240" i="4" s="1"/>
  <c r="E174" i="18" s="1"/>
  <c r="F324" i="7"/>
  <c r="F367" i="7"/>
  <c r="I367" i="7"/>
  <c r="I374" i="7"/>
  <c r="F362" i="7"/>
  <c r="G657" i="7"/>
  <c r="AB74" i="4" s="1"/>
  <c r="G74" i="4" s="1"/>
  <c r="E180" i="7"/>
  <c r="I324" i="7"/>
  <c r="F186" i="7"/>
  <c r="E327" i="7"/>
  <c r="F346" i="7"/>
  <c r="E364" i="7"/>
  <c r="H362" i="7"/>
  <c r="I179" i="7"/>
  <c r="H657" i="7"/>
  <c r="AC74" i="4" s="1"/>
  <c r="H74" i="4" s="1"/>
  <c r="I325" i="7"/>
  <c r="F657" i="7"/>
  <c r="AA74" i="4" s="1"/>
  <c r="F74" i="4" s="1"/>
  <c r="I363" i="7"/>
  <c r="G362" i="7"/>
  <c r="F374" i="7"/>
  <c r="H183" i="7"/>
  <c r="H184" i="7"/>
  <c r="F323" i="7"/>
  <c r="E183" i="7"/>
  <c r="E330" i="7"/>
  <c r="H324" i="7"/>
  <c r="E324" i="7"/>
  <c r="G325" i="7"/>
  <c r="H433" i="7"/>
  <c r="F359" i="7"/>
  <c r="F329" i="7"/>
  <c r="H359" i="7"/>
  <c r="I358" i="7"/>
  <c r="G367" i="7"/>
  <c r="G433" i="7"/>
  <c r="I360" i="7"/>
  <c r="H360" i="7"/>
  <c r="I433" i="7"/>
  <c r="G189" i="7"/>
  <c r="E367" i="7"/>
  <c r="E433" i="7"/>
  <c r="G358" i="7"/>
  <c r="F189" i="7"/>
  <c r="F433" i="7"/>
  <c r="F358" i="7"/>
  <c r="E577" i="7"/>
  <c r="G329" i="7"/>
  <c r="H329" i="7"/>
  <c r="H577" i="7"/>
  <c r="AC154" i="4"/>
  <c r="H154" i="4" s="1"/>
  <c r="I364" i="7"/>
  <c r="G647" i="7"/>
  <c r="F188" i="7"/>
  <c r="AA159" i="4" s="1"/>
  <c r="F159" i="4" s="1"/>
  <c r="H555" i="7"/>
  <c r="H948" i="7"/>
  <c r="I555" i="7"/>
  <c r="I385" i="7"/>
  <c r="Z154" i="4"/>
  <c r="E154" i="4" s="1"/>
  <c r="F328" i="7"/>
  <c r="H328" i="7"/>
  <c r="E556" i="7"/>
  <c r="H385" i="7"/>
  <c r="F532" i="7"/>
  <c r="F948" i="7"/>
  <c r="H326" i="7"/>
  <c r="F373" i="7"/>
  <c r="H364" i="7"/>
  <c r="E555" i="7"/>
  <c r="H188" i="7"/>
  <c r="AC159" i="4" s="1"/>
  <c r="H159" i="4" s="1"/>
  <c r="I334" i="7"/>
  <c r="E862" i="18"/>
  <c r="E259" i="64"/>
  <c r="O93" i="55"/>
  <c r="O97" i="55"/>
  <c r="I706" i="6"/>
  <c r="I256" i="64"/>
  <c r="I859" i="18"/>
  <c r="I68" i="52"/>
  <c r="K95" i="55"/>
  <c r="K99" i="55"/>
  <c r="O95" i="55"/>
  <c r="O99" i="55"/>
  <c r="G859" i="18"/>
  <c r="G256" i="64"/>
  <c r="G706" i="6"/>
  <c r="E361" i="7"/>
  <c r="H361" i="7"/>
  <c r="H556" i="7"/>
  <c r="I328" i="7"/>
  <c r="E647" i="7"/>
  <c r="H524" i="7"/>
  <c r="AC240" i="4" s="1"/>
  <c r="H240" i="4" s="1"/>
  <c r="H174" i="18" s="1"/>
  <c r="I326" i="7"/>
  <c r="E188" i="7"/>
  <c r="Z159" i="4" s="1"/>
  <c r="E159" i="4" s="1"/>
  <c r="G555" i="7"/>
  <c r="I188" i="7"/>
  <c r="AD159" i="4" s="1"/>
  <c r="I159" i="4" s="1"/>
  <c r="D162" i="1"/>
  <c r="I59" i="52"/>
  <c r="I61" i="52"/>
  <c r="I71" i="52"/>
  <c r="I58" i="52"/>
  <c r="I60" i="52"/>
  <c r="G328" i="7"/>
  <c r="I329" i="7"/>
  <c r="G326" i="7"/>
  <c r="AA154" i="4"/>
  <c r="F154" i="4" s="1"/>
  <c r="I524" i="7"/>
  <c r="AD240" i="4" s="1"/>
  <c r="I240" i="4" s="1"/>
  <c r="I174" i="18" s="1"/>
  <c r="F364" i="7"/>
  <c r="G364" i="7"/>
  <c r="G386" i="7"/>
  <c r="G556" i="7"/>
  <c r="H647" i="7"/>
  <c r="E750" i="6"/>
  <c r="E189" i="7"/>
  <c r="I64" i="52"/>
  <c r="K64" i="52" s="1"/>
  <c r="I69" i="52"/>
  <c r="D166" i="1"/>
  <c r="G361" i="7"/>
  <c r="E385" i="7"/>
  <c r="G948" i="7"/>
  <c r="E532" i="7"/>
  <c r="G373" i="7"/>
  <c r="G385" i="7"/>
  <c r="I948" i="7"/>
  <c r="F361" i="7"/>
  <c r="I373" i="7"/>
  <c r="G524" i="7"/>
  <c r="AB240" i="4" s="1"/>
  <c r="G240" i="4" s="1"/>
  <c r="G174" i="18" s="1"/>
  <c r="E718" i="6"/>
  <c r="F706" i="6"/>
  <c r="F859" i="18"/>
  <c r="F256" i="64"/>
  <c r="I62" i="52"/>
  <c r="I72" i="52"/>
  <c r="I351" i="7"/>
  <c r="I70" i="52"/>
  <c r="H189" i="7"/>
  <c r="H243" i="7"/>
  <c r="H245" i="7" s="1"/>
  <c r="G351" i="7"/>
  <c r="H609" i="19" l="1"/>
  <c r="Z147" i="4"/>
  <c r="E147" i="4" s="1"/>
  <c r="H538" i="19"/>
  <c r="H539" i="19" s="1"/>
  <c r="H533" i="19"/>
  <c r="H534" i="19" s="1"/>
  <c r="H535" i="19" s="1"/>
  <c r="H481" i="19"/>
  <c r="H482" i="19" s="1"/>
  <c r="H476" i="19"/>
  <c r="H477" i="19" s="1"/>
  <c r="H478" i="19" s="1"/>
  <c r="F533" i="19"/>
  <c r="F534" i="19" s="1"/>
  <c r="F535" i="19" s="1"/>
  <c r="F476" i="19"/>
  <c r="F538" i="19"/>
  <c r="F539" i="19" s="1"/>
  <c r="F481" i="19"/>
  <c r="F482" i="19" s="1"/>
  <c r="E476" i="19"/>
  <c r="E533" i="19"/>
  <c r="E538" i="19"/>
  <c r="E481" i="19"/>
  <c r="I538" i="19"/>
  <c r="I539" i="19" s="1"/>
  <c r="I533" i="19"/>
  <c r="I534" i="19" s="1"/>
  <c r="I535" i="19" s="1"/>
  <c r="I476" i="19"/>
  <c r="I477" i="19" s="1"/>
  <c r="I478" i="19" s="1"/>
  <c r="I481" i="19"/>
  <c r="I482" i="19" s="1"/>
  <c r="G423" i="6"/>
  <c r="G168" i="6"/>
  <c r="H167" i="6"/>
  <c r="H422" i="6"/>
  <c r="G476" i="19"/>
  <c r="G477" i="19" s="1"/>
  <c r="G478" i="19" s="1"/>
  <c r="G533" i="19"/>
  <c r="G534" i="19" s="1"/>
  <c r="G535" i="19" s="1"/>
  <c r="G481" i="19"/>
  <c r="G482" i="19" s="1"/>
  <c r="G538" i="19"/>
  <c r="G539" i="19" s="1"/>
  <c r="H168" i="6"/>
  <c r="H423" i="6"/>
  <c r="E168" i="6"/>
  <c r="E423" i="6"/>
  <c r="I422" i="6"/>
  <c r="I167" i="6"/>
  <c r="G422" i="6"/>
  <c r="G167" i="6"/>
  <c r="AB138" i="4"/>
  <c r="G138" i="4" s="1"/>
  <c r="Z135" i="4"/>
  <c r="E135" i="4" s="1"/>
  <c r="C45" i="57" s="1"/>
  <c r="AB69" i="4"/>
  <c r="G69" i="4" s="1"/>
  <c r="AA147" i="4"/>
  <c r="F147" i="4" s="1"/>
  <c r="AD138" i="4"/>
  <c r="I138" i="4" s="1"/>
  <c r="AB47" i="4"/>
  <c r="G47" i="4" s="1"/>
  <c r="G81" i="6" s="1"/>
  <c r="AA144" i="4"/>
  <c r="F144" i="4" s="1"/>
  <c r="F363" i="19" s="1"/>
  <c r="F763" i="19" s="1"/>
  <c r="Z141" i="4"/>
  <c r="E141" i="4" s="1"/>
  <c r="Z92" i="4"/>
  <c r="E92" i="4" s="1"/>
  <c r="Z67" i="4"/>
  <c r="E67" i="4" s="1"/>
  <c r="Z138" i="4"/>
  <c r="E138" i="4" s="1"/>
  <c r="Z150" i="4"/>
  <c r="E150" i="4" s="1"/>
  <c r="Z61" i="4"/>
  <c r="E61" i="4" s="1"/>
  <c r="E49" i="19" s="1"/>
  <c r="AB16" i="4"/>
  <c r="G16" i="4" s="1"/>
  <c r="AA157" i="4"/>
  <c r="F157" i="4" s="1"/>
  <c r="AC150" i="4"/>
  <c r="H150" i="4" s="1"/>
  <c r="AA67" i="4"/>
  <c r="F67" i="4" s="1"/>
  <c r="AC197" i="4"/>
  <c r="H197" i="4" s="1"/>
  <c r="AC147" i="4"/>
  <c r="H147" i="4" s="1"/>
  <c r="AB147" i="4"/>
  <c r="G147" i="4" s="1"/>
  <c r="AA243" i="4"/>
  <c r="F243" i="4" s="1"/>
  <c r="F177" i="18" s="1"/>
  <c r="AB135" i="4"/>
  <c r="G135" i="4" s="1"/>
  <c r="G303" i="19" s="1"/>
  <c r="G762" i="19" s="1"/>
  <c r="AD243" i="4"/>
  <c r="I243" i="4" s="1"/>
  <c r="I177" i="18" s="1"/>
  <c r="Z69" i="4"/>
  <c r="E69" i="4" s="1"/>
  <c r="AD147" i="4"/>
  <c r="I147" i="4" s="1"/>
  <c r="AC67" i="4"/>
  <c r="H67" i="4" s="1"/>
  <c r="AD197" i="4"/>
  <c r="I197" i="4" s="1"/>
  <c r="AB23" i="4"/>
  <c r="G23" i="4" s="1"/>
  <c r="G392" i="6" s="1"/>
  <c r="AB18" i="4"/>
  <c r="G18" i="4" s="1"/>
  <c r="AC23" i="4"/>
  <c r="H23" i="4" s="1"/>
  <c r="H137" i="6" s="1"/>
  <c r="AC65" i="4"/>
  <c r="H65" i="4" s="1"/>
  <c r="AB66" i="4"/>
  <c r="G66" i="4" s="1"/>
  <c r="Z15" i="4"/>
  <c r="E15" i="4" s="1"/>
  <c r="Z197" i="4"/>
  <c r="E197" i="4" s="1"/>
  <c r="AB92" i="4"/>
  <c r="G92" i="4" s="1"/>
  <c r="AD215" i="4"/>
  <c r="I215" i="4" s="1"/>
  <c r="I304" i="6" s="1"/>
  <c r="I431" i="18" s="1"/>
  <c r="AD239" i="4"/>
  <c r="I239" i="4" s="1"/>
  <c r="I173" i="18" s="1"/>
  <c r="AB67" i="4"/>
  <c r="G67" i="4" s="1"/>
  <c r="AC66" i="4"/>
  <c r="H66" i="4" s="1"/>
  <c r="Z223" i="4"/>
  <c r="E223" i="4" s="1"/>
  <c r="E154" i="26" s="1"/>
  <c r="E156" i="26" s="1"/>
  <c r="AD223" i="4"/>
  <c r="I223" i="4" s="1"/>
  <c r="I154" i="26" s="1"/>
  <c r="I156" i="26" s="1"/>
  <c r="AB223" i="4"/>
  <c r="G223" i="4" s="1"/>
  <c r="G154" i="26" s="1"/>
  <c r="G156" i="26" s="1"/>
  <c r="AD141" i="4"/>
  <c r="I141" i="4" s="1"/>
  <c r="Z209" i="4"/>
  <c r="E209" i="4" s="1"/>
  <c r="E152" i="6" s="1"/>
  <c r="E405" i="18" s="1"/>
  <c r="AB197" i="4"/>
  <c r="G197" i="4" s="1"/>
  <c r="AB71" i="4"/>
  <c r="G71" i="4" s="1"/>
  <c r="G488" i="6" s="1"/>
  <c r="AB150" i="4"/>
  <c r="G150" i="4" s="1"/>
  <c r="Z218" i="4"/>
  <c r="E218" i="4" s="1"/>
  <c r="AD23" i="4"/>
  <c r="I23" i="4" s="1"/>
  <c r="I392" i="6" s="1"/>
  <c r="Z204" i="4"/>
  <c r="E204" i="4" s="1"/>
  <c r="Q18" i="55" s="1"/>
  <c r="AC204" i="4"/>
  <c r="H204" i="4" s="1"/>
  <c r="AB243" i="4"/>
  <c r="G243" i="4" s="1"/>
  <c r="G177" i="18" s="1"/>
  <c r="AB15" i="4"/>
  <c r="G15" i="4" s="1"/>
  <c r="I411" i="11"/>
  <c r="AC141" i="4"/>
  <c r="H141" i="4" s="1"/>
  <c r="Z239" i="4"/>
  <c r="E239" i="4" s="1"/>
  <c r="E173" i="18" s="1"/>
  <c r="Z86" i="4"/>
  <c r="E86" i="4" s="1"/>
  <c r="E36" i="19" s="1"/>
  <c r="AC16" i="4"/>
  <c r="H16" i="4" s="1"/>
  <c r="Z16" i="4"/>
  <c r="E16" i="4" s="1"/>
  <c r="AD150" i="4"/>
  <c r="I150" i="4" s="1"/>
  <c r="Z243" i="4"/>
  <c r="E243" i="4" s="1"/>
  <c r="E177" i="18" s="1"/>
  <c r="K7" i="26"/>
  <c r="AA223" i="4"/>
  <c r="F223" i="4" s="1"/>
  <c r="F154" i="26" s="1"/>
  <c r="F156" i="26" s="1"/>
  <c r="AC71" i="4"/>
  <c r="H71" i="4" s="1"/>
  <c r="H488" i="6" s="1"/>
  <c r="AD241" i="4"/>
  <c r="I241" i="4" s="1"/>
  <c r="I175" i="18" s="1"/>
  <c r="AD19" i="4"/>
  <c r="I19" i="4" s="1"/>
  <c r="I259" i="11" s="1"/>
  <c r="Z9" i="4"/>
  <c r="E9" i="4" s="1"/>
  <c r="AB19" i="4"/>
  <c r="G19" i="4" s="1"/>
  <c r="G259" i="11" s="1"/>
  <c r="AC241" i="4"/>
  <c r="H241" i="4" s="1"/>
  <c r="H175" i="18" s="1"/>
  <c r="Z144" i="4"/>
  <c r="E144" i="4" s="1"/>
  <c r="E363" i="19" s="1"/>
  <c r="E763" i="19" s="1"/>
  <c r="AB246" i="4"/>
  <c r="G246" i="4" s="1"/>
  <c r="G493" i="11" s="1"/>
  <c r="Z104" i="4"/>
  <c r="E104" i="4" s="1"/>
  <c r="AB104" i="4"/>
  <c r="G104" i="4" s="1"/>
  <c r="AB248" i="4"/>
  <c r="G248" i="4" s="1"/>
  <c r="G492" i="11" s="1"/>
  <c r="AA23" i="4"/>
  <c r="F23" i="4" s="1"/>
  <c r="F392" i="6" s="1"/>
  <c r="AB96" i="4"/>
  <c r="G96" i="4" s="1"/>
  <c r="G355" i="11" s="1"/>
  <c r="AC209" i="4"/>
  <c r="H209" i="4" s="1"/>
  <c r="H152" i="6" s="1"/>
  <c r="H405" i="18" s="1"/>
  <c r="AC153" i="4"/>
  <c r="H153" i="4" s="1"/>
  <c r="H417" i="19" s="1"/>
  <c r="H764" i="19" s="1"/>
  <c r="AA209" i="4"/>
  <c r="F209" i="4" s="1"/>
  <c r="F152" i="6" s="1"/>
  <c r="F405" i="18" s="1"/>
  <c r="AD70" i="4"/>
  <c r="I70" i="4" s="1"/>
  <c r="I789" i="18" s="1"/>
  <c r="AD246" i="4"/>
  <c r="I246" i="4" s="1"/>
  <c r="I493" i="11" s="1"/>
  <c r="Z241" i="4"/>
  <c r="E241" i="4" s="1"/>
  <c r="E175" i="18" s="1"/>
  <c r="AD95" i="4"/>
  <c r="I95" i="4" s="1"/>
  <c r="I807" i="18" s="1"/>
  <c r="AD248" i="4"/>
  <c r="I248" i="4" s="1"/>
  <c r="I492" i="11" s="1"/>
  <c r="Z245" i="4"/>
  <c r="E245" i="4" s="1"/>
  <c r="E491" i="11" s="1"/>
  <c r="AD61" i="4"/>
  <c r="I61" i="4" s="1"/>
  <c r="I49" i="19" s="1"/>
  <c r="AA46" i="4"/>
  <c r="F46" i="4" s="1"/>
  <c r="F31" i="6" s="1"/>
  <c r="AB46" i="4"/>
  <c r="G46" i="4" s="1"/>
  <c r="G31" i="6" s="1"/>
  <c r="Z91" i="4"/>
  <c r="E91" i="4" s="1"/>
  <c r="AB208" i="4"/>
  <c r="G208" i="4" s="1"/>
  <c r="G665" i="6" s="1"/>
  <c r="Z66" i="4"/>
  <c r="E66" i="4" s="1"/>
  <c r="AD91" i="4"/>
  <c r="I91" i="4" s="1"/>
  <c r="Z157" i="4"/>
  <c r="E157" i="4" s="1"/>
  <c r="Z247" i="4"/>
  <c r="E247" i="4" s="1"/>
  <c r="E494" i="11" s="1"/>
  <c r="AA141" i="4"/>
  <c r="F141" i="4" s="1"/>
  <c r="AD144" i="4"/>
  <c r="I144" i="4" s="1"/>
  <c r="I363" i="19" s="1"/>
  <c r="I763" i="19" s="1"/>
  <c r="AD71" i="4"/>
  <c r="I71" i="4" s="1"/>
  <c r="I790" i="18" s="1"/>
  <c r="AD67" i="4"/>
  <c r="I67" i="4" s="1"/>
  <c r="AB209" i="4"/>
  <c r="G209" i="4" s="1"/>
  <c r="G152" i="6" s="1"/>
  <c r="G405" i="18" s="1"/>
  <c r="AB86" i="4"/>
  <c r="G86" i="4" s="1"/>
  <c r="G55" i="19" s="1"/>
  <c r="Z47" i="4"/>
  <c r="E47" i="4" s="1"/>
  <c r="E81" i="6" s="1"/>
  <c r="AA138" i="4"/>
  <c r="F138" i="4" s="1"/>
  <c r="AB239" i="4"/>
  <c r="G239" i="4" s="1"/>
  <c r="G173" i="18" s="1"/>
  <c r="AD213" i="4"/>
  <c r="I213" i="4" s="1"/>
  <c r="I253" i="6" s="1"/>
  <c r="I418" i="18" s="1"/>
  <c r="AC213" i="4"/>
  <c r="H213" i="4" s="1"/>
  <c r="H253" i="6" s="1"/>
  <c r="H418" i="18" s="1"/>
  <c r="AD15" i="4"/>
  <c r="I15" i="4" s="1"/>
  <c r="AC157" i="4"/>
  <c r="H157" i="4" s="1"/>
  <c r="AA217" i="4"/>
  <c r="F217" i="4" s="1"/>
  <c r="AB204" i="4"/>
  <c r="G204" i="4" s="1"/>
  <c r="AD219" i="4"/>
  <c r="I219" i="4" s="1"/>
  <c r="AC218" i="4"/>
  <c r="H218" i="4" s="1"/>
  <c r="AC223" i="4"/>
  <c r="H223" i="4" s="1"/>
  <c r="H154" i="26" s="1"/>
  <c r="H156" i="26" s="1"/>
  <c r="Z59" i="4"/>
  <c r="E59" i="4" s="1"/>
  <c r="AA9" i="4"/>
  <c r="F9" i="4" s="1"/>
  <c r="Z20" i="4"/>
  <c r="E20" i="4" s="1"/>
  <c r="E387" i="6" s="1"/>
  <c r="AD247" i="4"/>
  <c r="I247" i="4" s="1"/>
  <c r="I494" i="11" s="1"/>
  <c r="Z71" i="4"/>
  <c r="E71" i="4" s="1"/>
  <c r="E488" i="6" s="1"/>
  <c r="Z8" i="4"/>
  <c r="E8" i="4" s="1"/>
  <c r="AB60" i="4"/>
  <c r="G60" i="4" s="1"/>
  <c r="G182" i="11" s="1"/>
  <c r="AB59" i="4"/>
  <c r="G59" i="4" s="1"/>
  <c r="Z153" i="4"/>
  <c r="E153" i="4" s="1"/>
  <c r="E417" i="19" s="1"/>
  <c r="E764" i="19" s="1"/>
  <c r="AD20" i="4"/>
  <c r="I20" i="4" s="1"/>
  <c r="I772" i="18" s="1"/>
  <c r="Z246" i="4"/>
  <c r="E246" i="4" s="1"/>
  <c r="E493" i="11" s="1"/>
  <c r="AB157" i="4"/>
  <c r="G157" i="4" s="1"/>
  <c r="AA150" i="4"/>
  <c r="F150" i="4" s="1"/>
  <c r="AB153" i="4"/>
  <c r="G153" i="4" s="1"/>
  <c r="G417" i="19" s="1"/>
  <c r="G764" i="19" s="1"/>
  <c r="G411" i="11"/>
  <c r="AA61" i="4"/>
  <c r="F61" i="4" s="1"/>
  <c r="F30" i="19" s="1"/>
  <c r="Z46" i="4"/>
  <c r="E46" i="4" s="1"/>
  <c r="E31" i="6" s="1"/>
  <c r="AC69" i="4"/>
  <c r="H69" i="4" s="1"/>
  <c r="AA65" i="4"/>
  <c r="F65" i="4" s="1"/>
  <c r="AB91" i="4"/>
  <c r="G91" i="4" s="1"/>
  <c r="AB213" i="4"/>
  <c r="G213" i="4" s="1"/>
  <c r="G253" i="6" s="1"/>
  <c r="G418" i="18" s="1"/>
  <c r="AC138" i="4"/>
  <c r="H138" i="4" s="1"/>
  <c r="AD208" i="4"/>
  <c r="I208" i="4" s="1"/>
  <c r="I665" i="6" s="1"/>
  <c r="AB215" i="4"/>
  <c r="G215" i="4" s="1"/>
  <c r="G304" i="6" s="1"/>
  <c r="G431" i="18" s="1"/>
  <c r="AB247" i="4"/>
  <c r="G247" i="4" s="1"/>
  <c r="G494" i="11" s="1"/>
  <c r="Z168" i="4"/>
  <c r="E168" i="4" s="1"/>
  <c r="E557" i="19" s="1"/>
  <c r="L20" i="31" s="1"/>
  <c r="AC70" i="4"/>
  <c r="H70" i="4" s="1"/>
  <c r="H233" i="6" s="1"/>
  <c r="AC135" i="4"/>
  <c r="H135" i="4" s="1"/>
  <c r="H303" i="19" s="1"/>
  <c r="H762" i="19" s="1"/>
  <c r="AA135" i="4"/>
  <c r="F135" i="4" s="1"/>
  <c r="F303" i="19" s="1"/>
  <c r="F762" i="19" s="1"/>
  <c r="Z213" i="4"/>
  <c r="E213" i="4" s="1"/>
  <c r="E253" i="6" s="1"/>
  <c r="I55" i="43" s="1"/>
  <c r="AC9" i="4"/>
  <c r="H9" i="4" s="1"/>
  <c r="AC19" i="4"/>
  <c r="H19" i="4" s="1"/>
  <c r="H132" i="6" s="1"/>
  <c r="AD153" i="4"/>
  <c r="I153" i="4" s="1"/>
  <c r="I417" i="19" s="1"/>
  <c r="I764" i="19" s="1"/>
  <c r="AC247" i="4"/>
  <c r="H247" i="4" s="1"/>
  <c r="H494" i="11" s="1"/>
  <c r="AD16" i="4"/>
  <c r="I16" i="4" s="1"/>
  <c r="AD204" i="4"/>
  <c r="I204" i="4" s="1"/>
  <c r="AB70" i="4"/>
  <c r="G70" i="4" s="1"/>
  <c r="G789" i="18" s="1"/>
  <c r="AB144" i="4"/>
  <c r="G144" i="4" s="1"/>
  <c r="G363" i="19" s="1"/>
  <c r="G763" i="19" s="1"/>
  <c r="AB241" i="4"/>
  <c r="G241" i="4" s="1"/>
  <c r="G175" i="18" s="1"/>
  <c r="AD157" i="4"/>
  <c r="I157" i="4" s="1"/>
  <c r="AB218" i="4"/>
  <c r="G218" i="4" s="1"/>
  <c r="H411" i="11"/>
  <c r="AD69" i="4"/>
  <c r="I69" i="4" s="1"/>
  <c r="K4" i="26"/>
  <c r="AC239" i="4"/>
  <c r="H239" i="4" s="1"/>
  <c r="H173" i="18" s="1"/>
  <c r="AB217" i="4"/>
  <c r="G217" i="4" s="1"/>
  <c r="AD217" i="4"/>
  <c r="I217" i="4" s="1"/>
  <c r="AB103" i="4"/>
  <c r="G103" i="4" s="1"/>
  <c r="Z70" i="4"/>
  <c r="E70" i="4" s="1"/>
  <c r="E297" i="11" s="1"/>
  <c r="AD103" i="4"/>
  <c r="I103" i="4" s="1"/>
  <c r="Z208" i="4"/>
  <c r="E208" i="4" s="1"/>
  <c r="E665" i="6" s="1"/>
  <c r="AD59" i="4"/>
  <c r="I59" i="4" s="1"/>
  <c r="AD135" i="4"/>
  <c r="I135" i="4" s="1"/>
  <c r="I303" i="19" s="1"/>
  <c r="I762" i="19" s="1"/>
  <c r="AB20" i="4"/>
  <c r="G20" i="4" s="1"/>
  <c r="G387" i="6" s="1"/>
  <c r="Z60" i="4"/>
  <c r="E60" i="4" s="1"/>
  <c r="E182" i="11" s="1"/>
  <c r="AB9" i="4"/>
  <c r="G9" i="4" s="1"/>
  <c r="AC60" i="4"/>
  <c r="H60" i="4" s="1"/>
  <c r="AD245" i="4"/>
  <c r="I245" i="4" s="1"/>
  <c r="I491" i="11" s="1"/>
  <c r="AA66" i="4"/>
  <c r="F66" i="4" s="1"/>
  <c r="AD218" i="4"/>
  <c r="I218" i="4" s="1"/>
  <c r="AD209" i="4"/>
  <c r="I209" i="4" s="1"/>
  <c r="I152" i="6" s="1"/>
  <c r="I405" i="18" s="1"/>
  <c r="AD96" i="4"/>
  <c r="I96" i="4" s="1"/>
  <c r="I808" i="18" s="1"/>
  <c r="Z96" i="4"/>
  <c r="E96" i="4" s="1"/>
  <c r="E355" i="11" s="1"/>
  <c r="AB245" i="4"/>
  <c r="G245" i="4" s="1"/>
  <c r="G491" i="11" s="1"/>
  <c r="AD92" i="4"/>
  <c r="I92" i="4" s="1"/>
  <c r="Z217" i="4"/>
  <c r="E217" i="4" s="1"/>
  <c r="AB141" i="4"/>
  <c r="G141" i="4" s="1"/>
  <c r="Z95" i="4"/>
  <c r="E95" i="4" s="1"/>
  <c r="E284" i="6" s="1"/>
  <c r="Z19" i="4"/>
  <c r="E19" i="4" s="1"/>
  <c r="E259" i="11" s="1"/>
  <c r="E411" i="11"/>
  <c r="AB168" i="4"/>
  <c r="G168" i="4" s="1"/>
  <c r="G557" i="19" s="1"/>
  <c r="G560" i="19" s="1"/>
  <c r="AB61" i="4"/>
  <c r="G61" i="4" s="1"/>
  <c r="G49" i="19" s="1"/>
  <c r="AA86" i="4"/>
  <c r="F86" i="4" s="1"/>
  <c r="F36" i="19" s="1"/>
  <c r="AA8" i="4"/>
  <c r="F8" i="4" s="1"/>
  <c r="F389" i="12" s="1"/>
  <c r="F392" i="12" s="1"/>
  <c r="AD9" i="4"/>
  <c r="I9" i="4" s="1"/>
  <c r="I177" i="11" s="1"/>
  <c r="AD60" i="4"/>
  <c r="I60" i="4" s="1"/>
  <c r="AD104" i="4"/>
  <c r="I104" i="4" s="1"/>
  <c r="AD168" i="4"/>
  <c r="I168" i="4" s="1"/>
  <c r="I557" i="19" s="1"/>
  <c r="I560" i="19" s="1"/>
  <c r="AA15" i="4"/>
  <c r="F15" i="4" s="1"/>
  <c r="Z219" i="4"/>
  <c r="E219" i="4" s="1"/>
  <c r="AA103" i="4"/>
  <c r="F103" i="4" s="1"/>
  <c r="Z103" i="4"/>
  <c r="E103" i="4" s="1"/>
  <c r="Z215" i="4"/>
  <c r="E215" i="4" s="1"/>
  <c r="E304" i="6" s="1"/>
  <c r="AA153" i="4"/>
  <c r="F153" i="4" s="1"/>
  <c r="F417" i="19" s="1"/>
  <c r="F764" i="19" s="1"/>
  <c r="Z23" i="4"/>
  <c r="E23" i="4" s="1"/>
  <c r="E137" i="6" s="1"/>
  <c r="H77" i="57" s="1"/>
  <c r="AA168" i="4"/>
  <c r="F168" i="4" s="1"/>
  <c r="F557" i="19" s="1"/>
  <c r="F560" i="19" s="1"/>
  <c r="AD66" i="4"/>
  <c r="I66" i="4" s="1"/>
  <c r="AC217" i="4"/>
  <c r="H217" i="4" s="1"/>
  <c r="AB219" i="4"/>
  <c r="G219" i="4" s="1"/>
  <c r="AB95" i="4"/>
  <c r="G95" i="4" s="1"/>
  <c r="G807" i="18" s="1"/>
  <c r="AA19" i="4"/>
  <c r="F19" i="4" s="1"/>
  <c r="F771" i="18" s="1"/>
  <c r="AA248" i="4"/>
  <c r="F248" i="4" s="1"/>
  <c r="F492" i="11" s="1"/>
  <c r="AA245" i="4"/>
  <c r="F245" i="4" s="1"/>
  <c r="F491" i="11" s="1"/>
  <c r="AC46" i="4"/>
  <c r="H46" i="4" s="1"/>
  <c r="H31" i="6" s="1"/>
  <c r="Z248" i="4"/>
  <c r="E248" i="4" s="1"/>
  <c r="E492" i="11" s="1"/>
  <c r="AB90" i="4"/>
  <c r="G90" i="4" s="1"/>
  <c r="AC86" i="4"/>
  <c r="H86" i="4" s="1"/>
  <c r="H55" i="19" s="1"/>
  <c r="AA222" i="4"/>
  <c r="F222" i="4" s="1"/>
  <c r="AB220" i="4"/>
  <c r="G220" i="4" s="1"/>
  <c r="AA221" i="4"/>
  <c r="F221" i="4" s="1"/>
  <c r="AC221" i="4"/>
  <c r="H221" i="4" s="1"/>
  <c r="AA220" i="4"/>
  <c r="F220" i="4" s="1"/>
  <c r="Z90" i="4"/>
  <c r="E90" i="4" s="1"/>
  <c r="AB176" i="4"/>
  <c r="G176" i="4" s="1"/>
  <c r="Z18" i="4"/>
  <c r="E18" i="4" s="1"/>
  <c r="K258" i="64"/>
  <c r="K861" i="18"/>
  <c r="G217" i="2"/>
  <c r="AA208" i="4"/>
  <c r="F208" i="4" s="1"/>
  <c r="F665" i="6" s="1"/>
  <c r="AA104" i="4"/>
  <c r="F104" i="4" s="1"/>
  <c r="AA95" i="4"/>
  <c r="F95" i="4" s="1"/>
  <c r="F284" i="6" s="1"/>
  <c r="AC103" i="4"/>
  <c r="H103" i="4" s="1"/>
  <c r="AC246" i="4"/>
  <c r="H246" i="4" s="1"/>
  <c r="H493" i="11" s="1"/>
  <c r="AC92" i="4"/>
  <c r="H92" i="4" s="1"/>
  <c r="K151" i="64"/>
  <c r="AA70" i="4"/>
  <c r="F70" i="4" s="1"/>
  <c r="F297" i="11" s="1"/>
  <c r="AC168" i="4"/>
  <c r="H168" i="4" s="1"/>
  <c r="H557" i="19" s="1"/>
  <c r="H560" i="19" s="1"/>
  <c r="AC208" i="4"/>
  <c r="H208" i="4" s="1"/>
  <c r="H665" i="6" s="1"/>
  <c r="AA197" i="4"/>
  <c r="F197" i="4" s="1"/>
  <c r="AA213" i="4"/>
  <c r="F213" i="4" s="1"/>
  <c r="F253" i="6" s="1"/>
  <c r="F418" i="18" s="1"/>
  <c r="AC243" i="4"/>
  <c r="H243" i="4" s="1"/>
  <c r="H177" i="18" s="1"/>
  <c r="AC215" i="4"/>
  <c r="H215" i="4" s="1"/>
  <c r="H304" i="6" s="1"/>
  <c r="H431" i="18" s="1"/>
  <c r="AA215" i="4"/>
  <c r="F215" i="4" s="1"/>
  <c r="F304" i="6" s="1"/>
  <c r="F431" i="18" s="1"/>
  <c r="AC59" i="4"/>
  <c r="H59" i="4" s="1"/>
  <c r="AA247" i="4"/>
  <c r="F247" i="4" s="1"/>
  <c r="F494" i="11" s="1"/>
  <c r="AC8" i="4"/>
  <c r="H8" i="4" s="1"/>
  <c r="AA239" i="4"/>
  <c r="F239" i="4" s="1"/>
  <c r="F173" i="18" s="1"/>
  <c r="AA219" i="4"/>
  <c r="F219" i="4" s="1"/>
  <c r="AA90" i="4"/>
  <c r="F90" i="4" s="1"/>
  <c r="AA91" i="4"/>
  <c r="F91" i="4" s="1"/>
  <c r="AA92" i="4"/>
  <c r="F92" i="4" s="1"/>
  <c r="AC95" i="4"/>
  <c r="H95" i="4" s="1"/>
  <c r="AA16" i="4"/>
  <c r="F16" i="4" s="1"/>
  <c r="AC91" i="4"/>
  <c r="H91" i="4" s="1"/>
  <c r="AC15" i="4"/>
  <c r="H15" i="4" s="1"/>
  <c r="AA204" i="4"/>
  <c r="F204" i="4" s="1"/>
  <c r="AC219" i="4"/>
  <c r="H219" i="4" s="1"/>
  <c r="AA218" i="4"/>
  <c r="F218" i="4" s="1"/>
  <c r="AA96" i="4"/>
  <c r="F96" i="4" s="1"/>
  <c r="F808" i="18" s="1"/>
  <c r="AA59" i="4"/>
  <c r="F59" i="4" s="1"/>
  <c r="AA20" i="4"/>
  <c r="F20" i="4" s="1"/>
  <c r="F387" i="6" s="1"/>
  <c r="AA246" i="4"/>
  <c r="F246" i="4" s="1"/>
  <c r="F493" i="11" s="1"/>
  <c r="AC104" i="4"/>
  <c r="H104" i="4" s="1"/>
  <c r="AA60" i="4"/>
  <c r="F60" i="4" s="1"/>
  <c r="AC144" i="4"/>
  <c r="H144" i="4" s="1"/>
  <c r="H363" i="19" s="1"/>
  <c r="H763" i="19" s="1"/>
  <c r="AC20" i="4"/>
  <c r="H20" i="4" s="1"/>
  <c r="H278" i="11" s="1"/>
  <c r="AA241" i="4"/>
  <c r="F241" i="4" s="1"/>
  <c r="F175" i="18" s="1"/>
  <c r="AA71" i="4"/>
  <c r="F71" i="4" s="1"/>
  <c r="F488" i="6" s="1"/>
  <c r="AC96" i="4"/>
  <c r="H96" i="4" s="1"/>
  <c r="H355" i="11" s="1"/>
  <c r="K854" i="18"/>
  <c r="K251" i="64"/>
  <c r="I217" i="2"/>
  <c r="I598" i="19"/>
  <c r="AA69" i="4"/>
  <c r="F69" i="4" s="1"/>
  <c r="AC245" i="4"/>
  <c r="H245" i="4" s="1"/>
  <c r="H491" i="11" s="1"/>
  <c r="AD222" i="4"/>
  <c r="I222" i="4" s="1"/>
  <c r="AD220" i="4"/>
  <c r="I220" i="4" s="1"/>
  <c r="AB222" i="4"/>
  <c r="G222" i="4" s="1"/>
  <c r="AC222" i="4"/>
  <c r="H222" i="4" s="1"/>
  <c r="Z221" i="4"/>
  <c r="E221" i="4" s="1"/>
  <c r="AB8" i="4"/>
  <c r="G8" i="4" s="1"/>
  <c r="AD86" i="4"/>
  <c r="I86" i="4" s="1"/>
  <c r="I55" i="19" s="1"/>
  <c r="AC248" i="4"/>
  <c r="H248" i="4" s="1"/>
  <c r="H492" i="11" s="1"/>
  <c r="AC61" i="4"/>
  <c r="H61" i="4" s="1"/>
  <c r="H49" i="19" s="1"/>
  <c r="AD221" i="4"/>
  <c r="I221" i="4" s="1"/>
  <c r="AB65" i="4"/>
  <c r="G65" i="4" s="1"/>
  <c r="Z220" i="4"/>
  <c r="E220" i="4" s="1"/>
  <c r="AD47" i="4"/>
  <c r="I47" i="4" s="1"/>
  <c r="I81" i="6" s="1"/>
  <c r="Z176" i="4"/>
  <c r="E176" i="4" s="1"/>
  <c r="AC90" i="4"/>
  <c r="H90" i="4" s="1"/>
  <c r="AD46" i="4"/>
  <c r="I46" i="4" s="1"/>
  <c r="I31" i="6" s="1"/>
  <c r="AD90" i="4"/>
  <c r="I90" i="4" s="1"/>
  <c r="AC220" i="4"/>
  <c r="H220" i="4" s="1"/>
  <c r="Z65" i="4"/>
  <c r="E65" i="4" s="1"/>
  <c r="AB221" i="4"/>
  <c r="G221" i="4" s="1"/>
  <c r="Z222" i="4"/>
  <c r="E222" i="4" s="1"/>
  <c r="AD65" i="4"/>
  <c r="I65" i="4" s="1"/>
  <c r="K260" i="19"/>
  <c r="H214" i="2"/>
  <c r="E220" i="2"/>
  <c r="D220" i="1" s="1"/>
  <c r="H217" i="2"/>
  <c r="K653" i="18"/>
  <c r="AC18" i="4"/>
  <c r="H18" i="4" s="1"/>
  <c r="AA176" i="4"/>
  <c r="F176" i="4" s="1"/>
  <c r="I213" i="2"/>
  <c r="G220" i="2"/>
  <c r="I220" i="2"/>
  <c r="H599" i="19"/>
  <c r="K619" i="18"/>
  <c r="K862" i="18"/>
  <c r="AA47" i="4"/>
  <c r="F47" i="4" s="1"/>
  <c r="F81" i="6" s="1"/>
  <c r="AC176" i="4"/>
  <c r="H176" i="4" s="1"/>
  <c r="AD176" i="4"/>
  <c r="I176" i="4" s="1"/>
  <c r="K750" i="6"/>
  <c r="H601" i="19"/>
  <c r="G219" i="2"/>
  <c r="H612" i="19"/>
  <c r="H218" i="2"/>
  <c r="H220" i="2"/>
  <c r="E601" i="19"/>
  <c r="G598" i="19"/>
  <c r="K261" i="19"/>
  <c r="G609" i="19"/>
  <c r="K441" i="18"/>
  <c r="H213" i="2"/>
  <c r="K284" i="19"/>
  <c r="E612" i="19"/>
  <c r="I600" i="19"/>
  <c r="G214" i="2"/>
  <c r="E599" i="19"/>
  <c r="G610" i="19"/>
  <c r="G600" i="19"/>
  <c r="E213" i="2"/>
  <c r="D213" i="1" s="1"/>
  <c r="K536" i="19"/>
  <c r="K283" i="19"/>
  <c r="H610" i="19"/>
  <c r="I218" i="2"/>
  <c r="G601" i="19"/>
  <c r="I611" i="19"/>
  <c r="E598" i="19"/>
  <c r="H219" i="2"/>
  <c r="E219" i="2"/>
  <c r="D219" i="1" s="1"/>
  <c r="E610" i="19"/>
  <c r="I612" i="19"/>
  <c r="G218" i="2"/>
  <c r="G611" i="19"/>
  <c r="I835" i="18"/>
  <c r="I601" i="19"/>
  <c r="G612" i="19"/>
  <c r="G697" i="6"/>
  <c r="I610" i="19"/>
  <c r="K65" i="6"/>
  <c r="E55" i="31"/>
  <c r="D61" i="31" s="1"/>
  <c r="E872" i="18"/>
  <c r="I262" i="7"/>
  <c r="G230" i="11"/>
  <c r="G269" i="64"/>
  <c r="I231" i="64"/>
  <c r="D19" i="26"/>
  <c r="D174" i="26" s="1"/>
  <c r="I609" i="19"/>
  <c r="G231" i="64"/>
  <c r="I697" i="6"/>
  <c r="AA18" i="4"/>
  <c r="F18" i="4" s="1"/>
  <c r="H598" i="19"/>
  <c r="I599" i="19"/>
  <c r="H611" i="19"/>
  <c r="H600" i="19"/>
  <c r="K256" i="64"/>
  <c r="AD18" i="4"/>
  <c r="I18" i="4" s="1"/>
  <c r="K479" i="19"/>
  <c r="G599" i="19"/>
  <c r="E104" i="31"/>
  <c r="D111" i="31" s="1"/>
  <c r="F69" i="31"/>
  <c r="H69" i="31"/>
  <c r="K859" i="18"/>
  <c r="I69" i="31"/>
  <c r="E69" i="31"/>
  <c r="K66" i="6"/>
  <c r="K15" i="6"/>
  <c r="E27" i="31"/>
  <c r="F238" i="64"/>
  <c r="F842" i="18"/>
  <c r="E103" i="31"/>
  <c r="D110" i="31" s="1"/>
  <c r="E230" i="11"/>
  <c r="F231" i="64"/>
  <c r="G85" i="19"/>
  <c r="G86" i="19" s="1"/>
  <c r="I16" i="6"/>
  <c r="K624" i="18"/>
  <c r="K259" i="64"/>
  <c r="AD8" i="4"/>
  <c r="I8" i="4" s="1"/>
  <c r="G230" i="7"/>
  <c r="AB10" i="4" s="1"/>
  <c r="G10" i="4" s="1"/>
  <c r="K670" i="6"/>
  <c r="H835" i="18"/>
  <c r="AC47" i="4"/>
  <c r="H47" i="4" s="1"/>
  <c r="H81" i="6" s="1"/>
  <c r="K446" i="18"/>
  <c r="E231" i="64"/>
  <c r="G493" i="6"/>
  <c r="G238" i="6"/>
  <c r="I493" i="6"/>
  <c r="I238" i="6"/>
  <c r="H238" i="6"/>
  <c r="H493" i="6"/>
  <c r="E493" i="6"/>
  <c r="E238" i="6"/>
  <c r="K51" i="6"/>
  <c r="E53" i="6"/>
  <c r="M180" i="8"/>
  <c r="M181" i="8" s="1"/>
  <c r="M182" i="8" s="1"/>
  <c r="F493" i="6"/>
  <c r="F238" i="6"/>
  <c r="K174" i="18"/>
  <c r="H566" i="19"/>
  <c r="H567" i="19"/>
  <c r="H147" i="2" s="1"/>
  <c r="G566" i="19"/>
  <c r="G567" i="19"/>
  <c r="G147" i="2" s="1"/>
  <c r="E136" i="19"/>
  <c r="E105" i="19"/>
  <c r="M223" i="8"/>
  <c r="H56" i="31"/>
  <c r="F106" i="31"/>
  <c r="F102" i="31"/>
  <c r="F105" i="31"/>
  <c r="H237" i="7"/>
  <c r="H228" i="11" s="1"/>
  <c r="H242" i="7"/>
  <c r="H244" i="7" s="1"/>
  <c r="H271" i="7"/>
  <c r="H290" i="7"/>
  <c r="H294" i="7"/>
  <c r="H1120" i="7"/>
  <c r="H287" i="7"/>
  <c r="H1112" i="7"/>
  <c r="H1113" i="7"/>
  <c r="H293" i="7"/>
  <c r="H272" i="7"/>
  <c r="H289" i="7"/>
  <c r="H288" i="7"/>
  <c r="H223" i="7"/>
  <c r="H1116" i="7"/>
  <c r="H248" i="7"/>
  <c r="H1115" i="7"/>
  <c r="H280" i="7"/>
  <c r="H1110" i="7"/>
  <c r="H1111" i="7"/>
  <c r="H257" i="7"/>
  <c r="H1118" i="7"/>
  <c r="H268" i="7"/>
  <c r="H1108" i="7"/>
  <c r="H1117" i="7"/>
  <c r="H1119" i="7"/>
  <c r="H224" i="7"/>
  <c r="H276" i="7"/>
  <c r="H1114" i="7"/>
  <c r="H279" i="7"/>
  <c r="H249" i="7"/>
  <c r="H286" i="7"/>
  <c r="H228" i="7"/>
  <c r="H256" i="7"/>
  <c r="H267" i="7"/>
  <c r="H275" i="7"/>
  <c r="H253" i="7"/>
  <c r="H218" i="7"/>
  <c r="H252" i="7"/>
  <c r="H212" i="7"/>
  <c r="H251" i="7"/>
  <c r="AC62" i="4" s="1"/>
  <c r="H62" i="4" s="1"/>
  <c r="H262" i="7"/>
  <c r="H216" i="7"/>
  <c r="H230" i="7"/>
  <c r="AC10" i="4" s="1"/>
  <c r="H10" i="4" s="1"/>
  <c r="H234" i="7"/>
  <c r="H238" i="7" s="1"/>
  <c r="H219" i="7"/>
  <c r="H1109" i="7"/>
  <c r="H261" i="7"/>
  <c r="H282" i="7"/>
  <c r="AC99" i="4" s="1"/>
  <c r="H99" i="4" s="1"/>
  <c r="H264" i="7"/>
  <c r="H211" i="7"/>
  <c r="H231" i="7"/>
  <c r="H410" i="11" s="1"/>
  <c r="E103" i="2"/>
  <c r="K718" i="6"/>
  <c r="G105" i="31"/>
  <c r="G103" i="31"/>
  <c r="G102" i="31"/>
  <c r="G104" i="31"/>
  <c r="H235" i="7"/>
  <c r="H239" i="7" s="1"/>
  <c r="G238" i="64"/>
  <c r="G842" i="18"/>
  <c r="F567" i="19"/>
  <c r="F147" i="2" s="1"/>
  <c r="I567" i="19"/>
  <c r="I147" i="2" s="1"/>
  <c r="H215" i="7"/>
  <c r="K746" i="6"/>
  <c r="E57" i="31"/>
  <c r="D63" i="31" s="1"/>
  <c r="F27" i="31"/>
  <c r="G106" i="31"/>
  <c r="K6" i="26"/>
  <c r="I53" i="6"/>
  <c r="H105" i="19"/>
  <c r="H136" i="19"/>
  <c r="F105" i="19"/>
  <c r="F136" i="19"/>
  <c r="I85" i="19"/>
  <c r="I116" i="19"/>
  <c r="G117" i="19"/>
  <c r="G118" i="19"/>
  <c r="H227" i="7"/>
  <c r="H229" i="11" s="1"/>
  <c r="H88" i="18"/>
  <c r="F87" i="18"/>
  <c r="G69" i="31"/>
  <c r="I230" i="11"/>
  <c r="K768" i="6"/>
  <c r="M92" i="8"/>
  <c r="E95" i="19"/>
  <c r="E126" i="19"/>
  <c r="H27" i="31"/>
  <c r="F230" i="11"/>
  <c r="F411" i="11"/>
  <c r="F54" i="31"/>
  <c r="H57" i="31"/>
  <c r="I104" i="31"/>
  <c r="F104" i="31"/>
  <c r="G55" i="31"/>
  <c r="I842" i="18"/>
  <c r="I238" i="64"/>
  <c r="E567" i="19"/>
  <c r="E566" i="19"/>
  <c r="E56" i="31"/>
  <c r="D62" i="31" s="1"/>
  <c r="F53" i="6"/>
  <c r="H238" i="64"/>
  <c r="H842" i="18"/>
  <c r="E85" i="19"/>
  <c r="E116" i="19"/>
  <c r="G53" i="6"/>
  <c r="I102" i="31"/>
  <c r="H103" i="31"/>
  <c r="G27" i="31"/>
  <c r="H53" i="6"/>
  <c r="K5" i="26"/>
  <c r="H106" i="31"/>
  <c r="G54" i="31"/>
  <c r="G57" i="31"/>
  <c r="G56" i="31"/>
  <c r="H220" i="7"/>
  <c r="H87" i="18"/>
  <c r="G34" i="15"/>
  <c r="E105" i="31"/>
  <c r="D112" i="31" s="1"/>
  <c r="E106" i="31"/>
  <c r="D113" i="31" s="1"/>
  <c r="E102" i="31"/>
  <c r="D109" i="31" s="1"/>
  <c r="F251" i="7"/>
  <c r="AA62" i="4" s="1"/>
  <c r="F62" i="4" s="1"/>
  <c r="K681" i="6"/>
  <c r="E683" i="6"/>
  <c r="I27" i="31"/>
  <c r="H116" i="19"/>
  <c r="H85" i="19"/>
  <c r="I55" i="31"/>
  <c r="I105" i="19"/>
  <c r="I136" i="19"/>
  <c r="E269" i="64"/>
  <c r="F103" i="31"/>
  <c r="I106" i="31"/>
  <c r="H105" i="31"/>
  <c r="H230" i="11"/>
  <c r="G872" i="18"/>
  <c r="I269" i="64"/>
  <c r="H872" i="18"/>
  <c r="F697" i="6"/>
  <c r="E54" i="31"/>
  <c r="D60" i="31" s="1"/>
  <c r="F55" i="31"/>
  <c r="I57" i="31"/>
  <c r="H54" i="31"/>
  <c r="F422" i="19"/>
  <c r="F477" i="19"/>
  <c r="F478" i="19" s="1"/>
  <c r="I422" i="19"/>
  <c r="F126" i="19"/>
  <c r="F95" i="19"/>
  <c r="I126" i="19"/>
  <c r="I95" i="19"/>
  <c r="I105" i="31"/>
  <c r="I103" i="31"/>
  <c r="F57" i="31"/>
  <c r="I54" i="31"/>
  <c r="H422" i="19"/>
  <c r="G136" i="19"/>
  <c r="G105" i="19"/>
  <c r="E835" i="18"/>
  <c r="H104" i="31"/>
  <c r="H102" i="31"/>
  <c r="H231" i="64"/>
  <c r="H269" i="64"/>
  <c r="F835" i="18"/>
  <c r="F872" i="18"/>
  <c r="K706" i="6"/>
  <c r="F56" i="31"/>
  <c r="I56" i="31"/>
  <c r="H55" i="31"/>
  <c r="G422" i="19"/>
  <c r="F85" i="19"/>
  <c r="F116" i="19"/>
  <c r="H95" i="19"/>
  <c r="H126" i="19"/>
  <c r="E422" i="19"/>
  <c r="G95" i="19"/>
  <c r="G126" i="19"/>
  <c r="G389" i="12" l="1"/>
  <c r="G392" i="12" s="1"/>
  <c r="E405" i="12"/>
  <c r="E408" i="12" s="1"/>
  <c r="H397" i="12"/>
  <c r="H400" i="12" s="1"/>
  <c r="I389" i="12"/>
  <c r="I392" i="12" s="1"/>
  <c r="H389" i="12"/>
  <c r="H392" i="12" s="1"/>
  <c r="E389" i="12"/>
  <c r="E392" i="12" s="1"/>
  <c r="G405" i="12"/>
  <c r="G408" i="12" s="1"/>
  <c r="G397" i="12"/>
  <c r="G400" i="12" s="1"/>
  <c r="I405" i="12"/>
  <c r="I408" i="12" s="1"/>
  <c r="F405" i="12"/>
  <c r="F408" i="12" s="1"/>
  <c r="E397" i="12"/>
  <c r="E400" i="12" s="1"/>
  <c r="F397" i="12"/>
  <c r="F400" i="12" s="1"/>
  <c r="H405" i="12"/>
  <c r="H408" i="12" s="1"/>
  <c r="I397" i="12"/>
  <c r="I400" i="12" s="1"/>
  <c r="I570" i="19"/>
  <c r="I572" i="19" s="1"/>
  <c r="I568" i="19"/>
  <c r="H570" i="19"/>
  <c r="H572" i="19" s="1"/>
  <c r="H568" i="19"/>
  <c r="F570" i="19"/>
  <c r="F572" i="19" s="1"/>
  <c r="F568" i="19"/>
  <c r="G570" i="19"/>
  <c r="G572" i="19" s="1"/>
  <c r="G568" i="19"/>
  <c r="Q14" i="55"/>
  <c r="Q16" i="55"/>
  <c r="AC87" i="4"/>
  <c r="H87" i="4" s="1"/>
  <c r="H798" i="18" s="1"/>
  <c r="E155" i="28"/>
  <c r="E157" i="28" s="1"/>
  <c r="E158" i="28" s="1"/>
  <c r="E159" i="28" s="1"/>
  <c r="I68" i="27"/>
  <c r="I70" i="27" s="1"/>
  <c r="I71" i="27" s="1"/>
  <c r="G183" i="6"/>
  <c r="G438" i="6"/>
  <c r="I438" i="6"/>
  <c r="I183" i="6"/>
  <c r="H438" i="6"/>
  <c r="H183" i="6"/>
  <c r="K16" i="6"/>
  <c r="I168" i="6"/>
  <c r="K168" i="6" s="1"/>
  <c r="I423" i="6"/>
  <c r="K423" i="6" s="1"/>
  <c r="E438" i="6"/>
  <c r="E183" i="6"/>
  <c r="F438" i="6"/>
  <c r="F183" i="6"/>
  <c r="I155" i="28"/>
  <c r="I157" i="28" s="1"/>
  <c r="I158" i="28" s="1"/>
  <c r="I159" i="28" s="1"/>
  <c r="E153" i="27"/>
  <c r="E155" i="27" s="1"/>
  <c r="E156" i="27" s="1"/>
  <c r="E157" i="27" s="1"/>
  <c r="F81" i="27"/>
  <c r="F83" i="27" s="1"/>
  <c r="F84" i="27" s="1"/>
  <c r="H153" i="27"/>
  <c r="H155" i="27" s="1"/>
  <c r="H156" i="27" s="1"/>
  <c r="H157" i="27" s="1"/>
  <c r="F153" i="27"/>
  <c r="F155" i="27" s="1"/>
  <c r="F156" i="27" s="1"/>
  <c r="F157" i="27" s="1"/>
  <c r="G155" i="28"/>
  <c r="G157" i="28" s="1"/>
  <c r="G158" i="28" s="1"/>
  <c r="G159" i="28" s="1"/>
  <c r="E69" i="28"/>
  <c r="E71" i="28" s="1"/>
  <c r="E72" i="28" s="1"/>
  <c r="I153" i="27"/>
  <c r="I155" i="27" s="1"/>
  <c r="I156" i="27" s="1"/>
  <c r="I157" i="27" s="1"/>
  <c r="I82" i="28"/>
  <c r="I84" i="28" s="1"/>
  <c r="I85" i="28" s="1"/>
  <c r="G153" i="27"/>
  <c r="G155" i="27" s="1"/>
  <c r="G156" i="27" s="1"/>
  <c r="G157" i="27" s="1"/>
  <c r="H155" i="28"/>
  <c r="H157" i="28" s="1"/>
  <c r="H158" i="28" s="1"/>
  <c r="H159" i="28" s="1"/>
  <c r="H82" i="28"/>
  <c r="H84" i="28" s="1"/>
  <c r="H85" i="28" s="1"/>
  <c r="F82" i="28"/>
  <c r="F84" i="28" s="1"/>
  <c r="F85" i="28" s="1"/>
  <c r="F155" i="28"/>
  <c r="F157" i="28" s="1"/>
  <c r="F158" i="28" s="1"/>
  <c r="F159" i="28" s="1"/>
  <c r="H68" i="27"/>
  <c r="H70" i="27" s="1"/>
  <c r="H71" i="27" s="1"/>
  <c r="G82" i="28"/>
  <c r="G84" i="28" s="1"/>
  <c r="G85" i="28" s="1"/>
  <c r="G154" i="10"/>
  <c r="G156" i="10" s="1"/>
  <c r="G157" i="10" s="1"/>
  <c r="G158" i="10" s="1"/>
  <c r="I154" i="10"/>
  <c r="I156" i="10" s="1"/>
  <c r="I157" i="10" s="1"/>
  <c r="I158" i="10" s="1"/>
  <c r="G68" i="10"/>
  <c r="G70" i="10" s="1"/>
  <c r="G71" i="10" s="1"/>
  <c r="H154" i="10"/>
  <c r="H156" i="10" s="1"/>
  <c r="H157" i="10" s="1"/>
  <c r="H158" i="10" s="1"/>
  <c r="H81" i="10"/>
  <c r="H83" i="10" s="1"/>
  <c r="H84" i="10" s="1"/>
  <c r="F154" i="10"/>
  <c r="F156" i="10" s="1"/>
  <c r="F157" i="10" s="1"/>
  <c r="F158" i="10" s="1"/>
  <c r="F81" i="10"/>
  <c r="F83" i="10" s="1"/>
  <c r="F84" i="10" s="1"/>
  <c r="E154" i="10"/>
  <c r="E156" i="10" s="1"/>
  <c r="E157" i="10" s="1"/>
  <c r="E158" i="10" s="1"/>
  <c r="E68" i="10"/>
  <c r="E70" i="10" s="1"/>
  <c r="E71" i="10" s="1"/>
  <c r="G81" i="27"/>
  <c r="G83" i="27" s="1"/>
  <c r="G84" i="27" s="1"/>
  <c r="E303" i="19"/>
  <c r="E662" i="18" s="1"/>
  <c r="H392" i="6"/>
  <c r="G159" i="64"/>
  <c r="F677" i="18"/>
  <c r="F173" i="64"/>
  <c r="G137" i="6"/>
  <c r="E30" i="19"/>
  <c r="E115" i="2" s="1"/>
  <c r="G662" i="18"/>
  <c r="E55" i="19"/>
  <c r="E128" i="2" s="1"/>
  <c r="I137" i="6"/>
  <c r="G55" i="43"/>
  <c r="G518" i="18"/>
  <c r="K177" i="18"/>
  <c r="H412" i="11"/>
  <c r="G790" i="18"/>
  <c r="G316" i="11"/>
  <c r="G301" i="18"/>
  <c r="H176" i="11"/>
  <c r="E186" i="11"/>
  <c r="I187" i="11"/>
  <c r="E176" i="11"/>
  <c r="F186" i="11"/>
  <c r="E338" i="18"/>
  <c r="F181" i="11"/>
  <c r="H181" i="11"/>
  <c r="H186" i="11"/>
  <c r="I338" i="18"/>
  <c r="G187" i="11"/>
  <c r="G181" i="11"/>
  <c r="G183" i="11" s="1"/>
  <c r="I301" i="18"/>
  <c r="F662" i="18"/>
  <c r="F55" i="19"/>
  <c r="I316" i="11"/>
  <c r="G553" i="18"/>
  <c r="H518" i="18"/>
  <c r="H81" i="27"/>
  <c r="H83" i="27" s="1"/>
  <c r="H84" i="27" s="1"/>
  <c r="E316" i="11"/>
  <c r="I662" i="18"/>
  <c r="I488" i="6"/>
  <c r="K488" i="6" s="1"/>
  <c r="E181" i="11"/>
  <c r="E183" i="11" s="1"/>
  <c r="G297" i="11"/>
  <c r="G69" i="28"/>
  <c r="G71" i="28" s="1"/>
  <c r="G72" i="28" s="1"/>
  <c r="G233" i="6"/>
  <c r="I553" i="18"/>
  <c r="F159" i="64"/>
  <c r="H182" i="11"/>
  <c r="F374" i="18"/>
  <c r="I159" i="64"/>
  <c r="G335" i="11"/>
  <c r="G293" i="7"/>
  <c r="I1117" i="7"/>
  <c r="I280" i="7"/>
  <c r="I267" i="7"/>
  <c r="G1113" i="7"/>
  <c r="F187" i="11"/>
  <c r="I69" i="28"/>
  <c r="I71" i="28" s="1"/>
  <c r="I72" i="28" s="1"/>
  <c r="K173" i="18"/>
  <c r="G252" i="7"/>
  <c r="G279" i="7"/>
  <c r="I335" i="11"/>
  <c r="F137" i="6"/>
  <c r="K152" i="6"/>
  <c r="G1119" i="7"/>
  <c r="G276" i="7"/>
  <c r="G216" i="7"/>
  <c r="G280" i="7"/>
  <c r="G288" i="7"/>
  <c r="G1116" i="7"/>
  <c r="G1114" i="7"/>
  <c r="G1111" i="7"/>
  <c r="G219" i="7"/>
  <c r="G227" i="11" s="1"/>
  <c r="E82" i="28"/>
  <c r="E84" i="28" s="1"/>
  <c r="E85" i="28" s="1"/>
  <c r="G539" i="6"/>
  <c r="G771" i="18"/>
  <c r="H316" i="11"/>
  <c r="I268" i="7"/>
  <c r="I290" i="7"/>
  <c r="I216" i="7"/>
  <c r="I1113" i="7"/>
  <c r="I1115" i="7"/>
  <c r="I212" i="7"/>
  <c r="G251" i="7"/>
  <c r="AB62" i="4" s="1"/>
  <c r="G62" i="4" s="1"/>
  <c r="G780" i="18" s="1"/>
  <c r="G218" i="7"/>
  <c r="G1118" i="7"/>
  <c r="G294" i="7"/>
  <c r="G1115" i="7"/>
  <c r="G290" i="7"/>
  <c r="G271" i="7"/>
  <c r="G257" i="7"/>
  <c r="G249" i="7"/>
  <c r="G275" i="7"/>
  <c r="G272" i="7"/>
  <c r="G223" i="7"/>
  <c r="G88" i="18"/>
  <c r="I1108" i="7"/>
  <c r="G268" i="7"/>
  <c r="G287" i="7"/>
  <c r="G228" i="7"/>
  <c r="G1112" i="7"/>
  <c r="G256" i="7"/>
  <c r="G248" i="7"/>
  <c r="G1120" i="7"/>
  <c r="G1117" i="7"/>
  <c r="G253" i="7"/>
  <c r="G1110" i="7"/>
  <c r="G224" i="7"/>
  <c r="G289" i="7"/>
  <c r="G1108" i="7"/>
  <c r="G267" i="7"/>
  <c r="G286" i="7"/>
  <c r="G212" i="7"/>
  <c r="G262" i="7"/>
  <c r="I264" i="7"/>
  <c r="I282" i="7"/>
  <c r="AD99" i="4" s="1"/>
  <c r="I99" i="4" s="1"/>
  <c r="I544" i="6" s="1"/>
  <c r="I595" i="6" s="1"/>
  <c r="I261" i="7"/>
  <c r="I252" i="7"/>
  <c r="I287" i="7"/>
  <c r="I279" i="7"/>
  <c r="I257" i="7"/>
  <c r="I288" i="7"/>
  <c r="I218" i="7"/>
  <c r="I1111" i="7"/>
  <c r="I1116" i="7"/>
  <c r="I219" i="7"/>
  <c r="I227" i="11" s="1"/>
  <c r="I1109" i="7"/>
  <c r="I253" i="7"/>
  <c r="I224" i="7"/>
  <c r="I271" i="7"/>
  <c r="I293" i="7"/>
  <c r="I1119" i="7"/>
  <c r="I248" i="7"/>
  <c r="I256" i="7"/>
  <c r="I1112" i="7"/>
  <c r="I276" i="7"/>
  <c r="I289" i="7"/>
  <c r="I275" i="7"/>
  <c r="I294" i="7"/>
  <c r="I1110" i="7"/>
  <c r="I1114" i="7"/>
  <c r="I215" i="7"/>
  <c r="I230" i="7"/>
  <c r="AD10" i="4" s="1"/>
  <c r="I10" i="4" s="1"/>
  <c r="I43" i="19" s="1"/>
  <c r="I228" i="7"/>
  <c r="AD28" i="4" s="1"/>
  <c r="I28" i="4" s="1"/>
  <c r="I1118" i="7"/>
  <c r="I286" i="7"/>
  <c r="I272" i="7"/>
  <c r="I223" i="7"/>
  <c r="I1120" i="7"/>
  <c r="I249" i="7"/>
  <c r="O64" i="36"/>
  <c r="I483" i="18"/>
  <c r="G36" i="19"/>
  <c r="G118" i="2" s="1"/>
  <c r="G30" i="19"/>
  <c r="G115" i="2" s="1"/>
  <c r="I182" i="11"/>
  <c r="E74" i="11"/>
  <c r="F49" i="19"/>
  <c r="F125" i="2" s="1"/>
  <c r="G374" i="18"/>
  <c r="I297" i="11"/>
  <c r="H159" i="64"/>
  <c r="E789" i="18"/>
  <c r="E132" i="6"/>
  <c r="G37" i="43" s="1"/>
  <c r="E790" i="18"/>
  <c r="E233" i="6"/>
  <c r="I37" i="43" s="1"/>
  <c r="E771" i="18"/>
  <c r="H173" i="64"/>
  <c r="G772" i="18"/>
  <c r="H36" i="19"/>
  <c r="H118" i="2" s="1"/>
  <c r="E392" i="6"/>
  <c r="H77" i="60" s="1"/>
  <c r="I132" i="6"/>
  <c r="F553" i="18"/>
  <c r="F176" i="11"/>
  <c r="I771" i="18"/>
  <c r="E418" i="18"/>
  <c r="K418" i="18" s="1"/>
  <c r="G173" i="64"/>
  <c r="I186" i="11"/>
  <c r="E374" i="18"/>
  <c r="G278" i="11"/>
  <c r="E560" i="19"/>
  <c r="E568" i="19" s="1"/>
  <c r="C45" i="60"/>
  <c r="G677" i="18"/>
  <c r="I278" i="11"/>
  <c r="I374" i="18"/>
  <c r="K253" i="6"/>
  <c r="F301" i="18"/>
  <c r="E187" i="11"/>
  <c r="I30" i="19"/>
  <c r="I115" i="2" s="1"/>
  <c r="F68" i="10"/>
  <c r="F70" i="10" s="1"/>
  <c r="F71" i="10" s="1"/>
  <c r="G284" i="6"/>
  <c r="F177" i="11"/>
  <c r="I355" i="11"/>
  <c r="I387" i="6"/>
  <c r="E301" i="18"/>
  <c r="F335" i="11"/>
  <c r="H539" i="6"/>
  <c r="F483" i="18"/>
  <c r="I539" i="6"/>
  <c r="H74" i="11"/>
  <c r="H772" i="18"/>
  <c r="F69" i="28"/>
  <c r="F71" i="28" s="1"/>
  <c r="F72" i="28" s="1"/>
  <c r="E355" i="6"/>
  <c r="E457" i="18" s="1"/>
  <c r="H297" i="11"/>
  <c r="I36" i="19"/>
  <c r="I118" i="2" s="1"/>
  <c r="E177" i="11"/>
  <c r="H177" i="11"/>
  <c r="H68" i="10"/>
  <c r="H70" i="10" s="1"/>
  <c r="H71" i="10" s="1"/>
  <c r="G87" i="19"/>
  <c r="G198" i="19" s="1"/>
  <c r="H789" i="18"/>
  <c r="F259" i="11"/>
  <c r="H387" i="6"/>
  <c r="K55" i="43"/>
  <c r="H483" i="18"/>
  <c r="E772" i="18"/>
  <c r="E483" i="18"/>
  <c r="I68" i="10"/>
  <c r="I70" i="10" s="1"/>
  <c r="I71" i="10" s="1"/>
  <c r="E68" i="27"/>
  <c r="E70" i="27" s="1"/>
  <c r="E71" i="27" s="1"/>
  <c r="E808" i="18"/>
  <c r="I173" i="64"/>
  <c r="I181" i="11"/>
  <c r="H338" i="18"/>
  <c r="I233" i="6"/>
  <c r="H259" i="11"/>
  <c r="G808" i="18"/>
  <c r="E807" i="18"/>
  <c r="H187" i="11"/>
  <c r="G177" i="11"/>
  <c r="G338" i="18"/>
  <c r="G132" i="6"/>
  <c r="H790" i="18"/>
  <c r="G74" i="11"/>
  <c r="F316" i="11"/>
  <c r="H335" i="11"/>
  <c r="E335" i="11"/>
  <c r="G355" i="6"/>
  <c r="G457" i="18" s="1"/>
  <c r="E553" i="18"/>
  <c r="G81" i="10"/>
  <c r="G83" i="10" s="1"/>
  <c r="G84" i="10" s="1"/>
  <c r="I81" i="27"/>
  <c r="I83" i="27" s="1"/>
  <c r="I84" i="27" s="1"/>
  <c r="F233" i="6"/>
  <c r="H807" i="18"/>
  <c r="F789" i="18"/>
  <c r="F74" i="11"/>
  <c r="G483" i="18"/>
  <c r="H301" i="18"/>
  <c r="G186" i="11"/>
  <c r="I355" i="6"/>
  <c r="I457" i="18" s="1"/>
  <c r="I677" i="18"/>
  <c r="F338" i="18"/>
  <c r="I518" i="18"/>
  <c r="H771" i="18"/>
  <c r="H662" i="18"/>
  <c r="I74" i="11"/>
  <c r="F790" i="18"/>
  <c r="H284" i="6"/>
  <c r="F355" i="6"/>
  <c r="F83" i="64" s="1"/>
  <c r="F807" i="18"/>
  <c r="F132" i="6"/>
  <c r="I284" i="6"/>
  <c r="G68" i="27"/>
  <c r="G70" i="27" s="1"/>
  <c r="G71" i="27" s="1"/>
  <c r="E431" i="18"/>
  <c r="K431" i="18" s="1"/>
  <c r="E278" i="11"/>
  <c r="F539" i="6"/>
  <c r="E539" i="6"/>
  <c r="K36" i="36" s="1"/>
  <c r="F518" i="18"/>
  <c r="E518" i="18"/>
  <c r="I81" i="10"/>
  <c r="I83" i="10" s="1"/>
  <c r="I84" i="10" s="1"/>
  <c r="E81" i="10"/>
  <c r="E83" i="10" s="1"/>
  <c r="E84" i="10" s="1"/>
  <c r="E81" i="27"/>
  <c r="E83" i="27" s="1"/>
  <c r="E84" i="27" s="1"/>
  <c r="H374" i="18"/>
  <c r="H355" i="6"/>
  <c r="H457" i="18" s="1"/>
  <c r="F182" i="11"/>
  <c r="F68" i="27"/>
  <c r="F70" i="27" s="1"/>
  <c r="F71" i="27" s="1"/>
  <c r="F278" i="11"/>
  <c r="F772" i="18"/>
  <c r="H808" i="18"/>
  <c r="K557" i="19"/>
  <c r="K763" i="19"/>
  <c r="K764" i="19"/>
  <c r="H677" i="18"/>
  <c r="K665" i="6"/>
  <c r="G264" i="7"/>
  <c r="H30" i="19"/>
  <c r="F355" i="11"/>
  <c r="H69" i="28"/>
  <c r="H71" i="28" s="1"/>
  <c r="H72" i="28" s="1"/>
  <c r="K304" i="6"/>
  <c r="H553" i="18"/>
  <c r="G176" i="11"/>
  <c r="E251" i="7"/>
  <c r="Z62" i="4" s="1"/>
  <c r="E62" i="4" s="1"/>
  <c r="E780" i="18" s="1"/>
  <c r="AC28" i="4"/>
  <c r="H28" i="4" s="1"/>
  <c r="G1109" i="7"/>
  <c r="G261" i="7"/>
  <c r="K697" i="6"/>
  <c r="K231" i="64"/>
  <c r="K566" i="19"/>
  <c r="H569" i="19"/>
  <c r="K611" i="19"/>
  <c r="K610" i="19"/>
  <c r="K601" i="19"/>
  <c r="AC11" i="4"/>
  <c r="H11" i="4" s="1"/>
  <c r="H173" i="19" s="1"/>
  <c r="H175" i="19" s="1"/>
  <c r="E1119" i="7"/>
  <c r="E215" i="7"/>
  <c r="E211" i="7"/>
  <c r="E226" i="11" s="1"/>
  <c r="E276" i="7"/>
  <c r="E219" i="7"/>
  <c r="E227" i="11" s="1"/>
  <c r="E271" i="7"/>
  <c r="E289" i="7"/>
  <c r="I88" i="18"/>
  <c r="E294" i="7"/>
  <c r="E248" i="7"/>
  <c r="E264" i="7"/>
  <c r="G569" i="19"/>
  <c r="I569" i="19"/>
  <c r="E230" i="7"/>
  <c r="Z10" i="4" s="1"/>
  <c r="E10" i="4" s="1"/>
  <c r="E43" i="19" s="1"/>
  <c r="E1109" i="7"/>
  <c r="E1110" i="7"/>
  <c r="E1112" i="7"/>
  <c r="E275" i="7"/>
  <c r="K600" i="19"/>
  <c r="K598" i="19"/>
  <c r="K609" i="19"/>
  <c r="E261" i="7"/>
  <c r="E212" i="7"/>
  <c r="E218" i="7"/>
  <c r="E1116" i="7"/>
  <c r="E223" i="7"/>
  <c r="K167" i="6"/>
  <c r="K612" i="19"/>
  <c r="E253" i="7"/>
  <c r="E228" i="7"/>
  <c r="E256" i="7"/>
  <c r="AC27" i="4"/>
  <c r="H27" i="4" s="1"/>
  <c r="K872" i="18"/>
  <c r="I176" i="11"/>
  <c r="I178" i="11" s="1"/>
  <c r="K599" i="19"/>
  <c r="E262" i="7"/>
  <c r="E293" i="7"/>
  <c r="E1120" i="7"/>
  <c r="E1113" i="7"/>
  <c r="E290" i="7"/>
  <c r="E272" i="7"/>
  <c r="K422" i="6"/>
  <c r="K422" i="19"/>
  <c r="G14" i="6"/>
  <c r="K175" i="18"/>
  <c r="I211" i="7"/>
  <c r="I226" i="11" s="1"/>
  <c r="I227" i="7"/>
  <c r="I229" i="11" s="1"/>
  <c r="I231" i="7"/>
  <c r="I410" i="11" s="1"/>
  <c r="I412" i="11" s="1"/>
  <c r="I242" i="7"/>
  <c r="I244" i="7" s="1"/>
  <c r="I243" i="7"/>
  <c r="I245" i="7" s="1"/>
  <c r="I237" i="7"/>
  <c r="I228" i="11" s="1"/>
  <c r="I234" i="7"/>
  <c r="I238" i="7" s="1"/>
  <c r="I220" i="7"/>
  <c r="I235" i="7"/>
  <c r="I239" i="7" s="1"/>
  <c r="I251" i="7"/>
  <c r="AD62" i="4" s="1"/>
  <c r="I62" i="4" s="1"/>
  <c r="F216" i="7"/>
  <c r="F253" i="7"/>
  <c r="F1110" i="7"/>
  <c r="F215" i="7"/>
  <c r="F264" i="7"/>
  <c r="F218" i="7"/>
  <c r="F249" i="7"/>
  <c r="F1117" i="7"/>
  <c r="F275" i="7"/>
  <c r="F1111" i="7"/>
  <c r="E216" i="7"/>
  <c r="E224" i="7"/>
  <c r="E286" i="7"/>
  <c r="E288" i="7"/>
  <c r="E268" i="7"/>
  <c r="E287" i="7"/>
  <c r="E1111" i="7"/>
  <c r="E280" i="7"/>
  <c r="E1117" i="7"/>
  <c r="E267" i="7"/>
  <c r="E1108" i="7"/>
  <c r="M21" i="45"/>
  <c r="F211" i="7"/>
  <c r="F226" i="11" s="1"/>
  <c r="F1109" i="7"/>
  <c r="F252" i="7"/>
  <c r="F288" i="7"/>
  <c r="F1108" i="7"/>
  <c r="F1112" i="7"/>
  <c r="F268" i="7"/>
  <c r="F248" i="7"/>
  <c r="F1113" i="7"/>
  <c r="F286" i="7"/>
  <c r="F1116" i="7"/>
  <c r="F279" i="7"/>
  <c r="F280" i="7"/>
  <c r="F14" i="6"/>
  <c r="K269" i="64"/>
  <c r="F242" i="7"/>
  <c r="F244" i="7" s="1"/>
  <c r="F262" i="7"/>
  <c r="F230" i="7"/>
  <c r="AA10" i="4" s="1"/>
  <c r="F10" i="4" s="1"/>
  <c r="F24" i="19" s="1"/>
  <c r="F271" i="7"/>
  <c r="F290" i="7"/>
  <c r="F287" i="7"/>
  <c r="F1114" i="7"/>
  <c r="F256" i="7"/>
  <c r="F1119" i="7"/>
  <c r="F272" i="7"/>
  <c r="F1115" i="7"/>
  <c r="G211" i="7"/>
  <c r="G226" i="11" s="1"/>
  <c r="G227" i="7"/>
  <c r="G229" i="11" s="1"/>
  <c r="G282" i="7"/>
  <c r="AB99" i="4" s="1"/>
  <c r="G99" i="4" s="1"/>
  <c r="G237" i="7"/>
  <c r="G228" i="11" s="1"/>
  <c r="G234" i="7"/>
  <c r="G238" i="7" s="1"/>
  <c r="G235" i="7"/>
  <c r="G239" i="7" s="1"/>
  <c r="G231" i="7"/>
  <c r="G410" i="11" s="1"/>
  <c r="G412" i="11" s="1"/>
  <c r="G242" i="7"/>
  <c r="G244" i="7" s="1"/>
  <c r="G220" i="7"/>
  <c r="G243" i="7"/>
  <c r="G245" i="7" s="1"/>
  <c r="G215" i="7"/>
  <c r="M20" i="36"/>
  <c r="M21" i="43"/>
  <c r="AC212" i="4"/>
  <c r="H212" i="4" s="1"/>
  <c r="H101" i="6" s="1"/>
  <c r="AC210" i="4"/>
  <c r="H210" i="4" s="1"/>
  <c r="H407" i="6" s="1"/>
  <c r="H583" i="18" s="1"/>
  <c r="AC216" i="4"/>
  <c r="H216" i="4" s="1"/>
  <c r="H559" i="6" s="1"/>
  <c r="H609" i="18" s="1"/>
  <c r="F780" i="18"/>
  <c r="F184" i="19"/>
  <c r="F186" i="19" s="1"/>
  <c r="K481" i="19"/>
  <c r="E482" i="19"/>
  <c r="H97" i="19"/>
  <c r="H96" i="19"/>
  <c r="H14" i="6"/>
  <c r="I14" i="6"/>
  <c r="K683" i="6"/>
  <c r="E238" i="64"/>
  <c r="K238" i="64" s="1"/>
  <c r="E842" i="18"/>
  <c r="K842" i="18" s="1"/>
  <c r="E118" i="2"/>
  <c r="I128" i="2"/>
  <c r="K37" i="43"/>
  <c r="G121" i="2"/>
  <c r="I86" i="19"/>
  <c r="I87" i="19"/>
  <c r="H107" i="19"/>
  <c r="H106" i="19"/>
  <c r="F220" i="7"/>
  <c r="H227" i="11"/>
  <c r="AC238" i="4"/>
  <c r="H238" i="4" s="1"/>
  <c r="AC106" i="4"/>
  <c r="H106" i="4" s="1"/>
  <c r="AC235" i="4"/>
  <c r="H235" i="4" s="1"/>
  <c r="H678" i="18"/>
  <c r="H379" i="19"/>
  <c r="H362" i="19"/>
  <c r="H174" i="64"/>
  <c r="H176" i="7"/>
  <c r="AC148" i="4" s="1"/>
  <c r="H148" i="4" s="1"/>
  <c r="H361" i="19"/>
  <c r="E138" i="19"/>
  <c r="E137" i="19"/>
  <c r="K136" i="19"/>
  <c r="I37" i="45"/>
  <c r="H692" i="18"/>
  <c r="H160" i="64"/>
  <c r="H663" i="18"/>
  <c r="H319" i="19"/>
  <c r="H302" i="19"/>
  <c r="H301" i="19"/>
  <c r="G97" i="19"/>
  <c r="G96" i="19"/>
  <c r="K538" i="19"/>
  <c r="E539" i="19"/>
  <c r="H128" i="19"/>
  <c r="H127" i="19"/>
  <c r="F86" i="19"/>
  <c r="F87" i="19"/>
  <c r="K533" i="19"/>
  <c r="E534" i="19"/>
  <c r="K835" i="18"/>
  <c r="E118" i="19"/>
  <c r="K116" i="19"/>
  <c r="E117" i="19"/>
  <c r="H125" i="2"/>
  <c r="G125" i="2"/>
  <c r="F137" i="19"/>
  <c r="F138" i="19"/>
  <c r="F115" i="2"/>
  <c r="F243" i="7"/>
  <c r="F245" i="7" s="1"/>
  <c r="H544" i="6"/>
  <c r="H289" i="6"/>
  <c r="H340" i="6" s="1"/>
  <c r="H780" i="18"/>
  <c r="H184" i="19"/>
  <c r="H186" i="19" s="1"/>
  <c r="AC214" i="4"/>
  <c r="H214" i="4" s="1"/>
  <c r="H508" i="6" s="1"/>
  <c r="H596" i="18" s="1"/>
  <c r="G44" i="43"/>
  <c r="G663" i="18"/>
  <c r="G302" i="19"/>
  <c r="G160" i="64"/>
  <c r="G319" i="19"/>
  <c r="G301" i="19"/>
  <c r="K238" i="6"/>
  <c r="K77" i="57"/>
  <c r="I44" i="43"/>
  <c r="I44" i="36"/>
  <c r="G107" i="19"/>
  <c r="G106" i="19"/>
  <c r="F96" i="19"/>
  <c r="F97" i="19"/>
  <c r="I540" i="19"/>
  <c r="I483" i="19"/>
  <c r="F540" i="19"/>
  <c r="F483" i="19"/>
  <c r="I138" i="19"/>
  <c r="I137" i="19"/>
  <c r="G127" i="19"/>
  <c r="G128" i="19"/>
  <c r="E477" i="19"/>
  <c r="K476" i="19"/>
  <c r="G111" i="2"/>
  <c r="H128" i="2"/>
  <c r="F118" i="19"/>
  <c r="F117" i="19"/>
  <c r="G540" i="19"/>
  <c r="G483" i="19"/>
  <c r="G138" i="19"/>
  <c r="G137" i="19"/>
  <c r="H540" i="19"/>
  <c r="H483" i="19"/>
  <c r="G24" i="19"/>
  <c r="G43" i="19"/>
  <c r="I96" i="19"/>
  <c r="I97" i="19"/>
  <c r="F127" i="19"/>
  <c r="F128" i="19"/>
  <c r="I107" i="19"/>
  <c r="I106" i="19"/>
  <c r="H86" i="19"/>
  <c r="H87" i="19"/>
  <c r="F234" i="7"/>
  <c r="F238" i="7" s="1"/>
  <c r="F237" i="7"/>
  <c r="F228" i="11" s="1"/>
  <c r="F235" i="7"/>
  <c r="F239" i="7" s="1"/>
  <c r="F88" i="18"/>
  <c r="F227" i="7"/>
  <c r="F229" i="11" s="1"/>
  <c r="F261" i="7"/>
  <c r="F219" i="7"/>
  <c r="F212" i="7"/>
  <c r="F294" i="7"/>
  <c r="F276" i="7"/>
  <c r="F224" i="7"/>
  <c r="F1120" i="7"/>
  <c r="F257" i="7"/>
  <c r="F223" i="7"/>
  <c r="F228" i="7"/>
  <c r="F267" i="7"/>
  <c r="F293" i="7"/>
  <c r="F289" i="7"/>
  <c r="F1118" i="7"/>
  <c r="K85" i="19"/>
  <c r="E87" i="19"/>
  <c r="E86" i="19"/>
  <c r="K126" i="19"/>
  <c r="E128" i="19"/>
  <c r="E127" i="19"/>
  <c r="F692" i="18"/>
  <c r="E88" i="18"/>
  <c r="E237" i="7"/>
  <c r="E228" i="11" s="1"/>
  <c r="E234" i="7"/>
  <c r="E238" i="7" s="1"/>
  <c r="E227" i="7"/>
  <c r="E229" i="11" s="1"/>
  <c r="E235" i="7"/>
  <c r="E239" i="7" s="1"/>
  <c r="E242" i="7"/>
  <c r="E244" i="7" s="1"/>
  <c r="E231" i="7"/>
  <c r="E410" i="11" s="1"/>
  <c r="E412" i="11" s="1"/>
  <c r="E243" i="7"/>
  <c r="E245" i="7" s="1"/>
  <c r="E282" i="7"/>
  <c r="Z99" i="4" s="1"/>
  <c r="E99" i="4" s="1"/>
  <c r="E252" i="7"/>
  <c r="E1118" i="7"/>
  <c r="E257" i="7"/>
  <c r="E1115" i="7"/>
  <c r="E249" i="7"/>
  <c r="E279" i="7"/>
  <c r="E1114" i="7"/>
  <c r="F106" i="19"/>
  <c r="F107" i="19"/>
  <c r="I125" i="2"/>
  <c r="F282" i="7"/>
  <c r="AA99" i="4" s="1"/>
  <c r="F99" i="4" s="1"/>
  <c r="G692" i="18"/>
  <c r="F231" i="7"/>
  <c r="F410" i="11" s="1"/>
  <c r="F412" i="11" s="1"/>
  <c r="AC105" i="4"/>
  <c r="H105" i="4" s="1"/>
  <c r="H24" i="19"/>
  <c r="H43" i="19"/>
  <c r="AC79" i="4"/>
  <c r="H79" i="4" s="1"/>
  <c r="M224" i="8"/>
  <c r="M225" i="8" s="1"/>
  <c r="M226" i="8" s="1"/>
  <c r="I302" i="19"/>
  <c r="I663" i="18"/>
  <c r="I319" i="19"/>
  <c r="I160" i="64"/>
  <c r="I301" i="19"/>
  <c r="I379" i="19"/>
  <c r="I362" i="19"/>
  <c r="I176" i="7"/>
  <c r="AD148" i="4" s="1"/>
  <c r="I148" i="4" s="1"/>
  <c r="I174" i="64"/>
  <c r="I678" i="18"/>
  <c r="I361" i="19"/>
  <c r="F569" i="19"/>
  <c r="K77" i="60"/>
  <c r="K493" i="6"/>
  <c r="I44" i="45"/>
  <c r="E677" i="18"/>
  <c r="K363" i="19"/>
  <c r="E173" i="64"/>
  <c r="G379" i="19"/>
  <c r="G678" i="18"/>
  <c r="G362" i="19"/>
  <c r="G174" i="64"/>
  <c r="G176" i="7"/>
  <c r="AB148" i="4" s="1"/>
  <c r="G148" i="4" s="1"/>
  <c r="G361" i="19"/>
  <c r="I127" i="19"/>
  <c r="I128" i="19"/>
  <c r="F118" i="2"/>
  <c r="H117" i="19"/>
  <c r="H118" i="19"/>
  <c r="G128" i="2"/>
  <c r="K567" i="19"/>
  <c r="E147" i="2"/>
  <c r="K81" i="6"/>
  <c r="E125" i="2"/>
  <c r="E97" i="19"/>
  <c r="E96" i="19"/>
  <c r="K95" i="19"/>
  <c r="I692" i="18"/>
  <c r="G494" i="19"/>
  <c r="G279" i="11"/>
  <c r="G203" i="19"/>
  <c r="I118" i="19"/>
  <c r="I117" i="19"/>
  <c r="K31" i="6"/>
  <c r="H137" i="19"/>
  <c r="H138" i="19"/>
  <c r="P20" i="14"/>
  <c r="E747" i="6"/>
  <c r="D103" i="1"/>
  <c r="AC78" i="4"/>
  <c r="H78" i="4" s="1"/>
  <c r="H226" i="11"/>
  <c r="E106" i="19"/>
  <c r="E107" i="19"/>
  <c r="K105" i="19"/>
  <c r="K417" i="19"/>
  <c r="N92" i="54"/>
  <c r="E692" i="18"/>
  <c r="G37" i="45"/>
  <c r="F678" i="18"/>
  <c r="F379" i="19"/>
  <c r="F361" i="19"/>
  <c r="F362" i="19"/>
  <c r="F176" i="7"/>
  <c r="AA148" i="4" s="1"/>
  <c r="F148" i="4" s="1"/>
  <c r="F174" i="64"/>
  <c r="K53" i="6"/>
  <c r="F302" i="19"/>
  <c r="F160" i="64"/>
  <c r="F301" i="19"/>
  <c r="F663" i="18"/>
  <c r="F319" i="19"/>
  <c r="K405" i="18"/>
  <c r="K568" i="19" l="1"/>
  <c r="H189" i="19"/>
  <c r="H191" i="19" s="1"/>
  <c r="H38" i="2" s="1"/>
  <c r="O55" i="43"/>
  <c r="AD212" i="4"/>
  <c r="I212" i="4" s="1"/>
  <c r="I101" i="6" s="1"/>
  <c r="I203" i="6" s="1"/>
  <c r="I444" i="18" s="1"/>
  <c r="F18" i="6"/>
  <c r="F22" i="6" s="1"/>
  <c r="H103" i="6"/>
  <c r="H458" i="6"/>
  <c r="H622" i="18" s="1"/>
  <c r="H203" i="6"/>
  <c r="H444" i="18" s="1"/>
  <c r="G18" i="6"/>
  <c r="G22" i="6" s="1"/>
  <c r="E188" i="11"/>
  <c r="E569" i="19"/>
  <c r="K569" i="19" s="1"/>
  <c r="E181" i="5"/>
  <c r="K55" i="19"/>
  <c r="H106" i="28"/>
  <c r="H108" i="28" s="1"/>
  <c r="H109" i="28" s="1"/>
  <c r="H105" i="27"/>
  <c r="H107" i="27" s="1"/>
  <c r="H108" i="27" s="1"/>
  <c r="J86" i="28"/>
  <c r="L81" i="28" s="1"/>
  <c r="H595" i="6"/>
  <c r="H647" i="6" s="1"/>
  <c r="H105" i="10"/>
  <c r="H107" i="10" s="1"/>
  <c r="H108" i="10" s="1"/>
  <c r="E762" i="19"/>
  <c r="K762" i="19" s="1"/>
  <c r="E159" i="64"/>
  <c r="K159" i="64" s="1"/>
  <c r="K303" i="19"/>
  <c r="G590" i="6"/>
  <c r="K137" i="6"/>
  <c r="I188" i="11"/>
  <c r="H188" i="11"/>
  <c r="G188" i="11"/>
  <c r="H178" i="11"/>
  <c r="F183" i="11"/>
  <c r="F188" i="11"/>
  <c r="H183" i="11"/>
  <c r="E178" i="11"/>
  <c r="AB214" i="4"/>
  <c r="G214" i="4" s="1"/>
  <c r="G508" i="6" s="1"/>
  <c r="G596" i="18" s="1"/>
  <c r="F128" i="2"/>
  <c r="D85" i="27"/>
  <c r="I304" i="19"/>
  <c r="I143" i="2" s="1"/>
  <c r="I36" i="36"/>
  <c r="D86" i="28"/>
  <c r="AB28" i="4"/>
  <c r="G28" i="4" s="1"/>
  <c r="AB87" i="4"/>
  <c r="G87" i="4" s="1"/>
  <c r="G798" i="18" s="1"/>
  <c r="AB105" i="4"/>
  <c r="G105" i="4" s="1"/>
  <c r="AD238" i="4"/>
  <c r="I238" i="4" s="1"/>
  <c r="I172" i="18" s="1"/>
  <c r="AB238" i="4"/>
  <c r="G238" i="4" s="1"/>
  <c r="G292" i="19" s="1"/>
  <c r="G433" i="11" s="1"/>
  <c r="AD87" i="4"/>
  <c r="I87" i="4" s="1"/>
  <c r="I189" i="19" s="1"/>
  <c r="I191" i="19" s="1"/>
  <c r="I521" i="6" s="1"/>
  <c r="AB216" i="4"/>
  <c r="G216" i="4" s="1"/>
  <c r="G559" i="6" s="1"/>
  <c r="G609" i="18" s="1"/>
  <c r="AB106" i="4"/>
  <c r="G106" i="4" s="1"/>
  <c r="AD216" i="4"/>
  <c r="I216" i="4" s="1"/>
  <c r="I559" i="6" s="1"/>
  <c r="I609" i="18" s="1"/>
  <c r="AD105" i="4"/>
  <c r="I105" i="4" s="1"/>
  <c r="E83" i="64"/>
  <c r="F457" i="18"/>
  <c r="K457" i="18" s="1"/>
  <c r="G36" i="36"/>
  <c r="D73" i="28"/>
  <c r="G83" i="64"/>
  <c r="AD106" i="4"/>
  <c r="I106" i="4" s="1"/>
  <c r="I24" i="19"/>
  <c r="I112" i="2" s="1"/>
  <c r="AB210" i="4"/>
  <c r="G210" i="4" s="1"/>
  <c r="G407" i="6" s="1"/>
  <c r="G583" i="18" s="1"/>
  <c r="E570" i="19"/>
  <c r="E572" i="19" s="1"/>
  <c r="K572" i="19" s="1"/>
  <c r="G44" i="45"/>
  <c r="G44" i="36"/>
  <c r="K49" i="19"/>
  <c r="G184" i="19"/>
  <c r="G186" i="19" s="1"/>
  <c r="G29" i="2" s="1"/>
  <c r="G421" i="19"/>
  <c r="AB212" i="4"/>
  <c r="G212" i="4" s="1"/>
  <c r="G101" i="6" s="1"/>
  <c r="I289" i="6"/>
  <c r="I340" i="6" s="1"/>
  <c r="I647" i="6" s="1"/>
  <c r="AD214" i="4"/>
  <c r="I214" i="4" s="1"/>
  <c r="I508" i="6" s="1"/>
  <c r="I596" i="18" s="1"/>
  <c r="J73" i="28"/>
  <c r="L74" i="28" s="1"/>
  <c r="K284" i="6"/>
  <c r="J85" i="27"/>
  <c r="K392" i="6"/>
  <c r="AD210" i="4"/>
  <c r="I210" i="4" s="1"/>
  <c r="I407" i="6" s="1"/>
  <c r="I583" i="18" s="1"/>
  <c r="AD79" i="4"/>
  <c r="I79" i="4" s="1"/>
  <c r="AB235" i="4"/>
  <c r="G235" i="4" s="1"/>
  <c r="G169" i="18" s="1"/>
  <c r="Z238" i="4"/>
  <c r="E238" i="4" s="1"/>
  <c r="E172" i="18" s="1"/>
  <c r="H335" i="6"/>
  <c r="K771" i="18"/>
  <c r="Z87" i="4"/>
  <c r="E87" i="4" s="1"/>
  <c r="E189" i="19" s="1"/>
  <c r="E191" i="19" s="1"/>
  <c r="E63" i="2" s="1"/>
  <c r="D63" i="1" s="1"/>
  <c r="K36" i="19"/>
  <c r="K233" i="6"/>
  <c r="K374" i="18"/>
  <c r="K518" i="18"/>
  <c r="I183" i="11"/>
  <c r="D72" i="27"/>
  <c r="F178" i="11"/>
  <c r="G178" i="11"/>
  <c r="I83" i="64"/>
  <c r="K132" i="6"/>
  <c r="K790" i="18"/>
  <c r="K301" i="18"/>
  <c r="K789" i="18"/>
  <c r="F590" i="6"/>
  <c r="K483" i="18"/>
  <c r="K560" i="19"/>
  <c r="K173" i="64"/>
  <c r="K30" i="19"/>
  <c r="K808" i="18"/>
  <c r="J72" i="27"/>
  <c r="H590" i="6"/>
  <c r="K387" i="6"/>
  <c r="D72" i="10"/>
  <c r="G260" i="11"/>
  <c r="I335" i="6"/>
  <c r="K772" i="18"/>
  <c r="I590" i="6"/>
  <c r="K807" i="18"/>
  <c r="K553" i="18"/>
  <c r="K338" i="18"/>
  <c r="G335" i="6"/>
  <c r="J72" i="10"/>
  <c r="L70" i="10" s="1"/>
  <c r="E184" i="19"/>
  <c r="E186" i="19" s="1"/>
  <c r="E37" i="2" s="1"/>
  <c r="K662" i="18"/>
  <c r="G437" i="19"/>
  <c r="K355" i="6"/>
  <c r="K539" i="6"/>
  <c r="H83" i="64"/>
  <c r="D85" i="10"/>
  <c r="H115" i="2"/>
  <c r="K37" i="45"/>
  <c r="K677" i="18"/>
  <c r="J85" i="10"/>
  <c r="L84" i="10" s="1"/>
  <c r="F335" i="6"/>
  <c r="E24" i="19"/>
  <c r="H762" i="18"/>
  <c r="Z210" i="4"/>
  <c r="E210" i="4" s="1"/>
  <c r="E407" i="6" s="1"/>
  <c r="E583" i="18" s="1"/>
  <c r="Z28" i="4"/>
  <c r="E28" i="4" s="1"/>
  <c r="F43" i="19"/>
  <c r="F122" i="2" s="1"/>
  <c r="Z214" i="4"/>
  <c r="E214" i="4" s="1"/>
  <c r="E508" i="6" s="1"/>
  <c r="I55" i="45" s="1"/>
  <c r="AA28" i="4"/>
  <c r="F28" i="4" s="1"/>
  <c r="AA214" i="4"/>
  <c r="F214" i="4" s="1"/>
  <c r="F508" i="6" s="1"/>
  <c r="F596" i="18" s="1"/>
  <c r="AB79" i="4"/>
  <c r="G79" i="4" s="1"/>
  <c r="AA106" i="4"/>
  <c r="F106" i="4" s="1"/>
  <c r="AA105" i="4"/>
  <c r="F105" i="4" s="1"/>
  <c r="Z106" i="4"/>
  <c r="E106" i="4" s="1"/>
  <c r="Z105" i="4"/>
  <c r="E105" i="4" s="1"/>
  <c r="Z212" i="4"/>
  <c r="E212" i="4" s="1"/>
  <c r="E101" i="6" s="1"/>
  <c r="AD235" i="4"/>
  <c r="I235" i="4" s="1"/>
  <c r="I169" i="18" s="1"/>
  <c r="I364" i="19"/>
  <c r="I374" i="19" s="1"/>
  <c r="AA216" i="4"/>
  <c r="F216" i="4" s="1"/>
  <c r="F559" i="6" s="1"/>
  <c r="F609" i="18" s="1"/>
  <c r="AA210" i="4"/>
  <c r="F210" i="4" s="1"/>
  <c r="F407" i="6" s="1"/>
  <c r="AA212" i="4"/>
  <c r="F212" i="4" s="1"/>
  <c r="F101" i="6" s="1"/>
  <c r="F364" i="19"/>
  <c r="F374" i="19" s="1"/>
  <c r="H364" i="19"/>
  <c r="H374" i="19" s="1"/>
  <c r="I780" i="18"/>
  <c r="K780" i="18" s="1"/>
  <c r="I184" i="19"/>
  <c r="I186" i="19" s="1"/>
  <c r="I54" i="2" s="1"/>
  <c r="AD78" i="4"/>
  <c r="I78" i="4" s="1"/>
  <c r="F304" i="19"/>
  <c r="F314" i="19" s="1"/>
  <c r="AA78" i="4"/>
  <c r="F78" i="4" s="1"/>
  <c r="F64" i="6"/>
  <c r="F166" i="6" s="1"/>
  <c r="AD11" i="4"/>
  <c r="I11" i="4" s="1"/>
  <c r="AD27" i="4"/>
  <c r="I27" i="4" s="1"/>
  <c r="I105" i="10" s="1"/>
  <c r="I107" i="10" s="1"/>
  <c r="I108" i="10" s="1"/>
  <c r="Z216" i="4"/>
  <c r="E216" i="4" s="1"/>
  <c r="E559" i="6" s="1"/>
  <c r="AA27" i="4"/>
  <c r="F27" i="4" s="1"/>
  <c r="AB11" i="4"/>
  <c r="G11" i="4" s="1"/>
  <c r="G64" i="6"/>
  <c r="G68" i="6" s="1"/>
  <c r="G72" i="6" s="1"/>
  <c r="G74" i="6" s="1"/>
  <c r="G304" i="19"/>
  <c r="G314" i="19" s="1"/>
  <c r="AB78" i="4"/>
  <c r="G78" i="4" s="1"/>
  <c r="AA11" i="4"/>
  <c r="F11" i="4" s="1"/>
  <c r="F762" i="18" s="1"/>
  <c r="AB27" i="4"/>
  <c r="G27" i="4" s="1"/>
  <c r="G289" i="6"/>
  <c r="G340" i="6" s="1"/>
  <c r="G544" i="6"/>
  <c r="G595" i="6" s="1"/>
  <c r="AA87" i="4"/>
  <c r="F87" i="4" s="1"/>
  <c r="H610" i="6"/>
  <c r="H664" i="6" s="1"/>
  <c r="I67" i="39"/>
  <c r="E431" i="19"/>
  <c r="E416" i="19"/>
  <c r="E415" i="19"/>
  <c r="N91" i="54"/>
  <c r="N93" i="54" s="1"/>
  <c r="E488" i="19"/>
  <c r="E693" i="18"/>
  <c r="H111" i="2"/>
  <c r="H36" i="2"/>
  <c r="F495" i="19"/>
  <c r="F204" i="19"/>
  <c r="F317" i="11"/>
  <c r="F54" i="2"/>
  <c r="G122" i="2"/>
  <c r="I122" i="2"/>
  <c r="E478" i="19"/>
  <c r="K477" i="19"/>
  <c r="Z235" i="4"/>
  <c r="E235" i="4" s="1"/>
  <c r="K118" i="19"/>
  <c r="E279" i="11"/>
  <c r="E494" i="19"/>
  <c r="E203" i="19"/>
  <c r="E117" i="2"/>
  <c r="K106" i="19"/>
  <c r="K438" i="6"/>
  <c r="M37" i="45"/>
  <c r="I203" i="19"/>
  <c r="I494" i="19"/>
  <c r="I279" i="11"/>
  <c r="I693" i="18"/>
  <c r="I416" i="19"/>
  <c r="I431" i="19"/>
  <c r="I488" i="19"/>
  <c r="I415" i="19"/>
  <c r="K97" i="19"/>
  <c r="E199" i="19"/>
  <c r="E298" i="11"/>
  <c r="E438" i="19"/>
  <c r="E423" i="19"/>
  <c r="D128" i="1"/>
  <c r="M54" i="54"/>
  <c r="H121" i="2"/>
  <c r="H61" i="2"/>
  <c r="G399" i="19"/>
  <c r="G40" i="60"/>
  <c r="G397" i="19"/>
  <c r="G398" i="19"/>
  <c r="G396" i="19"/>
  <c r="H112" i="2"/>
  <c r="F117" i="2"/>
  <c r="Z78" i="4"/>
  <c r="E78" i="4" s="1"/>
  <c r="F431" i="19"/>
  <c r="F416" i="19"/>
  <c r="F693" i="18"/>
  <c r="F488" i="19"/>
  <c r="F415" i="19"/>
  <c r="F227" i="11"/>
  <c r="AA238" i="4"/>
  <c r="F238" i="4" s="1"/>
  <c r="H260" i="11"/>
  <c r="H421" i="19"/>
  <c r="H437" i="19"/>
  <c r="H198" i="19"/>
  <c r="H28" i="2"/>
  <c r="I114" i="2"/>
  <c r="H64" i="6"/>
  <c r="H68" i="6" s="1"/>
  <c r="H72" i="6" s="1"/>
  <c r="H74" i="6" s="1"/>
  <c r="F494" i="19"/>
  <c r="F279" i="11"/>
  <c r="F203" i="19"/>
  <c r="I356" i="11"/>
  <c r="I205" i="19"/>
  <c r="I357" i="11"/>
  <c r="I496" i="19"/>
  <c r="I64" i="6"/>
  <c r="I68" i="6" s="1"/>
  <c r="I72" i="6" s="1"/>
  <c r="I74" i="6" s="1"/>
  <c r="H235" i="2"/>
  <c r="H313" i="11"/>
  <c r="H215" i="6"/>
  <c r="H294" i="11"/>
  <c r="H470" i="6"/>
  <c r="F127" i="2"/>
  <c r="H416" i="19"/>
  <c r="H693" i="18"/>
  <c r="H431" i="19"/>
  <c r="H488" i="19"/>
  <c r="H415" i="19"/>
  <c r="E356" i="11"/>
  <c r="E357" i="11"/>
  <c r="K138" i="19"/>
  <c r="E496" i="19"/>
  <c r="E205" i="19"/>
  <c r="I421" i="19"/>
  <c r="I260" i="11"/>
  <c r="I437" i="19"/>
  <c r="I198" i="19"/>
  <c r="H18" i="6"/>
  <c r="H298" i="11"/>
  <c r="H199" i="19"/>
  <c r="H438" i="19"/>
  <c r="H423" i="19"/>
  <c r="H29" i="2"/>
  <c r="I337" i="19"/>
  <c r="I338" i="19"/>
  <c r="I336" i="19"/>
  <c r="I339" i="19"/>
  <c r="G337" i="19"/>
  <c r="G40" i="57"/>
  <c r="G338" i="19"/>
  <c r="G339" i="19"/>
  <c r="G336" i="19"/>
  <c r="H339" i="19"/>
  <c r="H337" i="19"/>
  <c r="H338" i="19"/>
  <c r="H336" i="19"/>
  <c r="H397" i="19"/>
  <c r="H396" i="19"/>
  <c r="H398" i="19"/>
  <c r="H399" i="19"/>
  <c r="I204" i="19"/>
  <c r="I317" i="11"/>
  <c r="I495" i="19"/>
  <c r="Z11" i="4"/>
  <c r="E11" i="4" s="1"/>
  <c r="K127" i="19"/>
  <c r="E124" i="2"/>
  <c r="K86" i="19"/>
  <c r="E111" i="2"/>
  <c r="I117" i="2"/>
  <c r="F124" i="2"/>
  <c r="F62" i="2"/>
  <c r="G112" i="2"/>
  <c r="G127" i="2"/>
  <c r="G317" i="11"/>
  <c r="G495" i="19"/>
  <c r="G204" i="19"/>
  <c r="F112" i="2"/>
  <c r="F199" i="19"/>
  <c r="F298" i="11"/>
  <c r="F438" i="19"/>
  <c r="F423" i="19"/>
  <c r="F29" i="2"/>
  <c r="G117" i="2"/>
  <c r="Z79" i="4"/>
  <c r="E79" i="4" s="1"/>
  <c r="H189" i="2"/>
  <c r="H256" i="11"/>
  <c r="H275" i="11"/>
  <c r="H369" i="6"/>
  <c r="H114" i="6"/>
  <c r="K534" i="19"/>
  <c r="E535" i="19"/>
  <c r="K535" i="19" s="1"/>
  <c r="F111" i="2"/>
  <c r="H317" i="11"/>
  <c r="H204" i="19"/>
  <c r="H495" i="19"/>
  <c r="H54" i="2"/>
  <c r="G298" i="11"/>
  <c r="G438" i="19"/>
  <c r="G199" i="19"/>
  <c r="G423" i="19"/>
  <c r="H337" i="11"/>
  <c r="H200" i="19"/>
  <c r="H75" i="11"/>
  <c r="H76" i="11"/>
  <c r="H424" i="19"/>
  <c r="H336" i="11"/>
  <c r="H439" i="19"/>
  <c r="K53" i="54"/>
  <c r="D115" i="1"/>
  <c r="AA235" i="4"/>
  <c r="F235" i="4" s="1"/>
  <c r="I18" i="6"/>
  <c r="F235" i="2"/>
  <c r="F215" i="6"/>
  <c r="F294" i="11"/>
  <c r="F470" i="6"/>
  <c r="F313" i="11"/>
  <c r="H357" i="11"/>
  <c r="H205" i="19"/>
  <c r="H496" i="19"/>
  <c r="H356" i="11"/>
  <c r="D125" i="1"/>
  <c r="K54" i="54"/>
  <c r="F289" i="6"/>
  <c r="F340" i="6" s="1"/>
  <c r="F544" i="6"/>
  <c r="F595" i="6" s="1"/>
  <c r="F421" i="19"/>
  <c r="F260" i="11"/>
  <c r="F437" i="19"/>
  <c r="F198" i="19"/>
  <c r="H62" i="2"/>
  <c r="H124" i="2"/>
  <c r="G114" i="2"/>
  <c r="H172" i="18"/>
  <c r="H292" i="19"/>
  <c r="H433" i="11" s="1"/>
  <c r="H117" i="2"/>
  <c r="I111" i="2"/>
  <c r="K482" i="19"/>
  <c r="E483" i="19"/>
  <c r="F337" i="19"/>
  <c r="F338" i="19"/>
  <c r="F336" i="19"/>
  <c r="F339" i="19"/>
  <c r="F397" i="19"/>
  <c r="F396" i="19"/>
  <c r="F398" i="19"/>
  <c r="F399" i="19"/>
  <c r="K692" i="18"/>
  <c r="H127" i="2"/>
  <c r="I399" i="19"/>
  <c r="I396" i="19"/>
  <c r="I397" i="19"/>
  <c r="I398" i="19"/>
  <c r="E289" i="6"/>
  <c r="E544" i="6"/>
  <c r="E590" i="6"/>
  <c r="E75" i="11"/>
  <c r="E337" i="11"/>
  <c r="K107" i="19"/>
  <c r="E336" i="11"/>
  <c r="E76" i="11"/>
  <c r="E424" i="19"/>
  <c r="E200" i="19"/>
  <c r="E439" i="19"/>
  <c r="K747" i="6"/>
  <c r="K183" i="6"/>
  <c r="M37" i="43"/>
  <c r="M36" i="36"/>
  <c r="I121" i="2"/>
  <c r="E122" i="2"/>
  <c r="E114" i="2"/>
  <c r="K96" i="19"/>
  <c r="H279" i="11"/>
  <c r="H494" i="19"/>
  <c r="H203" i="19"/>
  <c r="H53" i="2"/>
  <c r="I124" i="2"/>
  <c r="G364" i="19"/>
  <c r="E176" i="7"/>
  <c r="Z148" i="4" s="1"/>
  <c r="E148" i="4" s="1"/>
  <c r="G45" i="39"/>
  <c r="E379" i="19"/>
  <c r="E362" i="19"/>
  <c r="K362" i="19" s="1"/>
  <c r="E678" i="18"/>
  <c r="K678" i="18" s="1"/>
  <c r="E174" i="64"/>
  <c r="K174" i="64" s="1"/>
  <c r="E361" i="19"/>
  <c r="H122" i="2"/>
  <c r="G416" i="19"/>
  <c r="G488" i="19"/>
  <c r="G693" i="18"/>
  <c r="G431" i="19"/>
  <c r="G415" i="19"/>
  <c r="F200" i="19"/>
  <c r="F76" i="11"/>
  <c r="F336" i="11"/>
  <c r="F75" i="11"/>
  <c r="F424" i="19"/>
  <c r="F337" i="11"/>
  <c r="F439" i="19"/>
  <c r="E317" i="11"/>
  <c r="K128" i="19"/>
  <c r="E495" i="19"/>
  <c r="E204" i="19"/>
  <c r="K87" i="19"/>
  <c r="E260" i="11"/>
  <c r="E437" i="19"/>
  <c r="E198" i="19"/>
  <c r="E421" i="19"/>
  <c r="AA79" i="4"/>
  <c r="F79" i="4" s="1"/>
  <c r="I75" i="11"/>
  <c r="I439" i="19"/>
  <c r="I200" i="19"/>
  <c r="I336" i="11"/>
  <c r="I76" i="11"/>
  <c r="I337" i="11"/>
  <c r="I424" i="19"/>
  <c r="I298" i="11"/>
  <c r="I199" i="19"/>
  <c r="I438" i="19"/>
  <c r="I423" i="19"/>
  <c r="G356" i="11"/>
  <c r="G357" i="11"/>
  <c r="G205" i="19"/>
  <c r="G496" i="19"/>
  <c r="F121" i="2"/>
  <c r="G124" i="2"/>
  <c r="I127" i="2"/>
  <c r="F114" i="2"/>
  <c r="F37" i="2"/>
  <c r="G337" i="11"/>
  <c r="G75" i="11"/>
  <c r="G200" i="19"/>
  <c r="G424" i="19"/>
  <c r="G336" i="11"/>
  <c r="G76" i="11"/>
  <c r="G439" i="19"/>
  <c r="F205" i="19"/>
  <c r="F356" i="11"/>
  <c r="F357" i="11"/>
  <c r="F496" i="19"/>
  <c r="E121" i="2"/>
  <c r="K117" i="19"/>
  <c r="K539" i="19"/>
  <c r="E540" i="19"/>
  <c r="K540" i="19" s="1"/>
  <c r="H304" i="19"/>
  <c r="K137" i="19"/>
  <c r="E127" i="2"/>
  <c r="H169" i="18"/>
  <c r="M53" i="54"/>
  <c r="D118" i="1"/>
  <c r="Z27" i="4"/>
  <c r="E27" i="4" s="1"/>
  <c r="E335" i="6"/>
  <c r="H37" i="2"/>
  <c r="H114" i="2"/>
  <c r="H63" i="2" l="1"/>
  <c r="H67" i="2" s="1"/>
  <c r="H55" i="2"/>
  <c r="H59" i="2" s="1"/>
  <c r="H30" i="2"/>
  <c r="H34" i="2" s="1"/>
  <c r="H266" i="6"/>
  <c r="H317" i="6" s="1"/>
  <c r="H521" i="6"/>
  <c r="H572" i="6" s="1"/>
  <c r="H352" i="11"/>
  <c r="H71" i="11"/>
  <c r="H77" i="11" s="1"/>
  <c r="H78" i="11" s="1"/>
  <c r="H252" i="2"/>
  <c r="H332" i="11"/>
  <c r="H166" i="6"/>
  <c r="I166" i="6"/>
  <c r="I458" i="6"/>
  <c r="I622" i="18" s="1"/>
  <c r="I103" i="6"/>
  <c r="I460" i="6" s="1"/>
  <c r="E458" i="6"/>
  <c r="E622" i="18" s="1"/>
  <c r="E203" i="6"/>
  <c r="E444" i="18" s="1"/>
  <c r="G421" i="6"/>
  <c r="H421" i="6"/>
  <c r="F421" i="6"/>
  <c r="G429" i="6"/>
  <c r="G617" i="18" s="1"/>
  <c r="G174" i="6"/>
  <c r="G439" i="18" s="1"/>
  <c r="H170" i="6"/>
  <c r="H425" i="6"/>
  <c r="F103" i="6"/>
  <c r="F458" i="6"/>
  <c r="F622" i="18" s="1"/>
  <c r="F203" i="6"/>
  <c r="F444" i="18" s="1"/>
  <c r="G103" i="6"/>
  <c r="G458" i="6"/>
  <c r="G622" i="18" s="1"/>
  <c r="G203" i="6"/>
  <c r="G444" i="18" s="1"/>
  <c r="H460" i="6"/>
  <c r="H205" i="6"/>
  <c r="I425" i="6"/>
  <c r="I170" i="6"/>
  <c r="G166" i="6"/>
  <c r="G425" i="6"/>
  <c r="G170" i="6"/>
  <c r="I421" i="6"/>
  <c r="L86" i="28"/>
  <c r="L87" i="28"/>
  <c r="M87" i="28" s="1"/>
  <c r="G641" i="6"/>
  <c r="G106" i="28"/>
  <c r="G108" i="28" s="1"/>
  <c r="G109" i="28" s="1"/>
  <c r="E86" i="28"/>
  <c r="E181" i="28" s="1"/>
  <c r="L84" i="28"/>
  <c r="L82" i="28"/>
  <c r="M82" i="28" s="1"/>
  <c r="L85" i="28"/>
  <c r="M85" i="28" s="1"/>
  <c r="L83" i="28"/>
  <c r="M83" i="28" s="1"/>
  <c r="G105" i="27"/>
  <c r="G107" i="27" s="1"/>
  <c r="G108" i="27" s="1"/>
  <c r="I105" i="27"/>
  <c r="I107" i="27" s="1"/>
  <c r="I108" i="27" s="1"/>
  <c r="I106" i="28"/>
  <c r="I108" i="28" s="1"/>
  <c r="I109" i="28" s="1"/>
  <c r="F106" i="28"/>
  <c r="F108" i="28" s="1"/>
  <c r="F109" i="28" s="1"/>
  <c r="F105" i="27"/>
  <c r="F107" i="27" s="1"/>
  <c r="F108" i="27" s="1"/>
  <c r="E105" i="27"/>
  <c r="E107" i="27" s="1"/>
  <c r="E108" i="27" s="1"/>
  <c r="E106" i="28"/>
  <c r="E108" i="28" s="1"/>
  <c r="E109" i="28" s="1"/>
  <c r="E319" i="19"/>
  <c r="K319" i="19" s="1"/>
  <c r="E663" i="18"/>
  <c r="K663" i="18" s="1"/>
  <c r="G105" i="10"/>
  <c r="G107" i="10" s="1"/>
  <c r="G108" i="10" s="1"/>
  <c r="E302" i="19"/>
  <c r="K302" i="19" s="1"/>
  <c r="E301" i="19"/>
  <c r="E160" i="64"/>
  <c r="K160" i="64" s="1"/>
  <c r="G24" i="39"/>
  <c r="F105" i="10"/>
  <c r="F107" i="10" s="1"/>
  <c r="F108" i="10" s="1"/>
  <c r="H86" i="28"/>
  <c r="H181" i="28" s="1"/>
  <c r="E105" i="10"/>
  <c r="E107" i="10" s="1"/>
  <c r="E108" i="10" s="1"/>
  <c r="G72" i="27"/>
  <c r="G178" i="27" s="1"/>
  <c r="G172" i="18"/>
  <c r="I314" i="19"/>
  <c r="G85" i="27"/>
  <c r="G179" i="27" s="1"/>
  <c r="I305" i="19"/>
  <c r="I313" i="19" s="1"/>
  <c r="I314" i="7" s="1"/>
  <c r="L86" i="27"/>
  <c r="M86" i="27" s="1"/>
  <c r="G86" i="28"/>
  <c r="G181" i="28" s="1"/>
  <c r="M84" i="28"/>
  <c r="I252" i="2"/>
  <c r="G294" i="11"/>
  <c r="M86" i="28"/>
  <c r="M81" i="28"/>
  <c r="I292" i="19"/>
  <c r="I433" i="11" s="1"/>
  <c r="G54" i="2"/>
  <c r="K570" i="19"/>
  <c r="F86" i="28"/>
  <c r="F181" i="28" s="1"/>
  <c r="I86" i="28"/>
  <c r="I181" i="28" s="1"/>
  <c r="K24" i="19"/>
  <c r="I71" i="11"/>
  <c r="I77" i="11" s="1"/>
  <c r="I78" i="11" s="1"/>
  <c r="I30" i="2"/>
  <c r="I63" i="2"/>
  <c r="I266" i="6"/>
  <c r="G189" i="19"/>
  <c r="G191" i="19" s="1"/>
  <c r="G38" i="2" s="1"/>
  <c r="I55" i="2"/>
  <c r="I38" i="2"/>
  <c r="I352" i="11"/>
  <c r="I332" i="11"/>
  <c r="K43" i="19"/>
  <c r="I798" i="18"/>
  <c r="L80" i="27"/>
  <c r="M80" i="27" s="1"/>
  <c r="G215" i="6"/>
  <c r="G313" i="11"/>
  <c r="G235" i="2"/>
  <c r="G62" i="2"/>
  <c r="G37" i="2"/>
  <c r="G470" i="6"/>
  <c r="E292" i="19"/>
  <c r="D54" i="53" s="1"/>
  <c r="M74" i="28"/>
  <c r="G73" i="28"/>
  <c r="G180" i="28" s="1"/>
  <c r="G610" i="6"/>
  <c r="G664" i="6" s="1"/>
  <c r="L82" i="27"/>
  <c r="M82" i="27" s="1"/>
  <c r="I85" i="27"/>
  <c r="I179" i="27" s="1"/>
  <c r="L84" i="27"/>
  <c r="M84" i="27" s="1"/>
  <c r="L85" i="27"/>
  <c r="M85" i="27" s="1"/>
  <c r="E85" i="27"/>
  <c r="E179" i="27" s="1"/>
  <c r="L83" i="27"/>
  <c r="M83" i="27" s="1"/>
  <c r="L81" i="27"/>
  <c r="M81" i="27" s="1"/>
  <c r="F85" i="27"/>
  <c r="F179" i="27" s="1"/>
  <c r="I73" i="28"/>
  <c r="I180" i="28" s="1"/>
  <c r="E73" i="28"/>
  <c r="E180" i="28" s="1"/>
  <c r="H73" i="28"/>
  <c r="H180" i="28" s="1"/>
  <c r="L70" i="28"/>
  <c r="M70" i="28" s="1"/>
  <c r="F73" i="28"/>
  <c r="F180" i="28" s="1"/>
  <c r="L72" i="28"/>
  <c r="M72" i="28" s="1"/>
  <c r="L73" i="28"/>
  <c r="M73" i="28" s="1"/>
  <c r="L68" i="28"/>
  <c r="M68" i="28" s="1"/>
  <c r="L71" i="28"/>
  <c r="M71" i="28" s="1"/>
  <c r="L69" i="28"/>
  <c r="M69" i="28" s="1"/>
  <c r="I610" i="6"/>
  <c r="I635" i="18" s="1"/>
  <c r="H85" i="27"/>
  <c r="H179" i="27" s="1"/>
  <c r="K83" i="64"/>
  <c r="F641" i="6"/>
  <c r="H641" i="6"/>
  <c r="F72" i="27"/>
  <c r="F178" i="27" s="1"/>
  <c r="E72" i="27"/>
  <c r="E178" i="27" s="1"/>
  <c r="L67" i="27"/>
  <c r="M67" i="27" s="1"/>
  <c r="E798" i="18"/>
  <c r="I641" i="6"/>
  <c r="L72" i="10"/>
  <c r="M72" i="10" s="1"/>
  <c r="L83" i="10"/>
  <c r="M83" i="10" s="1"/>
  <c r="L73" i="10"/>
  <c r="M73" i="10" s="1"/>
  <c r="F72" i="10"/>
  <c r="F179" i="10" s="1"/>
  <c r="M70" i="10"/>
  <c r="G72" i="10"/>
  <c r="G179" i="10" s="1"/>
  <c r="H72" i="10"/>
  <c r="H179" i="10" s="1"/>
  <c r="H72" i="27"/>
  <c r="H178" i="27" s="1"/>
  <c r="L71" i="10"/>
  <c r="M71" i="10" s="1"/>
  <c r="L70" i="27"/>
  <c r="M70" i="27" s="1"/>
  <c r="L69" i="27"/>
  <c r="M69" i="27" s="1"/>
  <c r="L69" i="10"/>
  <c r="M69" i="10" s="1"/>
  <c r="L68" i="10"/>
  <c r="M68" i="10" s="1"/>
  <c r="L72" i="27"/>
  <c r="M72" i="27" s="1"/>
  <c r="L68" i="27"/>
  <c r="M68" i="27" s="1"/>
  <c r="I72" i="27"/>
  <c r="I178" i="27" s="1"/>
  <c r="L67" i="10"/>
  <c r="M67" i="10" s="1"/>
  <c r="L73" i="27"/>
  <c r="M73" i="27" s="1"/>
  <c r="L71" i="27"/>
  <c r="M71" i="27" s="1"/>
  <c r="E72" i="10"/>
  <c r="E179" i="10" s="1"/>
  <c r="I72" i="10"/>
  <c r="I179" i="10" s="1"/>
  <c r="M84" i="10"/>
  <c r="E112" i="2"/>
  <c r="D112" i="1" s="1"/>
  <c r="L82" i="10"/>
  <c r="M82" i="10" s="1"/>
  <c r="F85" i="10"/>
  <c r="F180" i="10" s="1"/>
  <c r="L86" i="10"/>
  <c r="M86" i="10" s="1"/>
  <c r="G85" i="10"/>
  <c r="G180" i="10" s="1"/>
  <c r="I144" i="2"/>
  <c r="I95" i="26" s="1"/>
  <c r="I365" i="19"/>
  <c r="I373" i="19" s="1"/>
  <c r="I375" i="19" s="1"/>
  <c r="I376" i="19" s="1"/>
  <c r="E85" i="10"/>
  <c r="E180" i="10" s="1"/>
  <c r="L81" i="10"/>
  <c r="M81" i="10" s="1"/>
  <c r="H85" i="10"/>
  <c r="H180" i="10" s="1"/>
  <c r="I85" i="10"/>
  <c r="I180" i="10" s="1"/>
  <c r="F365" i="19"/>
  <c r="F373" i="19" s="1"/>
  <c r="F315" i="7" s="1"/>
  <c r="L85" i="10"/>
  <c r="M85" i="10" s="1"/>
  <c r="L80" i="10"/>
  <c r="M80" i="10" s="1"/>
  <c r="I29" i="2"/>
  <c r="I62" i="2"/>
  <c r="H144" i="2"/>
  <c r="H92" i="64" s="1"/>
  <c r="G55" i="45"/>
  <c r="G63" i="36"/>
  <c r="H365" i="19"/>
  <c r="H373" i="19" s="1"/>
  <c r="H375" i="19" s="1"/>
  <c r="H376" i="19" s="1"/>
  <c r="F144" i="2"/>
  <c r="F679" i="18" s="1"/>
  <c r="E596" i="18"/>
  <c r="K596" i="18" s="1"/>
  <c r="I63" i="36"/>
  <c r="H418" i="19"/>
  <c r="H419" i="19" s="1"/>
  <c r="I37" i="2"/>
  <c r="K508" i="6"/>
  <c r="E103" i="6"/>
  <c r="M56" i="54"/>
  <c r="G418" i="19"/>
  <c r="G145" i="2" s="1"/>
  <c r="F143" i="2"/>
  <c r="K559" i="6"/>
  <c r="G497" i="19"/>
  <c r="E54" i="2"/>
  <c r="D54" i="1" s="1"/>
  <c r="G305" i="19"/>
  <c r="G313" i="19" s="1"/>
  <c r="G314" i="7" s="1"/>
  <c r="K184" i="19"/>
  <c r="F305" i="19"/>
  <c r="F313" i="19" s="1"/>
  <c r="F315" i="19" s="1"/>
  <c r="F316" i="19" s="1"/>
  <c r="F317" i="19" s="1"/>
  <c r="G143" i="2"/>
  <c r="F610" i="6"/>
  <c r="F140" i="64" s="1"/>
  <c r="F583" i="18"/>
  <c r="K583" i="18" s="1"/>
  <c r="K407" i="6"/>
  <c r="K101" i="6"/>
  <c r="G214" i="19"/>
  <c r="I425" i="19"/>
  <c r="E62" i="2"/>
  <c r="D62" i="1" s="1"/>
  <c r="F68" i="6"/>
  <c r="F425" i="6" s="1"/>
  <c r="I470" i="6"/>
  <c r="I215" i="6"/>
  <c r="I294" i="11"/>
  <c r="I235" i="2"/>
  <c r="I313" i="11"/>
  <c r="K200" i="19"/>
  <c r="G440" i="19"/>
  <c r="G647" i="6"/>
  <c r="I762" i="18"/>
  <c r="I173" i="19"/>
  <c r="I175" i="19" s="1"/>
  <c r="E610" i="6"/>
  <c r="K204" i="19"/>
  <c r="H215" i="19"/>
  <c r="F214" i="19"/>
  <c r="F173" i="19"/>
  <c r="F175" i="19" s="1"/>
  <c r="F256" i="11" s="1"/>
  <c r="F418" i="19"/>
  <c r="F419" i="19" s="1"/>
  <c r="G215" i="19"/>
  <c r="K421" i="19"/>
  <c r="F798" i="18"/>
  <c r="F189" i="19"/>
  <c r="G173" i="19"/>
  <c r="G175" i="19" s="1"/>
  <c r="G762" i="18"/>
  <c r="E609" i="18"/>
  <c r="K609" i="18" s="1"/>
  <c r="K63" i="36"/>
  <c r="K55" i="45"/>
  <c r="H140" i="64"/>
  <c r="H635" i="18"/>
  <c r="K424" i="19"/>
  <c r="D124" i="1"/>
  <c r="K60" i="54"/>
  <c r="I54" i="54"/>
  <c r="D122" i="1"/>
  <c r="M73" i="54"/>
  <c r="E521" i="6"/>
  <c r="E266" i="6"/>
  <c r="E352" i="11"/>
  <c r="N63" i="60"/>
  <c r="N63" i="57"/>
  <c r="E332" i="11"/>
  <c r="E71" i="11"/>
  <c r="E77" i="11" s="1"/>
  <c r="E78" i="11" s="1"/>
  <c r="E252" i="2"/>
  <c r="D252" i="1" s="1"/>
  <c r="E30" i="2"/>
  <c r="F167" i="64"/>
  <c r="F670" i="18"/>
  <c r="E64" i="6"/>
  <c r="K483" i="19"/>
  <c r="K56" i="54"/>
  <c r="G425" i="19"/>
  <c r="H425" i="19"/>
  <c r="K205" i="19"/>
  <c r="F215" i="19"/>
  <c r="K186" i="19"/>
  <c r="K73" i="54"/>
  <c r="E470" i="6"/>
  <c r="E313" i="11"/>
  <c r="K63" i="60"/>
  <c r="E215" i="6"/>
  <c r="E294" i="11"/>
  <c r="K63" i="57"/>
  <c r="E235" i="2"/>
  <c r="D235" i="1" s="1"/>
  <c r="K423" i="19"/>
  <c r="E425" i="19"/>
  <c r="K199" i="19"/>
  <c r="K693" i="18"/>
  <c r="K416" i="19"/>
  <c r="M60" i="54"/>
  <c r="D127" i="1"/>
  <c r="I60" i="54"/>
  <c r="D121" i="1"/>
  <c r="H314" i="19"/>
  <c r="H305" i="19"/>
  <c r="H313" i="19" s="1"/>
  <c r="H143" i="2"/>
  <c r="K361" i="19"/>
  <c r="E364" i="19"/>
  <c r="K379" i="19"/>
  <c r="E399" i="19"/>
  <c r="E398" i="19"/>
  <c r="E396" i="19"/>
  <c r="E397" i="19"/>
  <c r="K397" i="19" s="1"/>
  <c r="D37" i="1"/>
  <c r="K439" i="19"/>
  <c r="K44" i="45"/>
  <c r="O44" i="45" s="1"/>
  <c r="N77" i="60"/>
  <c r="K544" i="6"/>
  <c r="E595" i="6"/>
  <c r="K595" i="6" s="1"/>
  <c r="F181" i="64"/>
  <c r="F685" i="18"/>
  <c r="O36" i="36"/>
  <c r="F440" i="19"/>
  <c r="I22" i="6"/>
  <c r="D111" i="1"/>
  <c r="I59" i="54"/>
  <c r="H670" i="18"/>
  <c r="H167" i="64"/>
  <c r="O37" i="43"/>
  <c r="I214" i="19"/>
  <c r="K496" i="19"/>
  <c r="G685" i="18"/>
  <c r="G181" i="64"/>
  <c r="K438" i="19"/>
  <c r="I497" i="19"/>
  <c r="E38" i="2"/>
  <c r="K203" i="19"/>
  <c r="E215" i="19"/>
  <c r="E169" i="18"/>
  <c r="K488" i="19"/>
  <c r="K431" i="19"/>
  <c r="G24" i="6"/>
  <c r="E641" i="6"/>
  <c r="K335" i="6"/>
  <c r="K198" i="19"/>
  <c r="E214" i="19"/>
  <c r="K495" i="19"/>
  <c r="I92" i="10"/>
  <c r="I664" i="18"/>
  <c r="I92" i="27"/>
  <c r="I282" i="18"/>
  <c r="I34" i="64"/>
  <c r="I161" i="64"/>
  <c r="I92" i="26"/>
  <c r="I93" i="28"/>
  <c r="G374" i="19"/>
  <c r="G144" i="2"/>
  <c r="G365" i="19"/>
  <c r="G373" i="19" s="1"/>
  <c r="F24" i="6"/>
  <c r="O40" i="60"/>
  <c r="K590" i="6"/>
  <c r="K289" i="6"/>
  <c r="K44" i="36"/>
  <c r="O44" i="36" s="1"/>
  <c r="K44" i="43"/>
  <c r="O44" i="43" s="1"/>
  <c r="N77" i="57"/>
  <c r="E340" i="6"/>
  <c r="I685" i="18"/>
  <c r="I181" i="64"/>
  <c r="F169" i="18"/>
  <c r="F425" i="19"/>
  <c r="H685" i="18"/>
  <c r="H181" i="64"/>
  <c r="I670" i="18"/>
  <c r="I167" i="64"/>
  <c r="F497" i="19"/>
  <c r="H214" i="19"/>
  <c r="I418" i="19"/>
  <c r="I215" i="19"/>
  <c r="E497" i="19"/>
  <c r="E509" i="19" s="1"/>
  <c r="K494" i="19"/>
  <c r="E14" i="6"/>
  <c r="K478" i="19"/>
  <c r="H42" i="2"/>
  <c r="K437" i="19"/>
  <c r="E440" i="19"/>
  <c r="G453" i="19" s="1"/>
  <c r="H497" i="19"/>
  <c r="D114" i="1"/>
  <c r="K59" i="54"/>
  <c r="F647" i="6"/>
  <c r="E762" i="18"/>
  <c r="E173" i="19"/>
  <c r="G670" i="18"/>
  <c r="G167" i="64"/>
  <c r="H22" i="6"/>
  <c r="I440" i="19"/>
  <c r="E55" i="2"/>
  <c r="H440" i="19"/>
  <c r="F172" i="18"/>
  <c r="F292" i="19"/>
  <c r="F433" i="11" s="1"/>
  <c r="E29" i="2"/>
  <c r="M59" i="54"/>
  <c r="D117" i="1"/>
  <c r="E418" i="19"/>
  <c r="K415" i="19"/>
  <c r="O37" i="45"/>
  <c r="I205" i="6" l="1"/>
  <c r="F170" i="6"/>
  <c r="F205" i="6"/>
  <c r="F460" i="6"/>
  <c r="H429" i="6"/>
  <c r="H617" i="18" s="1"/>
  <c r="H174" i="6"/>
  <c r="H439" i="18" s="1"/>
  <c r="G176" i="6"/>
  <c r="G431" i="6"/>
  <c r="G618" i="18" s="1"/>
  <c r="I174" i="6"/>
  <c r="I429" i="6"/>
  <c r="I617" i="18" s="1"/>
  <c r="G205" i="6"/>
  <c r="G460" i="6"/>
  <c r="E421" i="6"/>
  <c r="E166" i="6"/>
  <c r="E205" i="6"/>
  <c r="E460" i="6"/>
  <c r="J110" i="28"/>
  <c r="J109" i="27"/>
  <c r="L106" i="27" s="1"/>
  <c r="D110" i="28"/>
  <c r="D109" i="27"/>
  <c r="E336" i="19"/>
  <c r="K336" i="19" s="1"/>
  <c r="E337" i="19"/>
  <c r="K337" i="19" s="1"/>
  <c r="K172" i="18"/>
  <c r="E339" i="19"/>
  <c r="K339" i="19" s="1"/>
  <c r="E338" i="19"/>
  <c r="K338" i="19" s="1"/>
  <c r="D109" i="10"/>
  <c r="E304" i="19"/>
  <c r="E314" i="19" s="1"/>
  <c r="J109" i="10"/>
  <c r="L109" i="10" s="1"/>
  <c r="K301" i="19"/>
  <c r="I315" i="19"/>
  <c r="I316" i="19" s="1"/>
  <c r="I332" i="19" s="1"/>
  <c r="G521" i="6"/>
  <c r="G635" i="18"/>
  <c r="J181" i="28"/>
  <c r="G71" i="11"/>
  <c r="G77" i="11" s="1"/>
  <c r="G78" i="11" s="1"/>
  <c r="G332" i="11"/>
  <c r="G30" i="2"/>
  <c r="G266" i="6"/>
  <c r="G252" i="2"/>
  <c r="G63" i="2"/>
  <c r="G352" i="11"/>
  <c r="G55" i="2"/>
  <c r="E433" i="11"/>
  <c r="G140" i="64"/>
  <c r="J180" i="28"/>
  <c r="J179" i="27"/>
  <c r="I140" i="64"/>
  <c r="K798" i="18"/>
  <c r="I664" i="6"/>
  <c r="K641" i="6"/>
  <c r="H94" i="28"/>
  <c r="I53" i="54"/>
  <c r="I56" i="54" s="1"/>
  <c r="H315" i="7"/>
  <c r="J178" i="27"/>
  <c r="J180" i="10"/>
  <c r="I92" i="64"/>
  <c r="I464" i="18"/>
  <c r="J179" i="10"/>
  <c r="I315" i="7"/>
  <c r="AD242" i="4" s="1"/>
  <c r="I242" i="4" s="1"/>
  <c r="F375" i="19"/>
  <c r="F376" i="19" s="1"/>
  <c r="F391" i="19" s="1"/>
  <c r="I95" i="10"/>
  <c r="I96" i="10" s="1"/>
  <c r="I94" i="28"/>
  <c r="I679" i="18"/>
  <c r="F241" i="19"/>
  <c r="F432" i="19" s="1"/>
  <c r="F448" i="19" s="1"/>
  <c r="I95" i="27"/>
  <c r="I96" i="27" s="1"/>
  <c r="I93" i="27"/>
  <c r="I175" i="64"/>
  <c r="I96" i="28"/>
  <c r="I97" i="28" s="1"/>
  <c r="I93" i="26"/>
  <c r="I93" i="10"/>
  <c r="H93" i="10"/>
  <c r="G315" i="19"/>
  <c r="G316" i="19" s="1"/>
  <c r="G330" i="19" s="1"/>
  <c r="H679" i="18"/>
  <c r="H95" i="10"/>
  <c r="H96" i="10" s="1"/>
  <c r="H175" i="64"/>
  <c r="H93" i="27"/>
  <c r="H464" i="18"/>
  <c r="H95" i="26"/>
  <c r="H93" i="26"/>
  <c r="G92" i="26"/>
  <c r="G95" i="26"/>
  <c r="F34" i="64"/>
  <c r="F95" i="26"/>
  <c r="G95" i="27"/>
  <c r="G96" i="27" s="1"/>
  <c r="G96" i="28"/>
  <c r="G97" i="28" s="1"/>
  <c r="F93" i="10"/>
  <c r="F95" i="27"/>
  <c r="F96" i="27" s="1"/>
  <c r="F96" i="28"/>
  <c r="F97" i="28" s="1"/>
  <c r="H96" i="28"/>
  <c r="H97" i="28" s="1"/>
  <c r="H95" i="27"/>
  <c r="H96" i="27" s="1"/>
  <c r="H145" i="2"/>
  <c r="H694" i="18" s="1"/>
  <c r="F92" i="27"/>
  <c r="F464" i="18"/>
  <c r="F94" i="28"/>
  <c r="F175" i="64"/>
  <c r="F92" i="64"/>
  <c r="F93" i="26"/>
  <c r="F95" i="10"/>
  <c r="F96" i="10" s="1"/>
  <c r="F93" i="27"/>
  <c r="F145" i="2"/>
  <c r="F187" i="64" s="1"/>
  <c r="O55" i="45"/>
  <c r="F93" i="28"/>
  <c r="G282" i="18"/>
  <c r="K66" i="54"/>
  <c r="H452" i="19"/>
  <c r="I452" i="19"/>
  <c r="K610" i="6"/>
  <c r="F161" i="64"/>
  <c r="F92" i="26"/>
  <c r="F217" i="19"/>
  <c r="F247" i="19" s="1"/>
  <c r="G93" i="28"/>
  <c r="G664" i="18"/>
  <c r="F92" i="10"/>
  <c r="G92" i="27"/>
  <c r="G34" i="64"/>
  <c r="F664" i="18"/>
  <c r="F282" i="18"/>
  <c r="G161" i="64"/>
  <c r="G92" i="10"/>
  <c r="G419" i="19"/>
  <c r="G427" i="19" s="1"/>
  <c r="K103" i="6"/>
  <c r="K622" i="18"/>
  <c r="K458" i="6"/>
  <c r="G242" i="19"/>
  <c r="F242" i="19"/>
  <c r="F489" i="19" s="1"/>
  <c r="F505" i="19" s="1"/>
  <c r="I62" i="54"/>
  <c r="K444" i="18"/>
  <c r="F53" i="2"/>
  <c r="F114" i="6"/>
  <c r="F314" i="7"/>
  <c r="AA242" i="4" s="1"/>
  <c r="F242" i="4" s="1"/>
  <c r="F664" i="6"/>
  <c r="F275" i="11"/>
  <c r="F635" i="18"/>
  <c r="F369" i="6"/>
  <c r="K203" i="6"/>
  <c r="K62" i="54"/>
  <c r="G217" i="19"/>
  <c r="G247" i="19" s="1"/>
  <c r="G241" i="19"/>
  <c r="G432" i="19" s="1"/>
  <c r="G448" i="19" s="1"/>
  <c r="G463" i="19" s="1"/>
  <c r="G237" i="6" s="1"/>
  <c r="I242" i="19"/>
  <c r="I489" i="19" s="1"/>
  <c r="I505" i="19" s="1"/>
  <c r="H509" i="19"/>
  <c r="F427" i="19"/>
  <c r="F151" i="7" s="1"/>
  <c r="AA179" i="4" s="1"/>
  <c r="F179" i="4" s="1"/>
  <c r="E452" i="19"/>
  <c r="I189" i="2"/>
  <c r="I114" i="6"/>
  <c r="I317" i="6" s="1"/>
  <c r="I369" i="6"/>
  <c r="I572" i="6" s="1"/>
  <c r="I275" i="11"/>
  <c r="I256" i="11"/>
  <c r="I28" i="2"/>
  <c r="I34" i="2" s="1"/>
  <c r="I194" i="11" s="1"/>
  <c r="I36" i="2"/>
  <c r="I42" i="2" s="1"/>
  <c r="I61" i="2"/>
  <c r="I67" i="2" s="1"/>
  <c r="I53" i="2"/>
  <c r="I59" i="2" s="1"/>
  <c r="F72" i="6"/>
  <c r="E664" i="6"/>
  <c r="O63" i="36" s="1"/>
  <c r="E635" i="18"/>
  <c r="E140" i="64"/>
  <c r="M62" i="54"/>
  <c r="F454" i="19"/>
  <c r="F189" i="2"/>
  <c r="F191" i="19"/>
  <c r="K189" i="19"/>
  <c r="H510" i="19"/>
  <c r="E510" i="19"/>
  <c r="I511" i="19"/>
  <c r="G53" i="2"/>
  <c r="G28" i="2"/>
  <c r="G61" i="2"/>
  <c r="G275" i="11"/>
  <c r="G256" i="11"/>
  <c r="G36" i="2"/>
  <c r="G42" i="2" s="1"/>
  <c r="G369" i="6"/>
  <c r="G114" i="6"/>
  <c r="G189" i="2"/>
  <c r="F36" i="2"/>
  <c r="F61" i="2"/>
  <c r="F28" i="2"/>
  <c r="D55" i="1"/>
  <c r="M66" i="54"/>
  <c r="D38" i="1"/>
  <c r="K292" i="19"/>
  <c r="H24" i="6"/>
  <c r="K762" i="18"/>
  <c r="K497" i="19"/>
  <c r="G509" i="19"/>
  <c r="H217" i="19"/>
  <c r="H241" i="19"/>
  <c r="E647" i="6"/>
  <c r="K647" i="6" s="1"/>
  <c r="K340" i="6"/>
  <c r="E511" i="19"/>
  <c r="I510" i="19"/>
  <c r="H393" i="19"/>
  <c r="H380" i="19"/>
  <c r="H392" i="19"/>
  <c r="H391" i="19"/>
  <c r="H390" i="19"/>
  <c r="H377" i="19"/>
  <c r="K399" i="19"/>
  <c r="G454" i="19"/>
  <c r="H454" i="19"/>
  <c r="G511" i="19"/>
  <c r="F453" i="19"/>
  <c r="H511" i="19"/>
  <c r="I145" i="2"/>
  <c r="I419" i="19"/>
  <c r="I427" i="19" s="1"/>
  <c r="E419" i="19"/>
  <c r="E427" i="19" s="1"/>
  <c r="E145" i="2"/>
  <c r="K418" i="19"/>
  <c r="D29" i="1"/>
  <c r="K65" i="54"/>
  <c r="F331" i="19"/>
  <c r="F330" i="19"/>
  <c r="F333" i="19"/>
  <c r="F320" i="19"/>
  <c r="F332" i="19"/>
  <c r="H623" i="6"/>
  <c r="H242" i="19"/>
  <c r="K214" i="19"/>
  <c r="E241" i="19"/>
  <c r="E200" i="5" s="1"/>
  <c r="E217" i="19"/>
  <c r="I509" i="19"/>
  <c r="H704" i="6"/>
  <c r="H194" i="11"/>
  <c r="H771" i="6"/>
  <c r="H155" i="18" s="1"/>
  <c r="I217" i="19"/>
  <c r="I241" i="19"/>
  <c r="I24" i="6"/>
  <c r="I439" i="18"/>
  <c r="F511" i="19"/>
  <c r="I18" i="36"/>
  <c r="K215" i="6"/>
  <c r="I19" i="43"/>
  <c r="K470" i="6"/>
  <c r="I19" i="45"/>
  <c r="D30" i="1"/>
  <c r="M65" i="54"/>
  <c r="K18" i="36"/>
  <c r="K19" i="43"/>
  <c r="K169" i="18"/>
  <c r="K14" i="6"/>
  <c r="E18" i="6"/>
  <c r="G375" i="19"/>
  <c r="G376" i="19" s="1"/>
  <c r="G315" i="7"/>
  <c r="AB242" i="4" s="1"/>
  <c r="G242" i="4" s="1"/>
  <c r="G187" i="64"/>
  <c r="G694" i="18"/>
  <c r="G186" i="64"/>
  <c r="I391" i="19"/>
  <c r="I392" i="19"/>
  <c r="I380" i="19"/>
  <c r="I390" i="19"/>
  <c r="I393" i="19"/>
  <c r="K173" i="19"/>
  <c r="E175" i="19"/>
  <c r="K440" i="19"/>
  <c r="G452" i="19"/>
  <c r="H772" i="6"/>
  <c r="H156" i="18" s="1"/>
  <c r="H703" i="6"/>
  <c r="F509" i="19"/>
  <c r="H453" i="19"/>
  <c r="G93" i="26"/>
  <c r="G679" i="18"/>
  <c r="G93" i="27"/>
  <c r="G93" i="10"/>
  <c r="G464" i="18"/>
  <c r="G94" i="28"/>
  <c r="G175" i="64"/>
  <c r="G92" i="64"/>
  <c r="G95" i="10"/>
  <c r="G96" i="10" s="1"/>
  <c r="F510" i="19"/>
  <c r="K215" i="19"/>
  <c r="E242" i="19"/>
  <c r="E201" i="5" s="1"/>
  <c r="E453" i="19"/>
  <c r="K396" i="19"/>
  <c r="E181" i="64"/>
  <c r="K181" i="64" s="1"/>
  <c r="E685" i="18"/>
  <c r="K685" i="18" s="1"/>
  <c r="K364" i="19"/>
  <c r="G41" i="60"/>
  <c r="E374" i="19"/>
  <c r="E365" i="19"/>
  <c r="E144" i="2"/>
  <c r="I454" i="19"/>
  <c r="H92" i="27"/>
  <c r="H664" i="18"/>
  <c r="H161" i="64"/>
  <c r="H92" i="10"/>
  <c r="H93" i="28"/>
  <c r="H34" i="64"/>
  <c r="H92" i="26"/>
  <c r="H282" i="18"/>
  <c r="I453" i="19"/>
  <c r="H427" i="19"/>
  <c r="K19" i="45"/>
  <c r="I377" i="19"/>
  <c r="G510" i="19"/>
  <c r="F452" i="19"/>
  <c r="E454" i="19"/>
  <c r="K398" i="19"/>
  <c r="H315" i="19"/>
  <c r="H316" i="19" s="1"/>
  <c r="H314" i="7"/>
  <c r="K425" i="19"/>
  <c r="K64" i="6"/>
  <c r="E68" i="6"/>
  <c r="I109" i="27" l="1"/>
  <c r="I181" i="27" s="1"/>
  <c r="K460" i="6"/>
  <c r="K205" i="6"/>
  <c r="I431" i="6"/>
  <c r="I176" i="6"/>
  <c r="E425" i="6"/>
  <c r="E170" i="6"/>
  <c r="K170" i="6" s="1"/>
  <c r="H176" i="6"/>
  <c r="H431" i="6"/>
  <c r="H618" i="18" s="1"/>
  <c r="F174" i="6"/>
  <c r="F429" i="6"/>
  <c r="L105" i="27"/>
  <c r="M105" i="27" s="1"/>
  <c r="L104" i="27"/>
  <c r="M104" i="27" s="1"/>
  <c r="H109" i="27"/>
  <c r="H181" i="27" s="1"/>
  <c r="G109" i="10"/>
  <c r="G182" i="10" s="1"/>
  <c r="E109" i="10"/>
  <c r="E182" i="10" s="1"/>
  <c r="I109" i="10"/>
  <c r="I182" i="10" s="1"/>
  <c r="F109" i="10"/>
  <c r="F182" i="10" s="1"/>
  <c r="F109" i="27"/>
  <c r="F181" i="27" s="1"/>
  <c r="H109" i="10"/>
  <c r="H182" i="10" s="1"/>
  <c r="G109" i="27"/>
  <c r="G181" i="27" s="1"/>
  <c r="E109" i="27"/>
  <c r="E181" i="27" s="1"/>
  <c r="E110" i="28"/>
  <c r="E183" i="28" s="1"/>
  <c r="L107" i="28"/>
  <c r="M107" i="28" s="1"/>
  <c r="F110" i="28"/>
  <c r="F183" i="28" s="1"/>
  <c r="L109" i="28"/>
  <c r="M109" i="28" s="1"/>
  <c r="L106" i="28"/>
  <c r="M106" i="28" s="1"/>
  <c r="H110" i="28"/>
  <c r="H183" i="28" s="1"/>
  <c r="L105" i="28"/>
  <c r="M105" i="28" s="1"/>
  <c r="L111" i="28"/>
  <c r="M111" i="28" s="1"/>
  <c r="L110" i="28"/>
  <c r="M110" i="28" s="1"/>
  <c r="L108" i="28"/>
  <c r="M108" i="28" s="1"/>
  <c r="G110" i="28"/>
  <c r="G183" i="28" s="1"/>
  <c r="I110" i="28"/>
  <c r="I183" i="28" s="1"/>
  <c r="M106" i="27"/>
  <c r="L110" i="27"/>
  <c r="M110" i="27" s="1"/>
  <c r="L109" i="27"/>
  <c r="M109" i="27" s="1"/>
  <c r="L107" i="27"/>
  <c r="M107" i="27" s="1"/>
  <c r="L108" i="27"/>
  <c r="M108" i="27" s="1"/>
  <c r="E167" i="64"/>
  <c r="K167" i="64" s="1"/>
  <c r="E305" i="19"/>
  <c r="E313" i="19" s="1"/>
  <c r="G41" i="57"/>
  <c r="K140" i="64"/>
  <c r="E143" i="2"/>
  <c r="E93" i="28" s="1"/>
  <c r="E670" i="18"/>
  <c r="K670" i="18" s="1"/>
  <c r="M109" i="10"/>
  <c r="L104" i="10"/>
  <c r="M104" i="10" s="1"/>
  <c r="K304" i="19"/>
  <c r="L106" i="10"/>
  <c r="M106" i="10" s="1"/>
  <c r="L105" i="10"/>
  <c r="M105" i="10" s="1"/>
  <c r="L110" i="10"/>
  <c r="M110" i="10" s="1"/>
  <c r="L107" i="10"/>
  <c r="M107" i="10" s="1"/>
  <c r="L108" i="10"/>
  <c r="M108" i="10" s="1"/>
  <c r="I333" i="19"/>
  <c r="I280" i="6" s="1"/>
  <c r="I331" i="19"/>
  <c r="I27" i="6" s="1"/>
  <c r="I320" i="19"/>
  <c r="I343" i="19" s="1"/>
  <c r="I330" i="19"/>
  <c r="I128" i="6" s="1"/>
  <c r="I317" i="19"/>
  <c r="G34" i="2"/>
  <c r="G194" i="11" s="1"/>
  <c r="G572" i="6"/>
  <c r="G67" i="2"/>
  <c r="G703" i="6" s="1"/>
  <c r="G59" i="2"/>
  <c r="G317" i="6"/>
  <c r="G331" i="19"/>
  <c r="G27" i="6" s="1"/>
  <c r="F433" i="19"/>
  <c r="F434" i="19" s="1"/>
  <c r="F443" i="19" s="1"/>
  <c r="AC242" i="4"/>
  <c r="H242" i="4" s="1"/>
  <c r="H176" i="18" s="1"/>
  <c r="F463" i="19"/>
  <c r="F237" i="6" s="1"/>
  <c r="F393" i="19"/>
  <c r="F535" i="6" s="1"/>
  <c r="F537" i="6" s="1"/>
  <c r="F390" i="19"/>
  <c r="F383" i="6" s="1"/>
  <c r="G320" i="19"/>
  <c r="G342" i="19" s="1"/>
  <c r="G355" i="19" s="1"/>
  <c r="F490" i="19"/>
  <c r="F491" i="19" s="1"/>
  <c r="F492" i="19" s="1"/>
  <c r="F499" i="19" s="1"/>
  <c r="F462" i="19"/>
  <c r="F136" i="6" s="1"/>
  <c r="H187" i="64"/>
  <c r="G333" i="19"/>
  <c r="G280" i="6" s="1"/>
  <c r="G332" i="19"/>
  <c r="G229" i="6" s="1"/>
  <c r="F380" i="19"/>
  <c r="F403" i="19" s="1"/>
  <c r="H186" i="64"/>
  <c r="G317" i="19"/>
  <c r="F392" i="19"/>
  <c r="F484" i="6" s="1"/>
  <c r="F486" i="6" s="1"/>
  <c r="F377" i="19"/>
  <c r="F464" i="19"/>
  <c r="F288" i="6" s="1"/>
  <c r="F694" i="18"/>
  <c r="G246" i="19"/>
  <c r="F246" i="19"/>
  <c r="I490" i="19"/>
  <c r="I491" i="19" s="1"/>
  <c r="I492" i="19" s="1"/>
  <c r="I499" i="19" s="1"/>
  <c r="F186" i="64"/>
  <c r="F245" i="19"/>
  <c r="F275" i="19" s="1"/>
  <c r="F282" i="19" s="1"/>
  <c r="F249" i="19"/>
  <c r="F248" i="19"/>
  <c r="G462" i="19"/>
  <c r="G136" i="6" s="1"/>
  <c r="I771" i="6"/>
  <c r="I155" i="18" s="1"/>
  <c r="G433" i="19"/>
  <c r="G434" i="19" s="1"/>
  <c r="G435" i="19" s="1"/>
  <c r="G442" i="19" s="1"/>
  <c r="I772" i="6"/>
  <c r="I156" i="18" s="1"/>
  <c r="G464" i="19"/>
  <c r="G288" i="6" s="1"/>
  <c r="I704" i="6"/>
  <c r="G490" i="19"/>
  <c r="G489" i="19"/>
  <c r="G505" i="19" s="1"/>
  <c r="K635" i="18"/>
  <c r="F696" i="18"/>
  <c r="I703" i="6"/>
  <c r="G248" i="19"/>
  <c r="G249" i="19"/>
  <c r="F146" i="2"/>
  <c r="G245" i="19"/>
  <c r="I521" i="19"/>
  <c r="I543" i="6" s="1"/>
  <c r="I623" i="6"/>
  <c r="I520" i="19"/>
  <c r="I492" i="6" s="1"/>
  <c r="K510" i="19"/>
  <c r="F74" i="6"/>
  <c r="F439" i="18"/>
  <c r="F617" i="18"/>
  <c r="K664" i="6"/>
  <c r="F352" i="11"/>
  <c r="F38" i="2"/>
  <c r="F42" i="2" s="1"/>
  <c r="F266" i="6"/>
  <c r="F63" i="2"/>
  <c r="F67" i="2" s="1"/>
  <c r="F521" i="6"/>
  <c r="F55" i="2"/>
  <c r="F59" i="2" s="1"/>
  <c r="F252" i="2"/>
  <c r="F332" i="11"/>
  <c r="F30" i="2"/>
  <c r="F34" i="2" s="1"/>
  <c r="F71" i="11"/>
  <c r="F77" i="11" s="1"/>
  <c r="F78" i="11" s="1"/>
  <c r="K191" i="19"/>
  <c r="H320" i="19"/>
  <c r="H332" i="19"/>
  <c r="H331" i="19"/>
  <c r="H333" i="19"/>
  <c r="H330" i="19"/>
  <c r="H317" i="19"/>
  <c r="G392" i="19"/>
  <c r="G391" i="19"/>
  <c r="G390" i="19"/>
  <c r="G380" i="19"/>
  <c r="G393" i="19"/>
  <c r="G377" i="19"/>
  <c r="K453" i="19"/>
  <c r="I383" i="6"/>
  <c r="I247" i="19"/>
  <c r="I249" i="19"/>
  <c r="I245" i="19"/>
  <c r="I246" i="19"/>
  <c r="I248" i="19"/>
  <c r="F713" i="18"/>
  <c r="F305" i="7"/>
  <c r="F272" i="19"/>
  <c r="F224" i="19"/>
  <c r="K509" i="19"/>
  <c r="I618" i="18"/>
  <c r="K217" i="19"/>
  <c r="E247" i="19"/>
  <c r="E245" i="19"/>
  <c r="E246" i="19"/>
  <c r="E248" i="19"/>
  <c r="E249" i="19"/>
  <c r="F128" i="6"/>
  <c r="G128" i="6"/>
  <c r="H403" i="19"/>
  <c r="H402" i="19"/>
  <c r="H409" i="19" s="1"/>
  <c r="H404" i="19"/>
  <c r="H411" i="19" s="1"/>
  <c r="H405" i="19"/>
  <c r="H412" i="19" s="1"/>
  <c r="H433" i="19"/>
  <c r="H432" i="19"/>
  <c r="H448" i="19" s="1"/>
  <c r="F521" i="19"/>
  <c r="F543" i="6" s="1"/>
  <c r="G146" i="2"/>
  <c r="G696" i="18"/>
  <c r="G151" i="7"/>
  <c r="AB179" i="4" s="1"/>
  <c r="G179" i="4" s="1"/>
  <c r="K374" i="19"/>
  <c r="K454" i="19"/>
  <c r="D144" i="1"/>
  <c r="E93" i="10"/>
  <c r="E93" i="27"/>
  <c r="E93" i="26"/>
  <c r="E94" i="28"/>
  <c r="E92" i="64"/>
  <c r="K92" i="64" s="1"/>
  <c r="E464" i="18"/>
  <c r="K464" i="18" s="1"/>
  <c r="E679" i="18"/>
  <c r="K679" i="18" s="1"/>
  <c r="E175" i="64"/>
  <c r="K175" i="64" s="1"/>
  <c r="K242" i="19"/>
  <c r="E490" i="19"/>
  <c r="E489" i="19"/>
  <c r="E505" i="19" s="1"/>
  <c r="I176" i="18"/>
  <c r="I293" i="19"/>
  <c r="I434" i="11" s="1"/>
  <c r="H383" i="6"/>
  <c r="H535" i="6"/>
  <c r="H537" i="6" s="1"/>
  <c r="H245" i="19"/>
  <c r="H247" i="19"/>
  <c r="H246" i="19"/>
  <c r="H248" i="19"/>
  <c r="H249" i="19"/>
  <c r="F519" i="19"/>
  <c r="F391" i="6" s="1"/>
  <c r="G176" i="18"/>
  <c r="G293" i="19"/>
  <c r="G434" i="11" s="1"/>
  <c r="H146" i="2"/>
  <c r="H696" i="18"/>
  <c r="H151" i="7"/>
  <c r="AC179" i="4" s="1"/>
  <c r="H179" i="4" s="1"/>
  <c r="I229" i="6"/>
  <c r="E369" i="6"/>
  <c r="K175" i="19"/>
  <c r="I73" i="54"/>
  <c r="E275" i="11"/>
  <c r="H63" i="60"/>
  <c r="H63" i="57"/>
  <c r="E256" i="11"/>
  <c r="E189" i="2"/>
  <c r="D189" i="1" s="1"/>
  <c r="E114" i="6"/>
  <c r="E36" i="2"/>
  <c r="E61" i="2"/>
  <c r="E53" i="2"/>
  <c r="E28" i="2"/>
  <c r="I402" i="19"/>
  <c r="I409" i="19" s="1"/>
  <c r="I403" i="19"/>
  <c r="I405" i="19"/>
  <c r="I412" i="19" s="1"/>
  <c r="I404" i="19"/>
  <c r="I411" i="19" s="1"/>
  <c r="M20" i="43"/>
  <c r="M23" i="43" s="1"/>
  <c r="M26" i="43" s="1"/>
  <c r="M19" i="36"/>
  <c r="M22" i="36" s="1"/>
  <c r="M25" i="36" s="1"/>
  <c r="K166" i="6"/>
  <c r="K68" i="6"/>
  <c r="E72" i="6"/>
  <c r="K365" i="19"/>
  <c r="E373" i="19"/>
  <c r="G440" i="18"/>
  <c r="I484" i="6"/>
  <c r="I486" i="6" s="1"/>
  <c r="K421" i="6"/>
  <c r="M20" i="45"/>
  <c r="M23" i="45" s="1"/>
  <c r="M26" i="45" s="1"/>
  <c r="K241" i="19"/>
  <c r="E433" i="19"/>
  <c r="E432" i="19"/>
  <c r="H817" i="18"/>
  <c r="H213" i="64"/>
  <c r="F229" i="6"/>
  <c r="F27" i="6"/>
  <c r="E694" i="18"/>
  <c r="E187" i="64"/>
  <c r="E186" i="64"/>
  <c r="D145" i="1"/>
  <c r="I696" i="18"/>
  <c r="I146" i="2"/>
  <c r="I151" i="7"/>
  <c r="AD179" i="4" s="1"/>
  <c r="I179" i="4" s="1"/>
  <c r="K314" i="19"/>
  <c r="K427" i="19"/>
  <c r="E146" i="2"/>
  <c r="D146" i="1" s="1"/>
  <c r="N94" i="54"/>
  <c r="D21" i="31"/>
  <c r="K9" i="5" s="1"/>
  <c r="E151" i="7"/>
  <c r="Z179" i="4" s="1"/>
  <c r="E179" i="4" s="1"/>
  <c r="E696" i="18"/>
  <c r="I535" i="6"/>
  <c r="I537" i="6" s="1"/>
  <c r="I77" i="6"/>
  <c r="I79" i="6" s="1"/>
  <c r="K18" i="6"/>
  <c r="E22" i="6"/>
  <c r="K425" i="6"/>
  <c r="I433" i="19"/>
  <c r="I432" i="19"/>
  <c r="I448" i="19" s="1"/>
  <c r="F343" i="19"/>
  <c r="F342" i="19"/>
  <c r="F355" i="19" s="1"/>
  <c r="F345" i="19"/>
  <c r="F358" i="19" s="1"/>
  <c r="F344" i="19"/>
  <c r="C21" i="31"/>
  <c r="K419" i="19"/>
  <c r="I187" i="64"/>
  <c r="I694" i="18"/>
  <c r="I186" i="64"/>
  <c r="H77" i="6"/>
  <c r="H79" i="6" s="1"/>
  <c r="K452" i="19"/>
  <c r="F77" i="6"/>
  <c r="F79" i="6" s="1"/>
  <c r="F176" i="18"/>
  <c r="F293" i="19"/>
  <c r="F434" i="11" s="1"/>
  <c r="H490" i="19"/>
  <c r="H489" i="19"/>
  <c r="H505" i="19" s="1"/>
  <c r="F280" i="6"/>
  <c r="H484" i="6"/>
  <c r="H486" i="6" s="1"/>
  <c r="K511" i="19"/>
  <c r="F520" i="19"/>
  <c r="F492" i="6" s="1"/>
  <c r="I519" i="19"/>
  <c r="I391" i="6" s="1"/>
  <c r="E202" i="5" l="1"/>
  <c r="I434" i="6"/>
  <c r="I586" i="6" s="1"/>
  <c r="I179" i="6"/>
  <c r="I331" i="6" s="1"/>
  <c r="F179" i="6"/>
  <c r="F331" i="6" s="1"/>
  <c r="F434" i="6"/>
  <c r="F586" i="6" s="1"/>
  <c r="E429" i="6"/>
  <c r="E174" i="6"/>
  <c r="F431" i="6"/>
  <c r="F176" i="6"/>
  <c r="E25" i="5"/>
  <c r="E198" i="5"/>
  <c r="J182" i="10"/>
  <c r="J181" i="27"/>
  <c r="K305" i="19"/>
  <c r="J183" i="28"/>
  <c r="E95" i="27"/>
  <c r="E96" i="27" s="1"/>
  <c r="D97" i="27" s="1"/>
  <c r="E96" i="28"/>
  <c r="E97" i="28" s="1"/>
  <c r="J98" i="28" s="1"/>
  <c r="E92" i="10"/>
  <c r="E92" i="26"/>
  <c r="E161" i="64"/>
  <c r="K161" i="64" s="1"/>
  <c r="E34" i="64"/>
  <c r="K34" i="64" s="1"/>
  <c r="E95" i="10"/>
  <c r="E96" i="10" s="1"/>
  <c r="D97" i="10" s="1"/>
  <c r="E282" i="18"/>
  <c r="K282" i="18" s="1"/>
  <c r="E92" i="27"/>
  <c r="E95" i="26"/>
  <c r="E664" i="18"/>
  <c r="K664" i="18" s="1"/>
  <c r="D143" i="1"/>
  <c r="I345" i="19"/>
  <c r="I358" i="19" s="1"/>
  <c r="I342" i="19"/>
  <c r="I355" i="19" s="1"/>
  <c r="I344" i="19"/>
  <c r="I357" i="19" s="1"/>
  <c r="G704" i="6"/>
  <c r="G623" i="6"/>
  <c r="G213" i="64" s="1"/>
  <c r="G772" i="6"/>
  <c r="G156" i="18" s="1"/>
  <c r="G771" i="6"/>
  <c r="G155" i="18" s="1"/>
  <c r="I500" i="19"/>
  <c r="I501" i="19" s="1"/>
  <c r="I502" i="19" s="1"/>
  <c r="F405" i="19"/>
  <c r="F412" i="19" s="1"/>
  <c r="F435" i="19"/>
  <c r="F442" i="19" s="1"/>
  <c r="F444" i="19" s="1"/>
  <c r="F445" i="19" s="1"/>
  <c r="F402" i="19"/>
  <c r="F404" i="19"/>
  <c r="F411" i="19" s="1"/>
  <c r="H293" i="19"/>
  <c r="H434" i="11" s="1"/>
  <c r="G344" i="19"/>
  <c r="G357" i="19" s="1"/>
  <c r="G345" i="19"/>
  <c r="G358" i="19" s="1"/>
  <c r="G343" i="19"/>
  <c r="F339" i="6"/>
  <c r="F500" i="19"/>
  <c r="F501" i="19" s="1"/>
  <c r="F502" i="19" s="1"/>
  <c r="F276" i="19"/>
  <c r="F277" i="19"/>
  <c r="G276" i="19"/>
  <c r="G277" i="19"/>
  <c r="F278" i="19"/>
  <c r="F285" i="19" s="1"/>
  <c r="F239" i="2" s="1"/>
  <c r="F279" i="19"/>
  <c r="F286" i="19" s="1"/>
  <c r="F256" i="2" s="1"/>
  <c r="G275" i="19"/>
  <c r="G282" i="19" s="1"/>
  <c r="G372" i="6" s="1"/>
  <c r="G443" i="19"/>
  <c r="G444" i="19" s="1"/>
  <c r="G445" i="19" s="1"/>
  <c r="G339" i="6"/>
  <c r="K696" i="18"/>
  <c r="G278" i="19"/>
  <c r="G285" i="19" s="1"/>
  <c r="G218" i="6" s="1"/>
  <c r="G307" i="11" s="1"/>
  <c r="G491" i="19"/>
  <c r="G279" i="19"/>
  <c r="G286" i="19" s="1"/>
  <c r="G269" i="6" s="1"/>
  <c r="G346" i="11" s="1"/>
  <c r="E434" i="19"/>
  <c r="E435" i="19" s="1"/>
  <c r="I594" i="6"/>
  <c r="I817" i="18"/>
  <c r="I213" i="64"/>
  <c r="H491" i="19"/>
  <c r="H492" i="19" s="1"/>
  <c r="H499" i="19" s="1"/>
  <c r="F618" i="18"/>
  <c r="F194" i="11"/>
  <c r="F704" i="6"/>
  <c r="F771" i="6"/>
  <c r="F155" i="18" s="1"/>
  <c r="K249" i="19"/>
  <c r="K247" i="19"/>
  <c r="F317" i="6"/>
  <c r="K266" i="6"/>
  <c r="I434" i="19"/>
  <c r="I435" i="19" s="1"/>
  <c r="I442" i="19" s="1"/>
  <c r="E491" i="19"/>
  <c r="E492" i="19" s="1"/>
  <c r="F703" i="6"/>
  <c r="F772" i="6"/>
  <c r="F156" i="18" s="1"/>
  <c r="K521" i="6"/>
  <c r="F572" i="6"/>
  <c r="F385" i="6"/>
  <c r="F769" i="18" s="1"/>
  <c r="G29" i="6"/>
  <c r="E24" i="6"/>
  <c r="K22" i="6"/>
  <c r="H440" i="18"/>
  <c r="G282" i="6"/>
  <c r="I29" i="6"/>
  <c r="H713" i="18"/>
  <c r="H305" i="7"/>
  <c r="H272" i="19"/>
  <c r="H224" i="19"/>
  <c r="K490" i="19"/>
  <c r="H463" i="19"/>
  <c r="H237" i="6" s="1"/>
  <c r="H462" i="19"/>
  <c r="H136" i="6" s="1"/>
  <c r="H464" i="19"/>
  <c r="H288" i="6" s="1"/>
  <c r="E315" i="19"/>
  <c r="K313" i="19"/>
  <c r="E314" i="7"/>
  <c r="K248" i="19"/>
  <c r="F235" i="19"/>
  <c r="F225" i="19"/>
  <c r="G535" i="6"/>
  <c r="G537" i="6" s="1"/>
  <c r="G484" i="6"/>
  <c r="G486" i="6" s="1"/>
  <c r="G787" i="18" s="1"/>
  <c r="G791" i="18" s="1"/>
  <c r="H280" i="6"/>
  <c r="E305" i="7"/>
  <c r="E713" i="18"/>
  <c r="E272" i="19"/>
  <c r="E224" i="19"/>
  <c r="K187" i="64"/>
  <c r="D53" i="1"/>
  <c r="E59" i="2"/>
  <c r="D59" i="1" s="1"/>
  <c r="G231" i="6"/>
  <c r="H519" i="19"/>
  <c r="H391" i="6" s="1"/>
  <c r="H520" i="19"/>
  <c r="H492" i="6" s="1"/>
  <c r="H521" i="19"/>
  <c r="H543" i="6" s="1"/>
  <c r="I463" i="19"/>
  <c r="I237" i="6" s="1"/>
  <c r="I464" i="19"/>
  <c r="I288" i="6" s="1"/>
  <c r="I462" i="19"/>
  <c r="I136" i="6" s="1"/>
  <c r="K694" i="18"/>
  <c r="F357" i="19"/>
  <c r="I282" i="6"/>
  <c r="I805" i="18"/>
  <c r="I809" i="18" s="1"/>
  <c r="D61" i="1"/>
  <c r="E67" i="2"/>
  <c r="D67" i="1" s="1"/>
  <c r="I231" i="6"/>
  <c r="I787" i="18"/>
  <c r="I791" i="18" s="1"/>
  <c r="H276" i="19"/>
  <c r="H275" i="19"/>
  <c r="H282" i="19" s="1"/>
  <c r="H277" i="19"/>
  <c r="H279" i="19"/>
  <c r="H286" i="19" s="1"/>
  <c r="H278" i="19"/>
  <c r="H285" i="19" s="1"/>
  <c r="H686" i="18"/>
  <c r="H182" i="64"/>
  <c r="K246" i="19"/>
  <c r="I440" i="18"/>
  <c r="G403" i="19"/>
  <c r="G402" i="19"/>
  <c r="G409" i="19" s="1"/>
  <c r="G405" i="19"/>
  <c r="G412" i="19" s="1"/>
  <c r="G404" i="19"/>
  <c r="G411" i="19" s="1"/>
  <c r="H27" i="6"/>
  <c r="F282" i="6"/>
  <c r="F805" i="18"/>
  <c r="F809" i="18" s="1"/>
  <c r="F671" i="18"/>
  <c r="F168" i="64"/>
  <c r="F231" i="6"/>
  <c r="F787" i="18"/>
  <c r="F791" i="18" s="1"/>
  <c r="K432" i="19"/>
  <c r="E448" i="19"/>
  <c r="E375" i="19"/>
  <c r="K373" i="19"/>
  <c r="E315" i="7"/>
  <c r="E74" i="6"/>
  <c r="K72" i="6"/>
  <c r="I182" i="64"/>
  <c r="I686" i="18"/>
  <c r="D36" i="1"/>
  <c r="I66" i="54"/>
  <c r="E42" i="2"/>
  <c r="G305" i="7"/>
  <c r="G713" i="18"/>
  <c r="G272" i="19"/>
  <c r="G224" i="19"/>
  <c r="H434" i="19"/>
  <c r="K245" i="19"/>
  <c r="E279" i="19"/>
  <c r="E278" i="19"/>
  <c r="E277" i="19"/>
  <c r="E275" i="19"/>
  <c r="E276" i="19"/>
  <c r="I276" i="19"/>
  <c r="I279" i="19"/>
  <c r="I286" i="19" s="1"/>
  <c r="I278" i="19"/>
  <c r="I285" i="19" s="1"/>
  <c r="I277" i="19"/>
  <c r="I275" i="19"/>
  <c r="I282" i="19" s="1"/>
  <c r="G383" i="6"/>
  <c r="H229" i="6"/>
  <c r="I713" i="18"/>
  <c r="I272" i="19"/>
  <c r="I305" i="7"/>
  <c r="I224" i="19"/>
  <c r="K186" i="64"/>
  <c r="F29" i="6"/>
  <c r="K433" i="19"/>
  <c r="I65" i="54"/>
  <c r="D28" i="1"/>
  <c r="E34" i="2"/>
  <c r="G18" i="36"/>
  <c r="K114" i="6"/>
  <c r="G19" i="43"/>
  <c r="E317" i="6"/>
  <c r="K369" i="6"/>
  <c r="G19" i="45"/>
  <c r="E572" i="6"/>
  <c r="F594" i="6"/>
  <c r="H385" i="6"/>
  <c r="K489" i="19"/>
  <c r="F193" i="2"/>
  <c r="F117" i="6"/>
  <c r="F372" i="6"/>
  <c r="I385" i="6"/>
  <c r="I769" i="18" s="1"/>
  <c r="G77" i="6"/>
  <c r="G79" i="6" s="1"/>
  <c r="H128" i="6"/>
  <c r="H342" i="19"/>
  <c r="H355" i="19" s="1"/>
  <c r="H345" i="19"/>
  <c r="H358" i="19" s="1"/>
  <c r="H343" i="19"/>
  <c r="H344" i="19"/>
  <c r="H357" i="19" s="1"/>
  <c r="O7" i="54" l="1"/>
  <c r="L25" i="5"/>
  <c r="E443" i="19"/>
  <c r="I181" i="6"/>
  <c r="I436" i="6"/>
  <c r="G179" i="6"/>
  <c r="G331" i="6" s="1"/>
  <c r="E431" i="6"/>
  <c r="E176" i="6"/>
  <c r="G434" i="6"/>
  <c r="G586" i="6" s="1"/>
  <c r="F436" i="6"/>
  <c r="F181" i="6"/>
  <c r="H434" i="6"/>
  <c r="H586" i="6" s="1"/>
  <c r="H179" i="6"/>
  <c r="H331" i="6" s="1"/>
  <c r="G436" i="6"/>
  <c r="G181" i="6"/>
  <c r="D98" i="28"/>
  <c r="H98" i="28" s="1"/>
  <c r="H182" i="28" s="1"/>
  <c r="J97" i="27"/>
  <c r="E97" i="27" s="1"/>
  <c r="E180" i="27" s="1"/>
  <c r="J97" i="10"/>
  <c r="L93" i="10" s="1"/>
  <c r="M93" i="10" s="1"/>
  <c r="I671" i="18"/>
  <c r="I168" i="64"/>
  <c r="G817" i="18"/>
  <c r="F182" i="64"/>
  <c r="F686" i="18"/>
  <c r="F409" i="19"/>
  <c r="F645" i="6"/>
  <c r="F473" i="6"/>
  <c r="F326" i="11" s="1"/>
  <c r="G671" i="18"/>
  <c r="G168" i="64"/>
  <c r="F269" i="6"/>
  <c r="F346" i="11" s="1"/>
  <c r="F218" i="6"/>
  <c r="F307" i="11" s="1"/>
  <c r="F524" i="6"/>
  <c r="F366" i="11" s="1"/>
  <c r="G524" i="6"/>
  <c r="G366" i="11" s="1"/>
  <c r="G256" i="2"/>
  <c r="G117" i="6"/>
  <c r="G320" i="6" s="1"/>
  <c r="G239" i="2"/>
  <c r="G193" i="2"/>
  <c r="G473" i="6"/>
  <c r="G326" i="11" s="1"/>
  <c r="I443" i="19"/>
  <c r="I444" i="19" s="1"/>
  <c r="I445" i="19" s="1"/>
  <c r="I446" i="19" s="1"/>
  <c r="H769" i="18"/>
  <c r="H773" i="18" s="1"/>
  <c r="E500" i="19"/>
  <c r="G492" i="19"/>
  <c r="G499" i="19" s="1"/>
  <c r="G500" i="19"/>
  <c r="G521" i="19"/>
  <c r="G543" i="6" s="1"/>
  <c r="G520" i="19"/>
  <c r="G492" i="6" s="1"/>
  <c r="G519" i="19"/>
  <c r="G391" i="6" s="1"/>
  <c r="F773" i="18"/>
  <c r="K434" i="19"/>
  <c r="K276" i="19"/>
  <c r="H500" i="19"/>
  <c r="H501" i="19" s="1"/>
  <c r="H502" i="19" s="1"/>
  <c r="K491" i="19"/>
  <c r="F440" i="18"/>
  <c r="F623" i="6"/>
  <c r="H594" i="6"/>
  <c r="F449" i="19"/>
  <c r="F459" i="19"/>
  <c r="F474" i="19" s="1"/>
  <c r="F457" i="19"/>
  <c r="F472" i="19" s="1"/>
  <c r="F458" i="19"/>
  <c r="F473" i="19" s="1"/>
  <c r="F446" i="19"/>
  <c r="F506" i="19"/>
  <c r="F514" i="19"/>
  <c r="F529" i="19" s="1"/>
  <c r="F516" i="19"/>
  <c r="F531" i="19" s="1"/>
  <c r="F515" i="19"/>
  <c r="F530" i="19" s="1"/>
  <c r="F503" i="19"/>
  <c r="F588" i="6"/>
  <c r="F684" i="18"/>
  <c r="F180" i="64"/>
  <c r="I637" i="6"/>
  <c r="I166" i="64"/>
  <c r="I669" i="18"/>
  <c r="I506" i="19"/>
  <c r="I516" i="19"/>
  <c r="I531" i="19" s="1"/>
  <c r="I514" i="19"/>
  <c r="I529" i="19" s="1"/>
  <c r="I515" i="19"/>
  <c r="I530" i="19" s="1"/>
  <c r="I503" i="19"/>
  <c r="F637" i="6"/>
  <c r="F166" i="64"/>
  <c r="F169" i="64" s="1"/>
  <c r="F669" i="18"/>
  <c r="F672" i="18" s="1"/>
  <c r="G449" i="19"/>
  <c r="G458" i="19"/>
  <c r="G473" i="19" s="1"/>
  <c r="G459" i="19"/>
  <c r="G474" i="19" s="1"/>
  <c r="G457" i="19"/>
  <c r="G472" i="19" s="1"/>
  <c r="G446" i="19"/>
  <c r="F288" i="11"/>
  <c r="K317" i="6"/>
  <c r="E623" i="6"/>
  <c r="O18" i="36"/>
  <c r="G182" i="64"/>
  <c r="G686" i="18"/>
  <c r="H524" i="6"/>
  <c r="H366" i="11" s="1"/>
  <c r="H256" i="2"/>
  <c r="H269" i="6"/>
  <c r="H346" i="11" s="1"/>
  <c r="I92" i="54"/>
  <c r="C20" i="31"/>
  <c r="K224" i="19"/>
  <c r="E235" i="19"/>
  <c r="E225" i="19"/>
  <c r="K429" i="6"/>
  <c r="E617" i="18"/>
  <c r="K617" i="18" s="1"/>
  <c r="G385" i="6"/>
  <c r="G769" i="18" s="1"/>
  <c r="K279" i="19"/>
  <c r="E286" i="19"/>
  <c r="F269" i="11"/>
  <c r="E703" i="6"/>
  <c r="U22" i="46"/>
  <c r="G24" i="38"/>
  <c r="D42" i="1"/>
  <c r="E772" i="6"/>
  <c r="G16" i="14"/>
  <c r="K375" i="19"/>
  <c r="E376" i="19"/>
  <c r="L99" i="28"/>
  <c r="L94" i="28"/>
  <c r="L97" i="28"/>
  <c r="L98" i="28"/>
  <c r="L93" i="28"/>
  <c r="L95" i="28"/>
  <c r="L96" i="28"/>
  <c r="K272" i="19"/>
  <c r="Z242" i="4"/>
  <c r="E242" i="4" s="1"/>
  <c r="E442" i="19"/>
  <c r="H168" i="64"/>
  <c r="H671" i="18"/>
  <c r="H787" i="18"/>
  <c r="H791" i="18" s="1"/>
  <c r="H231" i="6"/>
  <c r="I524" i="6"/>
  <c r="I366" i="11" s="1"/>
  <c r="I256" i="2"/>
  <c r="I269" i="6"/>
  <c r="I346" i="11" s="1"/>
  <c r="G235" i="19"/>
  <c r="G225" i="19"/>
  <c r="I684" i="18"/>
  <c r="I687" i="18" s="1"/>
  <c r="I180" i="64"/>
  <c r="I183" i="64" s="1"/>
  <c r="I588" i="6"/>
  <c r="O19" i="45"/>
  <c r="I235" i="19"/>
  <c r="I225" i="19"/>
  <c r="I372" i="6"/>
  <c r="I117" i="6"/>
  <c r="I193" i="2"/>
  <c r="K275" i="19"/>
  <c r="E282" i="19"/>
  <c r="K74" i="6"/>
  <c r="E519" i="19"/>
  <c r="K505" i="19"/>
  <c r="E521" i="19"/>
  <c r="E520" i="19"/>
  <c r="O19" i="43"/>
  <c r="E194" i="11"/>
  <c r="G15" i="14"/>
  <c r="U21" i="46"/>
  <c r="G23" i="38"/>
  <c r="D34" i="1"/>
  <c r="E704" i="6"/>
  <c r="E771" i="6"/>
  <c r="K277" i="19"/>
  <c r="G288" i="11"/>
  <c r="I17" i="54"/>
  <c r="E463" i="19"/>
  <c r="E462" i="19"/>
  <c r="E464" i="19"/>
  <c r="K448" i="19"/>
  <c r="H29" i="6"/>
  <c r="H117" i="6"/>
  <c r="H372" i="6"/>
  <c r="H193" i="2"/>
  <c r="I339" i="6"/>
  <c r="I645" i="6" s="1"/>
  <c r="K713" i="18"/>
  <c r="F306" i="7"/>
  <c r="AA236" i="4" s="1"/>
  <c r="F236" i="4" s="1"/>
  <c r="F714" i="18"/>
  <c r="F307" i="7"/>
  <c r="AA237" i="4" s="1"/>
  <c r="F237" i="4" s="1"/>
  <c r="F171" i="18" s="1"/>
  <c r="F273" i="19"/>
  <c r="F238" i="19"/>
  <c r="H339" i="6"/>
  <c r="G805" i="18"/>
  <c r="G809" i="18" s="1"/>
  <c r="J75" i="55"/>
  <c r="K24" i="6"/>
  <c r="E499" i="19"/>
  <c r="K572" i="6"/>
  <c r="I473" i="6"/>
  <c r="I326" i="11" s="1"/>
  <c r="I239" i="2"/>
  <c r="I218" i="6"/>
  <c r="I307" i="11" s="1"/>
  <c r="K278" i="19"/>
  <c r="E285" i="19"/>
  <c r="H435" i="19"/>
  <c r="H442" i="19" s="1"/>
  <c r="H443" i="19"/>
  <c r="H239" i="2"/>
  <c r="H218" i="6"/>
  <c r="H307" i="11" s="1"/>
  <c r="H473" i="6"/>
  <c r="H326" i="11" s="1"/>
  <c r="H282" i="6"/>
  <c r="H805" i="18"/>
  <c r="H809" i="18" s="1"/>
  <c r="F237" i="19"/>
  <c r="K315" i="19"/>
  <c r="E316" i="19"/>
  <c r="H235" i="19"/>
  <c r="H225" i="19"/>
  <c r="I773" i="18"/>
  <c r="K174" i="6"/>
  <c r="E439" i="18"/>
  <c r="K439" i="18" s="1"/>
  <c r="I98" i="28" l="1"/>
  <c r="I182" i="28" s="1"/>
  <c r="M98" i="28"/>
  <c r="M96" i="28"/>
  <c r="M97" i="28"/>
  <c r="H436" i="6"/>
  <c r="H181" i="6"/>
  <c r="L92" i="27"/>
  <c r="M92" i="27" s="1"/>
  <c r="E97" i="10"/>
  <c r="E181" i="10" s="1"/>
  <c r="G98" i="28"/>
  <c r="G182" i="28" s="1"/>
  <c r="M95" i="28"/>
  <c r="M94" i="28"/>
  <c r="E98" i="28"/>
  <c r="E182" i="28" s="1"/>
  <c r="F97" i="27"/>
  <c r="F180" i="27" s="1"/>
  <c r="F98" i="28"/>
  <c r="F182" i="28" s="1"/>
  <c r="L93" i="27"/>
  <c r="M93" i="27" s="1"/>
  <c r="M93" i="28"/>
  <c r="M99" i="28"/>
  <c r="H97" i="27"/>
  <c r="H180" i="27" s="1"/>
  <c r="L96" i="27"/>
  <c r="M96" i="27" s="1"/>
  <c r="G97" i="27"/>
  <c r="G180" i="27" s="1"/>
  <c r="L95" i="27"/>
  <c r="M95" i="27" s="1"/>
  <c r="L97" i="27"/>
  <c r="M97" i="27" s="1"/>
  <c r="I97" i="27"/>
  <c r="I180" i="27" s="1"/>
  <c r="L98" i="27"/>
  <c r="M98" i="27" s="1"/>
  <c r="L94" i="27"/>
  <c r="M94" i="27" s="1"/>
  <c r="F97" i="10"/>
  <c r="F181" i="10" s="1"/>
  <c r="L95" i="10"/>
  <c r="M95" i="10" s="1"/>
  <c r="L92" i="10"/>
  <c r="M92" i="10" s="1"/>
  <c r="H97" i="10"/>
  <c r="H181" i="10" s="1"/>
  <c r="L97" i="10"/>
  <c r="M97" i="10" s="1"/>
  <c r="G97" i="10"/>
  <c r="G181" i="10" s="1"/>
  <c r="L98" i="10"/>
  <c r="M98" i="10" s="1"/>
  <c r="L94" i="10"/>
  <c r="M94" i="10" s="1"/>
  <c r="I97" i="10"/>
  <c r="I181" i="10" s="1"/>
  <c r="L96" i="10"/>
  <c r="M96" i="10" s="1"/>
  <c r="I672" i="18"/>
  <c r="I169" i="64"/>
  <c r="F183" i="64"/>
  <c r="F575" i="6"/>
  <c r="F687" i="18"/>
  <c r="G575" i="6"/>
  <c r="G626" i="6" s="1"/>
  <c r="G269" i="11"/>
  <c r="F320" i="6"/>
  <c r="F626" i="6" s="1"/>
  <c r="K443" i="19"/>
  <c r="K492" i="19"/>
  <c r="G594" i="6"/>
  <c r="G645" i="6" s="1"/>
  <c r="K500" i="19"/>
  <c r="G501" i="19"/>
  <c r="G502" i="19" s="1"/>
  <c r="H645" i="6"/>
  <c r="F213" i="64"/>
  <c r="F817" i="18"/>
  <c r="F252" i="19"/>
  <c r="F259" i="19" s="1"/>
  <c r="F341" i="12" s="1"/>
  <c r="F344" i="12" s="1"/>
  <c r="F255" i="19"/>
  <c r="F262" i="19" s="1"/>
  <c r="F349" i="12" s="1"/>
  <c r="F352" i="12" s="1"/>
  <c r="K285" i="19"/>
  <c r="E239" i="2"/>
  <c r="D239" i="1" s="1"/>
  <c r="E473" i="6"/>
  <c r="E218" i="6"/>
  <c r="E440" i="18"/>
  <c r="K440" i="18" s="1"/>
  <c r="K176" i="6"/>
  <c r="F170" i="18"/>
  <c r="F179" i="18" s="1"/>
  <c r="F234" i="4"/>
  <c r="F291" i="19"/>
  <c r="F432" i="11" s="1"/>
  <c r="F435" i="11" s="1"/>
  <c r="H269" i="11"/>
  <c r="H320" i="6"/>
  <c r="K463" i="19"/>
  <c r="E237" i="6"/>
  <c r="E372" i="6"/>
  <c r="K282" i="19"/>
  <c r="E193" i="2"/>
  <c r="D193" i="1" s="1"/>
  <c r="E117" i="6"/>
  <c r="I575" i="6"/>
  <c r="I288" i="11"/>
  <c r="G306" i="7"/>
  <c r="AB236" i="4" s="1"/>
  <c r="G236" i="4" s="1"/>
  <c r="G307" i="7"/>
  <c r="AB237" i="4" s="1"/>
  <c r="G237" i="4" s="1"/>
  <c r="G171" i="18" s="1"/>
  <c r="G714" i="18"/>
  <c r="G238" i="19"/>
  <c r="G273" i="19"/>
  <c r="K435" i="19"/>
  <c r="G773" i="18"/>
  <c r="K225" i="19"/>
  <c r="E714" i="18"/>
  <c r="E307" i="7"/>
  <c r="Z237" i="4" s="1"/>
  <c r="E237" i="4" s="1"/>
  <c r="E171" i="18" s="1"/>
  <c r="D20" i="31"/>
  <c r="K8" i="5" s="1"/>
  <c r="I93" i="54"/>
  <c r="E306" i="7"/>
  <c r="Z236" i="4" s="1"/>
  <c r="E236" i="4" s="1"/>
  <c r="E273" i="19"/>
  <c r="E238" i="19"/>
  <c r="G216" i="6"/>
  <c r="G236" i="2"/>
  <c r="G295" i="11"/>
  <c r="I191" i="2"/>
  <c r="I276" i="11"/>
  <c r="I370" i="6"/>
  <c r="F522" i="6"/>
  <c r="F353" i="11"/>
  <c r="F254" i="2"/>
  <c r="F257" i="11"/>
  <c r="F190" i="2"/>
  <c r="F115" i="6"/>
  <c r="F763" i="18"/>
  <c r="I449" i="19"/>
  <c r="I457" i="19"/>
  <c r="I472" i="19" s="1"/>
  <c r="I458" i="19"/>
  <c r="I473" i="19" s="1"/>
  <c r="I459" i="19"/>
  <c r="I474" i="19" s="1"/>
  <c r="H288" i="11"/>
  <c r="H575" i="6"/>
  <c r="H588" i="6"/>
  <c r="H684" i="18"/>
  <c r="H687" i="18" s="1"/>
  <c r="H180" i="64"/>
  <c r="H183" i="64" s="1"/>
  <c r="K462" i="19"/>
  <c r="E136" i="6"/>
  <c r="H80" i="57" s="1"/>
  <c r="K521" i="19"/>
  <c r="E543" i="6"/>
  <c r="I269" i="11"/>
  <c r="I320" i="6"/>
  <c r="K442" i="19"/>
  <c r="E444" i="19"/>
  <c r="G637" i="6"/>
  <c r="G166" i="64"/>
  <c r="G169" i="64" s="1"/>
  <c r="G669" i="18"/>
  <c r="G672" i="18" s="1"/>
  <c r="H714" i="18"/>
  <c r="H307" i="7"/>
  <c r="AC237" i="4" s="1"/>
  <c r="H237" i="4" s="1"/>
  <c r="H171" i="18" s="1"/>
  <c r="H306" i="7"/>
  <c r="AC236" i="4" s="1"/>
  <c r="H236" i="4" s="1"/>
  <c r="H238" i="19"/>
  <c r="H273" i="19"/>
  <c r="F352" i="6"/>
  <c r="F607" i="6"/>
  <c r="F254" i="19"/>
  <c r="F353" i="6"/>
  <c r="F608" i="6"/>
  <c r="H506" i="19"/>
  <c r="H514" i="19"/>
  <c r="H529" i="19" s="1"/>
  <c r="H515" i="19"/>
  <c r="H530" i="19" s="1"/>
  <c r="H516" i="19"/>
  <c r="H531" i="19" s="1"/>
  <c r="H237" i="19"/>
  <c r="K316" i="19"/>
  <c r="E320" i="19"/>
  <c r="E333" i="19"/>
  <c r="E330" i="19"/>
  <c r="E332" i="19"/>
  <c r="E331" i="19"/>
  <c r="E317" i="19"/>
  <c r="K317" i="19" s="1"/>
  <c r="F256" i="19"/>
  <c r="F263" i="19" s="1"/>
  <c r="F357" i="12" s="1"/>
  <c r="F360" i="12" s="1"/>
  <c r="F253" i="19"/>
  <c r="H444" i="19"/>
  <c r="H445" i="19" s="1"/>
  <c r="K499" i="19"/>
  <c r="E501" i="19"/>
  <c r="K431" i="6"/>
  <c r="E618" i="18"/>
  <c r="K618" i="18" s="1"/>
  <c r="F85" i="2"/>
  <c r="F696" i="6"/>
  <c r="G16" i="15"/>
  <c r="K704" i="6"/>
  <c r="K519" i="19"/>
  <c r="E391" i="6"/>
  <c r="H80" i="60" s="1"/>
  <c r="I306" i="7"/>
  <c r="AD236" i="4" s="1"/>
  <c r="I236" i="4" s="1"/>
  <c r="I714" i="18"/>
  <c r="I307" i="7"/>
  <c r="AD237" i="4" s="1"/>
  <c r="I237" i="4" s="1"/>
  <c r="I171" i="18" s="1"/>
  <c r="I273" i="19"/>
  <c r="I238" i="19"/>
  <c r="G237" i="19"/>
  <c r="K772" i="6"/>
  <c r="E156" i="18"/>
  <c r="K156" i="18" s="1"/>
  <c r="K703" i="6"/>
  <c r="G15" i="15"/>
  <c r="K286" i="19"/>
  <c r="E269" i="6"/>
  <c r="E256" i="2"/>
  <c r="D256" i="1" s="1"/>
  <c r="E524" i="6"/>
  <c r="K235" i="19"/>
  <c r="E237" i="19"/>
  <c r="K623" i="6"/>
  <c r="E817" i="18"/>
  <c r="E213" i="64"/>
  <c r="G469" i="19"/>
  <c r="G287" i="6" s="1"/>
  <c r="G291" i="6" s="1"/>
  <c r="G467" i="19"/>
  <c r="G135" i="6" s="1"/>
  <c r="G468" i="19"/>
  <c r="G236" i="6" s="1"/>
  <c r="G240" i="6" s="1"/>
  <c r="I353" i="11"/>
  <c r="I254" i="2"/>
  <c r="I522" i="6"/>
  <c r="F370" i="6"/>
  <c r="F191" i="2"/>
  <c r="F276" i="11"/>
  <c r="F799" i="18"/>
  <c r="F253" i="2"/>
  <c r="F267" i="6"/>
  <c r="F333" i="11"/>
  <c r="K464" i="19"/>
  <c r="E288" i="6"/>
  <c r="K771" i="6"/>
  <c r="E155" i="18"/>
  <c r="K520" i="19"/>
  <c r="E492" i="6"/>
  <c r="I237" i="19"/>
  <c r="E392" i="19"/>
  <c r="K376" i="19"/>
  <c r="E393" i="19"/>
  <c r="E380" i="19"/>
  <c r="E391" i="19"/>
  <c r="E390" i="19"/>
  <c r="E377" i="19"/>
  <c r="K377" i="19" s="1"/>
  <c r="G257" i="11"/>
  <c r="G115" i="6"/>
  <c r="G190" i="2"/>
  <c r="I526" i="19"/>
  <c r="I542" i="6" s="1"/>
  <c r="I546" i="6" s="1"/>
  <c r="I525" i="19"/>
  <c r="I491" i="6" s="1"/>
  <c r="I495" i="6" s="1"/>
  <c r="I524" i="19"/>
  <c r="I390" i="6" s="1"/>
  <c r="F524" i="19"/>
  <c r="F390" i="6" s="1"/>
  <c r="F526" i="19"/>
  <c r="F542" i="6" s="1"/>
  <c r="F546" i="6" s="1"/>
  <c r="F525" i="19"/>
  <c r="F491" i="6" s="1"/>
  <c r="F495" i="6" s="1"/>
  <c r="F468" i="19"/>
  <c r="F236" i="6" s="1"/>
  <c r="F240" i="6" s="1"/>
  <c r="F467" i="19"/>
  <c r="F135" i="6" s="1"/>
  <c r="F469" i="19"/>
  <c r="F287" i="6" s="1"/>
  <c r="F291" i="6" s="1"/>
  <c r="E176" i="18"/>
  <c r="K176" i="18" s="1"/>
  <c r="E293" i="19"/>
  <c r="E206" i="5" s="1"/>
  <c r="G588" i="6"/>
  <c r="G684" i="18"/>
  <c r="G687" i="18" s="1"/>
  <c r="G180" i="64"/>
  <c r="G183" i="64" s="1"/>
  <c r="H503" i="19"/>
  <c r="H637" i="6"/>
  <c r="H166" i="64"/>
  <c r="H169" i="64" s="1"/>
  <c r="H669" i="18"/>
  <c r="H672" i="18" s="1"/>
  <c r="G333" i="11"/>
  <c r="G267" i="6"/>
  <c r="G253" i="2"/>
  <c r="I471" i="6"/>
  <c r="I237" i="2"/>
  <c r="I314" i="11"/>
  <c r="F237" i="2"/>
  <c r="F314" i="11"/>
  <c r="F471" i="6"/>
  <c r="F781" i="18"/>
  <c r="F216" i="6"/>
  <c r="F295" i="11"/>
  <c r="F236" i="2"/>
  <c r="G187" i="28" l="1"/>
  <c r="G188" i="28" s="1"/>
  <c r="H187" i="28"/>
  <c r="H188" i="28" s="1"/>
  <c r="J182" i="28"/>
  <c r="I187" i="28"/>
  <c r="I188" i="28" s="1"/>
  <c r="F187" i="28"/>
  <c r="F188" i="28" s="1"/>
  <c r="E187" i="28"/>
  <c r="J180" i="27"/>
  <c r="J181" i="10"/>
  <c r="F472" i="6"/>
  <c r="F475" i="6" s="1"/>
  <c r="F479" i="6" s="1"/>
  <c r="F54" i="11" s="1"/>
  <c r="F192" i="2"/>
  <c r="G515" i="19"/>
  <c r="G530" i="19" s="1"/>
  <c r="G506" i="19"/>
  <c r="G503" i="19"/>
  <c r="G516" i="19"/>
  <c r="G531" i="19" s="1"/>
  <c r="G514" i="19"/>
  <c r="G529" i="19" s="1"/>
  <c r="I626" i="6"/>
  <c r="F608" i="19"/>
  <c r="F69" i="2" s="1"/>
  <c r="F386" i="6" s="1"/>
  <c r="F607" i="19"/>
  <c r="F406" i="6" s="1"/>
  <c r="F582" i="18" s="1"/>
  <c r="F258" i="11"/>
  <c r="F596" i="19"/>
  <c r="F151" i="6" s="1"/>
  <c r="F404" i="18" s="1"/>
  <c r="F371" i="6"/>
  <c r="F374" i="6" s="1"/>
  <c r="F378" i="6" s="1"/>
  <c r="F277" i="11"/>
  <c r="F597" i="19"/>
  <c r="F44" i="2" s="1"/>
  <c r="F131" i="6" s="1"/>
  <c r="F116" i="6"/>
  <c r="F119" i="6" s="1"/>
  <c r="F123" i="6" s="1"/>
  <c r="F764" i="18"/>
  <c r="F765" i="18" s="1"/>
  <c r="G254" i="19"/>
  <c r="H256" i="19"/>
  <c r="H263" i="19" s="1"/>
  <c r="H357" i="12" s="1"/>
  <c r="H360" i="12" s="1"/>
  <c r="F603" i="19"/>
  <c r="F45" i="2" s="1"/>
  <c r="F232" i="6" s="1"/>
  <c r="F235" i="6" s="1"/>
  <c r="F241" i="6" s="1"/>
  <c r="I256" i="19"/>
  <c r="I263" i="19" s="1"/>
  <c r="I357" i="12" s="1"/>
  <c r="I360" i="12" s="1"/>
  <c r="F602" i="19"/>
  <c r="F252" i="6" s="1"/>
  <c r="F417" i="18" s="1"/>
  <c r="F782" i="18"/>
  <c r="F783" i="18" s="1"/>
  <c r="F613" i="19"/>
  <c r="F507" i="6" s="1"/>
  <c r="F595" i="18" s="1"/>
  <c r="F296" i="11"/>
  <c r="F614" i="19"/>
  <c r="F70" i="2" s="1"/>
  <c r="F487" i="6" s="1"/>
  <c r="F490" i="6" s="1"/>
  <c r="F496" i="6" s="1"/>
  <c r="F217" i="6"/>
  <c r="F220" i="6" s="1"/>
  <c r="F224" i="6" s="1"/>
  <c r="F238" i="2"/>
  <c r="F315" i="11"/>
  <c r="G253" i="19"/>
  <c r="K171" i="18"/>
  <c r="K714" i="18"/>
  <c r="G252" i="19"/>
  <c r="G259" i="19" s="1"/>
  <c r="G341" i="12" s="1"/>
  <c r="G344" i="12" s="1"/>
  <c r="H449" i="19"/>
  <c r="H457" i="19"/>
  <c r="H472" i="19" s="1"/>
  <c r="H459" i="19"/>
  <c r="H474" i="19" s="1"/>
  <c r="H458" i="19"/>
  <c r="H473" i="19" s="1"/>
  <c r="H446" i="19"/>
  <c r="E352" i="6"/>
  <c r="I95" i="54"/>
  <c r="K237" i="19"/>
  <c r="E607" i="6"/>
  <c r="E280" i="6"/>
  <c r="K333" i="19"/>
  <c r="H191" i="2"/>
  <c r="H276" i="11"/>
  <c r="H370" i="6"/>
  <c r="M95" i="54"/>
  <c r="K444" i="19"/>
  <c r="E445" i="19"/>
  <c r="K43" i="45"/>
  <c r="N80" i="60"/>
  <c r="K543" i="6"/>
  <c r="F318" i="6"/>
  <c r="K273" i="19"/>
  <c r="E85" i="2"/>
  <c r="E696" i="6"/>
  <c r="E434" i="11"/>
  <c r="K293" i="19"/>
  <c r="D57" i="53"/>
  <c r="K390" i="19"/>
  <c r="E383" i="6"/>
  <c r="H78" i="60" s="1"/>
  <c r="I352" i="6"/>
  <c r="I607" i="6"/>
  <c r="I252" i="19"/>
  <c r="I259" i="19" s="1"/>
  <c r="I341" i="12" s="1"/>
  <c r="I344" i="12" s="1"/>
  <c r="G338" i="6"/>
  <c r="G139" i="6"/>
  <c r="K817" i="18"/>
  <c r="E253" i="19"/>
  <c r="E346" i="11"/>
  <c r="K269" i="6"/>
  <c r="I85" i="2"/>
  <c r="I696" i="6"/>
  <c r="K391" i="6"/>
  <c r="E594" i="6"/>
  <c r="K594" i="6" s="1"/>
  <c r="G43" i="45"/>
  <c r="F871" i="18"/>
  <c r="F207" i="11"/>
  <c r="F268" i="64"/>
  <c r="K501" i="19"/>
  <c r="E502" i="19"/>
  <c r="K331" i="19"/>
  <c r="E27" i="6"/>
  <c r="E345" i="19"/>
  <c r="E358" i="19" s="1"/>
  <c r="K358" i="19" s="1"/>
  <c r="E343" i="19"/>
  <c r="K343" i="19" s="1"/>
  <c r="K320" i="19"/>
  <c r="E342" i="19"/>
  <c r="E355" i="19" s="1"/>
  <c r="E344" i="19"/>
  <c r="E357" i="19" s="1"/>
  <c r="K357" i="19" s="1"/>
  <c r="H254" i="19"/>
  <c r="H253" i="19"/>
  <c r="H524" i="19"/>
  <c r="H390" i="6" s="1"/>
  <c r="H526" i="19"/>
  <c r="H542" i="6" s="1"/>
  <c r="H546" i="6" s="1"/>
  <c r="H525" i="19"/>
  <c r="H491" i="6" s="1"/>
  <c r="H495" i="6" s="1"/>
  <c r="F661" i="6"/>
  <c r="F250" i="64"/>
  <c r="F87" i="2"/>
  <c r="F853" i="18"/>
  <c r="K332" i="19"/>
  <c r="E229" i="6"/>
  <c r="H252" i="19"/>
  <c r="H259" i="19" s="1"/>
  <c r="H341" i="12" s="1"/>
  <c r="H344" i="12" s="1"/>
  <c r="H522" i="6"/>
  <c r="H353" i="11"/>
  <c r="H254" i="2"/>
  <c r="F338" i="6"/>
  <c r="F139" i="6"/>
  <c r="F394" i="6"/>
  <c r="F593" i="6"/>
  <c r="F597" i="6" s="1"/>
  <c r="I394" i="6"/>
  <c r="I593" i="6"/>
  <c r="I597" i="6" s="1"/>
  <c r="G318" i="6"/>
  <c r="K380" i="19"/>
  <c r="E402" i="19"/>
  <c r="E404" i="19"/>
  <c r="E411" i="19" s="1"/>
  <c r="K411" i="19" s="1"/>
  <c r="E403" i="19"/>
  <c r="K403" i="19" s="1"/>
  <c r="E405" i="19"/>
  <c r="E412" i="19" s="1"/>
  <c r="K412" i="19" s="1"/>
  <c r="I254" i="19"/>
  <c r="I43" i="45"/>
  <c r="K492" i="6"/>
  <c r="K80" i="60"/>
  <c r="E252" i="19"/>
  <c r="K524" i="6"/>
  <c r="E366" i="11"/>
  <c r="G255" i="19"/>
  <c r="G262" i="19" s="1"/>
  <c r="G349" i="12" s="1"/>
  <c r="G352" i="12" s="1"/>
  <c r="F334" i="11"/>
  <c r="F800" i="18"/>
  <c r="F801" i="18" s="1"/>
  <c r="F523" i="6"/>
  <c r="F526" i="6" s="1"/>
  <c r="F530" i="6" s="1"/>
  <c r="F255" i="2"/>
  <c r="F268" i="6"/>
  <c r="F354" i="11"/>
  <c r="F358" i="11" s="1"/>
  <c r="F359" i="11" s="1"/>
  <c r="F73" i="11"/>
  <c r="F604" i="19"/>
  <c r="F303" i="6" s="1"/>
  <c r="F616" i="19"/>
  <c r="F71" i="2" s="1"/>
  <c r="F538" i="6" s="1"/>
  <c r="F541" i="6" s="1"/>
  <c r="F547" i="6" s="1"/>
  <c r="F615" i="19"/>
  <c r="F558" i="6" s="1"/>
  <c r="F605" i="19"/>
  <c r="F46" i="2" s="1"/>
  <c r="F283" i="6" s="1"/>
  <c r="F286" i="6" s="1"/>
  <c r="F292" i="6" s="1"/>
  <c r="K330" i="19"/>
  <c r="E128" i="6"/>
  <c r="H237" i="2"/>
  <c r="H471" i="6"/>
  <c r="H314" i="11"/>
  <c r="F662" i="6"/>
  <c r="H696" i="6"/>
  <c r="H85" i="2"/>
  <c r="I763" i="18"/>
  <c r="I190" i="2"/>
  <c r="I257" i="11"/>
  <c r="I115" i="6"/>
  <c r="I573" i="6"/>
  <c r="K238" i="19"/>
  <c r="I94" i="54"/>
  <c r="E353" i="6"/>
  <c r="E608" i="6"/>
  <c r="E575" i="6"/>
  <c r="K575" i="6" s="1"/>
  <c r="E288" i="11"/>
  <c r="K372" i="6"/>
  <c r="F27" i="18"/>
  <c r="F462" i="11"/>
  <c r="F15" i="64"/>
  <c r="F295" i="19"/>
  <c r="F429" i="12" s="1"/>
  <c r="F432" i="12" s="1"/>
  <c r="E307" i="11"/>
  <c r="K218" i="6"/>
  <c r="I170" i="18"/>
  <c r="I179" i="18" s="1"/>
  <c r="I291" i="19"/>
  <c r="I432" i="11" s="1"/>
  <c r="I435" i="11" s="1"/>
  <c r="I234" i="4"/>
  <c r="H352" i="6"/>
  <c r="H607" i="6"/>
  <c r="H255" i="19"/>
  <c r="H262" i="19" s="1"/>
  <c r="H349" i="12" s="1"/>
  <c r="H352" i="12" s="1"/>
  <c r="H353" i="6"/>
  <c r="H608" i="6"/>
  <c r="I467" i="19"/>
  <c r="I135" i="6" s="1"/>
  <c r="I468" i="19"/>
  <c r="I236" i="6" s="1"/>
  <c r="I240" i="6" s="1"/>
  <c r="I469" i="19"/>
  <c r="I287" i="6" s="1"/>
  <c r="I291" i="6" s="1"/>
  <c r="K117" i="6"/>
  <c r="E269" i="11"/>
  <c r="E320" i="6"/>
  <c r="H626" i="6"/>
  <c r="E326" i="11"/>
  <c r="K473" i="6"/>
  <c r="K393" i="19"/>
  <c r="E535" i="6"/>
  <c r="K288" i="6"/>
  <c r="K42" i="36"/>
  <c r="N80" i="57"/>
  <c r="K43" i="43"/>
  <c r="F573" i="6"/>
  <c r="K213" i="64"/>
  <c r="E256" i="19"/>
  <c r="I353" i="6"/>
  <c r="I608" i="6"/>
  <c r="E170" i="18"/>
  <c r="E234" i="4"/>
  <c r="E180" i="5" s="1"/>
  <c r="E291" i="19"/>
  <c r="G85" i="2"/>
  <c r="G696" i="6"/>
  <c r="G170" i="18"/>
  <c r="G179" i="18" s="1"/>
  <c r="G234" i="4"/>
  <c r="G291" i="19"/>
  <c r="G432" i="11" s="1"/>
  <c r="G435" i="11" s="1"/>
  <c r="H170" i="18"/>
  <c r="H179" i="18" s="1"/>
  <c r="H291" i="19"/>
  <c r="H432" i="11" s="1"/>
  <c r="H435" i="11" s="1"/>
  <c r="H234" i="4"/>
  <c r="I333" i="11"/>
  <c r="I253" i="2"/>
  <c r="I267" i="6"/>
  <c r="I799" i="18"/>
  <c r="K391" i="19"/>
  <c r="E77" i="6"/>
  <c r="N79" i="55" s="1"/>
  <c r="K392" i="19"/>
  <c r="E484" i="6"/>
  <c r="I255" i="19"/>
  <c r="I262" i="19" s="1"/>
  <c r="I349" i="12" s="1"/>
  <c r="I352" i="12" s="1"/>
  <c r="I253" i="19"/>
  <c r="K155" i="18"/>
  <c r="E255" i="19"/>
  <c r="E254" i="19"/>
  <c r="G352" i="6"/>
  <c r="G607" i="6"/>
  <c r="G256" i="19"/>
  <c r="G263" i="19" s="1"/>
  <c r="G357" i="12" s="1"/>
  <c r="G360" i="12" s="1"/>
  <c r="E339" i="6"/>
  <c r="K136" i="6"/>
  <c r="G42" i="36"/>
  <c r="G43" i="43"/>
  <c r="I216" i="6"/>
  <c r="I236" i="2"/>
  <c r="I781" i="18"/>
  <c r="I295" i="11"/>
  <c r="G353" i="6"/>
  <c r="G608" i="6"/>
  <c r="K237" i="6"/>
  <c r="I43" i="43"/>
  <c r="I42" i="36"/>
  <c r="K80" i="57"/>
  <c r="F506" i="12" l="1"/>
  <c r="F507" i="12"/>
  <c r="F505" i="12"/>
  <c r="F29" i="18" s="1"/>
  <c r="F9" i="11" s="1"/>
  <c r="J79" i="55"/>
  <c r="E434" i="6"/>
  <c r="E179" i="6"/>
  <c r="J187" i="28"/>
  <c r="J188" i="28" s="1"/>
  <c r="E188" i="28"/>
  <c r="E189" i="28" s="1"/>
  <c r="H800" i="18"/>
  <c r="G277" i="11"/>
  <c r="I354" i="11"/>
  <c r="I358" i="11" s="1"/>
  <c r="I359" i="11" s="1"/>
  <c r="F338" i="11"/>
  <c r="F339" i="11" s="1"/>
  <c r="F299" i="11"/>
  <c r="G524" i="19"/>
  <c r="G390" i="6" s="1"/>
  <c r="G526" i="19"/>
  <c r="G542" i="6" s="1"/>
  <c r="G546" i="6" s="1"/>
  <c r="G525" i="19"/>
  <c r="G491" i="6" s="1"/>
  <c r="G495" i="6" s="1"/>
  <c r="G254" i="2"/>
  <c r="G353" i="11"/>
  <c r="G799" i="18"/>
  <c r="G522" i="6"/>
  <c r="G191" i="2"/>
  <c r="G763" i="18"/>
  <c r="G370" i="6"/>
  <c r="G276" i="11"/>
  <c r="G781" i="18"/>
  <c r="G471" i="6"/>
  <c r="G237" i="2"/>
  <c r="G314" i="11"/>
  <c r="E409" i="19"/>
  <c r="K409" i="19" s="1"/>
  <c r="H78" i="57"/>
  <c r="F280" i="11"/>
  <c r="F281" i="11" s="1"/>
  <c r="O43" i="45"/>
  <c r="F409" i="6"/>
  <c r="F40" i="11" s="1"/>
  <c r="F154" i="6"/>
  <c r="F268" i="11" s="1"/>
  <c r="H604" i="19"/>
  <c r="H303" i="6" s="1"/>
  <c r="H306" i="6" s="1"/>
  <c r="H523" i="6"/>
  <c r="H526" i="6" s="1"/>
  <c r="H530" i="6" s="1"/>
  <c r="H362" i="11" s="1"/>
  <c r="F255" i="6"/>
  <c r="F257" i="6" s="1"/>
  <c r="G597" i="19"/>
  <c r="G44" i="2" s="1"/>
  <c r="G131" i="6" s="1"/>
  <c r="F574" i="6"/>
  <c r="F577" i="6" s="1"/>
  <c r="F581" i="6" s="1"/>
  <c r="F630" i="18" s="1"/>
  <c r="I523" i="6"/>
  <c r="I526" i="6" s="1"/>
  <c r="I530" i="6" s="1"/>
  <c r="I533" i="11" s="1"/>
  <c r="H255" i="2"/>
  <c r="H73" i="11"/>
  <c r="H616" i="19"/>
  <c r="H71" i="2" s="1"/>
  <c r="H538" i="6" s="1"/>
  <c r="H541" i="6" s="1"/>
  <c r="H547" i="6" s="1"/>
  <c r="H268" i="6"/>
  <c r="H354" i="11"/>
  <c r="H358" i="11" s="1"/>
  <c r="H359" i="11" s="1"/>
  <c r="G764" i="18"/>
  <c r="H615" i="19"/>
  <c r="H558" i="6" s="1"/>
  <c r="H561" i="6" s="1"/>
  <c r="H334" i="11"/>
  <c r="F510" i="6"/>
  <c r="F57" i="11" s="1"/>
  <c r="F319" i="6"/>
  <c r="F591" i="18"/>
  <c r="I268" i="6"/>
  <c r="I271" i="6" s="1"/>
  <c r="I275" i="6" s="1"/>
  <c r="I605" i="19"/>
  <c r="I46" i="2" s="1"/>
  <c r="I283" i="6" s="1"/>
  <c r="I286" i="6" s="1"/>
  <c r="I292" i="6" s="1"/>
  <c r="I604" i="19"/>
  <c r="I303" i="6" s="1"/>
  <c r="I306" i="6" s="1"/>
  <c r="F322" i="11"/>
  <c r="I615" i="19"/>
  <c r="I558" i="6" s="1"/>
  <c r="I608" i="18" s="1"/>
  <c r="I255" i="2"/>
  <c r="I73" i="11"/>
  <c r="I616" i="19"/>
  <c r="I71" i="2" s="1"/>
  <c r="I538" i="6" s="1"/>
  <c r="I541" i="6" s="1"/>
  <c r="I547" i="6" s="1"/>
  <c r="I534" i="11" s="1"/>
  <c r="I800" i="18"/>
  <c r="I801" i="18" s="1"/>
  <c r="F50" i="2"/>
  <c r="I334" i="11"/>
  <c r="K254" i="19"/>
  <c r="F75" i="2"/>
  <c r="H662" i="6"/>
  <c r="G662" i="6"/>
  <c r="G608" i="19"/>
  <c r="G69" i="2" s="1"/>
  <c r="G386" i="6" s="1"/>
  <c r="G116" i="6"/>
  <c r="G119" i="6" s="1"/>
  <c r="G123" i="6" s="1"/>
  <c r="G265" i="11" s="1"/>
  <c r="G192" i="2"/>
  <c r="G596" i="19"/>
  <c r="G151" i="6" s="1"/>
  <c r="G404" i="18" s="1"/>
  <c r="G371" i="6"/>
  <c r="G374" i="6" s="1"/>
  <c r="G378" i="6" s="1"/>
  <c r="G380" i="6" s="1"/>
  <c r="G258" i="11"/>
  <c r="G607" i="19"/>
  <c r="G406" i="6" s="1"/>
  <c r="G582" i="18" s="1"/>
  <c r="F413" i="18"/>
  <c r="F303" i="11"/>
  <c r="F226" i="6"/>
  <c r="F62" i="11"/>
  <c r="K253" i="19"/>
  <c r="H593" i="6"/>
  <c r="H597" i="6" s="1"/>
  <c r="H394" i="6"/>
  <c r="H781" i="18"/>
  <c r="H295" i="11"/>
  <c r="H216" i="6"/>
  <c r="H236" i="2"/>
  <c r="G268" i="6"/>
  <c r="G271" i="6" s="1"/>
  <c r="G275" i="6" s="1"/>
  <c r="G354" i="11"/>
  <c r="G523" i="6"/>
  <c r="G334" i="11"/>
  <c r="G255" i="2"/>
  <c r="G73" i="11"/>
  <c r="G800" i="18"/>
  <c r="G605" i="19"/>
  <c r="G46" i="2" s="1"/>
  <c r="G283" i="6" s="1"/>
  <c r="G286" i="6" s="1"/>
  <c r="G292" i="6" s="1"/>
  <c r="G615" i="19"/>
  <c r="G558" i="6" s="1"/>
  <c r="G604" i="19"/>
  <c r="G303" i="6" s="1"/>
  <c r="G616" i="19"/>
  <c r="G71" i="2" s="1"/>
  <c r="G538" i="6" s="1"/>
  <c r="G541" i="6" s="1"/>
  <c r="F304" i="11"/>
  <c r="F105" i="11"/>
  <c r="F63" i="11"/>
  <c r="F416" i="18"/>
  <c r="G268" i="64"/>
  <c r="G871" i="18"/>
  <c r="G207" i="11"/>
  <c r="K291" i="19"/>
  <c r="E432" i="11"/>
  <c r="E435" i="11" s="1"/>
  <c r="D51" i="53"/>
  <c r="I662" i="6"/>
  <c r="K535" i="6"/>
  <c r="N78" i="60"/>
  <c r="E537" i="6"/>
  <c r="E805" i="18" s="1"/>
  <c r="I15" i="64"/>
  <c r="I462" i="11"/>
  <c r="I27" i="18"/>
  <c r="I295" i="19"/>
  <c r="I429" i="12" s="1"/>
  <c r="I432" i="12" s="1"/>
  <c r="F82" i="11"/>
  <c r="F429" i="18"/>
  <c r="F343" i="11"/>
  <c r="F106" i="11"/>
  <c r="G238" i="2"/>
  <c r="G217" i="6"/>
  <c r="G220" i="6" s="1"/>
  <c r="G224" i="6" s="1"/>
  <c r="G472" i="6"/>
  <c r="G782" i="18"/>
  <c r="G296" i="11"/>
  <c r="G315" i="11"/>
  <c r="G602" i="19"/>
  <c r="G252" i="6" s="1"/>
  <c r="G614" i="19"/>
  <c r="G70" i="2" s="1"/>
  <c r="G487" i="6" s="1"/>
  <c r="G490" i="6" s="1"/>
  <c r="G603" i="19"/>
  <c r="G45" i="2" s="1"/>
  <c r="G232" i="6" s="1"/>
  <c r="G235" i="6" s="1"/>
  <c r="G241" i="6" s="1"/>
  <c r="G613" i="19"/>
  <c r="G507" i="6" s="1"/>
  <c r="K404" i="19"/>
  <c r="F342" i="6"/>
  <c r="F644" i="6"/>
  <c r="F649" i="6" s="1"/>
  <c r="H764" i="18"/>
  <c r="H192" i="2"/>
  <c r="H258" i="11"/>
  <c r="H277" i="11"/>
  <c r="H116" i="6"/>
  <c r="H371" i="6"/>
  <c r="H374" i="6" s="1"/>
  <c r="H378" i="6" s="1"/>
  <c r="H607" i="19"/>
  <c r="H406" i="6" s="1"/>
  <c r="H608" i="19"/>
  <c r="H69" i="2" s="1"/>
  <c r="H597" i="19"/>
  <c r="H44" i="2" s="1"/>
  <c r="H596" i="19"/>
  <c r="H151" i="6" s="1"/>
  <c r="I250" i="64"/>
  <c r="I853" i="18"/>
  <c r="I87" i="2"/>
  <c r="E87" i="2"/>
  <c r="E250" i="64"/>
  <c r="D85" i="1"/>
  <c r="D84" i="1" s="1"/>
  <c r="E853" i="18"/>
  <c r="F400" i="18"/>
  <c r="F45" i="11"/>
  <c r="F265" i="11"/>
  <c r="H333" i="11"/>
  <c r="H253" i="2"/>
  <c r="H267" i="6"/>
  <c r="H799" i="18"/>
  <c r="K256" i="19"/>
  <c r="E263" i="19"/>
  <c r="E357" i="12" s="1"/>
  <c r="E360" i="12" s="1"/>
  <c r="F55" i="11"/>
  <c r="F594" i="18"/>
  <c r="F323" i="11"/>
  <c r="K320" i="6"/>
  <c r="E626" i="6"/>
  <c r="K626" i="6" s="1"/>
  <c r="F354" i="6"/>
  <c r="F430" i="18"/>
  <c r="F306" i="6"/>
  <c r="F308" i="6" s="1"/>
  <c r="K342" i="19"/>
  <c r="E168" i="64"/>
  <c r="K168" i="64" s="1"/>
  <c r="E671" i="18"/>
  <c r="K671" i="18" s="1"/>
  <c r="I871" i="18"/>
  <c r="I207" i="11"/>
  <c r="I268" i="64"/>
  <c r="G342" i="6"/>
  <c r="F271" i="6"/>
  <c r="F275" i="6" s="1"/>
  <c r="K255" i="19"/>
  <c r="E262" i="19"/>
  <c r="E349" i="12" s="1"/>
  <c r="E352" i="12" s="1"/>
  <c r="O43" i="43"/>
  <c r="I296" i="11"/>
  <c r="I315" i="11"/>
  <c r="I217" i="6"/>
  <c r="I220" i="6" s="1"/>
  <c r="I224" i="6" s="1"/>
  <c r="I782" i="18"/>
  <c r="I783" i="18" s="1"/>
  <c r="I472" i="6"/>
  <c r="I475" i="6" s="1"/>
  <c r="I479" i="6" s="1"/>
  <c r="I238" i="2"/>
  <c r="I602" i="19"/>
  <c r="I252" i="6" s="1"/>
  <c r="I613" i="19"/>
  <c r="I507" i="6" s="1"/>
  <c r="I603" i="19"/>
  <c r="I45" i="2" s="1"/>
  <c r="I232" i="6" s="1"/>
  <c r="I235" i="6" s="1"/>
  <c r="I241" i="6" s="1"/>
  <c r="I614" i="19"/>
  <c r="I70" i="2" s="1"/>
  <c r="I487" i="6" s="1"/>
  <c r="I490" i="6" s="1"/>
  <c r="I496" i="6" s="1"/>
  <c r="H15" i="64"/>
  <c r="H27" i="18"/>
  <c r="H462" i="11"/>
  <c r="H295" i="19"/>
  <c r="H429" i="12" s="1"/>
  <c r="H432" i="12" s="1"/>
  <c r="G87" i="2"/>
  <c r="G250" i="64"/>
  <c r="G853" i="18"/>
  <c r="E27" i="18"/>
  <c r="E462" i="11"/>
  <c r="E15" i="64"/>
  <c r="E295" i="19"/>
  <c r="E429" i="12" s="1"/>
  <c r="E432" i="12" s="1"/>
  <c r="H217" i="6"/>
  <c r="H315" i="11"/>
  <c r="H296" i="11"/>
  <c r="H238" i="2"/>
  <c r="H472" i="6"/>
  <c r="H475" i="6" s="1"/>
  <c r="H479" i="6" s="1"/>
  <c r="H782" i="18"/>
  <c r="H613" i="19"/>
  <c r="H507" i="6" s="1"/>
  <c r="H614" i="19"/>
  <c r="H70" i="2" s="1"/>
  <c r="H487" i="6" s="1"/>
  <c r="H490" i="6" s="1"/>
  <c r="H496" i="6" s="1"/>
  <c r="H602" i="19"/>
  <c r="H252" i="6" s="1"/>
  <c r="H603" i="19"/>
  <c r="H45" i="2" s="1"/>
  <c r="H232" i="6" s="1"/>
  <c r="H235" i="6" s="1"/>
  <c r="O53" i="45"/>
  <c r="K608" i="6"/>
  <c r="I318" i="6"/>
  <c r="H853" i="18"/>
  <c r="H250" i="64"/>
  <c r="H87" i="2"/>
  <c r="K128" i="6"/>
  <c r="G29" i="36"/>
  <c r="G30" i="43"/>
  <c r="F608" i="18"/>
  <c r="F609" i="6"/>
  <c r="F561" i="6"/>
  <c r="F563" i="6" s="1"/>
  <c r="K252" i="19"/>
  <c r="E259" i="19"/>
  <c r="E341" i="12" s="1"/>
  <c r="E344" i="12" s="1"/>
  <c r="K402" i="19"/>
  <c r="E182" i="64"/>
  <c r="K182" i="64" s="1"/>
  <c r="E686" i="18"/>
  <c r="K686" i="18" s="1"/>
  <c r="E231" i="6"/>
  <c r="K229" i="6"/>
  <c r="K78" i="57"/>
  <c r="I29" i="36"/>
  <c r="I32" i="36" s="1"/>
  <c r="I30" i="43"/>
  <c r="I33" i="43" s="1"/>
  <c r="F196" i="11"/>
  <c r="F769" i="6"/>
  <c r="I258" i="11"/>
  <c r="I192" i="2"/>
  <c r="I277" i="11"/>
  <c r="I764" i="18"/>
  <c r="I765" i="18" s="1"/>
  <c r="I116" i="6"/>
  <c r="I371" i="6"/>
  <c r="I597" i="19"/>
  <c r="I44" i="2" s="1"/>
  <c r="I596" i="19"/>
  <c r="I151" i="6" s="1"/>
  <c r="I607" i="19"/>
  <c r="I406" i="6" s="1"/>
  <c r="I608" i="19"/>
  <c r="I69" i="2" s="1"/>
  <c r="K383" i="6"/>
  <c r="E385" i="6"/>
  <c r="E769" i="18" s="1"/>
  <c r="F624" i="6"/>
  <c r="K445" i="19"/>
  <c r="E449" i="19"/>
  <c r="E457" i="19"/>
  <c r="E459" i="19"/>
  <c r="E458" i="19"/>
  <c r="E446" i="19"/>
  <c r="H573" i="6"/>
  <c r="K352" i="6"/>
  <c r="O60" i="36"/>
  <c r="O52" i="43"/>
  <c r="E661" i="6"/>
  <c r="H190" i="2"/>
  <c r="H257" i="11"/>
  <c r="H763" i="18"/>
  <c r="H115" i="6"/>
  <c r="H661" i="6"/>
  <c r="K27" i="6"/>
  <c r="E29" i="6"/>
  <c r="I661" i="6"/>
  <c r="K696" i="6"/>
  <c r="E207" i="11"/>
  <c r="E871" i="18"/>
  <c r="H10" i="15"/>
  <c r="E268" i="64"/>
  <c r="E645" i="6"/>
  <c r="K645" i="6" s="1"/>
  <c r="K339" i="6"/>
  <c r="F533" i="11"/>
  <c r="F604" i="18"/>
  <c r="F362" i="11"/>
  <c r="F532" i="6"/>
  <c r="F134" i="6"/>
  <c r="O42" i="36"/>
  <c r="G661" i="6"/>
  <c r="K484" i="6"/>
  <c r="K78" i="60"/>
  <c r="E486" i="6"/>
  <c r="E787" i="18" s="1"/>
  <c r="K77" i="6"/>
  <c r="E79" i="6"/>
  <c r="G462" i="11"/>
  <c r="G27" i="18"/>
  <c r="G15" i="64"/>
  <c r="G295" i="19"/>
  <c r="G429" i="12" s="1"/>
  <c r="G432" i="12" s="1"/>
  <c r="K170" i="18"/>
  <c r="E179" i="18"/>
  <c r="K179" i="18" s="1"/>
  <c r="F578" i="18"/>
  <c r="F37" i="11"/>
  <c r="F284" i="11"/>
  <c r="F380" i="6"/>
  <c r="F389" i="6"/>
  <c r="F395" i="6" s="1"/>
  <c r="I139" i="6"/>
  <c r="I338" i="6"/>
  <c r="E662" i="6"/>
  <c r="O53" i="43"/>
  <c r="O61" i="36"/>
  <c r="K353" i="6"/>
  <c r="H871" i="18"/>
  <c r="H268" i="64"/>
  <c r="H207" i="11"/>
  <c r="K355" i="19"/>
  <c r="F363" i="11"/>
  <c r="F534" i="11"/>
  <c r="F607" i="18"/>
  <c r="K405" i="19"/>
  <c r="K344" i="19"/>
  <c r="K345" i="19"/>
  <c r="K502" i="19"/>
  <c r="E506" i="19"/>
  <c r="E514" i="19"/>
  <c r="E515" i="19"/>
  <c r="E516" i="19"/>
  <c r="E503" i="19"/>
  <c r="K503" i="19" s="1"/>
  <c r="K30" i="43"/>
  <c r="K33" i="43" s="1"/>
  <c r="N78" i="57"/>
  <c r="E282" i="6"/>
  <c r="K280" i="6"/>
  <c r="K29" i="36"/>
  <c r="K32" i="36" s="1"/>
  <c r="K607" i="6"/>
  <c r="O52" i="45"/>
  <c r="H468" i="19"/>
  <c r="H236" i="6" s="1"/>
  <c r="H240" i="6" s="1"/>
  <c r="H469" i="19"/>
  <c r="H287" i="6" s="1"/>
  <c r="H291" i="6" s="1"/>
  <c r="H467" i="19"/>
  <c r="H135" i="6" s="1"/>
  <c r="H605" i="19"/>
  <c r="H46" i="2" s="1"/>
  <c r="H283" i="6" s="1"/>
  <c r="H286" i="6" s="1"/>
  <c r="H189" i="28" l="1"/>
  <c r="G505" i="12"/>
  <c r="G29" i="18" s="1"/>
  <c r="G9" i="11" s="1"/>
  <c r="G506" i="12"/>
  <c r="G507" i="12"/>
  <c r="H505" i="12"/>
  <c r="H29" i="18" s="1"/>
  <c r="H9" i="11" s="1"/>
  <c r="H507" i="12"/>
  <c r="H506" i="12"/>
  <c r="I507" i="12"/>
  <c r="I505" i="12"/>
  <c r="I29" i="18" s="1"/>
  <c r="I9" i="11" s="1"/>
  <c r="I506" i="12"/>
  <c r="E507" i="12"/>
  <c r="E506" i="12"/>
  <c r="E505" i="12"/>
  <c r="E436" i="6"/>
  <c r="K436" i="6" s="1"/>
  <c r="E181" i="6"/>
  <c r="K181" i="6" s="1"/>
  <c r="I190" i="28"/>
  <c r="I192" i="28" s="1"/>
  <c r="G189" i="28"/>
  <c r="E190" i="28"/>
  <c r="E192" i="28" s="1"/>
  <c r="H190" i="28"/>
  <c r="H192" i="28" s="1"/>
  <c r="F190" i="28"/>
  <c r="F192" i="28" s="1"/>
  <c r="I189" i="28"/>
  <c r="F189" i="28"/>
  <c r="G190" i="28"/>
  <c r="G192" i="28" s="1"/>
  <c r="I7" i="31"/>
  <c r="H7" i="31"/>
  <c r="G7" i="31"/>
  <c r="G33" i="18" s="1"/>
  <c r="G280" i="11"/>
  <c r="G281" i="11" s="1"/>
  <c r="H801" i="18"/>
  <c r="K446" i="19"/>
  <c r="N95" i="54"/>
  <c r="G475" i="6"/>
  <c r="G479" i="6" s="1"/>
  <c r="G591" i="18" s="1"/>
  <c r="G358" i="11"/>
  <c r="G359" i="11" s="1"/>
  <c r="G765" i="18"/>
  <c r="H338" i="11"/>
  <c r="H339" i="11" s="1"/>
  <c r="G338" i="11"/>
  <c r="G339" i="11" s="1"/>
  <c r="I338" i="11"/>
  <c r="I339" i="11" s="1"/>
  <c r="H299" i="11"/>
  <c r="G547" i="6"/>
  <c r="G363" i="11" s="1"/>
  <c r="G801" i="18"/>
  <c r="I299" i="11"/>
  <c r="G299" i="11"/>
  <c r="G496" i="6"/>
  <c r="G105" i="11" s="1"/>
  <c r="G526" i="6"/>
  <c r="G530" i="6" s="1"/>
  <c r="G362" i="11" s="1"/>
  <c r="G573" i="6"/>
  <c r="G624" i="6" s="1"/>
  <c r="G214" i="64" s="1"/>
  <c r="G783" i="18"/>
  <c r="G394" i="6"/>
  <c r="G593" i="6"/>
  <c r="I280" i="11"/>
  <c r="I281" i="11" s="1"/>
  <c r="H280" i="11"/>
  <c r="H281" i="11" s="1"/>
  <c r="F287" i="11"/>
  <c r="F48" i="11"/>
  <c r="F306" i="11"/>
  <c r="F308" i="11" s="1"/>
  <c r="F309" i="11" s="1"/>
  <c r="H430" i="18"/>
  <c r="F65" i="11"/>
  <c r="F66" i="11" s="1"/>
  <c r="F67" i="11" s="1"/>
  <c r="F625" i="6"/>
  <c r="F819" i="18" s="1"/>
  <c r="I604" i="18"/>
  <c r="I362" i="11"/>
  <c r="H608" i="18"/>
  <c r="I532" i="6"/>
  <c r="I605" i="18" s="1"/>
  <c r="I606" i="18" s="1"/>
  <c r="H271" i="6"/>
  <c r="H275" i="6" s="1"/>
  <c r="H81" i="11" s="1"/>
  <c r="G409" i="6"/>
  <c r="G287" i="11" s="1"/>
  <c r="I81" i="11"/>
  <c r="I342" i="11"/>
  <c r="G400" i="18"/>
  <c r="F325" i="11"/>
  <c r="I430" i="18"/>
  <c r="I319" i="6"/>
  <c r="I322" i="6" s="1"/>
  <c r="I326" i="6" s="1"/>
  <c r="F134" i="64"/>
  <c r="G154" i="6"/>
  <c r="G48" i="11" s="1"/>
  <c r="F322" i="6"/>
  <c r="F326" i="6" s="1"/>
  <c r="H532" i="6"/>
  <c r="H605" i="18" s="1"/>
  <c r="H606" i="18" s="1"/>
  <c r="F512" i="6"/>
  <c r="I277" i="6"/>
  <c r="I427" i="18" s="1"/>
  <c r="I428" i="18" s="1"/>
  <c r="H604" i="18"/>
  <c r="F773" i="6"/>
  <c r="F157" i="18" s="1"/>
  <c r="F154" i="18" s="1"/>
  <c r="F110" i="11"/>
  <c r="H533" i="11"/>
  <c r="H609" i="6"/>
  <c r="H139" i="64" s="1"/>
  <c r="F249" i="64"/>
  <c r="G578" i="18"/>
  <c r="F702" i="6"/>
  <c r="F209" i="11" s="1"/>
  <c r="G37" i="11"/>
  <c r="I354" i="6"/>
  <c r="I357" i="6" s="1"/>
  <c r="I121" i="11" s="1"/>
  <c r="I607" i="18"/>
  <c r="G284" i="11"/>
  <c r="I426" i="18"/>
  <c r="I363" i="11"/>
  <c r="F852" i="18"/>
  <c r="I561" i="6"/>
  <c r="I563" i="6" s="1"/>
  <c r="H765" i="18"/>
  <c r="F414" i="18"/>
  <c r="F415" i="18" s="1"/>
  <c r="K662" i="6"/>
  <c r="G574" i="6"/>
  <c r="G45" i="11"/>
  <c r="F258" i="6"/>
  <c r="G75" i="2"/>
  <c r="G16" i="64"/>
  <c r="K268" i="64"/>
  <c r="E809" i="18"/>
  <c r="K809" i="18" s="1"/>
  <c r="K805" i="18"/>
  <c r="G579" i="18"/>
  <c r="G580" i="18" s="1"/>
  <c r="I342" i="6"/>
  <c r="I644" i="6"/>
  <c r="I649" i="6" s="1"/>
  <c r="H318" i="6"/>
  <c r="H119" i="6"/>
  <c r="H123" i="6" s="1"/>
  <c r="K769" i="18"/>
  <c r="E773" i="18"/>
  <c r="K773" i="18" s="1"/>
  <c r="H196" i="11"/>
  <c r="H769" i="6"/>
  <c r="I624" i="6"/>
  <c r="F54" i="53"/>
  <c r="K295" i="19"/>
  <c r="I595" i="18"/>
  <c r="I510" i="6"/>
  <c r="I512" i="6" s="1"/>
  <c r="I413" i="18"/>
  <c r="I226" i="6"/>
  <c r="I62" i="11"/>
  <c r="I303" i="11"/>
  <c r="E334" i="11"/>
  <c r="E73" i="11"/>
  <c r="E268" i="6"/>
  <c r="E523" i="6"/>
  <c r="E354" i="11"/>
  <c r="M77" i="54"/>
  <c r="K263" i="19"/>
  <c r="E800" i="18"/>
  <c r="K800" i="18" s="1"/>
  <c r="E255" i="2"/>
  <c r="D255" i="1" s="1"/>
  <c r="G413" i="18"/>
  <c r="G303" i="11"/>
  <c r="G226" i="6"/>
  <c r="G62" i="11"/>
  <c r="G134" i="6"/>
  <c r="H292" i="6"/>
  <c r="K516" i="19"/>
  <c r="E531" i="19"/>
  <c r="F579" i="18"/>
  <c r="F580" i="18" s="1"/>
  <c r="I345" i="11"/>
  <c r="I84" i="11"/>
  <c r="K29" i="6"/>
  <c r="K458" i="19"/>
  <c r="E473" i="19"/>
  <c r="E602" i="19" s="1"/>
  <c r="K385" i="6"/>
  <c r="G30" i="45"/>
  <c r="I582" i="18"/>
  <c r="I409" i="6"/>
  <c r="I574" i="6"/>
  <c r="I577" i="6" s="1"/>
  <c r="I581" i="6" s="1"/>
  <c r="I374" i="6"/>
  <c r="I378" i="6" s="1"/>
  <c r="F151" i="18"/>
  <c r="K231" i="6"/>
  <c r="F536" i="11"/>
  <c r="F537" i="11" s="1"/>
  <c r="F538" i="11" s="1"/>
  <c r="F365" i="11"/>
  <c r="F367" i="11" s="1"/>
  <c r="F368" i="11" s="1"/>
  <c r="H241" i="6"/>
  <c r="H595" i="18"/>
  <c r="H510" i="6"/>
  <c r="E16" i="64"/>
  <c r="H28" i="18"/>
  <c r="E315" i="11"/>
  <c r="K262" i="19"/>
  <c r="E472" i="6"/>
  <c r="K77" i="54"/>
  <c r="E238" i="2"/>
  <c r="D238" i="1" s="1"/>
  <c r="E217" i="6"/>
  <c r="E296" i="11"/>
  <c r="E782" i="18"/>
  <c r="K782" i="18" s="1"/>
  <c r="H84" i="11"/>
  <c r="H345" i="11"/>
  <c r="F426" i="18"/>
  <c r="F342" i="11"/>
  <c r="F81" i="11"/>
  <c r="F277" i="6"/>
  <c r="F456" i="18"/>
  <c r="F82" i="64"/>
  <c r="F663" i="6"/>
  <c r="F667" i="6" s="1"/>
  <c r="F357" i="6"/>
  <c r="F121" i="11" s="1"/>
  <c r="I609" i="6"/>
  <c r="K250" i="64"/>
  <c r="H154" i="6"/>
  <c r="H404" i="18"/>
  <c r="H574" i="6"/>
  <c r="H577" i="6" s="1"/>
  <c r="H581" i="6" s="1"/>
  <c r="G304" i="11"/>
  <c r="G63" i="11"/>
  <c r="G416" i="18"/>
  <c r="G430" i="18"/>
  <c r="G306" i="6"/>
  <c r="G308" i="6" s="1"/>
  <c r="G354" i="6"/>
  <c r="H220" i="6"/>
  <c r="H224" i="6" s="1"/>
  <c r="G50" i="2"/>
  <c r="E526" i="19"/>
  <c r="E525" i="19"/>
  <c r="E524" i="19"/>
  <c r="K506" i="19"/>
  <c r="K79" i="6"/>
  <c r="K434" i="6"/>
  <c r="M30" i="45"/>
  <c r="M33" i="45" s="1"/>
  <c r="E467" i="19"/>
  <c r="K449" i="19"/>
  <c r="E469" i="19"/>
  <c r="E468" i="19"/>
  <c r="I50" i="2"/>
  <c r="I131" i="6"/>
  <c r="K787" i="18"/>
  <c r="E791" i="18"/>
  <c r="K791" i="18" s="1"/>
  <c r="H323" i="11"/>
  <c r="H594" i="18"/>
  <c r="H55" i="11"/>
  <c r="I591" i="18"/>
  <c r="I54" i="11"/>
  <c r="I322" i="11"/>
  <c r="H139" i="6"/>
  <c r="H338" i="6"/>
  <c r="I308" i="6"/>
  <c r="I106" i="11"/>
  <c r="I429" i="18"/>
  <c r="I82" i="11"/>
  <c r="I343" i="11"/>
  <c r="K282" i="6"/>
  <c r="E530" i="19"/>
  <c r="K515" i="19"/>
  <c r="G28" i="18"/>
  <c r="K486" i="6"/>
  <c r="I30" i="45"/>
  <c r="I33" i="45" s="1"/>
  <c r="K871" i="18"/>
  <c r="M29" i="36"/>
  <c r="M32" i="36" s="1"/>
  <c r="K179" i="6"/>
  <c r="M30" i="43"/>
  <c r="M33" i="43" s="1"/>
  <c r="K661" i="6"/>
  <c r="H578" i="18"/>
  <c r="H284" i="11"/>
  <c r="H37" i="11"/>
  <c r="H380" i="6"/>
  <c r="K459" i="19"/>
  <c r="E474" i="19"/>
  <c r="E604" i="19" s="1"/>
  <c r="F634" i="18"/>
  <c r="F139" i="64"/>
  <c r="F612" i="6"/>
  <c r="F113" i="11" s="1"/>
  <c r="E331" i="6"/>
  <c r="H255" i="6"/>
  <c r="H417" i="18"/>
  <c r="G196" i="11"/>
  <c r="G769" i="6"/>
  <c r="H16" i="64"/>
  <c r="I594" i="18"/>
  <c r="I55" i="11"/>
  <c r="I323" i="11"/>
  <c r="I255" i="6"/>
  <c r="I257" i="6" s="1"/>
  <c r="I417" i="18"/>
  <c r="H354" i="6"/>
  <c r="F16" i="64"/>
  <c r="G319" i="6"/>
  <c r="E196" i="11"/>
  <c r="J20" i="38"/>
  <c r="G20" i="14"/>
  <c r="E769" i="6"/>
  <c r="H50" i="2"/>
  <c r="H131" i="6"/>
  <c r="H319" i="6"/>
  <c r="I16" i="64"/>
  <c r="G561" i="6"/>
  <c r="G609" i="6"/>
  <c r="G608" i="18"/>
  <c r="I75" i="2"/>
  <c r="I386" i="6"/>
  <c r="I196" i="11"/>
  <c r="I769" i="6"/>
  <c r="H409" i="6"/>
  <c r="H582" i="18"/>
  <c r="I28" i="18"/>
  <c r="K537" i="6"/>
  <c r="K30" i="45"/>
  <c r="K33" i="45" s="1"/>
  <c r="G82" i="11"/>
  <c r="G343" i="11"/>
  <c r="G429" i="18"/>
  <c r="K514" i="19"/>
  <c r="E529" i="19"/>
  <c r="E607" i="19" s="1"/>
  <c r="F411" i="6"/>
  <c r="F412" i="6" s="1"/>
  <c r="F584" i="18" s="1"/>
  <c r="F585" i="18" s="1"/>
  <c r="F285" i="11"/>
  <c r="F581" i="18"/>
  <c r="F38" i="11"/>
  <c r="F41" i="11" s="1"/>
  <c r="F42" i="11" s="1"/>
  <c r="F564" i="6"/>
  <c r="F610" i="18" s="1"/>
  <c r="F611" i="18" s="1"/>
  <c r="F605" i="18"/>
  <c r="F606" i="18" s="1"/>
  <c r="H536" i="11"/>
  <c r="H365" i="11"/>
  <c r="H563" i="6"/>
  <c r="H534" i="11"/>
  <c r="H607" i="18"/>
  <c r="H363" i="11"/>
  <c r="K457" i="19"/>
  <c r="E472" i="19"/>
  <c r="E596" i="19" s="1"/>
  <c r="F214" i="64"/>
  <c r="F818" i="18"/>
  <c r="E586" i="6"/>
  <c r="I404" i="18"/>
  <c r="I154" i="6"/>
  <c r="N65" i="57"/>
  <c r="K65" i="60"/>
  <c r="H65" i="57"/>
  <c r="E116" i="6"/>
  <c r="N65" i="60"/>
  <c r="E258" i="11"/>
  <c r="K65" i="57"/>
  <c r="K259" i="19"/>
  <c r="I77" i="54"/>
  <c r="E277" i="11"/>
  <c r="H65" i="60"/>
  <c r="E192" i="2"/>
  <c r="D192" i="1" s="1"/>
  <c r="E371" i="6"/>
  <c r="E764" i="18"/>
  <c r="K764" i="18" s="1"/>
  <c r="H322" i="11"/>
  <c r="H591" i="18"/>
  <c r="H54" i="11"/>
  <c r="I119" i="6"/>
  <c r="I123" i="6" s="1"/>
  <c r="F28" i="18"/>
  <c r="E28" i="18"/>
  <c r="I304" i="11"/>
  <c r="I63" i="11"/>
  <c r="I416" i="18"/>
  <c r="I105" i="11"/>
  <c r="F84" i="11"/>
  <c r="F345" i="11"/>
  <c r="G389" i="6"/>
  <c r="K853" i="18"/>
  <c r="H75" i="2"/>
  <c r="H386" i="6"/>
  <c r="F223" i="64"/>
  <c r="F827" i="18"/>
  <c r="G595" i="18"/>
  <c r="G510" i="6"/>
  <c r="G255" i="6"/>
  <c r="G417" i="18"/>
  <c r="G426" i="18"/>
  <c r="G81" i="11"/>
  <c r="G277" i="6"/>
  <c r="G342" i="11"/>
  <c r="H783" i="18"/>
  <c r="I33" i="18" l="1"/>
  <c r="F33" i="18"/>
  <c r="F20" i="64" s="1"/>
  <c r="H33" i="18"/>
  <c r="E33" i="18"/>
  <c r="G54" i="11"/>
  <c r="G322" i="11"/>
  <c r="G395" i="6"/>
  <c r="G411" i="6" s="1"/>
  <c r="G412" i="6" s="1"/>
  <c r="G584" i="18" s="1"/>
  <c r="G585" i="18" s="1"/>
  <c r="G607" i="18"/>
  <c r="G594" i="18"/>
  <c r="G106" i="11"/>
  <c r="G534" i="11"/>
  <c r="G577" i="6"/>
  <c r="G581" i="6" s="1"/>
  <c r="G134" i="64" s="1"/>
  <c r="G532" i="6"/>
  <c r="G605" i="18" s="1"/>
  <c r="G606" i="18" s="1"/>
  <c r="G604" i="18"/>
  <c r="G533" i="11"/>
  <c r="G55" i="11"/>
  <c r="G323" i="11"/>
  <c r="G818" i="18"/>
  <c r="G597" i="6"/>
  <c r="G644" i="6"/>
  <c r="G649" i="6" s="1"/>
  <c r="E608" i="19"/>
  <c r="E69" i="2" s="1"/>
  <c r="E603" i="19"/>
  <c r="K603" i="19" s="1"/>
  <c r="O29" i="36"/>
  <c r="E605" i="19"/>
  <c r="E46" i="2" s="1"/>
  <c r="F289" i="11"/>
  <c r="F290" i="11" s="1"/>
  <c r="F821" i="18"/>
  <c r="F628" i="6"/>
  <c r="F632" i="6" s="1"/>
  <c r="F126" i="11" s="1"/>
  <c r="I309" i="6"/>
  <c r="I310" i="6" s="1"/>
  <c r="G268" i="11"/>
  <c r="H426" i="18"/>
  <c r="H277" i="6"/>
  <c r="H427" i="18" s="1"/>
  <c r="H428" i="18" s="1"/>
  <c r="H342" i="11"/>
  <c r="I456" i="18"/>
  <c r="F215" i="64"/>
  <c r="F217" i="64" s="1"/>
  <c r="H564" i="6"/>
  <c r="H610" i="18" s="1"/>
  <c r="H611" i="18" s="1"/>
  <c r="I564" i="6"/>
  <c r="I610" i="18" s="1"/>
  <c r="I611" i="18" s="1"/>
  <c r="G40" i="11"/>
  <c r="F118" i="11"/>
  <c r="H612" i="6"/>
  <c r="H113" i="11" s="1"/>
  <c r="H634" i="18"/>
  <c r="F452" i="18"/>
  <c r="H367" i="11"/>
  <c r="H368" i="11" s="1"/>
  <c r="F77" i="64"/>
  <c r="I365" i="11"/>
  <c r="I367" i="11" s="1"/>
  <c r="I368" i="11" s="1"/>
  <c r="I663" i="6"/>
  <c r="I667" i="6" s="1"/>
  <c r="I834" i="18" s="1"/>
  <c r="I82" i="64"/>
  <c r="I536" i="11"/>
  <c r="I537" i="11" s="1"/>
  <c r="I538" i="11" s="1"/>
  <c r="I85" i="11"/>
  <c r="I86" i="11" s="1"/>
  <c r="F419" i="18"/>
  <c r="F420" i="18" s="1"/>
  <c r="H625" i="6"/>
  <c r="H215" i="64" s="1"/>
  <c r="F259" i="6"/>
  <c r="I347" i="11"/>
  <c r="I348" i="11" s="1"/>
  <c r="H537" i="11"/>
  <c r="H538" i="11" s="1"/>
  <c r="G20" i="64"/>
  <c r="F347" i="11"/>
  <c r="F348" i="11" s="1"/>
  <c r="K604" i="19"/>
  <c r="E303" i="6"/>
  <c r="K596" i="19"/>
  <c r="E151" i="6"/>
  <c r="H110" i="11"/>
  <c r="H134" i="64"/>
  <c r="H630" i="18"/>
  <c r="K116" i="6"/>
  <c r="E319" i="6"/>
  <c r="G21" i="43"/>
  <c r="G20" i="36"/>
  <c r="G151" i="18"/>
  <c r="E471" i="6"/>
  <c r="K64" i="60"/>
  <c r="K67" i="60" s="1"/>
  <c r="K69" i="60" s="1"/>
  <c r="E314" i="11"/>
  <c r="K76" i="54"/>
  <c r="K530" i="19"/>
  <c r="E237" i="2"/>
  <c r="D237" i="1" s="1"/>
  <c r="E614" i="19"/>
  <c r="K602" i="19"/>
  <c r="E252" i="6"/>
  <c r="H57" i="11"/>
  <c r="H325" i="11"/>
  <c r="I134" i="64"/>
  <c r="I630" i="18"/>
  <c r="I110" i="11"/>
  <c r="K21" i="45"/>
  <c r="K523" i="6"/>
  <c r="H151" i="18"/>
  <c r="H624" i="6"/>
  <c r="H322" i="6"/>
  <c r="H326" i="6" s="1"/>
  <c r="G65" i="11"/>
  <c r="G66" i="11" s="1"/>
  <c r="G67" i="11" s="1"/>
  <c r="G306" i="11"/>
  <c r="G308" i="11" s="1"/>
  <c r="G309" i="11" s="1"/>
  <c r="K607" i="19"/>
  <c r="E406" i="6"/>
  <c r="E597" i="19"/>
  <c r="I268" i="11"/>
  <c r="I48" i="11"/>
  <c r="G634" i="18"/>
  <c r="G139" i="64"/>
  <c r="G612" i="6"/>
  <c r="G113" i="11" s="1"/>
  <c r="H134" i="6"/>
  <c r="E166" i="64"/>
  <c r="E669" i="18"/>
  <c r="K331" i="6"/>
  <c r="E637" i="6"/>
  <c r="H579" i="18"/>
  <c r="H580" i="18" s="1"/>
  <c r="I702" i="6"/>
  <c r="I773" i="6"/>
  <c r="I157" i="18" s="1"/>
  <c r="I154" i="18" s="1"/>
  <c r="I249" i="64"/>
  <c r="I852" i="18"/>
  <c r="K467" i="19"/>
  <c r="E135" i="6"/>
  <c r="H79" i="57" s="1"/>
  <c r="K526" i="19"/>
  <c r="E542" i="6"/>
  <c r="G345" i="11"/>
  <c r="G347" i="11" s="1"/>
  <c r="G348" i="11" s="1"/>
  <c r="G84" i="11"/>
  <c r="G85" i="11" s="1"/>
  <c r="G86" i="11" s="1"/>
  <c r="E613" i="19"/>
  <c r="I287" i="11"/>
  <c r="I40" i="11"/>
  <c r="K20" i="36"/>
  <c r="K21" i="43"/>
  <c r="K268" i="6"/>
  <c r="I325" i="11"/>
  <c r="I57" i="11"/>
  <c r="H82" i="64"/>
  <c r="H456" i="18"/>
  <c r="H663" i="6"/>
  <c r="H667" i="6" s="1"/>
  <c r="H357" i="6"/>
  <c r="H121" i="11" s="1"/>
  <c r="I134" i="6"/>
  <c r="K525" i="19"/>
  <c r="E491" i="6"/>
  <c r="G663" i="6"/>
  <c r="G667" i="6" s="1"/>
  <c r="G456" i="18"/>
  <c r="G82" i="64"/>
  <c r="G357" i="6"/>
  <c r="G121" i="11" s="1"/>
  <c r="N64" i="60"/>
  <c r="N67" i="60" s="1"/>
  <c r="N69" i="60" s="1"/>
  <c r="E254" i="2"/>
  <c r="D254" i="1" s="1"/>
  <c r="M76" i="54"/>
  <c r="K531" i="19"/>
  <c r="E353" i="11"/>
  <c r="E358" i="11" s="1"/>
  <c r="E359" i="11" s="1"/>
  <c r="E522" i="6"/>
  <c r="E29" i="18"/>
  <c r="E9" i="11" s="1"/>
  <c r="G309" i="6"/>
  <c r="G427" i="18"/>
  <c r="G428" i="18" s="1"/>
  <c r="G57" i="11"/>
  <c r="G325" i="11"/>
  <c r="H389" i="6"/>
  <c r="H395" i="6" s="1"/>
  <c r="I45" i="11"/>
  <c r="I400" i="18"/>
  <c r="I265" i="11"/>
  <c r="H64" i="60"/>
  <c r="H67" i="60" s="1"/>
  <c r="H69" i="60" s="1"/>
  <c r="E276" i="11"/>
  <c r="E280" i="11" s="1"/>
  <c r="E281" i="11" s="1"/>
  <c r="K529" i="19"/>
  <c r="I76" i="54"/>
  <c r="E191" i="2"/>
  <c r="D191" i="1" s="1"/>
  <c r="E370" i="6"/>
  <c r="H287" i="11"/>
  <c r="H40" i="11"/>
  <c r="G536" i="11"/>
  <c r="G365" i="11"/>
  <c r="G367" i="11" s="1"/>
  <c r="G368" i="11" s="1"/>
  <c r="G512" i="6"/>
  <c r="H702" i="6"/>
  <c r="H773" i="6"/>
  <c r="H157" i="18" s="1"/>
  <c r="H154" i="18" s="1"/>
  <c r="H249" i="64"/>
  <c r="H852" i="18"/>
  <c r="I65" i="11"/>
  <c r="I66" i="11" s="1"/>
  <c r="I67" i="11" s="1"/>
  <c r="I306" i="11"/>
  <c r="I308" i="11" s="1"/>
  <c r="I309" i="11" s="1"/>
  <c r="I625" i="6"/>
  <c r="I628" i="6" s="1"/>
  <c r="I632" i="6" s="1"/>
  <c r="H342" i="6"/>
  <c r="H644" i="6"/>
  <c r="H649" i="6" s="1"/>
  <c r="G563" i="6"/>
  <c r="K468" i="19"/>
  <c r="E236" i="6"/>
  <c r="G773" i="6"/>
  <c r="G157" i="18" s="1"/>
  <c r="G154" i="18" s="1"/>
  <c r="G702" i="6"/>
  <c r="G852" i="18"/>
  <c r="G249" i="64"/>
  <c r="H268" i="11"/>
  <c r="H48" i="11"/>
  <c r="I139" i="64"/>
  <c r="I634" i="18"/>
  <c r="I612" i="6"/>
  <c r="I113" i="11" s="1"/>
  <c r="F230" i="64"/>
  <c r="F129" i="11"/>
  <c r="F765" i="6"/>
  <c r="F834" i="18"/>
  <c r="F309" i="6"/>
  <c r="F427" i="18"/>
  <c r="F428" i="18" s="1"/>
  <c r="K472" i="6"/>
  <c r="I21" i="45"/>
  <c r="H304" i="11"/>
  <c r="H416" i="18"/>
  <c r="H63" i="11"/>
  <c r="H257" i="6"/>
  <c r="H105" i="11"/>
  <c r="K75" i="54"/>
  <c r="K64" i="57"/>
  <c r="K67" i="57" s="1"/>
  <c r="K69" i="57" s="1"/>
  <c r="K473" i="19"/>
  <c r="E216" i="6"/>
  <c r="E295" i="11"/>
  <c r="E299" i="11" s="1"/>
  <c r="E781" i="18"/>
  <c r="E236" i="2"/>
  <c r="D236" i="1" s="1"/>
  <c r="E616" i="19"/>
  <c r="I77" i="64"/>
  <c r="I452" i="18"/>
  <c r="I118" i="11"/>
  <c r="I827" i="18"/>
  <c r="I223" i="64"/>
  <c r="G625" i="6"/>
  <c r="G322" i="6"/>
  <c r="G326" i="6" s="1"/>
  <c r="H65" i="11"/>
  <c r="H306" i="11"/>
  <c r="K371" i="6"/>
  <c r="G21" i="45"/>
  <c r="E574" i="6"/>
  <c r="K574" i="6" s="1"/>
  <c r="E588" i="6"/>
  <c r="K588" i="6" s="1"/>
  <c r="K586" i="6"/>
  <c r="E180" i="64"/>
  <c r="E684" i="18"/>
  <c r="H64" i="57"/>
  <c r="H67" i="57" s="1"/>
  <c r="H69" i="57" s="1"/>
  <c r="K472" i="19"/>
  <c r="E257" i="11"/>
  <c r="E115" i="6"/>
  <c r="E763" i="18"/>
  <c r="I75" i="54"/>
  <c r="E190" i="2"/>
  <c r="D190" i="1" s="1"/>
  <c r="I151" i="18"/>
  <c r="I389" i="6"/>
  <c r="I395" i="6" s="1"/>
  <c r="E151" i="18"/>
  <c r="K769" i="6"/>
  <c r="N64" i="57"/>
  <c r="N67" i="57" s="1"/>
  <c r="N69" i="57" s="1"/>
  <c r="E267" i="6"/>
  <c r="K474" i="19"/>
  <c r="E799" i="18"/>
  <c r="M75" i="54"/>
  <c r="E333" i="11"/>
  <c r="E338" i="11" s="1"/>
  <c r="E339" i="11" s="1"/>
  <c r="E253" i="2"/>
  <c r="D253" i="1" s="1"/>
  <c r="H512" i="6"/>
  <c r="K469" i="19"/>
  <c r="E287" i="6"/>
  <c r="K524" i="19"/>
  <c r="E390" i="6"/>
  <c r="H79" i="60" s="1"/>
  <c r="H413" i="18"/>
  <c r="H303" i="11"/>
  <c r="H226" i="6"/>
  <c r="H62" i="11"/>
  <c r="G257" i="6"/>
  <c r="G258" i="6" s="1"/>
  <c r="F85" i="11"/>
  <c r="F86" i="11" s="1"/>
  <c r="I20" i="36"/>
  <c r="K217" i="6"/>
  <c r="I21" i="43"/>
  <c r="O30" i="43"/>
  <c r="I578" i="18"/>
  <c r="I380" i="6"/>
  <c r="I284" i="11"/>
  <c r="I37" i="11"/>
  <c r="O30" i="45"/>
  <c r="O33" i="45" s="1"/>
  <c r="G33" i="45"/>
  <c r="H106" i="11"/>
  <c r="H429" i="18"/>
  <c r="H82" i="11"/>
  <c r="H85" i="11" s="1"/>
  <c r="H86" i="11" s="1"/>
  <c r="H308" i="6"/>
  <c r="H343" i="11"/>
  <c r="G414" i="18"/>
  <c r="G415" i="18" s="1"/>
  <c r="E615" i="19"/>
  <c r="I414" i="18"/>
  <c r="I415" i="18" s="1"/>
  <c r="I258" i="6"/>
  <c r="I214" i="64"/>
  <c r="I818" i="18"/>
  <c r="H400" i="18"/>
  <c r="H265" i="11"/>
  <c r="H45" i="11"/>
  <c r="G581" i="18" l="1"/>
  <c r="G38" i="11"/>
  <c r="G41" i="11" s="1"/>
  <c r="G42" i="11" s="1"/>
  <c r="G285" i="11"/>
  <c r="G289" i="11" s="1"/>
  <c r="G290" i="11" s="1"/>
  <c r="G564" i="6"/>
  <c r="G610" i="18" s="1"/>
  <c r="G611" i="18" s="1"/>
  <c r="G630" i="18"/>
  <c r="G110" i="11"/>
  <c r="G537" i="11"/>
  <c r="G538" i="11" s="1"/>
  <c r="K608" i="19"/>
  <c r="E45" i="2"/>
  <c r="D45" i="1" s="1"/>
  <c r="G223" i="64"/>
  <c r="G827" i="18"/>
  <c r="K605" i="19"/>
  <c r="F762" i="6"/>
  <c r="F445" i="11" s="1"/>
  <c r="H309" i="6"/>
  <c r="H310" i="6" s="1"/>
  <c r="I432" i="18"/>
  <c r="I433" i="18" s="1"/>
  <c r="H347" i="11"/>
  <c r="H348" i="11" s="1"/>
  <c r="I129" i="11"/>
  <c r="I765" i="6"/>
  <c r="I448" i="11" s="1"/>
  <c r="I230" i="64"/>
  <c r="H819" i="18"/>
  <c r="H66" i="11"/>
  <c r="H67" i="11" s="1"/>
  <c r="O21" i="45"/>
  <c r="K151" i="18"/>
  <c r="O21" i="43"/>
  <c r="I259" i="6"/>
  <c r="I419" i="18"/>
  <c r="I420" i="18" s="1"/>
  <c r="G20" i="43"/>
  <c r="E318" i="6"/>
  <c r="K115" i="6"/>
  <c r="G19" i="36"/>
  <c r="E119" i="6"/>
  <c r="E20" i="64"/>
  <c r="D46" i="1"/>
  <c r="E283" i="6"/>
  <c r="K180" i="64"/>
  <c r="E183" i="64"/>
  <c r="K183" i="64" s="1"/>
  <c r="G77" i="64"/>
  <c r="G452" i="18"/>
  <c r="G118" i="11"/>
  <c r="F148" i="18"/>
  <c r="F448" i="11"/>
  <c r="G209" i="11"/>
  <c r="I42" i="43"/>
  <c r="I46" i="43" s="1"/>
  <c r="K236" i="6"/>
  <c r="K79" i="57"/>
  <c r="I41" i="36"/>
  <c r="I46" i="36" s="1"/>
  <c r="E240" i="6"/>
  <c r="K240" i="6" s="1"/>
  <c r="H209" i="11"/>
  <c r="G41" i="36"/>
  <c r="K135" i="6"/>
  <c r="E338" i="6"/>
  <c r="G42" i="43"/>
  <c r="E139" i="6"/>
  <c r="K139" i="6" s="1"/>
  <c r="K637" i="6"/>
  <c r="K597" i="19"/>
  <c r="E44" i="2"/>
  <c r="K252" i="6"/>
  <c r="E255" i="6"/>
  <c r="E417" i="18"/>
  <c r="K417" i="18" s="1"/>
  <c r="I54" i="43"/>
  <c r="I57" i="43" s="1"/>
  <c r="K319" i="6"/>
  <c r="E625" i="6"/>
  <c r="I579" i="18"/>
  <c r="I580" i="18" s="1"/>
  <c r="K390" i="6"/>
  <c r="E593" i="6"/>
  <c r="G42" i="45"/>
  <c r="E394" i="6"/>
  <c r="K394" i="6" s="1"/>
  <c r="H827" i="18"/>
  <c r="H223" i="64"/>
  <c r="G259" i="6"/>
  <c r="G419" i="18"/>
  <c r="G420" i="18" s="1"/>
  <c r="H308" i="11"/>
  <c r="H309" i="11" s="1"/>
  <c r="K287" i="6"/>
  <c r="N79" i="57"/>
  <c r="K42" i="43"/>
  <c r="K46" i="43" s="1"/>
  <c r="K41" i="36"/>
  <c r="K46" i="36" s="1"/>
  <c r="E291" i="6"/>
  <c r="K291" i="6" s="1"/>
  <c r="I581" i="18"/>
  <c r="I38" i="11"/>
  <c r="I41" i="11" s="1"/>
  <c r="I42" i="11" s="1"/>
  <c r="I411" i="6"/>
  <c r="I412" i="6" s="1"/>
  <c r="I584" i="18" s="1"/>
  <c r="I585" i="18" s="1"/>
  <c r="I285" i="11"/>
  <c r="I289" i="11" s="1"/>
  <c r="I290" i="11" s="1"/>
  <c r="G819" i="18"/>
  <c r="G821" i="18" s="1"/>
  <c r="G215" i="64"/>
  <c r="G217" i="64" s="1"/>
  <c r="G628" i="6"/>
  <c r="G632" i="6" s="1"/>
  <c r="K781" i="18"/>
  <c r="E783" i="18"/>
  <c r="K783" i="18" s="1"/>
  <c r="F310" i="6"/>
  <c r="F432" i="18"/>
  <c r="F433" i="18" s="1"/>
  <c r="H38" i="11"/>
  <c r="H41" i="11" s="1"/>
  <c r="H42" i="11" s="1"/>
  <c r="H411" i="6"/>
  <c r="H412" i="6" s="1"/>
  <c r="H584" i="18" s="1"/>
  <c r="H585" i="18" s="1"/>
  <c r="H581" i="18"/>
  <c r="H285" i="11"/>
  <c r="H289" i="11" s="1"/>
  <c r="H290" i="11" s="1"/>
  <c r="K522" i="6"/>
  <c r="K20" i="45"/>
  <c r="K23" i="45" s="1"/>
  <c r="E526" i="6"/>
  <c r="I209" i="11"/>
  <c r="K406" i="6"/>
  <c r="E409" i="6"/>
  <c r="G54" i="45"/>
  <c r="E582" i="18"/>
  <c r="K582" i="18" s="1"/>
  <c r="H77" i="64"/>
  <c r="H452" i="18"/>
  <c r="H118" i="11"/>
  <c r="K303" i="6"/>
  <c r="E306" i="6"/>
  <c r="E354" i="6"/>
  <c r="E430" i="18"/>
  <c r="K430" i="18" s="1"/>
  <c r="K54" i="43"/>
  <c r="K57" i="43" s="1"/>
  <c r="I20" i="64"/>
  <c r="K684" i="18"/>
  <c r="E687" i="18"/>
  <c r="K687" i="18" s="1"/>
  <c r="I19" i="36"/>
  <c r="I22" i="36" s="1"/>
  <c r="I20" i="43"/>
  <c r="I23" i="43" s="1"/>
  <c r="K216" i="6"/>
  <c r="E220" i="6"/>
  <c r="E573" i="6"/>
  <c r="K370" i="6"/>
  <c r="G20" i="45"/>
  <c r="E374" i="6"/>
  <c r="K79" i="60"/>
  <c r="K491" i="6"/>
  <c r="E495" i="6"/>
  <c r="K495" i="6" s="1"/>
  <c r="I42" i="45"/>
  <c r="I46" i="45" s="1"/>
  <c r="H20" i="64"/>
  <c r="K166" i="64"/>
  <c r="E169" i="64"/>
  <c r="K169" i="64" s="1"/>
  <c r="E404" i="18"/>
  <c r="K404" i="18" s="1"/>
  <c r="G62" i="36"/>
  <c r="K151" i="6"/>
  <c r="G54" i="43"/>
  <c r="E154" i="6"/>
  <c r="I762" i="6"/>
  <c r="I126" i="11"/>
  <c r="H258" i="6"/>
  <c r="H414" i="18"/>
  <c r="H415" i="18" s="1"/>
  <c r="K19" i="36"/>
  <c r="K22" i="36" s="1"/>
  <c r="K267" i="6"/>
  <c r="K20" i="43"/>
  <c r="K23" i="43" s="1"/>
  <c r="E271" i="6"/>
  <c r="K615" i="19"/>
  <c r="E558" i="6"/>
  <c r="K62" i="36" s="1"/>
  <c r="K66" i="36" s="1"/>
  <c r="K799" i="18"/>
  <c r="E801" i="18"/>
  <c r="K801" i="18" s="1"/>
  <c r="K763" i="18"/>
  <c r="E765" i="18"/>
  <c r="K765" i="18" s="1"/>
  <c r="D69" i="1"/>
  <c r="E386" i="6"/>
  <c r="H76" i="60" s="1"/>
  <c r="K616" i="19"/>
  <c r="E71" i="2"/>
  <c r="M67" i="54" s="1"/>
  <c r="M69" i="54" s="1"/>
  <c r="I215" i="64"/>
  <c r="I217" i="64" s="1"/>
  <c r="I819" i="18"/>
  <c r="I821" i="18" s="1"/>
  <c r="G310" i="6"/>
  <c r="G432" i="18"/>
  <c r="G433" i="18" s="1"/>
  <c r="G230" i="64"/>
  <c r="G765" i="6"/>
  <c r="G834" i="18"/>
  <c r="G129" i="11"/>
  <c r="H230" i="64"/>
  <c r="H129" i="11"/>
  <c r="H834" i="18"/>
  <c r="H765" i="6"/>
  <c r="K613" i="19"/>
  <c r="E507" i="6"/>
  <c r="N79" i="60"/>
  <c r="K542" i="6"/>
  <c r="K42" i="45"/>
  <c r="K46" i="45" s="1"/>
  <c r="E546" i="6"/>
  <c r="K546" i="6" s="1"/>
  <c r="E672" i="18"/>
  <c r="K672" i="18" s="1"/>
  <c r="K669" i="18"/>
  <c r="H818" i="18"/>
  <c r="H214" i="64"/>
  <c r="H217" i="64" s="1"/>
  <c r="H628" i="6"/>
  <c r="H632" i="6" s="1"/>
  <c r="K614" i="19"/>
  <c r="E70" i="2"/>
  <c r="I20" i="45"/>
  <c r="I23" i="45" s="1"/>
  <c r="K471" i="6"/>
  <c r="E475" i="6"/>
  <c r="O20" i="36"/>
  <c r="E232" i="6" l="1"/>
  <c r="E235" i="6" s="1"/>
  <c r="F145" i="18"/>
  <c r="H432" i="18"/>
  <c r="H433" i="18" s="1"/>
  <c r="I148" i="18"/>
  <c r="H821" i="18"/>
  <c r="I24" i="45"/>
  <c r="K24" i="43"/>
  <c r="K26" i="43"/>
  <c r="E48" i="11"/>
  <c r="E268" i="11"/>
  <c r="K154" i="6"/>
  <c r="I26" i="43"/>
  <c r="I24" i="43"/>
  <c r="O19" i="36"/>
  <c r="O22" i="36" s="1"/>
  <c r="G22" i="36"/>
  <c r="D70" i="1"/>
  <c r="E487" i="6"/>
  <c r="H762" i="6"/>
  <c r="H126" i="11"/>
  <c r="E75" i="2"/>
  <c r="I145" i="18"/>
  <c r="I445" i="11"/>
  <c r="O54" i="43"/>
  <c r="O57" i="43" s="1"/>
  <c r="G57" i="43"/>
  <c r="K573" i="6"/>
  <c r="E577" i="6"/>
  <c r="I23" i="36"/>
  <c r="K79" i="54" s="1"/>
  <c r="G57" i="45"/>
  <c r="K526" i="6"/>
  <c r="E530" i="6"/>
  <c r="G762" i="6"/>
  <c r="G126" i="11"/>
  <c r="K593" i="6"/>
  <c r="E597" i="6"/>
  <c r="E50" i="2"/>
  <c r="I67" i="54"/>
  <c r="I69" i="54" s="1"/>
  <c r="D44" i="1"/>
  <c r="E131" i="6"/>
  <c r="H76" i="57" s="1"/>
  <c r="E644" i="6"/>
  <c r="E342" i="6"/>
  <c r="K338" i="6"/>
  <c r="H259" i="6"/>
  <c r="H419" i="18"/>
  <c r="H420" i="18" s="1"/>
  <c r="K306" i="6"/>
  <c r="E345" i="11"/>
  <c r="E84" i="11"/>
  <c r="K475" i="6"/>
  <c r="E479" i="6"/>
  <c r="K67" i="54"/>
  <c r="K69" i="54" s="1"/>
  <c r="E609" i="6"/>
  <c r="E663" i="6" s="1"/>
  <c r="K558" i="6"/>
  <c r="E608" i="18"/>
  <c r="K608" i="18" s="1"/>
  <c r="E561" i="6"/>
  <c r="K54" i="45"/>
  <c r="K57" i="45" s="1"/>
  <c r="K25" i="36"/>
  <c r="K23" i="36"/>
  <c r="M79" i="54" s="1"/>
  <c r="K374" i="6"/>
  <c r="E378" i="6"/>
  <c r="K220" i="6"/>
  <c r="E224" i="6"/>
  <c r="K409" i="6"/>
  <c r="E287" i="11"/>
  <c r="E40" i="11"/>
  <c r="K26" i="45"/>
  <c r="K24" i="45"/>
  <c r="K625" i="6"/>
  <c r="E215" i="64"/>
  <c r="K215" i="64" s="1"/>
  <c r="E819" i="18"/>
  <c r="K819" i="18" s="1"/>
  <c r="K255" i="6"/>
  <c r="E306" i="11"/>
  <c r="E65" i="11"/>
  <c r="K318" i="6"/>
  <c r="E624" i="6"/>
  <c r="E322" i="6"/>
  <c r="E389" i="6"/>
  <c r="G36" i="45"/>
  <c r="K386" i="6"/>
  <c r="H82" i="60"/>
  <c r="H84" i="60" s="1"/>
  <c r="G46" i="45"/>
  <c r="O42" i="45"/>
  <c r="O46" i="45" s="1"/>
  <c r="E510" i="6"/>
  <c r="K507" i="6"/>
  <c r="E595" i="18"/>
  <c r="K595" i="18" s="1"/>
  <c r="I54" i="45"/>
  <c r="I57" i="45" s="1"/>
  <c r="H448" i="11"/>
  <c r="H148" i="18"/>
  <c r="G148" i="18"/>
  <c r="G448" i="11"/>
  <c r="D71" i="1"/>
  <c r="E538" i="6"/>
  <c r="K35" i="36" s="1"/>
  <c r="K38" i="36" s="1"/>
  <c r="K48" i="36" s="1"/>
  <c r="E275" i="6"/>
  <c r="K271" i="6"/>
  <c r="G66" i="36"/>
  <c r="O20" i="45"/>
  <c r="O23" i="45" s="1"/>
  <c r="G23" i="45"/>
  <c r="K354" i="6"/>
  <c r="E82" i="64"/>
  <c r="K82" i="64" s="1"/>
  <c r="E456" i="18"/>
  <c r="K456" i="18" s="1"/>
  <c r="E357" i="6"/>
  <c r="I62" i="36"/>
  <c r="I66" i="36" s="1"/>
  <c r="G46" i="43"/>
  <c r="O42" i="43"/>
  <c r="O46" i="43" s="1"/>
  <c r="G46" i="36"/>
  <c r="O41" i="36"/>
  <c r="O46" i="36" s="1"/>
  <c r="K283" i="6"/>
  <c r="E286" i="6"/>
  <c r="K36" i="43"/>
  <c r="K39" i="43" s="1"/>
  <c r="K48" i="43" s="1"/>
  <c r="N76" i="57"/>
  <c r="N82" i="57" s="1"/>
  <c r="N84" i="57" s="1"/>
  <c r="K119" i="6"/>
  <c r="E123" i="6"/>
  <c r="O20" i="43"/>
  <c r="O23" i="43" s="1"/>
  <c r="G23" i="43"/>
  <c r="M81" i="54" l="1"/>
  <c r="M82" i="54"/>
  <c r="K81" i="54"/>
  <c r="K82" i="54"/>
  <c r="K76" i="57"/>
  <c r="K82" i="57" s="1"/>
  <c r="K84" i="57" s="1"/>
  <c r="K232" i="6"/>
  <c r="I36" i="43"/>
  <c r="I39" i="43" s="1"/>
  <c r="I48" i="43" s="1"/>
  <c r="I49" i="43" s="1"/>
  <c r="K663" i="6"/>
  <c r="E667" i="6"/>
  <c r="G24" i="43"/>
  <c r="K59" i="43"/>
  <c r="K60" i="43" s="1"/>
  <c r="K49" i="43"/>
  <c r="E277" i="6"/>
  <c r="E81" i="11"/>
  <c r="K275" i="6"/>
  <c r="E342" i="11"/>
  <c r="E426" i="18"/>
  <c r="K426" i="18" s="1"/>
  <c r="E541" i="6"/>
  <c r="K538" i="6"/>
  <c r="K36" i="45"/>
  <c r="K39" i="45" s="1"/>
  <c r="K48" i="45" s="1"/>
  <c r="N76" i="60"/>
  <c r="N82" i="60" s="1"/>
  <c r="N84" i="60" s="1"/>
  <c r="K322" i="6"/>
  <c r="E326" i="6"/>
  <c r="E380" i="6"/>
  <c r="E284" i="11"/>
  <c r="K378" i="6"/>
  <c r="E37" i="11"/>
  <c r="E578" i="18"/>
  <c r="K578" i="18" s="1"/>
  <c r="K479" i="6"/>
  <c r="E591" i="18"/>
  <c r="K591" i="18" s="1"/>
  <c r="E322" i="11"/>
  <c r="E54" i="11"/>
  <c r="K342" i="6"/>
  <c r="O54" i="45"/>
  <c r="O57" i="45" s="1"/>
  <c r="H445" i="11"/>
  <c r="H145" i="18"/>
  <c r="G23" i="36"/>
  <c r="I79" i="54" s="1"/>
  <c r="O62" i="36"/>
  <c r="O66" i="36" s="1"/>
  <c r="E57" i="11"/>
  <c r="E325" i="11"/>
  <c r="K510" i="6"/>
  <c r="K389" i="6"/>
  <c r="E395" i="6"/>
  <c r="G445" i="11"/>
  <c r="G145" i="18"/>
  <c r="I35" i="36"/>
  <c r="I38" i="36" s="1"/>
  <c r="I48" i="36" s="1"/>
  <c r="K123" i="6"/>
  <c r="E400" i="18"/>
  <c r="K400" i="18" s="1"/>
  <c r="E45" i="11"/>
  <c r="E265" i="11"/>
  <c r="G24" i="45"/>
  <c r="G26" i="45"/>
  <c r="E818" i="18"/>
  <c r="K624" i="6"/>
  <c r="E214" i="64"/>
  <c r="E628" i="6"/>
  <c r="K609" i="6"/>
  <c r="E139" i="64"/>
  <c r="K139" i="64" s="1"/>
  <c r="E634" i="18"/>
  <c r="K634" i="18" s="1"/>
  <c r="E612" i="6"/>
  <c r="E649" i="6"/>
  <c r="K644" i="6"/>
  <c r="G17" i="14"/>
  <c r="G18" i="14" s="1"/>
  <c r="D50" i="1"/>
  <c r="E702" i="6"/>
  <c r="G25" i="38"/>
  <c r="G20" i="38" s="1"/>
  <c r="U23" i="46"/>
  <c r="E773" i="6"/>
  <c r="I18" i="46"/>
  <c r="E249" i="64"/>
  <c r="K249" i="64" s="1"/>
  <c r="E852" i="18"/>
  <c r="K852" i="18" s="1"/>
  <c r="K577" i="6"/>
  <c r="E581" i="6"/>
  <c r="D75" i="1"/>
  <c r="K235" i="6"/>
  <c r="E241" i="6"/>
  <c r="K286" i="6"/>
  <c r="E292" i="6"/>
  <c r="E121" i="11"/>
  <c r="K357" i="6"/>
  <c r="G39" i="45"/>
  <c r="G48" i="45" s="1"/>
  <c r="K68" i="36"/>
  <c r="K69" i="36" s="1"/>
  <c r="K50" i="36"/>
  <c r="K49" i="36"/>
  <c r="K27" i="45"/>
  <c r="N71" i="60"/>
  <c r="E226" i="6"/>
  <c r="K224" i="6"/>
  <c r="E62" i="11"/>
  <c r="E303" i="11"/>
  <c r="E413" i="18"/>
  <c r="K413" i="18" s="1"/>
  <c r="K26" i="36"/>
  <c r="M84" i="54" s="1"/>
  <c r="K561" i="6"/>
  <c r="E365" i="11"/>
  <c r="E536" i="11"/>
  <c r="K131" i="6"/>
  <c r="G35" i="36"/>
  <c r="G36" i="43"/>
  <c r="E134" i="6"/>
  <c r="K597" i="6"/>
  <c r="K530" i="6"/>
  <c r="E532" i="6"/>
  <c r="E533" i="11"/>
  <c r="E362" i="11"/>
  <c r="E604" i="18"/>
  <c r="K604" i="18" s="1"/>
  <c r="E490" i="6"/>
  <c r="K487" i="6"/>
  <c r="K76" i="60"/>
  <c r="K82" i="60" s="1"/>
  <c r="K84" i="60" s="1"/>
  <c r="I36" i="45"/>
  <c r="I39" i="45" s="1"/>
  <c r="I48" i="45" s="1"/>
  <c r="I27" i="43"/>
  <c r="K71" i="57"/>
  <c r="K27" i="43"/>
  <c r="N71" i="57"/>
  <c r="I59" i="43" l="1"/>
  <c r="I60" i="43" s="1"/>
  <c r="I81" i="54"/>
  <c r="I82" i="54"/>
  <c r="G59" i="45"/>
  <c r="G60" i="45" s="1"/>
  <c r="G49" i="45"/>
  <c r="K628" i="6"/>
  <c r="E632" i="6"/>
  <c r="K380" i="6"/>
  <c r="E579" i="18"/>
  <c r="K134" i="6"/>
  <c r="K71" i="36"/>
  <c r="K241" i="6"/>
  <c r="E257" i="6"/>
  <c r="K257" i="6" s="1"/>
  <c r="E304" i="11"/>
  <c r="E308" i="11" s="1"/>
  <c r="E309" i="11" s="1"/>
  <c r="E63" i="11"/>
  <c r="E66" i="11" s="1"/>
  <c r="E67" i="11" s="1"/>
  <c r="E416" i="18"/>
  <c r="K416" i="18" s="1"/>
  <c r="G14" i="15"/>
  <c r="K702" i="6"/>
  <c r="E209" i="11"/>
  <c r="E223" i="64"/>
  <c r="K223" i="64" s="1"/>
  <c r="K649" i="6"/>
  <c r="E827" i="18"/>
  <c r="K827" i="18" s="1"/>
  <c r="K214" i="64"/>
  <c r="K217" i="64" s="1"/>
  <c r="E217" i="64"/>
  <c r="K326" i="6"/>
  <c r="E452" i="18"/>
  <c r="K452" i="18" s="1"/>
  <c r="E118" i="11"/>
  <c r="E77" i="64"/>
  <c r="K77" i="64" s="1"/>
  <c r="G27" i="45"/>
  <c r="H71" i="60"/>
  <c r="K395" i="6"/>
  <c r="E285" i="11"/>
  <c r="E289" i="11" s="1"/>
  <c r="E290" i="11" s="1"/>
  <c r="E411" i="6"/>
  <c r="K411" i="6" s="1"/>
  <c r="E38" i="11"/>
  <c r="E41" i="11" s="1"/>
  <c r="E42" i="11" s="1"/>
  <c r="E581" i="18"/>
  <c r="K581" i="18" s="1"/>
  <c r="K49" i="45"/>
  <c r="K59" i="45"/>
  <c r="K62" i="43"/>
  <c r="K490" i="6"/>
  <c r="E496" i="6"/>
  <c r="I49" i="45"/>
  <c r="I59" i="45"/>
  <c r="K532" i="6"/>
  <c r="E605" i="18"/>
  <c r="G39" i="43"/>
  <c r="K226" i="6"/>
  <c r="E414" i="18"/>
  <c r="K773" i="6"/>
  <c r="E157" i="18"/>
  <c r="E113" i="11"/>
  <c r="K612" i="6"/>
  <c r="K541" i="6"/>
  <c r="E547" i="6"/>
  <c r="E106" i="11" s="1"/>
  <c r="K277" i="6"/>
  <c r="E427" i="18"/>
  <c r="E630" i="18"/>
  <c r="K630" i="18" s="1"/>
  <c r="K581" i="6"/>
  <c r="E134" i="64"/>
  <c r="K134" i="64" s="1"/>
  <c r="E110" i="11"/>
  <c r="G38" i="36"/>
  <c r="E82" i="11"/>
  <c r="E85" i="11" s="1"/>
  <c r="E86" i="11" s="1"/>
  <c r="E308" i="6"/>
  <c r="K308" i="6" s="1"/>
  <c r="E343" i="11"/>
  <c r="E347" i="11" s="1"/>
  <c r="E348" i="11" s="1"/>
  <c r="K292" i="6"/>
  <c r="E429" i="18"/>
  <c r="K429" i="18" s="1"/>
  <c r="K818" i="18"/>
  <c r="K821" i="18" s="1"/>
  <c r="E821" i="18"/>
  <c r="I50" i="36"/>
  <c r="I68" i="36"/>
  <c r="F24" i="46"/>
  <c r="P10" i="38"/>
  <c r="K667" i="6"/>
  <c r="E765" i="6"/>
  <c r="E834" i="18"/>
  <c r="K834" i="18" s="1"/>
  <c r="E129" i="11"/>
  <c r="E230" i="64"/>
  <c r="K230" i="64" s="1"/>
  <c r="I62" i="43" l="1"/>
  <c r="I63" i="43" s="1"/>
  <c r="G62" i="45"/>
  <c r="G63" i="45" s="1"/>
  <c r="E258" i="6"/>
  <c r="E419" i="18" s="1"/>
  <c r="E412" i="6"/>
  <c r="E606" i="18"/>
  <c r="K605" i="18"/>
  <c r="E323" i="11"/>
  <c r="E55" i="11"/>
  <c r="K496" i="6"/>
  <c r="E512" i="6"/>
  <c r="E594" i="18"/>
  <c r="K594" i="18" s="1"/>
  <c r="I69" i="36"/>
  <c r="K157" i="18"/>
  <c r="E154" i="18"/>
  <c r="K154" i="18" s="1"/>
  <c r="E415" i="18"/>
  <c r="K414" i="18"/>
  <c r="I60" i="45"/>
  <c r="K60" i="45"/>
  <c r="K62" i="45"/>
  <c r="P7" i="38"/>
  <c r="K632" i="6"/>
  <c r="E126" i="11"/>
  <c r="F18" i="46"/>
  <c r="E762" i="6"/>
  <c r="K765" i="6"/>
  <c r="E148" i="18"/>
  <c r="K148" i="18" s="1"/>
  <c r="E448" i="11"/>
  <c r="E309" i="6"/>
  <c r="E363" i="11"/>
  <c r="E367" i="11" s="1"/>
  <c r="E368" i="11" s="1"/>
  <c r="K547" i="6"/>
  <c r="E534" i="11"/>
  <c r="E537" i="11" s="1"/>
  <c r="E538" i="11" s="1"/>
  <c r="E607" i="18"/>
  <c r="K607" i="18" s="1"/>
  <c r="E563" i="6"/>
  <c r="E105" i="11"/>
  <c r="K72" i="36"/>
  <c r="K81" i="36"/>
  <c r="K73" i="36"/>
  <c r="E428" i="18"/>
  <c r="K427" i="18"/>
  <c r="K63" i="43"/>
  <c r="K64" i="43"/>
  <c r="K579" i="18"/>
  <c r="E580" i="18"/>
  <c r="I64" i="43" l="1"/>
  <c r="E259" i="6"/>
  <c r="K259" i="6" s="1"/>
  <c r="G64" i="45"/>
  <c r="K258" i="6"/>
  <c r="K512" i="6"/>
  <c r="K309" i="6"/>
  <c r="E432" i="18"/>
  <c r="E310" i="6"/>
  <c r="K310" i="6" s="1"/>
  <c r="K419" i="18"/>
  <c r="E420" i="18"/>
  <c r="K420" i="18" s="1"/>
  <c r="E445" i="11"/>
  <c r="K762" i="6"/>
  <c r="E145" i="18"/>
  <c r="K145" i="18" s="1"/>
  <c r="K63" i="45"/>
  <c r="K64" i="45"/>
  <c r="E584" i="18"/>
  <c r="K412" i="6"/>
  <c r="K563" i="6"/>
  <c r="E564" i="6"/>
  <c r="K432" i="18" l="1"/>
  <c r="E433" i="18"/>
  <c r="K433" i="18" s="1"/>
  <c r="K564" i="6"/>
  <c r="E610" i="18"/>
  <c r="K584" i="18"/>
  <c r="E585" i="18"/>
  <c r="K585" i="18" s="1"/>
  <c r="E611" i="18" l="1"/>
  <c r="K611" i="18" s="1"/>
  <c r="K610" i="18"/>
  <c r="I26" i="10" l="1"/>
  <c r="I30" i="10" s="1"/>
  <c r="I31" i="10" s="1"/>
  <c r="I420" i="11"/>
  <c r="I40" i="64"/>
  <c r="F26" i="10"/>
  <c r="F30" i="10" s="1"/>
  <c r="F31" i="10" s="1"/>
  <c r="F420" i="11"/>
  <c r="F40" i="64"/>
  <c r="G420" i="11"/>
  <c r="G40" i="64"/>
  <c r="G26" i="10"/>
  <c r="G30" i="10" s="1"/>
  <c r="G31" i="10" s="1"/>
  <c r="H26" i="10"/>
  <c r="H30" i="10" s="1"/>
  <c r="H31" i="10" s="1"/>
  <c r="H420" i="11"/>
  <c r="H40" i="64"/>
  <c r="G179" i="2"/>
  <c r="G99" i="18" s="1"/>
  <c r="F179" i="2"/>
  <c r="F99" i="18" s="1"/>
  <c r="H286" i="18"/>
  <c r="H295" i="18" s="1"/>
  <c r="F286" i="18"/>
  <c r="F293" i="18" s="1"/>
  <c r="K715" i="19"/>
  <c r="E261" i="11"/>
  <c r="E262" i="11" s="1"/>
  <c r="E420" i="11"/>
  <c r="E26" i="10"/>
  <c r="E30" i="10" s="1"/>
  <c r="E31" i="10" s="1"/>
  <c r="F261" i="11"/>
  <c r="F262" i="11" s="1"/>
  <c r="G286" i="18"/>
  <c r="G293" i="18" s="1"/>
  <c r="I286" i="18"/>
  <c r="I293" i="18" s="1"/>
  <c r="G261" i="11"/>
  <c r="G262" i="11" s="1"/>
  <c r="H179" i="2"/>
  <c r="H99" i="18" s="1"/>
  <c r="E40" i="64"/>
  <c r="I179" i="2"/>
  <c r="I99" i="18" s="1"/>
  <c r="E286" i="18"/>
  <c r="E293" i="18" s="1"/>
  <c r="I261" i="11"/>
  <c r="I262" i="11" s="1"/>
  <c r="H261" i="11"/>
  <c r="H262" i="11" s="1"/>
  <c r="E179" i="2"/>
  <c r="G110" i="6"/>
  <c r="F110" i="6"/>
  <c r="E110" i="6"/>
  <c r="E184" i="5" s="1"/>
  <c r="I110" i="6"/>
  <c r="H110" i="6"/>
  <c r="J32" i="10" l="1"/>
  <c r="D32" i="10"/>
  <c r="H293" i="18"/>
  <c r="K293" i="18" s="1"/>
  <c r="G30" i="57"/>
  <c r="G33" i="57"/>
  <c r="G34" i="57" s="1"/>
  <c r="I295" i="18"/>
  <c r="H313" i="6"/>
  <c r="H74" i="64" s="1"/>
  <c r="K40" i="64"/>
  <c r="K110" i="6"/>
  <c r="G22" i="57"/>
  <c r="E6" i="31"/>
  <c r="B6" i="31" s="1"/>
  <c r="E181" i="2"/>
  <c r="E397" i="18"/>
  <c r="G23" i="57"/>
  <c r="G9" i="43"/>
  <c r="E313" i="6"/>
  <c r="E112" i="6"/>
  <c r="E317" i="12" s="1"/>
  <c r="E320" i="12" s="1"/>
  <c r="G397" i="18"/>
  <c r="G181" i="2"/>
  <c r="G100" i="18" s="1"/>
  <c r="G112" i="6"/>
  <c r="G317" i="12" s="1"/>
  <c r="G320" i="12" s="1"/>
  <c r="G313" i="6"/>
  <c r="F181" i="2"/>
  <c r="F100" i="18" s="1"/>
  <c r="F397" i="18"/>
  <c r="F112" i="6"/>
  <c r="F317" i="12" s="1"/>
  <c r="F320" i="12" s="1"/>
  <c r="F313" i="6"/>
  <c r="G9" i="36"/>
  <c r="I181" i="2"/>
  <c r="I100" i="18" s="1"/>
  <c r="I397" i="18"/>
  <c r="I112" i="6"/>
  <c r="I317" i="12" s="1"/>
  <c r="I320" i="12" s="1"/>
  <c r="I313" i="6"/>
  <c r="H397" i="18"/>
  <c r="H181" i="2"/>
  <c r="H100" i="18" s="1"/>
  <c r="H112" i="6"/>
  <c r="H317" i="12" s="1"/>
  <c r="H320" i="12" s="1"/>
  <c r="G20" i="57"/>
  <c r="D179" i="1"/>
  <c r="E99" i="18"/>
  <c r="K99" i="18" s="1"/>
  <c r="G295" i="18"/>
  <c r="F295" i="18"/>
  <c r="K286" i="18"/>
  <c r="E295" i="18"/>
  <c r="H32" i="10" l="1"/>
  <c r="H176" i="10" s="1"/>
  <c r="G32" i="10"/>
  <c r="G176" i="10" s="1"/>
  <c r="E32" i="10"/>
  <c r="E176" i="10" s="1"/>
  <c r="I32" i="10"/>
  <c r="I176" i="10" s="1"/>
  <c r="F32" i="10"/>
  <c r="F176" i="10" s="1"/>
  <c r="L32" i="10"/>
  <c r="M32" i="10" s="1"/>
  <c r="L33" i="10"/>
  <c r="M33" i="10" s="1"/>
  <c r="L29" i="10"/>
  <c r="M29" i="10" s="1"/>
  <c r="L30" i="10"/>
  <c r="M30" i="10" s="1"/>
  <c r="L27" i="10"/>
  <c r="M27" i="10" s="1"/>
  <c r="L31" i="10"/>
  <c r="M31" i="10" s="1"/>
  <c r="L28" i="10"/>
  <c r="M28" i="10" s="1"/>
  <c r="H666" i="18"/>
  <c r="H6" i="2"/>
  <c r="H315" i="6"/>
  <c r="H293" i="12" s="1"/>
  <c r="H296" i="12" s="1"/>
  <c r="H156" i="2"/>
  <c r="H449" i="18"/>
  <c r="H163" i="64"/>
  <c r="G36" i="57"/>
  <c r="E100" i="18"/>
  <c r="K100" i="18" s="1"/>
  <c r="D181" i="1"/>
  <c r="K295" i="18"/>
  <c r="H399" i="18"/>
  <c r="H183" i="2"/>
  <c r="H101" i="18" s="1"/>
  <c r="H31" i="11"/>
  <c r="H14" i="11"/>
  <c r="H125" i="6"/>
  <c r="F163" i="64"/>
  <c r="F156" i="2"/>
  <c r="F74" i="64"/>
  <c r="F666" i="18"/>
  <c r="F449" i="18"/>
  <c r="F315" i="6"/>
  <c r="F293" i="12" s="1"/>
  <c r="F296" i="12" s="1"/>
  <c r="F6" i="2"/>
  <c r="K112" i="6"/>
  <c r="E31" i="11"/>
  <c r="G7" i="38"/>
  <c r="E399" i="18"/>
  <c r="E14" i="11"/>
  <c r="E183" i="2"/>
  <c r="E125" i="6"/>
  <c r="C18" i="46"/>
  <c r="C6" i="31"/>
  <c r="D6" i="31"/>
  <c r="F14" i="11"/>
  <c r="F31" i="11"/>
  <c r="F399" i="18"/>
  <c r="F183" i="2"/>
  <c r="F101" i="18" s="1"/>
  <c r="F125" i="6"/>
  <c r="G10" i="36"/>
  <c r="G14" i="36"/>
  <c r="G399" i="18"/>
  <c r="G14" i="11"/>
  <c r="G183" i="2"/>
  <c r="G101" i="18" s="1"/>
  <c r="G31" i="11"/>
  <c r="G125" i="6"/>
  <c r="I163" i="64"/>
  <c r="I74" i="64"/>
  <c r="I449" i="18"/>
  <c r="I156" i="2"/>
  <c r="I666" i="18"/>
  <c r="I315" i="6"/>
  <c r="I293" i="12" s="1"/>
  <c r="I296" i="12" s="1"/>
  <c r="I6" i="2"/>
  <c r="G42" i="57"/>
  <c r="E156" i="2"/>
  <c r="D156" i="1" s="1"/>
  <c r="E666" i="18"/>
  <c r="E163" i="64"/>
  <c r="K313" i="6"/>
  <c r="E449" i="18"/>
  <c r="E74" i="64"/>
  <c r="E6" i="2"/>
  <c r="E315" i="6"/>
  <c r="E293" i="12" s="1"/>
  <c r="E296" i="12" s="1"/>
  <c r="I399" i="18"/>
  <c r="I183" i="2"/>
  <c r="I101" i="18" s="1"/>
  <c r="I14" i="11"/>
  <c r="I31" i="11"/>
  <c r="I125" i="6"/>
  <c r="G163" i="64"/>
  <c r="G449" i="18"/>
  <c r="G74" i="64"/>
  <c r="G666" i="18"/>
  <c r="G156" i="2"/>
  <c r="G315" i="6"/>
  <c r="G293" i="12" s="1"/>
  <c r="G296" i="12" s="1"/>
  <c r="G6" i="2"/>
  <c r="G14" i="43"/>
  <c r="G26" i="43" s="1"/>
  <c r="G10" i="43"/>
  <c r="O9" i="43"/>
  <c r="O14" i="43" s="1"/>
  <c r="K397" i="18"/>
  <c r="I186" i="10" l="1"/>
  <c r="I187" i="10" s="1"/>
  <c r="J176" i="10"/>
  <c r="F186" i="10"/>
  <c r="F187" i="10" s="1"/>
  <c r="E186" i="10"/>
  <c r="E187" i="10" s="1"/>
  <c r="H186" i="10"/>
  <c r="H187" i="10" s="1"/>
  <c r="G186" i="10"/>
  <c r="G187" i="10" s="1"/>
  <c r="H93" i="18"/>
  <c r="H95" i="18" s="1"/>
  <c r="H328" i="6"/>
  <c r="H453" i="18" s="1"/>
  <c r="H451" i="18"/>
  <c r="H76" i="64"/>
  <c r="H159" i="2"/>
  <c r="K449" i="18"/>
  <c r="O15" i="43"/>
  <c r="O26" i="43"/>
  <c r="E159" i="2"/>
  <c r="D159" i="1" s="1"/>
  <c r="K315" i="6"/>
  <c r="E451" i="18"/>
  <c r="E93" i="18"/>
  <c r="E76" i="64"/>
  <c r="E328" i="6"/>
  <c r="E101" i="18"/>
  <c r="K101" i="18" s="1"/>
  <c r="D183" i="1"/>
  <c r="F401" i="18"/>
  <c r="F402" i="18" s="1"/>
  <c r="G10" i="14"/>
  <c r="D6" i="1"/>
  <c r="K399" i="18"/>
  <c r="H96" i="18"/>
  <c r="H17" i="11" s="1"/>
  <c r="I401" i="18"/>
  <c r="I402" i="18" s="1"/>
  <c r="I159" i="2"/>
  <c r="I451" i="18"/>
  <c r="I76" i="64"/>
  <c r="I93" i="18"/>
  <c r="I328" i="6"/>
  <c r="H71" i="57"/>
  <c r="G27" i="43"/>
  <c r="G76" i="64"/>
  <c r="G159" i="2"/>
  <c r="G451" i="18"/>
  <c r="G93" i="18"/>
  <c r="G328" i="6"/>
  <c r="K163" i="64"/>
  <c r="K74" i="64"/>
  <c r="K666" i="18"/>
  <c r="G401" i="18"/>
  <c r="G402" i="18" s="1"/>
  <c r="G25" i="36"/>
  <c r="K125" i="6"/>
  <c r="E401" i="18"/>
  <c r="F76" i="64"/>
  <c r="F451" i="18"/>
  <c r="F159" i="2"/>
  <c r="F93" i="18"/>
  <c r="F328" i="6"/>
  <c r="H401" i="18"/>
  <c r="H402" i="18" s="1"/>
  <c r="F188" i="10" l="1"/>
  <c r="J186" i="10"/>
  <c r="J187" i="10" s="1"/>
  <c r="I188" i="10"/>
  <c r="H188" i="10"/>
  <c r="I189" i="10"/>
  <c r="I191" i="10" s="1"/>
  <c r="H189" i="10"/>
  <c r="H191" i="10" s="1"/>
  <c r="G188" i="10"/>
  <c r="E188" i="10"/>
  <c r="E189" i="10"/>
  <c r="E191" i="10" s="1"/>
  <c r="G189" i="10"/>
  <c r="G191" i="10" s="1"/>
  <c r="F189" i="10"/>
  <c r="F191" i="10" s="1"/>
  <c r="H454" i="18"/>
  <c r="H78" i="64"/>
  <c r="H79" i="64" s="1"/>
  <c r="K401" i="18"/>
  <c r="E402" i="18"/>
  <c r="G95" i="18"/>
  <c r="G96" i="18"/>
  <c r="G17" i="11" s="1"/>
  <c r="K93" i="18"/>
  <c r="E96" i="18"/>
  <c r="E95" i="18"/>
  <c r="F96" i="18"/>
  <c r="F17" i="11" s="1"/>
  <c r="F95" i="18"/>
  <c r="I78" i="64"/>
  <c r="I79" i="64" s="1"/>
  <c r="I453" i="18"/>
  <c r="I454" i="18" s="1"/>
  <c r="K328" i="6"/>
  <c r="E78" i="64"/>
  <c r="E453" i="18"/>
  <c r="K451" i="18"/>
  <c r="F78" i="64"/>
  <c r="F79" i="64" s="1"/>
  <c r="F453" i="18"/>
  <c r="F454" i="18" s="1"/>
  <c r="G26" i="36"/>
  <c r="I84" i="54" s="1"/>
  <c r="G78" i="64"/>
  <c r="G79" i="64" s="1"/>
  <c r="G453" i="18"/>
  <c r="G454" i="18" s="1"/>
  <c r="I95" i="18"/>
  <c r="I96" i="18"/>
  <c r="I17" i="11" s="1"/>
  <c r="K76" i="64"/>
  <c r="O27" i="43"/>
  <c r="E454" i="18" l="1"/>
  <c r="K453" i="18"/>
  <c r="K78" i="64"/>
  <c r="E79" i="64"/>
  <c r="K95" i="18"/>
  <c r="K96" i="18"/>
  <c r="E17" i="11"/>
  <c r="G621" i="19" l="1"/>
  <c r="G66" i="10"/>
  <c r="G299" i="18"/>
  <c r="G45" i="64"/>
  <c r="H621" i="19"/>
  <c r="H66" i="10"/>
  <c r="H299" i="18"/>
  <c r="H45" i="64"/>
  <c r="I299" i="18"/>
  <c r="I45" i="64"/>
  <c r="I621" i="19"/>
  <c r="I66" i="10"/>
  <c r="E66" i="10"/>
  <c r="K720" i="19"/>
  <c r="F66" i="10"/>
  <c r="F299" i="18"/>
  <c r="F45" i="64"/>
  <c r="F621" i="19"/>
  <c r="E621" i="19"/>
  <c r="E299" i="18"/>
  <c r="E45" i="64"/>
  <c r="G127" i="6"/>
  <c r="H127" i="6"/>
  <c r="H130" i="6" s="1"/>
  <c r="H140" i="6" s="1"/>
  <c r="F127" i="6"/>
  <c r="F130" i="6" s="1"/>
  <c r="F140" i="6" s="1"/>
  <c r="I127" i="6"/>
  <c r="I130" i="6" s="1"/>
  <c r="I140" i="6" s="1"/>
  <c r="E127" i="6"/>
  <c r="G31" i="43" s="1"/>
  <c r="I330" i="6" l="1"/>
  <c r="I333" i="6" s="1"/>
  <c r="K299" i="18"/>
  <c r="K45" i="64"/>
  <c r="F330" i="6"/>
  <c r="F333" i="6" s="1"/>
  <c r="E130" i="6"/>
  <c r="K621" i="19"/>
  <c r="O31" i="43"/>
  <c r="O33" i="43" s="1"/>
  <c r="G33" i="43"/>
  <c r="G48" i="43" s="1"/>
  <c r="I156" i="6"/>
  <c r="I157" i="6" s="1"/>
  <c r="I403" i="18"/>
  <c r="I104" i="11"/>
  <c r="I266" i="11"/>
  <c r="I270" i="11" s="1"/>
  <c r="I271" i="11" s="1"/>
  <c r="I46" i="11"/>
  <c r="I49" i="11" s="1"/>
  <c r="I50" i="11" s="1"/>
  <c r="H46" i="11"/>
  <c r="H49" i="11" s="1"/>
  <c r="H50" i="11" s="1"/>
  <c r="H403" i="18"/>
  <c r="H104" i="11"/>
  <c r="H156" i="6"/>
  <c r="H157" i="6" s="1"/>
  <c r="H266" i="11"/>
  <c r="H270" i="11" s="1"/>
  <c r="H271" i="11" s="1"/>
  <c r="G330" i="6"/>
  <c r="G130" i="6"/>
  <c r="G140" i="6" s="1"/>
  <c r="E140" i="6"/>
  <c r="G30" i="36"/>
  <c r="F156" i="6"/>
  <c r="F157" i="6" s="1"/>
  <c r="F403" i="18"/>
  <c r="F266" i="11"/>
  <c r="F270" i="11" s="1"/>
  <c r="F271" i="11" s="1"/>
  <c r="F104" i="11"/>
  <c r="F46" i="11"/>
  <c r="F49" i="11" s="1"/>
  <c r="F50" i="11" s="1"/>
  <c r="E330" i="6"/>
  <c r="H330" i="6"/>
  <c r="K127" i="6"/>
  <c r="H75" i="57"/>
  <c r="H82" i="57" s="1"/>
  <c r="H84" i="57" s="1"/>
  <c r="K130" i="6" l="1"/>
  <c r="F636" i="6"/>
  <c r="F639" i="6" s="1"/>
  <c r="F221" i="64" s="1"/>
  <c r="I636" i="6"/>
  <c r="I639" i="6" s="1"/>
  <c r="H158" i="6"/>
  <c r="H406" i="18"/>
  <c r="H407" i="18" s="1"/>
  <c r="F406" i="18"/>
  <c r="F407" i="18" s="1"/>
  <c r="F158" i="6"/>
  <c r="G266" i="11"/>
  <c r="G270" i="11" s="1"/>
  <c r="G271" i="11" s="1"/>
  <c r="G403" i="18"/>
  <c r="G104" i="11"/>
  <c r="G156" i="6"/>
  <c r="G157" i="6" s="1"/>
  <c r="G46" i="11"/>
  <c r="G49" i="11" s="1"/>
  <c r="G50" i="11" s="1"/>
  <c r="K330" i="6"/>
  <c r="E333" i="6"/>
  <c r="E636" i="6"/>
  <c r="I158" i="6"/>
  <c r="I406" i="18"/>
  <c r="I407" i="18" s="1"/>
  <c r="G32" i="36"/>
  <c r="G48" i="36" s="1"/>
  <c r="O30" i="36"/>
  <c r="O32" i="36" s="1"/>
  <c r="G636" i="6"/>
  <c r="G639" i="6" s="1"/>
  <c r="G333" i="6"/>
  <c r="H333" i="6"/>
  <c r="H636" i="6"/>
  <c r="H639" i="6" s="1"/>
  <c r="E403" i="18"/>
  <c r="K140" i="6"/>
  <c r="E266" i="11"/>
  <c r="E270" i="11" s="1"/>
  <c r="E271" i="11" s="1"/>
  <c r="E46" i="11"/>
  <c r="E49" i="11" s="1"/>
  <c r="E50" i="11" s="1"/>
  <c r="E104" i="11"/>
  <c r="E156" i="6"/>
  <c r="G49" i="43"/>
  <c r="G59" i="43"/>
  <c r="F825" i="18" l="1"/>
  <c r="I825" i="18"/>
  <c r="I221" i="64"/>
  <c r="K403" i="18"/>
  <c r="G49" i="36"/>
  <c r="G50" i="36"/>
  <c r="G68" i="36"/>
  <c r="G825" i="18"/>
  <c r="G221" i="64"/>
  <c r="G406" i="18"/>
  <c r="G407" i="18" s="1"/>
  <c r="G158" i="6"/>
  <c r="K636" i="6"/>
  <c r="E639" i="6"/>
  <c r="H221" i="64"/>
  <c r="H825" i="18"/>
  <c r="K333" i="6"/>
  <c r="G62" i="43"/>
  <c r="G60" i="43"/>
  <c r="K156" i="6"/>
  <c r="E157" i="6"/>
  <c r="G69" i="36" l="1"/>
  <c r="G71" i="36"/>
  <c r="K639" i="6"/>
  <c r="E221" i="64"/>
  <c r="E825" i="18"/>
  <c r="G63" i="43"/>
  <c r="G64" i="43"/>
  <c r="E158" i="6"/>
  <c r="K158" i="6" s="1"/>
  <c r="K157" i="6"/>
  <c r="E406" i="18"/>
  <c r="K221" i="64" l="1"/>
  <c r="G72" i="36"/>
  <c r="G81" i="36"/>
  <c r="G73" i="36"/>
  <c r="K825" i="18"/>
  <c r="K406" i="18"/>
  <c r="E407" i="18"/>
  <c r="K407" i="18" s="1"/>
  <c r="I665" i="18"/>
  <c r="I356" i="19"/>
  <c r="I162" i="64"/>
  <c r="K726" i="19"/>
  <c r="F162" i="64"/>
  <c r="F665" i="18"/>
  <c r="F356" i="19"/>
  <c r="G665" i="18"/>
  <c r="G356" i="19"/>
  <c r="G162" i="64"/>
  <c r="H665" i="18"/>
  <c r="H162" i="64"/>
  <c r="H356" i="19"/>
  <c r="E665" i="18"/>
  <c r="E356" i="19"/>
  <c r="E162" i="64"/>
  <c r="H30" i="6"/>
  <c r="G30" i="6"/>
  <c r="I30" i="6"/>
  <c r="F30" i="6"/>
  <c r="E30" i="6"/>
  <c r="J81" i="55" l="1"/>
  <c r="J82" i="55"/>
  <c r="K356" i="19"/>
  <c r="K162" i="64"/>
  <c r="K665" i="18"/>
  <c r="F33" i="6"/>
  <c r="G33" i="6"/>
  <c r="K30" i="6"/>
  <c r="E33" i="6"/>
  <c r="I33" i="6"/>
  <c r="H33" i="6"/>
  <c r="J85" i="55" l="1"/>
  <c r="J87" i="55" s="1"/>
  <c r="H39" i="6"/>
  <c r="I39" i="6"/>
  <c r="F39" i="6"/>
  <c r="K33" i="6"/>
  <c r="E39" i="6"/>
  <c r="G39" i="6"/>
  <c r="K39" i="6" l="1"/>
  <c r="I680" i="18"/>
  <c r="I410" i="19"/>
  <c r="I92" i="6"/>
  <c r="I176" i="64"/>
  <c r="K727" i="19"/>
  <c r="F176" i="64"/>
  <c r="F680" i="18"/>
  <c r="F410" i="19"/>
  <c r="F92" i="6"/>
  <c r="G680" i="18"/>
  <c r="G410" i="19"/>
  <c r="G92" i="6"/>
  <c r="G176" i="64"/>
  <c r="H92" i="6"/>
  <c r="H176" i="64"/>
  <c r="H410" i="19"/>
  <c r="H680" i="18"/>
  <c r="E680" i="18"/>
  <c r="E410" i="19"/>
  <c r="H91" i="6"/>
  <c r="E92" i="6"/>
  <c r="E91" i="6"/>
  <c r="E176" i="64"/>
  <c r="I42" i="6"/>
  <c r="F91" i="6"/>
  <c r="F42" i="6"/>
  <c r="G42" i="6"/>
  <c r="H42" i="6"/>
  <c r="I41" i="6"/>
  <c r="F41" i="6"/>
  <c r="I91" i="6"/>
  <c r="E42" i="6"/>
  <c r="G41" i="6"/>
  <c r="G91" i="6"/>
  <c r="E41" i="6"/>
  <c r="H41" i="6"/>
  <c r="H80" i="6"/>
  <c r="F80" i="6"/>
  <c r="I80" i="6"/>
  <c r="G80" i="6"/>
  <c r="E80" i="6"/>
  <c r="H83" i="6" l="1"/>
  <c r="H89" i="6" s="1"/>
  <c r="H182" i="6"/>
  <c r="H334" i="6" s="1"/>
  <c r="H337" i="6" s="1"/>
  <c r="H343" i="6" s="1"/>
  <c r="H437" i="6"/>
  <c r="H589" i="6" s="1"/>
  <c r="H592" i="6" s="1"/>
  <c r="H598" i="6" s="1"/>
  <c r="H111" i="11" s="1"/>
  <c r="I448" i="6"/>
  <c r="I600" i="6" s="1"/>
  <c r="I193" i="6"/>
  <c r="I345" i="6" s="1"/>
  <c r="G437" i="6"/>
  <c r="G589" i="6" s="1"/>
  <c r="G592" i="6" s="1"/>
  <c r="G598" i="6" s="1"/>
  <c r="G182" i="6"/>
  <c r="G334" i="6" s="1"/>
  <c r="H193" i="6"/>
  <c r="H345" i="6" s="1"/>
  <c r="H448" i="6"/>
  <c r="H600" i="6" s="1"/>
  <c r="E449" i="6"/>
  <c r="E194" i="6"/>
  <c r="E346" i="6" s="1"/>
  <c r="H449" i="6"/>
  <c r="H601" i="6" s="1"/>
  <c r="H194" i="6"/>
  <c r="I449" i="6"/>
  <c r="I601" i="6" s="1"/>
  <c r="I194" i="6"/>
  <c r="N81" i="55"/>
  <c r="N82" i="55"/>
  <c r="E437" i="6"/>
  <c r="E182" i="6"/>
  <c r="I437" i="6"/>
  <c r="I589" i="6" s="1"/>
  <c r="I592" i="6" s="1"/>
  <c r="I598" i="6" s="1"/>
  <c r="I182" i="6"/>
  <c r="I334" i="6" s="1"/>
  <c r="E448" i="6"/>
  <c r="E193" i="6"/>
  <c r="G194" i="6"/>
  <c r="G346" i="6" s="1"/>
  <c r="G449" i="6"/>
  <c r="G601" i="6" s="1"/>
  <c r="G193" i="6"/>
  <c r="G345" i="6" s="1"/>
  <c r="G448" i="6"/>
  <c r="G600" i="6" s="1"/>
  <c r="F437" i="6"/>
  <c r="F589" i="6" s="1"/>
  <c r="F592" i="6" s="1"/>
  <c r="F598" i="6" s="1"/>
  <c r="F182" i="6"/>
  <c r="F334" i="6" s="1"/>
  <c r="F337" i="6" s="1"/>
  <c r="F343" i="6" s="1"/>
  <c r="F193" i="6"/>
  <c r="F345" i="6" s="1"/>
  <c r="F448" i="6"/>
  <c r="F600" i="6" s="1"/>
  <c r="F194" i="6"/>
  <c r="F346" i="6" s="1"/>
  <c r="F449" i="6"/>
  <c r="F601" i="6" s="1"/>
  <c r="F96" i="6"/>
  <c r="I96" i="6"/>
  <c r="G96" i="6"/>
  <c r="H346" i="6"/>
  <c r="G46" i="6"/>
  <c r="E46" i="6"/>
  <c r="K410" i="19"/>
  <c r="E96" i="6"/>
  <c r="K680" i="18"/>
  <c r="I346" i="6"/>
  <c r="K92" i="6"/>
  <c r="H46" i="6"/>
  <c r="K176" i="64"/>
  <c r="H96" i="6"/>
  <c r="G83" i="6"/>
  <c r="K80" i="6"/>
  <c r="E83" i="6"/>
  <c r="I83" i="6"/>
  <c r="K41" i="6"/>
  <c r="F83" i="6"/>
  <c r="F46" i="6"/>
  <c r="K42" i="6"/>
  <c r="K91" i="6"/>
  <c r="I46" i="6"/>
  <c r="N85" i="55" l="1"/>
  <c r="N87" i="55" s="1"/>
  <c r="I453" i="6"/>
  <c r="I198" i="6"/>
  <c r="E54" i="6"/>
  <c r="E453" i="6"/>
  <c r="E198" i="6"/>
  <c r="I440" i="6"/>
  <c r="I185" i="6"/>
  <c r="G453" i="6"/>
  <c r="G198" i="6"/>
  <c r="F185" i="6"/>
  <c r="F440" i="6"/>
  <c r="F198" i="6"/>
  <c r="F453" i="6"/>
  <c r="E185" i="6"/>
  <c r="E440" i="6"/>
  <c r="H446" i="6"/>
  <c r="H620" i="18" s="1"/>
  <c r="H191" i="6"/>
  <c r="H442" i="18" s="1"/>
  <c r="G440" i="6"/>
  <c r="G185" i="6"/>
  <c r="H54" i="6"/>
  <c r="H198" i="6"/>
  <c r="H453" i="6"/>
  <c r="H440" i="6"/>
  <c r="H185" i="6"/>
  <c r="H350" i="6"/>
  <c r="H81" i="64" s="1"/>
  <c r="F350" i="6"/>
  <c r="F81" i="64" s="1"/>
  <c r="G605" i="6"/>
  <c r="G138" i="64" s="1"/>
  <c r="G54" i="6"/>
  <c r="H605" i="6"/>
  <c r="H138" i="64" s="1"/>
  <c r="H137" i="64"/>
  <c r="K96" i="6"/>
  <c r="I350" i="6"/>
  <c r="I81" i="64" s="1"/>
  <c r="H613" i="6"/>
  <c r="I605" i="6"/>
  <c r="I138" i="64" s="1"/>
  <c r="H633" i="18"/>
  <c r="H640" i="6"/>
  <c r="H643" i="6" s="1"/>
  <c r="H222" i="64" s="1"/>
  <c r="H225" i="64" s="1"/>
  <c r="I54" i="6"/>
  <c r="F54" i="6"/>
  <c r="K194" i="6"/>
  <c r="F89" i="6"/>
  <c r="K182" i="6"/>
  <c r="M36" i="43"/>
  <c r="M35" i="36"/>
  <c r="E334" i="6"/>
  <c r="G337" i="6"/>
  <c r="G343" i="6" s="1"/>
  <c r="G640" i="6"/>
  <c r="G643" i="6" s="1"/>
  <c r="F137" i="64"/>
  <c r="F633" i="18"/>
  <c r="F111" i="11"/>
  <c r="F613" i="6"/>
  <c r="I337" i="6"/>
  <c r="I343" i="6" s="1"/>
  <c r="I640" i="6"/>
  <c r="I643" i="6" s="1"/>
  <c r="K83" i="6"/>
  <c r="E89" i="6"/>
  <c r="G633" i="18"/>
  <c r="G137" i="64"/>
  <c r="G111" i="11"/>
  <c r="G613" i="6"/>
  <c r="H104" i="6"/>
  <c r="H105" i="6" s="1"/>
  <c r="H106" i="6" s="1"/>
  <c r="G350" i="6"/>
  <c r="G81" i="64" s="1"/>
  <c r="F605" i="6"/>
  <c r="F138" i="64" s="1"/>
  <c r="K46" i="6"/>
  <c r="K193" i="6"/>
  <c r="E345" i="6"/>
  <c r="I111" i="11"/>
  <c r="I137" i="64"/>
  <c r="I633" i="18"/>
  <c r="I613" i="6"/>
  <c r="K437" i="6"/>
  <c r="M36" i="45"/>
  <c r="E589" i="6"/>
  <c r="G89" i="6"/>
  <c r="F640" i="6"/>
  <c r="F643" i="6" s="1"/>
  <c r="E601" i="6"/>
  <c r="K601" i="6" s="1"/>
  <c r="K449" i="6"/>
  <c r="K346" i="6"/>
  <c r="K448" i="6"/>
  <c r="E600" i="6"/>
  <c r="I89" i="6"/>
  <c r="H80" i="64"/>
  <c r="H455" i="18"/>
  <c r="H119" i="11"/>
  <c r="H122" i="11" s="1"/>
  <c r="H123" i="11" s="1"/>
  <c r="H358" i="6"/>
  <c r="H359" i="6" s="1"/>
  <c r="F80" i="64"/>
  <c r="F455" i="18"/>
  <c r="F119" i="11"/>
  <c r="F122" i="11" s="1"/>
  <c r="F123" i="11" s="1"/>
  <c r="F358" i="6"/>
  <c r="F359" i="6" s="1"/>
  <c r="F446" i="6" l="1"/>
  <c r="F620" i="18" s="1"/>
  <c r="F191" i="6"/>
  <c r="F442" i="18" s="1"/>
  <c r="E55" i="6"/>
  <c r="G55" i="6"/>
  <c r="G191" i="6"/>
  <c r="G442" i="18" s="1"/>
  <c r="G446" i="6"/>
  <c r="E191" i="6"/>
  <c r="E446" i="6"/>
  <c r="H461" i="6"/>
  <c r="H206" i="6"/>
  <c r="H55" i="6"/>
  <c r="I446" i="6"/>
  <c r="I620" i="18" s="1"/>
  <c r="I191" i="6"/>
  <c r="I442" i="18" s="1"/>
  <c r="K198" i="6"/>
  <c r="K453" i="6"/>
  <c r="H650" i="6"/>
  <c r="H365" i="12" s="1"/>
  <c r="H368" i="12" s="1"/>
  <c r="H826" i="18"/>
  <c r="H829" i="18" s="1"/>
  <c r="K589" i="6"/>
  <c r="E592" i="6"/>
  <c r="H458" i="18"/>
  <c r="H459" i="18" s="1"/>
  <c r="H84" i="64"/>
  <c r="H360" i="6"/>
  <c r="H277" i="12" s="1"/>
  <c r="H280" i="12" s="1"/>
  <c r="I104" i="6"/>
  <c r="I105" i="6" s="1"/>
  <c r="I106" i="6" s="1"/>
  <c r="F222" i="64"/>
  <c r="F225" i="64" s="1"/>
  <c r="F826" i="18"/>
  <c r="F829" i="18" s="1"/>
  <c r="F650" i="6"/>
  <c r="F365" i="12" s="1"/>
  <c r="F368" i="12" s="1"/>
  <c r="M39" i="45"/>
  <c r="M48" i="45" s="1"/>
  <c r="M59" i="45" s="1"/>
  <c r="M62" i="45" s="1"/>
  <c r="O36" i="45"/>
  <c r="O39" i="45" s="1"/>
  <c r="O48" i="45" s="1"/>
  <c r="O59" i="45" s="1"/>
  <c r="K185" i="6"/>
  <c r="I80" i="64"/>
  <c r="I358" i="6"/>
  <c r="I359" i="6" s="1"/>
  <c r="I455" i="18"/>
  <c r="I119" i="11"/>
  <c r="I122" i="11" s="1"/>
  <c r="I123" i="11" s="1"/>
  <c r="G455" i="18"/>
  <c r="G119" i="11"/>
  <c r="G122" i="11" s="1"/>
  <c r="G123" i="11" s="1"/>
  <c r="G80" i="64"/>
  <c r="G358" i="6"/>
  <c r="G359" i="6" s="1"/>
  <c r="G620" i="18"/>
  <c r="G104" i="6"/>
  <c r="G461" i="6" s="1"/>
  <c r="K440" i="6"/>
  <c r="K334" i="6"/>
  <c r="E640" i="6"/>
  <c r="E337" i="6"/>
  <c r="F104" i="6"/>
  <c r="F105" i="6" s="1"/>
  <c r="F106" i="6" s="1"/>
  <c r="I55" i="6"/>
  <c r="K345" i="6"/>
  <c r="E350" i="6"/>
  <c r="M38" i="36"/>
  <c r="M48" i="36" s="1"/>
  <c r="M68" i="36" s="1"/>
  <c r="M71" i="36" s="1"/>
  <c r="M81" i="36" s="1"/>
  <c r="O35" i="36"/>
  <c r="O38" i="36" s="1"/>
  <c r="O48" i="36" s="1"/>
  <c r="F55" i="6"/>
  <c r="K54" i="6"/>
  <c r="F84" i="64"/>
  <c r="F360" i="6"/>
  <c r="F277" i="12" s="1"/>
  <c r="F280" i="12" s="1"/>
  <c r="F458" i="18"/>
  <c r="F459" i="18" s="1"/>
  <c r="K600" i="6"/>
  <c r="E605" i="6"/>
  <c r="K89" i="6"/>
  <c r="E104" i="6"/>
  <c r="E461" i="6" s="1"/>
  <c r="I826" i="18"/>
  <c r="I829" i="18" s="1"/>
  <c r="I650" i="6"/>
  <c r="I365" i="12" s="1"/>
  <c r="I368" i="12" s="1"/>
  <c r="I222" i="64"/>
  <c r="I225" i="64" s="1"/>
  <c r="G826" i="18"/>
  <c r="G829" i="18" s="1"/>
  <c r="G222" i="64"/>
  <c r="G225" i="64" s="1"/>
  <c r="G650" i="6"/>
  <c r="G365" i="12" s="1"/>
  <c r="G368" i="12" s="1"/>
  <c r="O36" i="43"/>
  <c r="O39" i="43" s="1"/>
  <c r="O48" i="43" s="1"/>
  <c r="O59" i="43" s="1"/>
  <c r="O62" i="43" s="1"/>
  <c r="O63" i="43" s="1"/>
  <c r="M39" i="43"/>
  <c r="M48" i="43" s="1"/>
  <c r="M59" i="43" s="1"/>
  <c r="M62" i="43" s="1"/>
  <c r="G206" i="6" l="1"/>
  <c r="F56" i="6"/>
  <c r="F462" i="6"/>
  <c r="F623" i="18" s="1"/>
  <c r="F207" i="6"/>
  <c r="E206" i="6"/>
  <c r="E56" i="6"/>
  <c r="I56" i="6"/>
  <c r="I462" i="6"/>
  <c r="I623" i="18" s="1"/>
  <c r="I207" i="6"/>
  <c r="F461" i="6"/>
  <c r="G56" i="6"/>
  <c r="I461" i="6"/>
  <c r="I206" i="6"/>
  <c r="H56" i="6"/>
  <c r="H207" i="6"/>
  <c r="H445" i="18" s="1"/>
  <c r="H462" i="6"/>
  <c r="H623" i="18" s="1"/>
  <c r="F206" i="6"/>
  <c r="H127" i="11"/>
  <c r="H668" i="6"/>
  <c r="H636" i="19"/>
  <c r="H763" i="6"/>
  <c r="H146" i="18" s="1"/>
  <c r="H100" i="11"/>
  <c r="H689" i="6"/>
  <c r="H92" i="2" s="1"/>
  <c r="H774" i="6" s="1"/>
  <c r="H158" i="18" s="1"/>
  <c r="E138" i="64"/>
  <c r="K138" i="64" s="1"/>
  <c r="K605" i="6"/>
  <c r="K640" i="6"/>
  <c r="E643" i="6"/>
  <c r="K446" i="6"/>
  <c r="E620" i="18"/>
  <c r="K620" i="18" s="1"/>
  <c r="O68" i="36"/>
  <c r="I84" i="64"/>
  <c r="I458" i="18"/>
  <c r="I459" i="18" s="1"/>
  <c r="I360" i="6"/>
  <c r="I277" i="12" s="1"/>
  <c r="I280" i="12" s="1"/>
  <c r="F100" i="11"/>
  <c r="F636" i="19"/>
  <c r="F127" i="11"/>
  <c r="F668" i="6"/>
  <c r="F689" i="6"/>
  <c r="F92" i="2" s="1"/>
  <c r="F763" i="6"/>
  <c r="E105" i="6"/>
  <c r="E106" i="6" s="1"/>
  <c r="K104" i="6"/>
  <c r="G84" i="64"/>
  <c r="G458" i="18"/>
  <c r="G459" i="18" s="1"/>
  <c r="G360" i="6"/>
  <c r="G277" i="12" s="1"/>
  <c r="G280" i="12" s="1"/>
  <c r="G636" i="19"/>
  <c r="G100" i="11"/>
  <c r="G127" i="11"/>
  <c r="G689" i="6"/>
  <c r="G92" i="2" s="1"/>
  <c r="G763" i="6"/>
  <c r="G668" i="6"/>
  <c r="I100" i="11"/>
  <c r="I636" i="19"/>
  <c r="I127" i="11"/>
  <c r="I763" i="6"/>
  <c r="I689" i="6"/>
  <c r="I92" i="2" s="1"/>
  <c r="I668" i="6"/>
  <c r="K191" i="6"/>
  <c r="E442" i="18"/>
  <c r="K442" i="18" s="1"/>
  <c r="F85" i="64"/>
  <c r="K55" i="6"/>
  <c r="E81" i="64"/>
  <c r="K81" i="64" s="1"/>
  <c r="K350" i="6"/>
  <c r="K337" i="6"/>
  <c r="E343" i="6"/>
  <c r="G105" i="6"/>
  <c r="G106" i="6" s="1"/>
  <c r="K592" i="6"/>
  <c r="E598" i="6"/>
  <c r="H85" i="64"/>
  <c r="K56" i="6" l="1"/>
  <c r="E207" i="6"/>
  <c r="G462" i="6"/>
  <c r="G623" i="18" s="1"/>
  <c r="E462" i="6"/>
  <c r="G207" i="6"/>
  <c r="H446" i="11"/>
  <c r="H858" i="18"/>
  <c r="H255" i="64"/>
  <c r="H705" i="6"/>
  <c r="H210" i="11" s="1"/>
  <c r="K206" i="6"/>
  <c r="K598" i="6"/>
  <c r="E633" i="18"/>
  <c r="K633" i="18" s="1"/>
  <c r="E111" i="11"/>
  <c r="E137" i="64"/>
  <c r="K137" i="64" s="1"/>
  <c r="E613" i="6"/>
  <c r="K343" i="6"/>
  <c r="E80" i="64"/>
  <c r="K80" i="64" s="1"/>
  <c r="E119" i="11"/>
  <c r="E122" i="11" s="1"/>
  <c r="E123" i="11" s="1"/>
  <c r="E358" i="6"/>
  <c r="E455" i="18"/>
  <c r="K455" i="18" s="1"/>
  <c r="K461" i="6"/>
  <c r="F446" i="11"/>
  <c r="F146" i="18"/>
  <c r="I445" i="18"/>
  <c r="G146" i="18"/>
  <c r="G446" i="11"/>
  <c r="F705" i="6"/>
  <c r="F255" i="64"/>
  <c r="F774" i="6"/>
  <c r="F158" i="18" s="1"/>
  <c r="F858" i="18"/>
  <c r="I774" i="6"/>
  <c r="I158" i="18" s="1"/>
  <c r="I705" i="6"/>
  <c r="I255" i="64"/>
  <c r="I858" i="18"/>
  <c r="G774" i="6"/>
  <c r="G158" i="18" s="1"/>
  <c r="G858" i="18"/>
  <c r="G705" i="6"/>
  <c r="G255" i="64"/>
  <c r="K643" i="6"/>
  <c r="E826" i="18"/>
  <c r="E222" i="64"/>
  <c r="E650" i="6"/>
  <c r="E365" i="12" s="1"/>
  <c r="E368" i="12" s="1"/>
  <c r="F445" i="18"/>
  <c r="I146" i="18"/>
  <c r="I446" i="11"/>
  <c r="G85" i="64"/>
  <c r="K105" i="6"/>
  <c r="K106" i="6"/>
  <c r="I85" i="64"/>
  <c r="E100" i="11" l="1"/>
  <c r="P8" i="38"/>
  <c r="K650" i="6"/>
  <c r="E127" i="11"/>
  <c r="E636" i="19"/>
  <c r="K636" i="19" s="1"/>
  <c r="F20" i="46"/>
  <c r="F16" i="46" s="1"/>
  <c r="E763" i="6"/>
  <c r="E689" i="6"/>
  <c r="E668" i="6"/>
  <c r="I210" i="11"/>
  <c r="K222" i="64"/>
  <c r="E225" i="64"/>
  <c r="K358" i="6"/>
  <c r="E359" i="6"/>
  <c r="K613" i="6"/>
  <c r="E623" i="18"/>
  <c r="K623" i="18" s="1"/>
  <c r="K462" i="6"/>
  <c r="K826" i="18"/>
  <c r="E829" i="18"/>
  <c r="G210" i="11"/>
  <c r="F210" i="11"/>
  <c r="K207" i="6"/>
  <c r="E445" i="18"/>
  <c r="G445" i="18"/>
  <c r="K225" i="64" l="1"/>
  <c r="K668" i="6"/>
  <c r="K689" i="6"/>
  <c r="E92" i="2"/>
  <c r="K445" i="18"/>
  <c r="K829" i="18"/>
  <c r="E360" i="6"/>
  <c r="E277" i="12" s="1"/>
  <c r="E280" i="12" s="1"/>
  <c r="K359" i="6"/>
  <c r="E84" i="64"/>
  <c r="K84" i="64" s="1"/>
  <c r="E458" i="18"/>
  <c r="E446" i="11"/>
  <c r="K763" i="6"/>
  <c r="E146" i="18"/>
  <c r="K146" i="18" s="1"/>
  <c r="E186" i="5" l="1"/>
  <c r="E183" i="5"/>
  <c r="E22" i="5"/>
  <c r="E85" i="64"/>
  <c r="K85" i="64" s="1"/>
  <c r="K360" i="6"/>
  <c r="P20" i="38"/>
  <c r="E774" i="6"/>
  <c r="E705" i="6"/>
  <c r="E858" i="18"/>
  <c r="I20" i="46"/>
  <c r="D92" i="1"/>
  <c r="E255" i="64"/>
  <c r="P9" i="14"/>
  <c r="K458" i="18"/>
  <c r="E459" i="18"/>
  <c r="K459" i="18" s="1"/>
  <c r="P7" i="57" l="1"/>
  <c r="L22" i="5"/>
  <c r="K255" i="64"/>
  <c r="G17" i="15"/>
  <c r="E210" i="11"/>
  <c r="K705" i="6"/>
  <c r="E158" i="18"/>
  <c r="K158" i="18" s="1"/>
  <c r="K774" i="6"/>
  <c r="K858" i="18"/>
  <c r="I622" i="19" l="1"/>
  <c r="I66" i="26"/>
  <c r="E66" i="26"/>
  <c r="K734" i="19"/>
  <c r="H66" i="26"/>
  <c r="H622" i="19"/>
  <c r="G622" i="19"/>
  <c r="G66" i="26"/>
  <c r="F622" i="19"/>
  <c r="F66" i="26"/>
  <c r="E622" i="19"/>
  <c r="K622" i="19" l="1"/>
  <c r="I109" i="64"/>
  <c r="I300" i="11"/>
  <c r="K741" i="19"/>
  <c r="E300" i="11"/>
  <c r="F109" i="64"/>
  <c r="F300" i="11"/>
  <c r="G109" i="64"/>
  <c r="G300" i="11"/>
  <c r="H109" i="64"/>
  <c r="H300" i="11"/>
  <c r="H503" i="18"/>
  <c r="I318" i="11"/>
  <c r="I319" i="11" s="1"/>
  <c r="F318" i="11"/>
  <c r="F319" i="11" s="1"/>
  <c r="G318" i="11"/>
  <c r="G319" i="11" s="1"/>
  <c r="H318" i="11"/>
  <c r="H319" i="11" s="1"/>
  <c r="F226" i="2"/>
  <c r="F127" i="18" s="1"/>
  <c r="E109" i="64"/>
  <c r="G503" i="18"/>
  <c r="E318" i="11"/>
  <c r="E319" i="11" s="1"/>
  <c r="I226" i="2"/>
  <c r="I127" i="18" s="1"/>
  <c r="E226" i="2"/>
  <c r="I20" i="60" s="1"/>
  <c r="F503" i="18"/>
  <c r="G226" i="2"/>
  <c r="G127" i="18" s="1"/>
  <c r="I503" i="18"/>
  <c r="F27" i="27"/>
  <c r="F30" i="27" s="1"/>
  <c r="F31" i="27" s="1"/>
  <c r="E503" i="18"/>
  <c r="E512" i="18" s="1"/>
  <c r="G27" i="27"/>
  <c r="G30" i="27" s="1"/>
  <c r="G31" i="27" s="1"/>
  <c r="H27" i="27"/>
  <c r="H30" i="27" s="1"/>
  <c r="H31" i="27" s="1"/>
  <c r="I27" i="27"/>
  <c r="I30" i="27" s="1"/>
  <c r="I31" i="27" s="1"/>
  <c r="H226" i="2"/>
  <c r="H127" i="18" s="1"/>
  <c r="E27" i="27"/>
  <c r="E30" i="27" s="1"/>
  <c r="E31" i="27" s="1"/>
  <c r="F466" i="6"/>
  <c r="F568" i="6" s="1"/>
  <c r="F619" i="6" s="1"/>
  <c r="G466" i="6"/>
  <c r="G568" i="6" s="1"/>
  <c r="G7" i="2" s="1"/>
  <c r="G8" i="2" s="1"/>
  <c r="I466" i="6"/>
  <c r="I568" i="6" s="1"/>
  <c r="I619" i="6" s="1"/>
  <c r="H466" i="6"/>
  <c r="H468" i="6" s="1"/>
  <c r="H325" i="12" s="1"/>
  <c r="H328" i="12" s="1"/>
  <c r="E466" i="6"/>
  <c r="E568" i="6" l="1"/>
  <c r="E619" i="6" s="1"/>
  <c r="H59" i="57" s="1"/>
  <c r="E189" i="5"/>
  <c r="I510" i="18"/>
  <c r="I512" i="18"/>
  <c r="H510" i="18"/>
  <c r="H512" i="18"/>
  <c r="F510" i="18"/>
  <c r="F512" i="18"/>
  <c r="G510" i="18"/>
  <c r="G512" i="18"/>
  <c r="E468" i="6"/>
  <c r="E325" i="12" s="1"/>
  <c r="E328" i="12" s="1"/>
  <c r="I33" i="60"/>
  <c r="I34" i="60" s="1"/>
  <c r="I30" i="60"/>
  <c r="K109" i="64"/>
  <c r="H568" i="6"/>
  <c r="H627" i="18" s="1"/>
  <c r="K503" i="18"/>
  <c r="E510" i="18"/>
  <c r="G851" i="18"/>
  <c r="G193" i="11"/>
  <c r="G248" i="64"/>
  <c r="G701" i="6"/>
  <c r="F251" i="11"/>
  <c r="F252" i="11" s="1"/>
  <c r="F142" i="18"/>
  <c r="F158" i="2"/>
  <c r="F813" i="18"/>
  <c r="F621" i="6"/>
  <c r="F309" i="12" s="1"/>
  <c r="F312" i="12" s="1"/>
  <c r="F487" i="12" s="1"/>
  <c r="F209" i="64"/>
  <c r="F211" i="64" s="1"/>
  <c r="I131" i="64"/>
  <c r="I627" i="18"/>
  <c r="I681" i="18"/>
  <c r="I157" i="2"/>
  <c r="I177" i="64"/>
  <c r="I7" i="2"/>
  <c r="I8" i="2" s="1"/>
  <c r="I570" i="6"/>
  <c r="I301" i="12" s="1"/>
  <c r="I304" i="12" s="1"/>
  <c r="G627" i="18"/>
  <c r="G157" i="2"/>
  <c r="G131" i="64"/>
  <c r="G177" i="64"/>
  <c r="G681" i="18"/>
  <c r="G570" i="6"/>
  <c r="G301" i="12" s="1"/>
  <c r="G304" i="12" s="1"/>
  <c r="G619" i="6"/>
  <c r="G278" i="64" s="1"/>
  <c r="G279" i="64" s="1"/>
  <c r="F627" i="18"/>
  <c r="F177" i="64"/>
  <c r="F681" i="18"/>
  <c r="F157" i="2"/>
  <c r="F131" i="64"/>
  <c r="F7" i="2"/>
  <c r="F8" i="2" s="1"/>
  <c r="F570" i="6"/>
  <c r="F301" i="12" s="1"/>
  <c r="F304" i="12" s="1"/>
  <c r="E177" i="64"/>
  <c r="I813" i="18"/>
  <c r="I142" i="18"/>
  <c r="I158" i="2"/>
  <c r="I251" i="11"/>
  <c r="I252" i="11" s="1"/>
  <c r="I209" i="64"/>
  <c r="I211" i="64" s="1"/>
  <c r="I621" i="6"/>
  <c r="I309" i="12" s="1"/>
  <c r="I312" i="12" s="1"/>
  <c r="I487" i="12" s="1"/>
  <c r="H21" i="11"/>
  <c r="H590" i="18"/>
  <c r="H32" i="11"/>
  <c r="H58" i="11"/>
  <c r="H59" i="11" s="1"/>
  <c r="H481" i="6"/>
  <c r="H230" i="2"/>
  <c r="H129" i="18" s="1"/>
  <c r="I22" i="60"/>
  <c r="E228" i="2"/>
  <c r="E588" i="18"/>
  <c r="I23" i="60"/>
  <c r="K466" i="6"/>
  <c r="E9" i="31"/>
  <c r="C9" i="31" s="1"/>
  <c r="E327" i="11"/>
  <c r="I9" i="45"/>
  <c r="H228" i="2"/>
  <c r="H128" i="18" s="1"/>
  <c r="H588" i="18"/>
  <c r="H327" i="11"/>
  <c r="H328" i="11" s="1"/>
  <c r="G228" i="2"/>
  <c r="G128" i="18" s="1"/>
  <c r="G588" i="18"/>
  <c r="G327" i="11"/>
  <c r="G468" i="6"/>
  <c r="G325" i="12" s="1"/>
  <c r="G328" i="12" s="1"/>
  <c r="I228" i="2"/>
  <c r="I128" i="18" s="1"/>
  <c r="I588" i="18"/>
  <c r="I327" i="11"/>
  <c r="I468" i="6"/>
  <c r="I325" i="12" s="1"/>
  <c r="I328" i="12" s="1"/>
  <c r="F588" i="18"/>
  <c r="F327" i="11"/>
  <c r="F228" i="2"/>
  <c r="F128" i="18" s="1"/>
  <c r="F468" i="6"/>
  <c r="F325" i="12" s="1"/>
  <c r="F328" i="12" s="1"/>
  <c r="I9" i="36"/>
  <c r="D32" i="27"/>
  <c r="J32" i="27"/>
  <c r="E127" i="18"/>
  <c r="K127" i="18" s="1"/>
  <c r="I493" i="12" l="1"/>
  <c r="I495" i="12"/>
  <c r="I494" i="12"/>
  <c r="F494" i="12"/>
  <c r="F493" i="12"/>
  <c r="F495" i="12"/>
  <c r="E157" i="2"/>
  <c r="D157" i="1" s="1"/>
  <c r="E627" i="18"/>
  <c r="K627" i="18" s="1"/>
  <c r="G42" i="60"/>
  <c r="E142" i="18"/>
  <c r="E7" i="2"/>
  <c r="E8" i="2" s="1"/>
  <c r="E681" i="18"/>
  <c r="E570" i="6"/>
  <c r="E301" i="12" s="1"/>
  <c r="E304" i="12" s="1"/>
  <c r="E131" i="64"/>
  <c r="E158" i="2"/>
  <c r="D158" i="1" s="1"/>
  <c r="E621" i="6"/>
  <c r="N59" i="57"/>
  <c r="E209" i="64"/>
  <c r="E211" i="64" s="1"/>
  <c r="E251" i="11"/>
  <c r="E252" i="11" s="1"/>
  <c r="N59" i="60"/>
  <c r="K59" i="60"/>
  <c r="K59" i="57"/>
  <c r="E813" i="18"/>
  <c r="H59" i="60"/>
  <c r="E21" i="11"/>
  <c r="K512" i="18"/>
  <c r="K510" i="18"/>
  <c r="C20" i="46"/>
  <c r="E58" i="11"/>
  <c r="E59" i="11" s="1"/>
  <c r="G8" i="38"/>
  <c r="H177" i="64"/>
  <c r="K177" i="64" s="1"/>
  <c r="H157" i="2"/>
  <c r="H7" i="2"/>
  <c r="H8" i="2" s="1"/>
  <c r="H701" i="6" s="1"/>
  <c r="H131" i="64"/>
  <c r="K468" i="6"/>
  <c r="E328" i="11"/>
  <c r="E230" i="2"/>
  <c r="D230" i="1" s="1"/>
  <c r="H570" i="6"/>
  <c r="H301" i="12" s="1"/>
  <c r="H304" i="12" s="1"/>
  <c r="H681" i="18"/>
  <c r="K568" i="6"/>
  <c r="E590" i="18"/>
  <c r="E32" i="11"/>
  <c r="H619" i="6"/>
  <c r="H158" i="2" s="1"/>
  <c r="E481" i="6"/>
  <c r="E592" i="18" s="1"/>
  <c r="H32" i="27"/>
  <c r="H175" i="27" s="1"/>
  <c r="I328" i="11"/>
  <c r="G328" i="11"/>
  <c r="I36" i="60"/>
  <c r="E32" i="27"/>
  <c r="E175" i="27" s="1"/>
  <c r="F32" i="27"/>
  <c r="F175" i="27" s="1"/>
  <c r="I32" i="27"/>
  <c r="I175" i="27" s="1"/>
  <c r="G32" i="27"/>
  <c r="G175" i="27" s="1"/>
  <c r="H54" i="18"/>
  <c r="H546" i="11" s="1"/>
  <c r="H53" i="18"/>
  <c r="H545" i="11" s="1"/>
  <c r="F851" i="18"/>
  <c r="F248" i="64"/>
  <c r="F193" i="11"/>
  <c r="F278" i="64"/>
  <c r="F279" i="64" s="1"/>
  <c r="F881" i="18"/>
  <c r="F882" i="18" s="1"/>
  <c r="F701" i="6"/>
  <c r="F226" i="64"/>
  <c r="F229" i="64"/>
  <c r="F218" i="64"/>
  <c r="F328" i="11"/>
  <c r="D9" i="31"/>
  <c r="B9" i="31"/>
  <c r="H592" i="18"/>
  <c r="H593" i="18" s="1"/>
  <c r="H513" i="6"/>
  <c r="H597" i="18" s="1"/>
  <c r="H598" i="18" s="1"/>
  <c r="I160" i="2"/>
  <c r="I629" i="18"/>
  <c r="I114" i="11"/>
  <c r="I115" i="11" s="1"/>
  <c r="I51" i="18"/>
  <c r="I542" i="11" s="1"/>
  <c r="I133" i="64"/>
  <c r="I117" i="18"/>
  <c r="I583" i="6"/>
  <c r="F458" i="11"/>
  <c r="F107" i="11"/>
  <c r="F161" i="2"/>
  <c r="F459" i="11"/>
  <c r="F9" i="64"/>
  <c r="F8" i="64"/>
  <c r="F815" i="18"/>
  <c r="F63" i="18"/>
  <c r="F50" i="18"/>
  <c r="F541" i="11" s="1"/>
  <c r="F130" i="11"/>
  <c r="F131" i="11" s="1"/>
  <c r="F19" i="18"/>
  <c r="F634" i="6"/>
  <c r="F761" i="6"/>
  <c r="I10" i="45"/>
  <c r="I14" i="45"/>
  <c r="I26" i="45" s="1"/>
  <c r="O9" i="45"/>
  <c r="O14" i="45" s="1"/>
  <c r="K588" i="18"/>
  <c r="I161" i="2"/>
  <c r="I8" i="64"/>
  <c r="I459" i="11"/>
  <c r="I63" i="18"/>
  <c r="I107" i="11"/>
  <c r="I458" i="11"/>
  <c r="I130" i="11"/>
  <c r="I131" i="11" s="1"/>
  <c r="I50" i="18"/>
  <c r="I541" i="11" s="1"/>
  <c r="I815" i="18"/>
  <c r="I19" i="18"/>
  <c r="I9" i="64"/>
  <c r="I634" i="6"/>
  <c r="I761" i="6"/>
  <c r="G158" i="2"/>
  <c r="G251" i="11"/>
  <c r="G252" i="11" s="1"/>
  <c r="G813" i="18"/>
  <c r="G142" i="18"/>
  <c r="G621" i="6"/>
  <c r="G309" i="12" s="1"/>
  <c r="G312" i="12" s="1"/>
  <c r="G487" i="12" s="1"/>
  <c r="G209" i="64"/>
  <c r="G211" i="64" s="1"/>
  <c r="I193" i="11"/>
  <c r="I851" i="18"/>
  <c r="I278" i="64"/>
  <c r="I279" i="64" s="1"/>
  <c r="I248" i="64"/>
  <c r="I881" i="18"/>
  <c r="I882" i="18" s="1"/>
  <c r="I701" i="6"/>
  <c r="I10" i="36"/>
  <c r="I14" i="36"/>
  <c r="O9" i="36"/>
  <c r="O14" i="36" s="1"/>
  <c r="L30" i="27"/>
  <c r="M30" i="27" s="1"/>
  <c r="L33" i="27"/>
  <c r="M33" i="27" s="1"/>
  <c r="L29" i="27"/>
  <c r="M29" i="27" s="1"/>
  <c r="L31" i="27"/>
  <c r="M31" i="27" s="1"/>
  <c r="L27" i="27"/>
  <c r="M27" i="27" s="1"/>
  <c r="L28" i="27"/>
  <c r="M28" i="27" s="1"/>
  <c r="L32" i="27"/>
  <c r="M32" i="27" s="1"/>
  <c r="F21" i="11"/>
  <c r="F230" i="2"/>
  <c r="F129" i="18" s="1"/>
  <c r="F32" i="11"/>
  <c r="F590" i="18"/>
  <c r="F58" i="11"/>
  <c r="F59" i="11" s="1"/>
  <c r="F481" i="6"/>
  <c r="I590" i="18"/>
  <c r="I230" i="2"/>
  <c r="I129" i="18" s="1"/>
  <c r="I32" i="11"/>
  <c r="I21" i="11"/>
  <c r="I58" i="11"/>
  <c r="I59" i="11" s="1"/>
  <c r="I481" i="6"/>
  <c r="G590" i="18"/>
  <c r="G230" i="2"/>
  <c r="G129" i="18" s="1"/>
  <c r="G32" i="11"/>
  <c r="G21" i="11"/>
  <c r="G58" i="11"/>
  <c r="G59" i="11" s="1"/>
  <c r="G481" i="6"/>
  <c r="E128" i="18"/>
  <c r="K128" i="18" s="1"/>
  <c r="D228" i="1"/>
  <c r="I229" i="64"/>
  <c r="I218" i="64"/>
  <c r="I226" i="64"/>
  <c r="F160" i="2"/>
  <c r="F117" i="18"/>
  <c r="F133" i="64"/>
  <c r="F114" i="11"/>
  <c r="F115" i="11" s="1"/>
  <c r="F629" i="18"/>
  <c r="F51" i="18"/>
  <c r="F542" i="11" s="1"/>
  <c r="F583" i="6"/>
  <c r="G629" i="18"/>
  <c r="G133" i="64"/>
  <c r="G114" i="11"/>
  <c r="G115" i="11" s="1"/>
  <c r="G117" i="18"/>
  <c r="G160" i="2"/>
  <c r="G583" i="6"/>
  <c r="G208" i="11"/>
  <c r="G708" i="6"/>
  <c r="G881" i="18"/>
  <c r="G882" i="18" s="1"/>
  <c r="G493" i="12" l="1"/>
  <c r="G495" i="12"/>
  <c r="G494" i="12"/>
  <c r="C16" i="46"/>
  <c r="D12" i="46" s="1"/>
  <c r="Y11" i="46" s="1"/>
  <c r="E161" i="2"/>
  <c r="D161" i="1" s="1"/>
  <c r="E309" i="12"/>
  <c r="E312" i="12" s="1"/>
  <c r="E487" i="12" s="1"/>
  <c r="K131" i="64"/>
  <c r="N64" i="55"/>
  <c r="E458" i="11"/>
  <c r="G11" i="14"/>
  <c r="E815" i="18"/>
  <c r="E822" i="18" s="1"/>
  <c r="E19" i="18"/>
  <c r="E33" i="11" s="1"/>
  <c r="E629" i="18"/>
  <c r="D7" i="1"/>
  <c r="E634" i="6"/>
  <c r="E883" i="18" s="1"/>
  <c r="E130" i="11"/>
  <c r="E131" i="11" s="1"/>
  <c r="E50" i="18"/>
  <c r="E541" i="11" s="1"/>
  <c r="J64" i="55"/>
  <c r="E117" i="18"/>
  <c r="E120" i="18" s="1"/>
  <c r="E9" i="64"/>
  <c r="E63" i="18"/>
  <c r="E114" i="11"/>
  <c r="E115" i="11" s="1"/>
  <c r="E761" i="6"/>
  <c r="E144" i="18" s="1"/>
  <c r="E8" i="64"/>
  <c r="E107" i="11"/>
  <c r="E459" i="11"/>
  <c r="E583" i="6"/>
  <c r="E614" i="6" s="1"/>
  <c r="E160" i="2"/>
  <c r="D160" i="1" s="1"/>
  <c r="E177" i="5"/>
  <c r="E51" i="18"/>
  <c r="E542" i="11" s="1"/>
  <c r="E133" i="64"/>
  <c r="K681" i="18"/>
  <c r="E54" i="18"/>
  <c r="E546" i="11" s="1"/>
  <c r="H629" i="18"/>
  <c r="K619" i="6"/>
  <c r="H193" i="11"/>
  <c r="H248" i="64"/>
  <c r="H851" i="18"/>
  <c r="E53" i="18"/>
  <c r="E545" i="11" s="1"/>
  <c r="H583" i="6"/>
  <c r="H133" i="64"/>
  <c r="K570" i="6"/>
  <c r="H251" i="11"/>
  <c r="H252" i="11" s="1"/>
  <c r="H117" i="18"/>
  <c r="H160" i="2"/>
  <c r="H881" i="18"/>
  <c r="H882" i="18" s="1"/>
  <c r="H209" i="64"/>
  <c r="H211" i="64" s="1"/>
  <c r="H229" i="64" s="1"/>
  <c r="H813" i="18"/>
  <c r="K813" i="18" s="1"/>
  <c r="H621" i="6"/>
  <c r="H309" i="12" s="1"/>
  <c r="H312" i="12" s="1"/>
  <c r="H487" i="12" s="1"/>
  <c r="H142" i="18"/>
  <c r="K142" i="18" s="1"/>
  <c r="H278" i="64"/>
  <c r="H279" i="64" s="1"/>
  <c r="E129" i="18"/>
  <c r="K129" i="18" s="1"/>
  <c r="E513" i="6"/>
  <c r="E597" i="18" s="1"/>
  <c r="H114" i="11"/>
  <c r="H115" i="11" s="1"/>
  <c r="E185" i="27"/>
  <c r="E186" i="27" s="1"/>
  <c r="G51" i="18"/>
  <c r="G542" i="11" s="1"/>
  <c r="K590" i="18"/>
  <c r="F185" i="27"/>
  <c r="F186" i="27" s="1"/>
  <c r="G185" i="27"/>
  <c r="G186" i="27" s="1"/>
  <c r="I185" i="27"/>
  <c r="I186" i="27" s="1"/>
  <c r="J175" i="27"/>
  <c r="H185" i="27"/>
  <c r="H186" i="27" s="1"/>
  <c r="I280" i="64"/>
  <c r="I883" i="18"/>
  <c r="I671" i="6"/>
  <c r="F219" i="64"/>
  <c r="F233" i="64"/>
  <c r="F236" i="64" s="1"/>
  <c r="E226" i="64"/>
  <c r="E229" i="64"/>
  <c r="E218" i="64"/>
  <c r="F119" i="18"/>
  <c r="F120" i="18"/>
  <c r="F23" i="11" s="1"/>
  <c r="F53" i="18"/>
  <c r="F545" i="11" s="1"/>
  <c r="F54" i="18"/>
  <c r="F546" i="11" s="1"/>
  <c r="G161" i="2"/>
  <c r="G458" i="11"/>
  <c r="G107" i="11"/>
  <c r="G63" i="18"/>
  <c r="G50" i="18"/>
  <c r="G541" i="11" s="1"/>
  <c r="G459" i="11"/>
  <c r="G130" i="11"/>
  <c r="G131" i="11" s="1"/>
  <c r="G8" i="64"/>
  <c r="G19" i="18"/>
  <c r="G9" i="64"/>
  <c r="G14" i="38"/>
  <c r="P11" i="38" s="1"/>
  <c r="M14" i="38" s="1"/>
  <c r="G815" i="18"/>
  <c r="G634" i="6"/>
  <c r="G761" i="6"/>
  <c r="O15" i="45"/>
  <c r="O26" i="45"/>
  <c r="F144" i="18"/>
  <c r="F766" i="6"/>
  <c r="F445" i="12" s="1"/>
  <c r="F448" i="12" s="1"/>
  <c r="I135" i="64"/>
  <c r="I136" i="64" s="1"/>
  <c r="I631" i="18"/>
  <c r="I632" i="18" s="1"/>
  <c r="I614" i="6"/>
  <c r="N62" i="53"/>
  <c r="E193" i="11"/>
  <c r="E851" i="18"/>
  <c r="D8" i="1"/>
  <c r="E278" i="64"/>
  <c r="E248" i="64"/>
  <c r="I16" i="46"/>
  <c r="I12" i="46" s="1"/>
  <c r="E881" i="18"/>
  <c r="E701" i="6"/>
  <c r="G54" i="18"/>
  <c r="G546" i="11" s="1"/>
  <c r="G53" i="18"/>
  <c r="G545" i="11" s="1"/>
  <c r="I49" i="36"/>
  <c r="I25" i="36"/>
  <c r="I208" i="11"/>
  <c r="I708" i="6"/>
  <c r="G226" i="64"/>
  <c r="G229" i="64"/>
  <c r="G218" i="64"/>
  <c r="I830" i="18"/>
  <c r="I833" i="18"/>
  <c r="I822" i="18"/>
  <c r="G270" i="64"/>
  <c r="G234" i="11"/>
  <c r="G873" i="18"/>
  <c r="G119" i="18"/>
  <c r="G120" i="18"/>
  <c r="G23" i="11" s="1"/>
  <c r="I219" i="64"/>
  <c r="I233" i="64"/>
  <c r="I236" i="64" s="1"/>
  <c r="I54" i="18"/>
  <c r="I546" i="11" s="1"/>
  <c r="I53" i="18"/>
  <c r="I545" i="11" s="1"/>
  <c r="F592" i="18"/>
  <c r="F593" i="18" s="1"/>
  <c r="F513" i="6"/>
  <c r="F597" i="18" s="1"/>
  <c r="F598" i="18" s="1"/>
  <c r="E593" i="18"/>
  <c r="I33" i="11"/>
  <c r="I27" i="45"/>
  <c r="K71" i="60"/>
  <c r="I62" i="45"/>
  <c r="F280" i="64"/>
  <c r="F883" i="18"/>
  <c r="F671" i="6"/>
  <c r="F830" i="18"/>
  <c r="F833" i="18"/>
  <c r="F822" i="18"/>
  <c r="I119" i="18"/>
  <c r="I120" i="18"/>
  <c r="I23" i="11" s="1"/>
  <c r="H208" i="11"/>
  <c r="H708" i="6"/>
  <c r="F20" i="18" a="1"/>
  <c r="F20" i="18" s="1"/>
  <c r="G135" i="64"/>
  <c r="G136" i="64" s="1"/>
  <c r="G631" i="18"/>
  <c r="G632" i="18" s="1"/>
  <c r="G614" i="6"/>
  <c r="F135" i="64"/>
  <c r="F136" i="64" s="1"/>
  <c r="F631" i="18"/>
  <c r="F632" i="18" s="1"/>
  <c r="F614" i="6"/>
  <c r="G513" i="6"/>
  <c r="G597" i="18" s="1"/>
  <c r="G598" i="18" s="1"/>
  <c r="G592" i="18"/>
  <c r="G593" i="18" s="1"/>
  <c r="I592" i="18"/>
  <c r="I593" i="18" s="1"/>
  <c r="I513" i="6"/>
  <c r="I597" i="18" s="1"/>
  <c r="I598" i="18" s="1"/>
  <c r="O49" i="36"/>
  <c r="O25" i="36"/>
  <c r="K481" i="6"/>
  <c r="I144" i="18"/>
  <c r="I766" i="6"/>
  <c r="I445" i="12" s="1"/>
  <c r="I448" i="12" s="1"/>
  <c r="I20" i="18" a="1"/>
  <c r="I20" i="18" s="1"/>
  <c r="F33" i="11"/>
  <c r="F208" i="11"/>
  <c r="F708" i="6"/>
  <c r="E766" i="6" l="1"/>
  <c r="E445" i="12" s="1"/>
  <c r="E448" i="12" s="1"/>
  <c r="H493" i="12"/>
  <c r="H494" i="12"/>
  <c r="H495" i="12"/>
  <c r="E495" i="12"/>
  <c r="E493" i="12"/>
  <c r="E20" i="18" s="1" a="1"/>
  <c r="E20" i="18" s="1"/>
  <c r="E7" i="11" s="1"/>
  <c r="E494" i="12"/>
  <c r="E833" i="18"/>
  <c r="E830" i="18"/>
  <c r="N63" i="53"/>
  <c r="E135" i="64"/>
  <c r="E136" i="64" s="1"/>
  <c r="E671" i="6"/>
  <c r="N64" i="53" s="1"/>
  <c r="E119" i="18"/>
  <c r="K117" i="18"/>
  <c r="E280" i="64"/>
  <c r="E631" i="18"/>
  <c r="E632" i="18" s="1"/>
  <c r="K583" i="6"/>
  <c r="K629" i="18"/>
  <c r="K133" i="64"/>
  <c r="K248" i="64"/>
  <c r="K851" i="18"/>
  <c r="H51" i="18"/>
  <c r="H542" i="11" s="1"/>
  <c r="K881" i="18"/>
  <c r="H631" i="18"/>
  <c r="H632" i="18" s="1"/>
  <c r="H135" i="64"/>
  <c r="H136" i="64" s="1"/>
  <c r="H119" i="18"/>
  <c r="H815" i="18"/>
  <c r="K815" i="18" s="1"/>
  <c r="H614" i="6"/>
  <c r="H615" i="6" s="1"/>
  <c r="H285" i="12" s="1"/>
  <c r="H288" i="12" s="1"/>
  <c r="H50" i="18"/>
  <c r="H541" i="11" s="1"/>
  <c r="H19" i="18"/>
  <c r="H634" i="6"/>
  <c r="K634" i="6" s="1"/>
  <c r="H63" i="18"/>
  <c r="H120" i="18"/>
  <c r="H23" i="11" s="1"/>
  <c r="K278" i="64"/>
  <c r="H107" i="11"/>
  <c r="H130" i="11"/>
  <c r="H131" i="11" s="1"/>
  <c r="H458" i="11"/>
  <c r="H8" i="64"/>
  <c r="H761" i="6"/>
  <c r="H144" i="18" s="1"/>
  <c r="H9" i="64"/>
  <c r="H10" i="64" s="1"/>
  <c r="H459" i="11"/>
  <c r="H161" i="2"/>
  <c r="K621" i="6"/>
  <c r="H226" i="64"/>
  <c r="K209" i="64"/>
  <c r="K211" i="64"/>
  <c r="H218" i="64"/>
  <c r="H233" i="64" s="1"/>
  <c r="H236" i="64" s="1"/>
  <c r="E279" i="64"/>
  <c r="K279" i="64" s="1"/>
  <c r="J185" i="27"/>
  <c r="J186" i="27" s="1"/>
  <c r="G188" i="27"/>
  <c r="G190" i="27" s="1"/>
  <c r="H188" i="27"/>
  <c r="H190" i="27" s="1"/>
  <c r="K592" i="18"/>
  <c r="I7" i="11"/>
  <c r="E823" i="18"/>
  <c r="E837" i="18"/>
  <c r="F281" i="64"/>
  <c r="F672" i="6"/>
  <c r="F269" i="12" s="1"/>
  <c r="F272" i="12" s="1"/>
  <c r="F884" i="18"/>
  <c r="F634" i="19"/>
  <c r="F729" i="6"/>
  <c r="F678" i="6"/>
  <c r="G219" i="64"/>
  <c r="G233" i="64"/>
  <c r="G236" i="64" s="1"/>
  <c r="K701" i="6"/>
  <c r="E208" i="11"/>
  <c r="E708" i="6"/>
  <c r="G13" i="15"/>
  <c r="H19" i="15" s="1"/>
  <c r="F453" i="11"/>
  <c r="F149" i="18"/>
  <c r="F767" i="6"/>
  <c r="F217" i="11" s="1"/>
  <c r="F449" i="11"/>
  <c r="F450" i="11" s="1"/>
  <c r="E187" i="27"/>
  <c r="E188" i="27"/>
  <c r="E190" i="27" s="1"/>
  <c r="I453" i="11"/>
  <c r="I449" i="11"/>
  <c r="I450" i="11" s="1"/>
  <c r="I149" i="18"/>
  <c r="I767" i="6"/>
  <c r="I217" i="11" s="1"/>
  <c r="G636" i="18"/>
  <c r="G637" i="18" s="1"/>
  <c r="G615" i="6"/>
  <c r="G285" i="12" s="1"/>
  <c r="G288" i="12" s="1"/>
  <c r="G141" i="64"/>
  <c r="H270" i="64"/>
  <c r="H873" i="18"/>
  <c r="H234" i="11"/>
  <c r="G187" i="27"/>
  <c r="F823" i="18"/>
  <c r="F837" i="18"/>
  <c r="F840" i="18" s="1"/>
  <c r="I71" i="36"/>
  <c r="I26" i="36"/>
  <c r="K84" i="54" s="1"/>
  <c r="I141" i="64"/>
  <c r="I615" i="6"/>
  <c r="I285" i="12" s="1"/>
  <c r="I288" i="12" s="1"/>
  <c r="I636" i="18"/>
  <c r="I637" i="18" s="1"/>
  <c r="G144" i="18"/>
  <c r="G766" i="6"/>
  <c r="G445" i="12" s="1"/>
  <c r="G448" i="12" s="1"/>
  <c r="H187" i="27"/>
  <c r="K597" i="18"/>
  <c r="E598" i="18"/>
  <c r="K598" i="18" s="1"/>
  <c r="E882" i="18"/>
  <c r="E23" i="11"/>
  <c r="O62" i="45"/>
  <c r="O63" i="45" s="1"/>
  <c r="O27" i="45"/>
  <c r="G20" i="18" a="1"/>
  <c r="G20" i="18" s="1"/>
  <c r="E141" i="64"/>
  <c r="E636" i="18"/>
  <c r="E615" i="6"/>
  <c r="E285" i="12" s="1"/>
  <c r="E288" i="12" s="1"/>
  <c r="F188" i="27"/>
  <c r="F190" i="27" s="1"/>
  <c r="I187" i="27"/>
  <c r="F7" i="11"/>
  <c r="G830" i="18"/>
  <c r="G833" i="18"/>
  <c r="G822" i="18"/>
  <c r="G33" i="11"/>
  <c r="F270" i="64"/>
  <c r="F234" i="11"/>
  <c r="F873" i="18"/>
  <c r="F636" i="18"/>
  <c r="F637" i="18" s="1"/>
  <c r="F141" i="64"/>
  <c r="F615" i="6"/>
  <c r="F285" i="12" s="1"/>
  <c r="F288" i="12" s="1"/>
  <c r="O26" i="36"/>
  <c r="O71" i="36"/>
  <c r="I64" i="45"/>
  <c r="I63" i="45"/>
  <c r="I237" i="64"/>
  <c r="I823" i="18"/>
  <c r="I837" i="18"/>
  <c r="I840" i="18" s="1"/>
  <c r="K513" i="6"/>
  <c r="I270" i="64"/>
  <c r="I873" i="18"/>
  <c r="I234" i="11"/>
  <c r="Y12" i="46"/>
  <c r="Y14" i="46" s="1"/>
  <c r="I7" i="46"/>
  <c r="G280" i="64"/>
  <c r="G883" i="18"/>
  <c r="G671" i="6"/>
  <c r="E219" i="64"/>
  <c r="E233" i="64"/>
  <c r="F237" i="64"/>
  <c r="I634" i="19"/>
  <c r="I884" i="18"/>
  <c r="I281" i="64"/>
  <c r="I672" i="6"/>
  <c r="I269" i="12" s="1"/>
  <c r="I272" i="12" s="1"/>
  <c r="I729" i="6"/>
  <c r="I678" i="6"/>
  <c r="F187" i="27"/>
  <c r="I188" i="27"/>
  <c r="I190" i="27" s="1"/>
  <c r="E449" i="11" l="1"/>
  <c r="E450" i="11" s="1"/>
  <c r="E149" i="18"/>
  <c r="E767" i="6"/>
  <c r="E217" i="11" s="1"/>
  <c r="E453" i="11"/>
  <c r="K119" i="18"/>
  <c r="E191" i="5"/>
  <c r="E634" i="19"/>
  <c r="E884" i="18"/>
  <c r="E281" i="64"/>
  <c r="E672" i="6"/>
  <c r="E269" i="12" s="1"/>
  <c r="E272" i="12" s="1"/>
  <c r="E678" i="6"/>
  <c r="E685" i="6" s="1"/>
  <c r="E729" i="6"/>
  <c r="H33" i="11"/>
  <c r="E188" i="5"/>
  <c r="K135" i="64"/>
  <c r="K631" i="18"/>
  <c r="E23" i="5"/>
  <c r="L23" i="5" s="1"/>
  <c r="H141" i="64"/>
  <c r="K141" i="64" s="1"/>
  <c r="K614" i="6"/>
  <c r="H636" i="18"/>
  <c r="H637" i="18" s="1"/>
  <c r="H830" i="18"/>
  <c r="H833" i="18"/>
  <c r="H822" i="18"/>
  <c r="H837" i="18" s="1"/>
  <c r="H840" i="18" s="1"/>
  <c r="H883" i="18"/>
  <c r="K883" i="18" s="1"/>
  <c r="K120" i="18"/>
  <c r="H671" i="6"/>
  <c r="H281" i="64" s="1"/>
  <c r="K761" i="6"/>
  <c r="H280" i="64"/>
  <c r="K280" i="64" s="1"/>
  <c r="H20" i="18" a="1"/>
  <c r="H20" i="18" s="1"/>
  <c r="G10" i="64"/>
  <c r="I10" i="64"/>
  <c r="E10" i="64"/>
  <c r="F10" i="64"/>
  <c r="H766" i="6"/>
  <c r="H445" i="12" s="1"/>
  <c r="H448" i="12" s="1"/>
  <c r="H219" i="64"/>
  <c r="K218" i="64"/>
  <c r="K144" i="18"/>
  <c r="O72" i="36"/>
  <c r="O81" i="36"/>
  <c r="K73" i="53"/>
  <c r="E873" i="18"/>
  <c r="K873" i="18" s="1"/>
  <c r="E234" i="11"/>
  <c r="E270" i="64"/>
  <c r="K270" i="64" s="1"/>
  <c r="K708" i="6"/>
  <c r="E637" i="18"/>
  <c r="G149" i="18"/>
  <c r="G449" i="11"/>
  <c r="G450" i="11" s="1"/>
  <c r="G453" i="11"/>
  <c r="G767" i="6"/>
  <c r="G217" i="11" s="1"/>
  <c r="F841" i="18"/>
  <c r="E236" i="64"/>
  <c r="K233" i="64"/>
  <c r="F286" i="64"/>
  <c r="F888" i="18"/>
  <c r="F290" i="64"/>
  <c r="F685" i="6"/>
  <c r="I286" i="64"/>
  <c r="I888" i="18"/>
  <c r="I290" i="64"/>
  <c r="I685" i="6"/>
  <c r="F142" i="64"/>
  <c r="E142" i="64"/>
  <c r="K615" i="6"/>
  <c r="I142" i="64"/>
  <c r="I72" i="36"/>
  <c r="I81" i="36"/>
  <c r="I73" i="36"/>
  <c r="G142" i="64"/>
  <c r="G7" i="11"/>
  <c r="G884" i="18"/>
  <c r="G729" i="6"/>
  <c r="G634" i="19"/>
  <c r="G281" i="64"/>
  <c r="G672" i="6"/>
  <c r="G269" i="12" s="1"/>
  <c r="G272" i="12" s="1"/>
  <c r="G678" i="6"/>
  <c r="I841" i="18"/>
  <c r="G823" i="18"/>
  <c r="G837" i="18"/>
  <c r="G840" i="18" s="1"/>
  <c r="H237" i="64"/>
  <c r="H142" i="64"/>
  <c r="G237" i="64"/>
  <c r="E840" i="18"/>
  <c r="P7" i="60" l="1"/>
  <c r="E178" i="5"/>
  <c r="E290" i="64"/>
  <c r="E286" i="64"/>
  <c r="E888" i="18"/>
  <c r="I21" i="18"/>
  <c r="H5" i="31"/>
  <c r="I5" i="31"/>
  <c r="G5" i="31"/>
  <c r="K766" i="6"/>
  <c r="K822" i="18"/>
  <c r="K636" i="18"/>
  <c r="K671" i="6"/>
  <c r="H884" i="18"/>
  <c r="K884" i="18" s="1"/>
  <c r="H634" i="19"/>
  <c r="K634" i="19" s="1"/>
  <c r="K637" i="18"/>
  <c r="G21" i="18"/>
  <c r="H678" i="6"/>
  <c r="H888" i="18" s="1"/>
  <c r="H823" i="18"/>
  <c r="H729" i="6"/>
  <c r="K729" i="6" s="1"/>
  <c r="H672" i="6"/>
  <c r="H269" i="12" s="1"/>
  <c r="H272" i="12" s="1"/>
  <c r="F21" i="18"/>
  <c r="H7" i="11"/>
  <c r="E21" i="18"/>
  <c r="H449" i="11"/>
  <c r="H450" i="11" s="1"/>
  <c r="H21" i="18"/>
  <c r="H453" i="11"/>
  <c r="H149" i="18"/>
  <c r="K149" i="18" s="1"/>
  <c r="H767" i="6"/>
  <c r="H217" i="11" s="1"/>
  <c r="K281" i="64"/>
  <c r="K837" i="18"/>
  <c r="E237" i="64"/>
  <c r="K236" i="64"/>
  <c r="F686" i="6"/>
  <c r="F687" i="6" s="1"/>
  <c r="G290" i="64"/>
  <c r="G888" i="18"/>
  <c r="G286" i="64"/>
  <c r="G685" i="6"/>
  <c r="G841" i="18"/>
  <c r="E686" i="6"/>
  <c r="E687" i="6" s="1"/>
  <c r="K840" i="18"/>
  <c r="E841" i="18"/>
  <c r="K142" i="64"/>
  <c r="I686" i="6"/>
  <c r="I687" i="6" s="1"/>
  <c r="H841" i="18"/>
  <c r="E31" i="18" l="1"/>
  <c r="E18" i="64" s="1"/>
  <c r="G31" i="18"/>
  <c r="G18" i="64" s="1"/>
  <c r="H31" i="18"/>
  <c r="H18" i="64" s="1"/>
  <c r="H685" i="6"/>
  <c r="H686" i="6" s="1"/>
  <c r="H687" i="6" s="1"/>
  <c r="H290" i="64"/>
  <c r="K290" i="64" s="1"/>
  <c r="K678" i="6"/>
  <c r="H286" i="64"/>
  <c r="K286" i="64" s="1"/>
  <c r="K672" i="6"/>
  <c r="K767" i="6"/>
  <c r="K888" i="18"/>
  <c r="I282" i="64"/>
  <c r="I885" i="18"/>
  <c r="I688" i="6"/>
  <c r="I741" i="6"/>
  <c r="I869" i="18"/>
  <c r="I745" i="6"/>
  <c r="I748" i="6"/>
  <c r="I694" i="6"/>
  <c r="I699" i="6" s="1"/>
  <c r="I710" i="6" s="1"/>
  <c r="I266" i="64"/>
  <c r="I206" i="11"/>
  <c r="I104" i="2"/>
  <c r="G686" i="6"/>
  <c r="G687" i="6" s="1"/>
  <c r="E741" i="6"/>
  <c r="E282" i="64"/>
  <c r="E206" i="11"/>
  <c r="E266" i="64"/>
  <c r="E885" i="18"/>
  <c r="E869" i="18"/>
  <c r="E104" i="2"/>
  <c r="H9" i="15"/>
  <c r="H21" i="15" s="1"/>
  <c r="H30" i="15" s="1"/>
  <c r="E748" i="6"/>
  <c r="E688" i="6"/>
  <c r="E745" i="6"/>
  <c r="E694" i="6"/>
  <c r="O89" i="36"/>
  <c r="O91" i="36" s="1"/>
  <c r="O92" i="36" s="1"/>
  <c r="E239" i="64"/>
  <c r="E843" i="18"/>
  <c r="F282" i="64"/>
  <c r="F741" i="6"/>
  <c r="F885" i="18"/>
  <c r="F206" i="11"/>
  <c r="F869" i="18"/>
  <c r="F745" i="6"/>
  <c r="F688" i="6"/>
  <c r="F266" i="64"/>
  <c r="F694" i="6"/>
  <c r="F699" i="6" s="1"/>
  <c r="F710" i="6" s="1"/>
  <c r="F748" i="6"/>
  <c r="F104" i="2"/>
  <c r="I843" i="18"/>
  <c r="I845" i="18" s="1"/>
  <c r="I846" i="18" s="1"/>
  <c r="I239" i="64"/>
  <c r="I241" i="64" s="1"/>
  <c r="I242" i="64" s="1"/>
  <c r="F843" i="18"/>
  <c r="F845" i="18" s="1"/>
  <c r="F846" i="18" s="1"/>
  <c r="F239" i="64"/>
  <c r="F241" i="64" s="1"/>
  <c r="F242" i="64" s="1"/>
  <c r="K685" i="6" l="1"/>
  <c r="G688" i="6"/>
  <c r="G741" i="6"/>
  <c r="G885" i="18"/>
  <c r="G745" i="6"/>
  <c r="G266" i="64"/>
  <c r="G282" i="64"/>
  <c r="G748" i="6"/>
  <c r="G206" i="11"/>
  <c r="G694" i="6"/>
  <c r="G699" i="6" s="1"/>
  <c r="G710" i="6" s="1"/>
  <c r="G869" i="18"/>
  <c r="G104" i="2"/>
  <c r="K687" i="6"/>
  <c r="E241" i="64"/>
  <c r="H688" i="6"/>
  <c r="H885" i="18"/>
  <c r="H741" i="6"/>
  <c r="H282" i="64"/>
  <c r="H745" i="6"/>
  <c r="H104" i="2"/>
  <c r="H206" i="11"/>
  <c r="H748" i="6"/>
  <c r="H869" i="18"/>
  <c r="H266" i="64"/>
  <c r="H694" i="6"/>
  <c r="H699" i="6" s="1"/>
  <c r="H710" i="6" s="1"/>
  <c r="I260" i="64"/>
  <c r="I863" i="18"/>
  <c r="I106" i="2"/>
  <c r="F260" i="64"/>
  <c r="F106" i="2"/>
  <c r="F863" i="18"/>
  <c r="E845" i="18"/>
  <c r="E699" i="6"/>
  <c r="F720" i="6"/>
  <c r="F728" i="6"/>
  <c r="H843" i="18"/>
  <c r="H845" i="18" s="1"/>
  <c r="H846" i="18" s="1"/>
  <c r="H239" i="64"/>
  <c r="H241" i="64" s="1"/>
  <c r="H242" i="64" s="1"/>
  <c r="K686" i="6"/>
  <c r="D104" i="1"/>
  <c r="E260" i="64"/>
  <c r="E863" i="18"/>
  <c r="E106" i="2"/>
  <c r="P21" i="14"/>
  <c r="P22" i="14" s="1"/>
  <c r="G843" i="18"/>
  <c r="G845" i="18" s="1"/>
  <c r="G846" i="18" s="1"/>
  <c r="G239" i="64"/>
  <c r="G241" i="64" s="1"/>
  <c r="G242" i="64" s="1"/>
  <c r="I728" i="6"/>
  <c r="I720" i="6"/>
  <c r="K282" i="64" l="1"/>
  <c r="K741" i="6"/>
  <c r="K885" i="18"/>
  <c r="K688" i="6"/>
  <c r="K239" i="64"/>
  <c r="K694" i="6"/>
  <c r="H106" i="2"/>
  <c r="H863" i="18"/>
  <c r="H260" i="64"/>
  <c r="G728" i="6"/>
  <c r="G720" i="6"/>
  <c r="I722" i="6"/>
  <c r="I44" i="18"/>
  <c r="I94" i="2"/>
  <c r="K843" i="18"/>
  <c r="K241" i="64"/>
  <c r="E242" i="64"/>
  <c r="G260" i="64"/>
  <c r="G106" i="2"/>
  <c r="G863" i="18"/>
  <c r="K745" i="6"/>
  <c r="K699" i="6"/>
  <c r="E710" i="6"/>
  <c r="K72" i="53"/>
  <c r="H728" i="6"/>
  <c r="H720" i="6"/>
  <c r="K748" i="6"/>
  <c r="F44" i="18"/>
  <c r="F722" i="6"/>
  <c r="F94" i="2"/>
  <c r="K266" i="64"/>
  <c r="K845" i="18"/>
  <c r="E846" i="18"/>
  <c r="K869" i="18"/>
  <c r="K863" i="18" l="1"/>
  <c r="K260" i="64"/>
  <c r="H722" i="6"/>
  <c r="H44" i="18"/>
  <c r="H94" i="2"/>
  <c r="K710" i="6"/>
  <c r="E720" i="6"/>
  <c r="E728" i="6"/>
  <c r="K728" i="6" s="1"/>
  <c r="I257" i="64"/>
  <c r="I262" i="64" s="1"/>
  <c r="I752" i="6"/>
  <c r="I96" i="2"/>
  <c r="I99" i="2" s="1"/>
  <c r="I107" i="2" s="1"/>
  <c r="I860" i="18"/>
  <c r="I865" i="18" s="1"/>
  <c r="F752" i="6"/>
  <c r="F96" i="2"/>
  <c r="F99" i="2" s="1"/>
  <c r="F107" i="2" s="1"/>
  <c r="F860" i="18"/>
  <c r="F865" i="18" s="1"/>
  <c r="F257" i="64"/>
  <c r="F262" i="64" s="1"/>
  <c r="G44" i="18"/>
  <c r="G722" i="6"/>
  <c r="G94" i="2"/>
  <c r="F212" i="11"/>
  <c r="F214" i="11" s="1"/>
  <c r="F875" i="18"/>
  <c r="F876" i="18" s="1"/>
  <c r="F877" i="18" s="1"/>
  <c r="F272" i="64"/>
  <c r="F273" i="64" s="1"/>
  <c r="F274" i="64" s="1"/>
  <c r="F724" i="6"/>
  <c r="F726" i="6" s="1"/>
  <c r="F413" i="12" s="1"/>
  <c r="F416" i="12" s="1"/>
  <c r="I212" i="11"/>
  <c r="I214" i="11" s="1"/>
  <c r="I875" i="18"/>
  <c r="I876" i="18" s="1"/>
  <c r="I877" i="18" s="1"/>
  <c r="I272" i="64"/>
  <c r="I273" i="64" s="1"/>
  <c r="I274" i="64" s="1"/>
  <c r="I724" i="6"/>
  <c r="I726" i="6" s="1"/>
  <c r="I413" i="12" s="1"/>
  <c r="I416" i="12" s="1"/>
  <c r="G96" i="2" l="1"/>
  <c r="G99" i="2" s="1"/>
  <c r="G107" i="2" s="1"/>
  <c r="G752" i="6"/>
  <c r="G860" i="18"/>
  <c r="G865" i="18" s="1"/>
  <c r="G257" i="64"/>
  <c r="G262" i="64" s="1"/>
  <c r="H752" i="6"/>
  <c r="H860" i="18"/>
  <c r="H865" i="18" s="1"/>
  <c r="H96" i="2"/>
  <c r="H99" i="2" s="1"/>
  <c r="H107" i="2" s="1"/>
  <c r="H257" i="64"/>
  <c r="H262" i="64" s="1"/>
  <c r="G875" i="18"/>
  <c r="G876" i="18" s="1"/>
  <c r="G877" i="18" s="1"/>
  <c r="G212" i="11"/>
  <c r="G214" i="11" s="1"/>
  <c r="G272" i="64"/>
  <c r="G273" i="64" s="1"/>
  <c r="G274" i="64" s="1"/>
  <c r="G724" i="6"/>
  <c r="G726" i="6" s="1"/>
  <c r="G413" i="12" s="1"/>
  <c r="G416" i="12" s="1"/>
  <c r="I754" i="6"/>
  <c r="I755" i="6" s="1"/>
  <c r="K720" i="6"/>
  <c r="E44" i="18"/>
  <c r="G37" i="15"/>
  <c r="H38" i="15" s="1"/>
  <c r="H40" i="15" s="1"/>
  <c r="H42" i="15" s="1"/>
  <c r="H44" i="15" s="1"/>
  <c r="E94" i="2"/>
  <c r="E722" i="6"/>
  <c r="H875" i="18"/>
  <c r="H876" i="18" s="1"/>
  <c r="H877" i="18" s="1"/>
  <c r="H272" i="64"/>
  <c r="H273" i="64" s="1"/>
  <c r="H274" i="64" s="1"/>
  <c r="H212" i="11"/>
  <c r="H214" i="11" s="1"/>
  <c r="H724" i="6"/>
  <c r="H726" i="6" s="1"/>
  <c r="H413" i="12" s="1"/>
  <c r="H416" i="12" s="1"/>
  <c r="F754" i="6"/>
  <c r="F755" i="6" s="1"/>
  <c r="I43" i="18"/>
  <c r="I4" i="2"/>
  <c r="F43" i="18"/>
  <c r="F4" i="2"/>
  <c r="F850" i="18" l="1"/>
  <c r="F856" i="18" s="1"/>
  <c r="F192" i="11"/>
  <c r="F10" i="2"/>
  <c r="F78" i="2" s="1"/>
  <c r="F88" i="2" s="1"/>
  <c r="F247" i="64"/>
  <c r="F253" i="64" s="1"/>
  <c r="F770" i="6"/>
  <c r="I850" i="18"/>
  <c r="I856" i="18" s="1"/>
  <c r="I192" i="11"/>
  <c r="I10" i="2"/>
  <c r="I78" i="2" s="1"/>
  <c r="I88" i="2" s="1"/>
  <c r="I247" i="64"/>
  <c r="I253" i="64" s="1"/>
  <c r="I770" i="6"/>
  <c r="D94" i="1"/>
  <c r="E752" i="6"/>
  <c r="E860" i="18"/>
  <c r="E96" i="2"/>
  <c r="E99" i="2" s="1"/>
  <c r="E107" i="2" s="1"/>
  <c r="P11" i="14"/>
  <c r="P12" i="14" s="1"/>
  <c r="P16" i="14" s="1"/>
  <c r="P24" i="14" s="1"/>
  <c r="E257" i="64"/>
  <c r="G754" i="6"/>
  <c r="G755" i="6" s="1"/>
  <c r="G43" i="18"/>
  <c r="G4" i="2"/>
  <c r="H43" i="18"/>
  <c r="H4" i="2"/>
  <c r="E212" i="11"/>
  <c r="E214" i="11" s="1"/>
  <c r="E875" i="18"/>
  <c r="K722" i="6"/>
  <c r="E272" i="64"/>
  <c r="K75" i="53"/>
  <c r="K76" i="53" s="1"/>
  <c r="K77" i="53" s="1"/>
  <c r="E724" i="6"/>
  <c r="H754" i="6"/>
  <c r="H755" i="6" s="1"/>
  <c r="K272" i="64" l="1"/>
  <c r="E273" i="64"/>
  <c r="K257" i="64"/>
  <c r="E262" i="64"/>
  <c r="K262" i="64" s="1"/>
  <c r="K752" i="6"/>
  <c r="E754" i="6"/>
  <c r="K754" i="6" s="1"/>
  <c r="F775" i="6"/>
  <c r="F437" i="12" s="1"/>
  <c r="F440" i="12" s="1"/>
  <c r="F152" i="18"/>
  <c r="H192" i="11"/>
  <c r="H247" i="64"/>
  <c r="H253" i="64" s="1"/>
  <c r="H850" i="18"/>
  <c r="H856" i="18" s="1"/>
  <c r="H10" i="2"/>
  <c r="H78" i="2" s="1"/>
  <c r="H88" i="2" s="1"/>
  <c r="H770" i="6"/>
  <c r="I739" i="6"/>
  <c r="I756" i="6"/>
  <c r="I757" i="6" s="1"/>
  <c r="I758" i="6" s="1"/>
  <c r="I108" i="2"/>
  <c r="I109" i="2"/>
  <c r="K724" i="6"/>
  <c r="E726" i="6"/>
  <c r="E413" i="12" s="1"/>
  <c r="E416" i="12" s="1"/>
  <c r="K875" i="18"/>
  <c r="E876" i="18"/>
  <c r="I775" i="6"/>
  <c r="I437" i="12" s="1"/>
  <c r="I440" i="12" s="1"/>
  <c r="I152" i="18"/>
  <c r="G247" i="64"/>
  <c r="G253" i="64" s="1"/>
  <c r="G192" i="11"/>
  <c r="G850" i="18"/>
  <c r="G856" i="18" s="1"/>
  <c r="G10" i="2"/>
  <c r="G78" i="2" s="1"/>
  <c r="G88" i="2" s="1"/>
  <c r="G770" i="6"/>
  <c r="K860" i="18"/>
  <c r="E865" i="18"/>
  <c r="K865" i="18" s="1"/>
  <c r="F756" i="6"/>
  <c r="F757" i="6" s="1"/>
  <c r="F758" i="6" s="1"/>
  <c r="F739" i="6"/>
  <c r="F109" i="2"/>
  <c r="F108" i="2"/>
  <c r="E26" i="5" l="1"/>
  <c r="L26" i="5" s="1"/>
  <c r="E205" i="5"/>
  <c r="E204" i="5"/>
  <c r="G756" i="6"/>
  <c r="G757" i="6" s="1"/>
  <c r="G758" i="6" s="1"/>
  <c r="G739" i="6"/>
  <c r="G109" i="2"/>
  <c r="G108" i="2"/>
  <c r="K876" i="18"/>
  <c r="E877" i="18"/>
  <c r="K877" i="18" s="1"/>
  <c r="H775" i="6"/>
  <c r="H437" i="12" s="1"/>
  <c r="H440" i="12" s="1"/>
  <c r="H152" i="18"/>
  <c r="I291" i="64"/>
  <c r="I287" i="64"/>
  <c r="I892" i="18"/>
  <c r="I889" i="18"/>
  <c r="I160" i="18"/>
  <c r="I454" i="11"/>
  <c r="I455" i="11" s="1"/>
  <c r="I776" i="6"/>
  <c r="I453" i="12" s="1"/>
  <c r="I456" i="12" s="1"/>
  <c r="H739" i="6"/>
  <c r="H756" i="6"/>
  <c r="H757" i="6" s="1"/>
  <c r="H758" i="6" s="1"/>
  <c r="H108" i="2"/>
  <c r="H109" i="2"/>
  <c r="E755" i="6"/>
  <c r="E274" i="64"/>
  <c r="K274" i="64" s="1"/>
  <c r="K273" i="64"/>
  <c r="E43" i="18"/>
  <c r="K726" i="6"/>
  <c r="E4" i="2"/>
  <c r="F742" i="6"/>
  <c r="F740" i="6"/>
  <c r="G152" i="18"/>
  <c r="G775" i="6"/>
  <c r="G437" i="12" s="1"/>
  <c r="G440" i="12" s="1"/>
  <c r="I742" i="6"/>
  <c r="I740" i="6"/>
  <c r="F892" i="18"/>
  <c r="F291" i="64"/>
  <c r="F160" i="18"/>
  <c r="F287" i="64"/>
  <c r="F889" i="18"/>
  <c r="F454" i="11"/>
  <c r="F455" i="11" s="1"/>
  <c r="F776" i="6"/>
  <c r="F453" i="12" s="1"/>
  <c r="F456" i="12" s="1"/>
  <c r="F499" i="12" l="1"/>
  <c r="F500" i="12"/>
  <c r="F501" i="12"/>
  <c r="I501" i="12"/>
  <c r="I500" i="12"/>
  <c r="I499" i="12"/>
  <c r="I49" i="7"/>
  <c r="F49" i="7"/>
  <c r="N7" i="52"/>
  <c r="N7" i="53"/>
  <c r="H892" i="18"/>
  <c r="H287" i="64"/>
  <c r="H291" i="64"/>
  <c r="H889" i="18"/>
  <c r="H160" i="18"/>
  <c r="H454" i="11"/>
  <c r="H455" i="11" s="1"/>
  <c r="H776" i="6"/>
  <c r="H453" i="12" s="1"/>
  <c r="H456" i="12" s="1"/>
  <c r="G742" i="6"/>
  <c r="G740" i="6"/>
  <c r="G160" i="18"/>
  <c r="G889" i="18"/>
  <c r="G892" i="18"/>
  <c r="G291" i="64"/>
  <c r="G287" i="64"/>
  <c r="G454" i="11"/>
  <c r="G455" i="11" s="1"/>
  <c r="G776" i="6"/>
  <c r="G453" i="12" s="1"/>
  <c r="G456" i="12" s="1"/>
  <c r="D4" i="1"/>
  <c r="O132" i="3"/>
  <c r="G8" i="14"/>
  <c r="G12" i="14" s="1"/>
  <c r="G24" i="14" s="1"/>
  <c r="E10" i="2"/>
  <c r="E192" i="11"/>
  <c r="E850" i="18"/>
  <c r="E247" i="64"/>
  <c r="D20" i="38"/>
  <c r="E770" i="6"/>
  <c r="E775" i="6" s="1"/>
  <c r="E437" i="12" s="1"/>
  <c r="E440" i="12" s="1"/>
  <c r="I890" i="18"/>
  <c r="I288" i="64"/>
  <c r="I162" i="18"/>
  <c r="I460" i="11"/>
  <c r="I637" i="19"/>
  <c r="I12" i="64"/>
  <c r="I23" i="18"/>
  <c r="F637" i="19"/>
  <c r="F890" i="18"/>
  <c r="F460" i="11"/>
  <c r="F288" i="64"/>
  <c r="F12" i="64"/>
  <c r="F23" i="18"/>
  <c r="F162" i="18"/>
  <c r="I197" i="11"/>
  <c r="I886" i="18"/>
  <c r="I218" i="11"/>
  <c r="I283" i="64"/>
  <c r="F886" i="18"/>
  <c r="F218" i="11"/>
  <c r="F197" i="11"/>
  <c r="F283" i="64"/>
  <c r="K755" i="6"/>
  <c r="H742" i="6"/>
  <c r="H740" i="6"/>
  <c r="G499" i="12" l="1"/>
  <c r="G501" i="12"/>
  <c r="G500" i="12"/>
  <c r="H499" i="12"/>
  <c r="H501" i="12"/>
  <c r="H500" i="12"/>
  <c r="G49" i="7"/>
  <c r="H49" i="7"/>
  <c r="O1" i="3"/>
  <c r="P1" i="3"/>
  <c r="F8" i="11"/>
  <c r="I8" i="11"/>
  <c r="E78" i="2"/>
  <c r="E88" i="2" s="1"/>
  <c r="D10" i="1"/>
  <c r="E253" i="64"/>
  <c r="K253" i="64" s="1"/>
  <c r="K247" i="64"/>
  <c r="G886" i="18"/>
  <c r="G197" i="11"/>
  <c r="G218" i="11"/>
  <c r="G283" i="64"/>
  <c r="H218" i="11"/>
  <c r="H886" i="18"/>
  <c r="H283" i="64"/>
  <c r="H197" i="11"/>
  <c r="F25" i="18"/>
  <c r="K850" i="18"/>
  <c r="E856" i="18"/>
  <c r="K856" i="18" s="1"/>
  <c r="H288" i="64"/>
  <c r="H162" i="18"/>
  <c r="H460" i="11"/>
  <c r="H890" i="18"/>
  <c r="H637" i="19"/>
  <c r="H23" i="18"/>
  <c r="H12" i="64"/>
  <c r="G637" i="19"/>
  <c r="G890" i="18"/>
  <c r="G12" i="64"/>
  <c r="G162" i="18"/>
  <c r="G23" i="18"/>
  <c r="G460" i="11"/>
  <c r="G288" i="64"/>
  <c r="I25" i="18"/>
  <c r="K770" i="6"/>
  <c r="E152" i="18"/>
  <c r="K152" i="18" s="1"/>
  <c r="H8" i="11" l="1"/>
  <c r="F461" i="11"/>
  <c r="F26" i="18"/>
  <c r="E756" i="6"/>
  <c r="E739" i="6"/>
  <c r="E109" i="2"/>
  <c r="E108" i="2"/>
  <c r="I26" i="18"/>
  <c r="I461" i="11"/>
  <c r="G25" i="18"/>
  <c r="E160" i="18"/>
  <c r="K160" i="18" s="1"/>
  <c r="E291" i="64"/>
  <c r="K291" i="64" s="1"/>
  <c r="J17" i="38"/>
  <c r="K775" i="6"/>
  <c r="E892" i="18"/>
  <c r="K892" i="18" s="1"/>
  <c r="E889" i="18"/>
  <c r="K889" i="18" s="1"/>
  <c r="E287" i="64"/>
  <c r="K287" i="64" s="1"/>
  <c r="E454" i="11"/>
  <c r="E455" i="11" s="1"/>
  <c r="E776" i="6"/>
  <c r="E453" i="12" s="1"/>
  <c r="E456" i="12" s="1"/>
  <c r="G8" i="11"/>
  <c r="H25" i="18"/>
  <c r="E501" i="12" l="1"/>
  <c r="E499" i="12"/>
  <c r="E500" i="12"/>
  <c r="E179" i="5"/>
  <c r="E49" i="7"/>
  <c r="E176" i="5"/>
  <c r="E21" i="5"/>
  <c r="L21" i="5" s="1"/>
  <c r="G461" i="11"/>
  <c r="G26" i="18"/>
  <c r="K756" i="6"/>
  <c r="E757" i="6"/>
  <c r="N66" i="53"/>
  <c r="E637" i="19"/>
  <c r="K637" i="19" s="1"/>
  <c r="D15" i="38"/>
  <c r="E12" i="64"/>
  <c r="E890" i="18"/>
  <c r="K890" i="18" s="1"/>
  <c r="E460" i="11"/>
  <c r="E23" i="18"/>
  <c r="E162" i="18"/>
  <c r="K162" i="18" s="1"/>
  <c r="K776" i="6"/>
  <c r="E288" i="64"/>
  <c r="K288" i="64" s="1"/>
  <c r="K739" i="6"/>
  <c r="E742" i="6"/>
  <c r="E740" i="6"/>
  <c r="K740" i="6" s="1"/>
  <c r="H26" i="18"/>
  <c r="H461" i="11"/>
  <c r="I6" i="31" l="1"/>
  <c r="G6" i="31"/>
  <c r="E32" i="18" s="1"/>
  <c r="H6" i="31"/>
  <c r="Q5" i="55"/>
  <c r="N5" i="53"/>
  <c r="O5" i="54"/>
  <c r="P5" i="60"/>
  <c r="P5" i="57"/>
  <c r="N5" i="52"/>
  <c r="E13" i="64"/>
  <c r="F13" i="64"/>
  <c r="I13" i="64"/>
  <c r="G13" i="64"/>
  <c r="H13" i="64"/>
  <c r="E8" i="11"/>
  <c r="E24" i="18"/>
  <c r="F24" i="18"/>
  <c r="I24" i="18"/>
  <c r="G24" i="18"/>
  <c r="H24" i="18"/>
  <c r="N65" i="53"/>
  <c r="E283" i="64"/>
  <c r="K283" i="64" s="1"/>
  <c r="E197" i="11"/>
  <c r="E218" i="11"/>
  <c r="E886" i="18"/>
  <c r="K886" i="18" s="1"/>
  <c r="K742" i="6"/>
  <c r="E25" i="18"/>
  <c r="K757" i="6"/>
  <c r="E758" i="6"/>
  <c r="K758" i="6" s="1"/>
  <c r="G32" i="18" l="1"/>
  <c r="F32" i="18"/>
  <c r="I32" i="18"/>
  <c r="I19" i="64" s="1"/>
  <c r="H32" i="18"/>
  <c r="H19" i="64" s="1"/>
  <c r="I31" i="18"/>
  <c r="I18" i="64" s="1"/>
  <c r="F31" i="18"/>
  <c r="F18" i="64" s="1"/>
  <c r="E26" i="18"/>
  <c r="E461" i="11"/>
  <c r="I34" i="18" l="1"/>
  <c r="I461" i="12" s="1"/>
  <c r="I464" i="12" s="1"/>
  <c r="H34" i="18"/>
  <c r="H461" i="12" s="1"/>
  <c r="H464" i="12" s="1"/>
  <c r="E19" i="64"/>
  <c r="E34" i="18"/>
  <c r="E461" i="12" s="1"/>
  <c r="E464" i="12" s="1"/>
  <c r="F19" i="64"/>
  <c r="F34" i="18"/>
  <c r="F461" i="12" s="1"/>
  <c r="F464" i="12" s="1"/>
  <c r="G19" i="64"/>
  <c r="G34" i="18"/>
  <c r="G461" i="12" s="1"/>
  <c r="G464" i="12" s="1"/>
  <c r="E474" i="12" l="1"/>
  <c r="E472" i="12"/>
  <c r="E473" i="12"/>
  <c r="E480" i="12"/>
  <c r="G474" i="12"/>
  <c r="G473" i="12"/>
  <c r="G480" i="12"/>
  <c r="G472" i="12"/>
  <c r="F473" i="12"/>
  <c r="F480" i="12"/>
  <c r="F472" i="12"/>
  <c r="F474" i="12"/>
  <c r="H474" i="12"/>
  <c r="H472" i="12"/>
  <c r="H473" i="12"/>
  <c r="H480" i="12"/>
  <c r="I474" i="12"/>
  <c r="I472" i="12"/>
  <c r="I473" i="12"/>
  <c r="I480" i="12"/>
  <c r="I6" i="11"/>
  <c r="I21" i="64"/>
  <c r="I35" i="18"/>
  <c r="I22" i="64" s="1"/>
  <c r="H6" i="11"/>
  <c r="H35" i="18"/>
  <c r="H22" i="64" s="1"/>
  <c r="H21" i="64"/>
  <c r="F21" i="64"/>
  <c r="F35" i="18"/>
  <c r="F22" i="64" s="1"/>
  <c r="F6" i="11"/>
  <c r="G21" i="64"/>
  <c r="G6" i="11"/>
  <c r="G35" i="18"/>
  <c r="G22" i="64" s="1"/>
  <c r="E21" i="64"/>
  <c r="E35" i="18"/>
  <c r="E22" i="64" s="1"/>
  <c r="E6" i="11"/>
  <c r="I38" i="18"/>
  <c r="I25" i="64" s="1"/>
  <c r="H38" i="18"/>
  <c r="H25" i="64" s="1"/>
  <c r="G469" i="12"/>
  <c r="E469" i="12"/>
  <c r="F469" i="12"/>
  <c r="H469" i="12"/>
  <c r="I469" i="12"/>
  <c r="G477" i="12" l="1"/>
  <c r="F477" i="12"/>
  <c r="I477" i="12"/>
  <c r="H477" i="12"/>
  <c r="E477" i="12"/>
  <c r="G38" i="18"/>
  <c r="G25" i="64" s="1"/>
  <c r="E38" i="18"/>
  <c r="E25" i="64" s="1"/>
  <c r="F38" i="18"/>
  <c r="F25" i="64" s="1"/>
  <c r="I3" i="11" l="1"/>
  <c r="H3" i="11"/>
  <c r="G3" i="11"/>
  <c r="C10" i="18"/>
  <c r="C13" i="18"/>
  <c r="E3" i="11"/>
  <c r="C11" i="18"/>
  <c r="C12" i="18"/>
  <c r="C9" i="18"/>
  <c r="F3" i="11"/>
  <c r="I11" i="18" l="1"/>
  <c r="G11" i="18"/>
  <c r="H11" i="18"/>
  <c r="G12" i="18"/>
  <c r="I12" i="18"/>
  <c r="H12" i="18"/>
  <c r="I10" i="18"/>
  <c r="G10" i="18"/>
  <c r="H10" i="18"/>
  <c r="H9" i="18"/>
  <c r="I9" i="18"/>
  <c r="G9" i="18"/>
  <c r="H13" i="18"/>
  <c r="I13" i="18"/>
  <c r="G13" i="18"/>
  <c r="D9" i="18"/>
  <c r="F9" i="18" s="1"/>
  <c r="D13" i="18"/>
  <c r="F13" i="18" s="1"/>
  <c r="D12" i="18"/>
  <c r="F12" i="18" s="1"/>
  <c r="D10" i="18"/>
  <c r="F10" i="18" s="1"/>
  <c r="D11" i="18"/>
  <c r="F11" i="18" s="1"/>
  <c r="F5" i="11" l="1"/>
  <c r="G5" i="11"/>
  <c r="H5" i="11"/>
  <c r="E5" i="11"/>
  <c r="I5" i="11"/>
</calcChain>
</file>

<file path=xl/comments1.xml><?xml version="1.0" encoding="utf-8"?>
<comments xmlns="http://schemas.openxmlformats.org/spreadsheetml/2006/main">
  <authors>
    <author>BTS Inc.</author>
  </authors>
  <commentList>
    <comment ref="V12" authorId="0" shapeId="0">
      <text>
        <r>
          <rPr>
            <b/>
            <sz val="8"/>
            <color indexed="81"/>
            <rFont val="Tahoma"/>
            <family val="2"/>
          </rPr>
          <t>TJO.: Checks to see if the program is Valid</t>
        </r>
      </text>
    </comment>
    <comment ref="W12" authorId="0" shapeId="0">
      <text>
        <r>
          <rPr>
            <b/>
            <sz val="8"/>
            <color indexed="81"/>
            <rFont val="Tahoma"/>
            <family val="2"/>
          </rPr>
          <t xml:space="preserve">TJO: Checks to Make sure that program wasn't used in a previous Year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" authorId="0" shapeId="0">
      <text>
        <r>
          <rPr>
            <b/>
            <sz val="8"/>
            <color indexed="81"/>
            <rFont val="Tahoma"/>
            <family val="2"/>
          </rPr>
          <t>TJO: Checks To make sure that program wasn't Selected this year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" authorId="0" shapeId="0">
      <text>
        <r>
          <rPr>
            <b/>
            <sz val="8"/>
            <color indexed="81"/>
            <rFont val="Tahoma"/>
            <family val="2"/>
          </rPr>
          <t>TJO: Checks To make sure that program wasn't Selected this year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Tony Jones</author>
  </authors>
  <commentList>
    <comment ref="A145" authorId="0" shapeId="0">
      <text>
        <r>
          <rPr>
            <b/>
            <sz val="9"/>
            <color indexed="81"/>
            <rFont val="Tahoma"/>
            <family val="2"/>
          </rPr>
          <t>Tony Jones:</t>
        </r>
        <r>
          <rPr>
            <sz val="9"/>
            <color indexed="81"/>
            <rFont val="Tahoma"/>
            <family val="2"/>
          </rPr>
          <t xml:space="preserve">
changed from Consu/ Cust/ Comp
</t>
        </r>
      </text>
    </comment>
  </commentList>
</comments>
</file>

<file path=xl/comments3.xml><?xml version="1.0" encoding="utf-8"?>
<comments xmlns="http://schemas.openxmlformats.org/spreadsheetml/2006/main">
  <authors>
    <author>BTS USA, Inc.</author>
  </authors>
  <commentList>
    <comment ref="K30" authorId="0" shapeId="0">
      <text>
        <r>
          <rPr>
            <sz val="8"/>
            <color indexed="81"/>
            <rFont val="Tahoma"/>
            <family val="2"/>
          </rPr>
          <t xml:space="preserve">Used to widen the score distribution, which decreases the difference between the best and worst scores in each category.
</t>
        </r>
        <r>
          <rPr>
            <u/>
            <sz val="8"/>
            <color indexed="81"/>
            <rFont val="Tahoma"/>
            <family val="2"/>
          </rPr>
          <t>Actual:</t>
        </r>
        <r>
          <rPr>
            <sz val="8"/>
            <color indexed="81"/>
            <rFont val="Tahoma"/>
            <family val="2"/>
          </rPr>
          <t xml:space="preserve"> No adjustment
</t>
        </r>
        <r>
          <rPr>
            <u/>
            <sz val="8"/>
            <color indexed="81"/>
            <rFont val="Tahoma"/>
            <family val="2"/>
          </rPr>
          <t>Moderate:</t>
        </r>
        <r>
          <rPr>
            <sz val="8"/>
            <color indexed="81"/>
            <rFont val="Tahoma"/>
            <family val="2"/>
          </rPr>
          <t xml:space="preserve"> Medium decrease in score range
</t>
        </r>
        <r>
          <rPr>
            <u/>
            <sz val="8"/>
            <color indexed="81"/>
            <rFont val="Tahoma"/>
            <family val="2"/>
          </rPr>
          <t>Broad:</t>
        </r>
        <r>
          <rPr>
            <sz val="8"/>
            <color indexed="81"/>
            <rFont val="Tahoma"/>
            <family val="2"/>
          </rPr>
          <t xml:space="preserve"> More significant decrease in score range</t>
        </r>
      </text>
    </comment>
  </commentList>
</comments>
</file>

<file path=xl/comments4.xml><?xml version="1.0" encoding="utf-8"?>
<comments xmlns="http://schemas.openxmlformats.org/spreadsheetml/2006/main">
  <authors>
    <author>BTS USA, Inc.</author>
  </authors>
  <commentList>
    <comment ref="C95" authorId="0" shapeId="0">
      <text>
        <r>
          <rPr>
            <b/>
            <sz val="8"/>
            <color indexed="81"/>
            <rFont val="Tahoma"/>
            <family val="2"/>
          </rPr>
          <t xml:space="preserve">JCO: </t>
        </r>
        <r>
          <rPr>
            <sz val="8"/>
            <color indexed="81"/>
            <rFont val="Tahoma"/>
            <family val="2"/>
          </rPr>
          <t>Effective sales force improved by greater channel customization</t>
        </r>
      </text>
    </comment>
  </commentList>
</comments>
</file>

<file path=xl/sharedStrings.xml><?xml version="1.0" encoding="utf-8"?>
<sst xmlns="http://schemas.openxmlformats.org/spreadsheetml/2006/main" count="10620" uniqueCount="4882">
  <si>
    <t>Advertising (000)</t>
  </si>
  <si>
    <t>Promotion (000)</t>
  </si>
  <si>
    <t>IT Level Change</t>
  </si>
  <si>
    <t>Explain</t>
  </si>
  <si>
    <t>If impacts on Sustainability are going to be so small, then add a decimal point to the score in the dashboard; perhaps do this even if impacts are heightened.</t>
  </si>
  <si>
    <t>069</t>
  </si>
  <si>
    <t>finPNLReg2Prod4EmpAdminExp</t>
  </si>
  <si>
    <t>finPNLReg2Prod4EmpRecDismExp</t>
  </si>
  <si>
    <t>finPNLReg2Prod4FixedAdminExp</t>
  </si>
  <si>
    <t>finPNLReg2Prod4SGAExp</t>
  </si>
  <si>
    <t>finPNLReg2Prod4RandDExp</t>
  </si>
  <si>
    <t>finPNLReg2Prod4OtherOpExp</t>
  </si>
  <si>
    <t>finPNLReg2Prod4OpsMargin</t>
  </si>
  <si>
    <t>Actual Growth Rates</t>
  </si>
  <si>
    <t>PEOPLE</t>
  </si>
  <si>
    <t>capEmp1Req</t>
  </si>
  <si>
    <t>capEmp1AdminExp</t>
  </si>
  <si>
    <t>ffbCopyreg1Prod4VolNonStockOut</t>
  </si>
  <si>
    <t>ffbCopyreg1Prod4VolStockOut</t>
  </si>
  <si>
    <t>ffbCopyreg2Prod4Price</t>
  </si>
  <si>
    <t>xxMMProd2Driver10</t>
  </si>
  <si>
    <t>Driver 3</t>
  </si>
  <si>
    <t>MMSegName</t>
  </si>
  <si>
    <t>Segment Name</t>
  </si>
  <si>
    <t>xxMMProd3Units</t>
  </si>
  <si>
    <t>We're going to need to find out why ROIC dropped by almost 10% points from Yr0 to Yr1</t>
  </si>
  <si>
    <t>071</t>
  </si>
  <si>
    <t>When creating new tools for Year2, each Team's Year1 decisions should appear in the decision cells</t>
  </si>
  <si>
    <t>072</t>
  </si>
  <si>
    <t>Distruptive3 and Disruptive4 appear in drop down menu. They should have names, no?</t>
  </si>
  <si>
    <t>073</t>
  </si>
  <si>
    <t>finPNLRev</t>
  </si>
  <si>
    <t>finPNLCOGSMatExp</t>
  </si>
  <si>
    <t>finPNLCOGSPlant1Exp</t>
  </si>
  <si>
    <t>finPNLCOGSDepExp</t>
  </si>
  <si>
    <t>finPNLCOGSExp</t>
  </si>
  <si>
    <t>finPNLSellExp</t>
  </si>
  <si>
    <t>Shared Ops Parameters</t>
  </si>
  <si>
    <t>Employee Development Level Cost</t>
  </si>
  <si>
    <t>finPNLReg1RDFtr1Exp</t>
  </si>
  <si>
    <t>finPNLReg1RDFtr4Exp</t>
  </si>
  <si>
    <t>finPNLReg2RDFtr4Exp</t>
  </si>
  <si>
    <t>finPNLReg2RDFtr2Exp</t>
  </si>
  <si>
    <t>finPNLReg1RDFtr2Exp</t>
  </si>
  <si>
    <t>%Allocation By Region</t>
  </si>
  <si>
    <t>Net Cash Used in Investing</t>
  </si>
  <si>
    <t>Cost/ hL</t>
  </si>
  <si>
    <t>Delete &amp;Range Ref Errors</t>
  </si>
  <si>
    <t>Delete &amp;Selected Range Names</t>
  </si>
  <si>
    <t>SimDeleteRangeREF</t>
  </si>
  <si>
    <t>SimDeleteRangeNames</t>
  </si>
  <si>
    <t>Net Cash from Financing</t>
  </si>
  <si>
    <t>Net Cash Flow</t>
  </si>
  <si>
    <t>Closing balance of cash</t>
  </si>
  <si>
    <t>Extraordianary Loss On Sale of Plants</t>
  </si>
  <si>
    <t>cbalCStockShares</t>
  </si>
  <si>
    <t>decDividendAmount</t>
  </si>
  <si>
    <t>paramAPDays</t>
  </si>
  <si>
    <t>Cash Expense</t>
  </si>
  <si>
    <t>Opening Balances year 0 (closing for year -1)</t>
  </si>
  <si>
    <t>Balanced?</t>
  </si>
  <si>
    <t>In Market</t>
  </si>
  <si>
    <t>Credit Days</t>
  </si>
  <si>
    <t>Discounted Price</t>
  </si>
  <si>
    <t>obalReg1Prod3FGValue</t>
  </si>
  <si>
    <t>obalReg1Prod4FGValue</t>
  </si>
  <si>
    <t>CSD Commercial Spend Effectiveness</t>
  </si>
  <si>
    <t>SPECIAL LOANS ($MM)</t>
  </si>
  <si>
    <t>Par Value Year 0 Common Stock</t>
  </si>
  <si>
    <t>finPNLReg2Prod2DisposalExp</t>
  </si>
  <si>
    <t>finPNLReg2Prod3DisposalExp</t>
  </si>
  <si>
    <t>finPNLReg2Prod4DisposalExp</t>
  </si>
  <si>
    <t>finPNLReg1DisposalExp</t>
  </si>
  <si>
    <t>capReg1Prod4UnitsWiPEnd</t>
  </si>
  <si>
    <t>capReg1Prod4UnitsProduction</t>
  </si>
  <si>
    <t>Delta Sales</t>
  </si>
  <si>
    <t>paramProd1Emp1HrsReq</t>
  </si>
  <si>
    <t>finPNLReg2RDFtr1Exp</t>
  </si>
  <si>
    <t>Nopat numbers don't match in feedback1 slides</t>
  </si>
  <si>
    <t>Range Of Producs</t>
  </si>
  <si>
    <t>Team name in financial statement should read from the dec page</t>
  </si>
  <si>
    <t>096</t>
  </si>
  <si>
    <t>VOM CSD Vetera</t>
  </si>
  <si>
    <t>VOM CSD Escendia</t>
  </si>
  <si>
    <t>VOM NCB Vetera</t>
  </si>
  <si>
    <t>VOM NCB Escendia</t>
  </si>
  <si>
    <t>finPNLReg2EmpAdminExp</t>
  </si>
  <si>
    <t>finPNLReg2EmpRecDismExp</t>
  </si>
  <si>
    <t>finPNLReg2FixedAdminExp</t>
  </si>
  <si>
    <t>finPNLReg2SGAExp</t>
  </si>
  <si>
    <t>finPNLReg2RandDExp</t>
  </si>
  <si>
    <t>finPNLReg2OtherOpExp</t>
  </si>
  <si>
    <t>finPNLReg2OpsMargin</t>
  </si>
  <si>
    <t>Total Promotions</t>
  </si>
  <si>
    <t>Goss Margin</t>
  </si>
  <si>
    <t>xxMMProd2Driver8</t>
  </si>
  <si>
    <t>xxMMProd2Driver9</t>
  </si>
  <si>
    <t>New Product Development</t>
  </si>
  <si>
    <t>Operations</t>
  </si>
  <si>
    <t>finPNLAmorGoodwillExp</t>
  </si>
  <si>
    <t>Increase (-)/ Decrease (+) in Materials</t>
  </si>
  <si>
    <t>finCashFlowInvest</t>
  </si>
  <si>
    <t>finCashFlowFinance</t>
  </si>
  <si>
    <t>finCashClosingValue</t>
  </si>
  <si>
    <t>finPNLReg1OpsMargin</t>
  </si>
  <si>
    <t>Total Regional Special Program Expense</t>
  </si>
  <si>
    <t>Total Corporate Special Program Expense</t>
  </si>
  <si>
    <t>finPNLRegionalSpecProgExp</t>
  </si>
  <si>
    <t>Earnings Before Interest, Taxes, Depreciation &amp; Amortization</t>
  </si>
  <si>
    <t>finPNLReg2COGSMatExp</t>
  </si>
  <si>
    <t>finPNLReg2COGSEmp3Exp</t>
  </si>
  <si>
    <t>finPNLReg2COGSPlant1Exp</t>
  </si>
  <si>
    <t>finPNLReg2COGSDepExp</t>
  </si>
  <si>
    <t>finPNLReg2COGSExp</t>
  </si>
  <si>
    <t>finPNLReg2GrossMargin</t>
  </si>
  <si>
    <t>finPNLReg2AdvExp</t>
  </si>
  <si>
    <t>finPNLReg2PromoExp</t>
  </si>
  <si>
    <t>finPNLReg2Emp2Exp</t>
  </si>
  <si>
    <t>finPNLReg2InventoryHndlgExp</t>
  </si>
  <si>
    <t>decProd3Promo</t>
  </si>
  <si>
    <t>decProd4Promo</t>
  </si>
  <si>
    <t>Winning Metrics</t>
  </si>
  <si>
    <t>capEBIT</t>
  </si>
  <si>
    <t>capTotalVolumeSold</t>
  </si>
  <si>
    <t>capCostPerHL</t>
  </si>
  <si>
    <t>Features</t>
  </si>
  <si>
    <t>Driver 4</t>
  </si>
  <si>
    <t>Driver 5</t>
  </si>
  <si>
    <t>Driver 6</t>
  </si>
  <si>
    <t>Segment 1</t>
  </si>
  <si>
    <t>Segment 2</t>
  </si>
  <si>
    <t>Segment 3</t>
  </si>
  <si>
    <t>Initial IT Capability</t>
  </si>
  <si>
    <t>Ending IT Capability</t>
  </si>
  <si>
    <t>IT Capability</t>
  </si>
  <si>
    <t>obalITcapLevel</t>
  </si>
  <si>
    <t>cbalITcapLevel</t>
  </si>
  <si>
    <t>Additional IT Capability Levels</t>
  </si>
  <si>
    <t>decITcapAdd</t>
  </si>
  <si>
    <t>Impact of IT Capability Level</t>
  </si>
  <si>
    <t>R&amp;D Time-To-Market Coefficient</t>
  </si>
  <si>
    <t>paramRnDttmCoeff</t>
  </si>
  <si>
    <t>MTUs Required</t>
  </si>
  <si>
    <t>Capital Cost</t>
  </si>
  <si>
    <t>cbalReg1Prod6FGValue</t>
  </si>
  <si>
    <t>cbalReg1FGValue</t>
  </si>
  <si>
    <t>cbalReg2Prod1MatValue</t>
  </si>
  <si>
    <t>paramSpecProgReg2Prod3Exp</t>
  </si>
  <si>
    <t>paramSpecProgReg2Prod4Exp</t>
  </si>
  <si>
    <t>Special Programs Expense Product 1 Region 1</t>
  </si>
  <si>
    <t>Market Model Calculation Segment 1 Segment 1</t>
  </si>
  <si>
    <t>mmProd4Reg1UnitsSold</t>
  </si>
  <si>
    <t>mmProd4Reg2UnitsSold</t>
  </si>
  <si>
    <t>Average Invested Capital</t>
  </si>
  <si>
    <t>Project Lean</t>
  </si>
  <si>
    <t>Payables &amp; NIBLs</t>
  </si>
  <si>
    <t>+</t>
  </si>
  <si>
    <t>c</t>
  </si>
  <si>
    <t>Early Adopters</t>
  </si>
  <si>
    <t>NA()</t>
  </si>
  <si>
    <t>Big Company 1</t>
  </si>
  <si>
    <t>Big Company 2</t>
  </si>
  <si>
    <t>Big Company 3</t>
  </si>
  <si>
    <t>Big Company 4</t>
  </si>
  <si>
    <t>(Adv*Commercial Spend Effectiveness)</t>
  </si>
  <si>
    <t>(Promo*Commercial Spend Effectiveness)</t>
  </si>
  <si>
    <t>L</t>
  </si>
  <si>
    <t>U</t>
  </si>
  <si>
    <t>to be used for satisfaction calculcations</t>
  </si>
  <si>
    <t>Make charts of initiative selection distribution and innovation selection distribution by prod type and innovation type</t>
  </si>
  <si>
    <t>033</t>
  </si>
  <si>
    <t>cbalProd4Reg2UnitsFG</t>
  </si>
  <si>
    <t>R&amp;D</t>
  </si>
  <si>
    <t>SGA</t>
  </si>
  <si>
    <t>Operating Margin</t>
  </si>
  <si>
    <t>Promotion</t>
  </si>
  <si>
    <t>Ending Balance Sheet</t>
  </si>
  <si>
    <t>finEVANOPAT</t>
  </si>
  <si>
    <t>capStratConsumerScore</t>
  </si>
  <si>
    <t>capStratConsumerTotal</t>
  </si>
  <si>
    <t>capStratCustomerTotal</t>
  </si>
  <si>
    <t>capStratCompanyTotal</t>
  </si>
  <si>
    <t>capStratReg1ConsumerScore</t>
  </si>
  <si>
    <t>capStratReg1CustomerScore</t>
  </si>
  <si>
    <t>capStratReg1CompanyScore</t>
  </si>
  <si>
    <t>capStratReg2ConsumerScore</t>
  </si>
  <si>
    <t>capStratReg2CustomerScore</t>
  </si>
  <si>
    <t>capStratReg2CompanyScore</t>
  </si>
  <si>
    <t>capStratCustomerScore</t>
  </si>
  <si>
    <t>finPNLReg1Prod4EmpAdminExp</t>
  </si>
  <si>
    <t>Year</t>
  </si>
  <si>
    <t>INDEX(E26:E27,MMSegCurrent)*MIN(1,MAX(0.8,(1-(INDEX(E79:E80,MMSegCurrent)/$J$85-1)/4)))</t>
  </si>
  <si>
    <t>Segment 4 Units</t>
  </si>
  <si>
    <t>Disruptive Slot 1</t>
  </si>
  <si>
    <t>Disruptive Slot 2</t>
  </si>
  <si>
    <t>Type</t>
  </si>
  <si>
    <t>finPNLReg1Prod2RandDExpS1</t>
  </si>
  <si>
    <t>capReg2Prod3CostPUnitEmp3</t>
  </si>
  <si>
    <t>capReg2Prod4CostPUnitEmp3</t>
  </si>
  <si>
    <t>Marketing Effectiveness</t>
  </si>
  <si>
    <t>Go-To-Market Decisions</t>
  </si>
  <si>
    <t>Recruiting Level</t>
  </si>
  <si>
    <t>Recruiting Level Increase</t>
  </si>
  <si>
    <t>Ramp-up Cost</t>
  </si>
  <si>
    <t>Recruiting Expenses</t>
  </si>
  <si>
    <t>Emp Dev Level Increase</t>
  </si>
  <si>
    <t>Employee Development Costs</t>
  </si>
  <si>
    <t>Capital Equipment Cost</t>
  </si>
  <si>
    <t>Ending IT Level</t>
  </si>
  <si>
    <t>IT Levels Added</t>
  </si>
  <si>
    <t>IT Investment Cost</t>
  </si>
  <si>
    <t>Total GSS Expenditures</t>
  </si>
  <si>
    <t>Sales Volume</t>
  </si>
  <si>
    <t>Human Capital</t>
  </si>
  <si>
    <t>Plant Labor</t>
  </si>
  <si>
    <t>Plant Labor Change</t>
  </si>
  <si>
    <t>Units Leased</t>
  </si>
  <si>
    <t>From ToolCommercial</t>
  </si>
  <si>
    <t>% on premise promotion</t>
  </si>
  <si>
    <t>region 1</t>
  </si>
  <si>
    <t>region 2</t>
  </si>
  <si>
    <t>prod2 positioning</t>
  </si>
  <si>
    <t>From toolPrice</t>
  </si>
  <si>
    <t>paramSpecProgProd2Sales</t>
  </si>
  <si>
    <t>obalProd3Reg2UnitsSold</t>
  </si>
  <si>
    <t>obalProd4Reg2UnitsSold</t>
  </si>
  <si>
    <t>xxMMProd3Driver4</t>
  </si>
  <si>
    <t>xxMMProd3Driver5</t>
  </si>
  <si>
    <t>xxMMProd3Driver6</t>
  </si>
  <si>
    <t>xxMMProd3Driver7</t>
  </si>
  <si>
    <t>xxMMProd3Driver8</t>
  </si>
  <si>
    <t>ffbCopyProd1CostPerHL</t>
  </si>
  <si>
    <t>ffbCopyProd3CostPerHL</t>
  </si>
  <si>
    <t>ffbCopyProd4CostPerHL</t>
  </si>
  <si>
    <t>Year-on-Year Change By Product</t>
  </si>
  <si>
    <t>Vetera Revenues</t>
  </si>
  <si>
    <t>Escendia Revenues</t>
  </si>
  <si>
    <t>ffbCopyReg1Rev</t>
  </si>
  <si>
    <t>ffbCopyReg2Rev</t>
  </si>
  <si>
    <t>obalReg1Rev</t>
  </si>
  <si>
    <t>obalReg2Rev</t>
  </si>
  <si>
    <t>Rev Growth</t>
  </si>
  <si>
    <t>Sales People - Vetera</t>
  </si>
  <si>
    <t>Sales People - Escendia</t>
  </si>
  <si>
    <t>COGS/ Unit</t>
  </si>
  <si>
    <t>Commercial Spend/ Unit</t>
  </si>
  <si>
    <t>Range of Brands</t>
  </si>
  <si>
    <t>Sales Force - Vetera</t>
  </si>
  <si>
    <t>Sales Force - Escendia</t>
  </si>
  <si>
    <t>Balanced Living Ad Campaign</t>
  </si>
  <si>
    <t>ES1</t>
  </si>
  <si>
    <t>ES2</t>
  </si>
  <si>
    <t>ES3</t>
  </si>
  <si>
    <t>ES4</t>
  </si>
  <si>
    <t>ES5</t>
  </si>
  <si>
    <t>Internal Name</t>
  </si>
  <si>
    <t>Client Name</t>
  </si>
  <si>
    <t>Language Code</t>
  </si>
  <si>
    <t>Spanish</t>
  </si>
  <si>
    <t>Product Alpha Spanish</t>
  </si>
  <si>
    <t>Per Team</t>
  </si>
  <si>
    <t>Capacity Calculations</t>
  </si>
  <si>
    <t>Base Value</t>
  </si>
  <si>
    <t>ABSOLUTE</t>
  </si>
  <si>
    <t>RELATIVE</t>
  </si>
  <si>
    <t>ADJUSTMENTS</t>
  </si>
  <si>
    <t>decProd3Reg1Price</t>
  </si>
  <si>
    <t>decProd3Reg2Price</t>
  </si>
  <si>
    <t>decProd3Brand</t>
  </si>
  <si>
    <t>decProd3Adv</t>
  </si>
  <si>
    <t>decProd4Reg1Price</t>
  </si>
  <si>
    <t>decProd4Reg2Price</t>
  </si>
  <si>
    <t>decProd4Brand</t>
  </si>
  <si>
    <t>decProd4Adv</t>
  </si>
  <si>
    <t>capProd4Emp1RecDismExp</t>
  </si>
  <si>
    <t>capProd2Emp1AdminExp</t>
  </si>
  <si>
    <t>capProd3Emp1AdminExp</t>
  </si>
  <si>
    <t>paramProd1MatCostPUnit</t>
  </si>
  <si>
    <t>paramProd4Emp1Req</t>
  </si>
  <si>
    <t>paramProd4InventoryHndlgPct</t>
  </si>
  <si>
    <t>paramProd4FixedAdmin</t>
  </si>
  <si>
    <t>paramProd5CycTimeDays</t>
  </si>
  <si>
    <t>finPNLReg2ExcapExp</t>
  </si>
  <si>
    <t>finPNLReg2DisposalExp</t>
  </si>
  <si>
    <t>Disposal Costs</t>
  </si>
  <si>
    <t>In-Year Scorecard Score</t>
  </si>
  <si>
    <t>In-Year Rank</t>
  </si>
  <si>
    <t>In-Year Scores by Year</t>
  </si>
  <si>
    <t>Moderate</t>
  </si>
  <si>
    <t>Actual</t>
  </si>
  <si>
    <t>SCORE ADJUSTORS</t>
  </si>
  <si>
    <t xml:space="preserve">Volume By Region </t>
  </si>
  <si>
    <t>Total Cost/ hL</t>
  </si>
  <si>
    <t>Leasing Plant Units</t>
  </si>
  <si>
    <t>capStratReg1TotalRating</t>
  </si>
  <si>
    <t>capStratReg2Prod1Rating</t>
  </si>
  <si>
    <t>capStratReg2Prod3Rating</t>
  </si>
  <si>
    <t>capStratReg2Prod4Rating</t>
  </si>
  <si>
    <t>capStratReg2TotalRating</t>
  </si>
  <si>
    <t>Vetera Strategy - HOW</t>
  </si>
  <si>
    <t>Escendia Strategy - HOW</t>
  </si>
  <si>
    <t>Line items in Vetera and Escendia Income Statements under COGS should be Mat and Mfg, not Mfg &amp; Distribution (B)</t>
  </si>
  <si>
    <t>007</t>
  </si>
  <si>
    <t>finPNLReg1Prod1AdvExp</t>
  </si>
  <si>
    <t>finPNLReg1Prod1PromoExp</t>
  </si>
  <si>
    <t>finPNLReg1Prod1InventoryHndlgExp</t>
  </si>
  <si>
    <t>finPNLReg1Prod1EmpAdminExp</t>
  </si>
  <si>
    <t>finPNLReg1Prod1EmpRecDismExp</t>
  </si>
  <si>
    <t>finPNLReg1Prod1FixedAdminExp</t>
  </si>
  <si>
    <t>finPNLReg1Prod1SGAExp</t>
  </si>
  <si>
    <t>decProd1Adv</t>
  </si>
  <si>
    <t>decPlant1UnitsChange</t>
  </si>
  <si>
    <t>decLTDebtChange</t>
  </si>
  <si>
    <t>xxMMProd6Driver9</t>
  </si>
  <si>
    <t>xxMMProd6Driver10</t>
  </si>
  <si>
    <t>paramProd1Emp1EngReq</t>
  </si>
  <si>
    <t>paramProd1Emp2HrsReq</t>
  </si>
  <si>
    <t>paramProd2Emp1HrsReq</t>
  </si>
  <si>
    <t>paramProd2Emp2HrsReq</t>
  </si>
  <si>
    <t>Positioning</t>
  </si>
  <si>
    <t>Unique Positioning</t>
  </si>
  <si>
    <t>Positioning Stability</t>
  </si>
  <si>
    <t>Channel Strategy</t>
  </si>
  <si>
    <t>Retained Earnings</t>
  </si>
  <si>
    <t>Net Earnings</t>
  </si>
  <si>
    <t>Total Equity</t>
  </si>
  <si>
    <t>A/R</t>
  </si>
  <si>
    <t>A/P</t>
  </si>
  <si>
    <t>Total Equity and Liabilities</t>
  </si>
  <si>
    <t>capProd1Emp1SalExp</t>
  </si>
  <si>
    <t>capProd2Emp1SalExp</t>
  </si>
  <si>
    <t>Enter Change in Share</t>
  </si>
  <si>
    <t>058</t>
  </si>
  <si>
    <t>Decision for Plant Capacity is getting erased when creating a tool. Should have zero in there if we want to zero it out, which is fine.</t>
  </si>
  <si>
    <t>059</t>
  </si>
  <si>
    <t>paramPlant2MachHrsPUnit</t>
  </si>
  <si>
    <t>paramPlant2MachCostPHr</t>
  </si>
  <si>
    <t>paramPlant2DepRate</t>
  </si>
  <si>
    <t>capPlant1HoursReq</t>
  </si>
  <si>
    <t>capPlant1MachCost</t>
  </si>
  <si>
    <t>Beta Sales</t>
  </si>
  <si>
    <t>Gamma Sales</t>
  </si>
  <si>
    <t>PRODUCTION PLANS</t>
  </si>
  <si>
    <t xml:space="preserve">Depreciation </t>
  </si>
  <si>
    <t>Equity Calculation</t>
  </si>
  <si>
    <t>ROIC (Average)</t>
  </si>
  <si>
    <t>Sustainability (Average)</t>
  </si>
  <si>
    <t>Average ROIC</t>
  </si>
  <si>
    <t>297:298</t>
  </si>
  <si>
    <t>316:317</t>
  </si>
  <si>
    <t>VOM F&amp;S Vetera</t>
  </si>
  <si>
    <t>VOM F&amp;S Escendia</t>
  </si>
  <si>
    <t>Still don't need to add any plant capacity even in the face of solid volume growth in Yr2. Is this the inventory draw-down issue?</t>
  </si>
  <si>
    <t>081</t>
  </si>
  <si>
    <t>oi4 has no impact</t>
  </si>
  <si>
    <t>082</t>
  </si>
  <si>
    <t>Why does oe4 reduce Sustainability?</t>
  </si>
  <si>
    <t>083</t>
  </si>
  <si>
    <t>oi9 has no impacts</t>
  </si>
  <si>
    <t>084</t>
  </si>
  <si>
    <t>Gross Margin Product 4 Reg1</t>
  </si>
  <si>
    <t>Gross Margin Product 4 Reg2</t>
  </si>
  <si>
    <t>cbalProd1Ftr2Level</t>
  </si>
  <si>
    <t>cbalProd1Ftr3Level</t>
  </si>
  <si>
    <t>cbalProd1Ftr4Level</t>
  </si>
  <si>
    <t>cbalProd2Ftr1Level</t>
  </si>
  <si>
    <t>cbalProd2Ftr2Level</t>
  </si>
  <si>
    <t>cbalProd2Ftr3Level</t>
  </si>
  <si>
    <t>cbalProd2Ftr4Level</t>
  </si>
  <si>
    <t>cbalProd3Ftr1Level</t>
  </si>
  <si>
    <t>cbalProd3Ftr2Level</t>
  </si>
  <si>
    <t>cbalProd3Ftr3Level</t>
  </si>
  <si>
    <t>cbalProd3Ftr4Level</t>
  </si>
  <si>
    <t>cbalProd4Ftr1Level</t>
  </si>
  <si>
    <t>cbalProd4Ftr2Level</t>
  </si>
  <si>
    <t>cbalProd4Ftr3Level</t>
  </si>
  <si>
    <t>cbalProd4Ftr4Level</t>
  </si>
  <si>
    <t>obalProd4Ftr2Level</t>
  </si>
  <si>
    <t>obalProd3Ftr2Level</t>
  </si>
  <si>
    <t>obalProd2Ftr2Level</t>
  </si>
  <si>
    <t>Print Competitor Report</t>
  </si>
  <si>
    <t>Simulation</t>
  </si>
  <si>
    <t>SimReset</t>
  </si>
  <si>
    <t>Revenue From Sold Units</t>
  </si>
  <si>
    <t>Loss on Sale of Units</t>
  </si>
  <si>
    <t>Invest Cost New Units</t>
  </si>
  <si>
    <t>Total Investment cost</t>
  </si>
  <si>
    <t>xxMMProd5Driver4</t>
  </si>
  <si>
    <t>xxMMProd5Driver5</t>
  </si>
  <si>
    <t>xxMMProd5Driver6</t>
  </si>
  <si>
    <t>xxMMProd5Driver7</t>
  </si>
  <si>
    <t>xxMMProd5Driver8</t>
  </si>
  <si>
    <t>xxMMProd5Driver9</t>
  </si>
  <si>
    <t>xxMMProd5Driver10</t>
  </si>
  <si>
    <t>capReg1Prod4UnitsFGUsed</t>
  </si>
  <si>
    <t>capReg1Prod4UnitsWiPUsed</t>
  </si>
  <si>
    <t>Disposal Expense</t>
  </si>
  <si>
    <t>finPNLReg1Prod1DisposalExp</t>
  </si>
  <si>
    <t>finPNLReg1Prod2DisposalExp</t>
  </si>
  <si>
    <t>finPNLReg1Prod3DisposalExp</t>
  </si>
  <si>
    <t>finPNLReg1Prod4DisposalExp</t>
  </si>
  <si>
    <t>finPNLReg2Prod1DisposalExp</t>
  </si>
  <si>
    <t>UnLocked Color</t>
  </si>
  <si>
    <t>xxffbResetPaste</t>
  </si>
  <si>
    <t>ffbCopyRev</t>
  </si>
  <si>
    <t>xxobalTeam1</t>
  </si>
  <si>
    <t>Common Stock Shares</t>
  </si>
  <si>
    <t>obalCStockShares</t>
  </si>
  <si>
    <t>Common Stock Price Per Share</t>
  </si>
  <si>
    <t>obalCStockPricePShare</t>
  </si>
  <si>
    <t>obalCSAT</t>
  </si>
  <si>
    <t>obalProd1Ftr1Level</t>
  </si>
  <si>
    <t>capEmp1Exp</t>
  </si>
  <si>
    <t>capEmp1RecDismExp</t>
  </si>
  <si>
    <t>capEmp2Exp</t>
  </si>
  <si>
    <t>finPNLGrossMargin</t>
  </si>
  <si>
    <t>capEmp2ExCapCost</t>
  </si>
  <si>
    <t>capEmp2OTCost</t>
  </si>
  <si>
    <t>finPNLReg2Prod2RevS2</t>
  </si>
  <si>
    <t>In7</t>
  </si>
  <si>
    <t>Net Revenues By Region</t>
  </si>
  <si>
    <t>Total net Revenues</t>
  </si>
  <si>
    <t>Net Revenues - Vetera</t>
  </si>
  <si>
    <t>Net Revenues - Escendia</t>
  </si>
  <si>
    <t>% over Net Revenue</t>
  </si>
  <si>
    <t>Total Net Revenues</t>
  </si>
  <si>
    <t>Gross Revenue Growth</t>
  </si>
  <si>
    <t>Net Revenue Growth</t>
  </si>
  <si>
    <t>In-Year net Rev Growth</t>
  </si>
  <si>
    <t>Operating Margin % (over net rev.)</t>
  </si>
  <si>
    <t>Gross Revenues ($000)</t>
  </si>
  <si>
    <t>There are nowhere near enough innovations in the list of available for 3 years of simulation, let alone 2. Need to add some.</t>
  </si>
  <si>
    <t>075</t>
  </si>
  <si>
    <t>If you're only allowed to launch 1 disruptive innovation in Yr2, why do 2 slots appear below Cross-Segment.</t>
  </si>
  <si>
    <t>076</t>
  </si>
  <si>
    <t>I thought we were going to call them Cross-Segment innovations everywhere, including on the P&amp;Ls</t>
  </si>
  <si>
    <t>B/C</t>
  </si>
  <si>
    <t>077</t>
  </si>
  <si>
    <t>Decision cells for Market Share should show 1 decimal point.</t>
  </si>
  <si>
    <t>078</t>
  </si>
  <si>
    <t>paramProd1RDFtr1Cost</t>
  </si>
  <si>
    <t>paramProd1RDFtr2Cost</t>
  </si>
  <si>
    <t>finPNLReg2Prod2SGAExpS2</t>
  </si>
  <si>
    <t>finPNLReg2Prod2RDFtr1ExpS2</t>
  </si>
  <si>
    <t>finPNLReg2Prod2RDFtr2ExpS2</t>
  </si>
  <si>
    <t>finPNLReg2Prod2RDFtr4ExpS2</t>
  </si>
  <si>
    <t>decProd3Reg1Grth</t>
  </si>
  <si>
    <t>decProd3Reg2Grth</t>
  </si>
  <si>
    <t>capReg2Prod3Emp3Exp</t>
  </si>
  <si>
    <t>capReg2Prod4Emp3Exp</t>
  </si>
  <si>
    <t>capReg2Prod1Emp3RecDismExp</t>
  </si>
  <si>
    <t>capReg2Prod3Emp3RecDismExp</t>
  </si>
  <si>
    <t>capReg2Prod4Emp3RecDismExp</t>
  </si>
  <si>
    <t>capReg2Prod1Emp3AdminExp</t>
  </si>
  <si>
    <t>capReg2Prod3Emp3AdminExp</t>
  </si>
  <si>
    <t>capReg2Prod1CostPUnitEmp3</t>
  </si>
  <si>
    <t>Changes In Labor</t>
  </si>
  <si>
    <t>Price Sweet Spot</t>
  </si>
  <si>
    <t>Ideal Market Size</t>
  </si>
  <si>
    <t>SS Price</t>
  </si>
  <si>
    <t>Avg Price</t>
  </si>
  <si>
    <t>Mkt Adjst</t>
  </si>
  <si>
    <t>Yr Lookup</t>
  </si>
  <si>
    <t>paramEquityIntRate</t>
  </si>
  <si>
    <t>paramProd4MatCostPUnitPFtr3Level</t>
  </si>
  <si>
    <t>capPlant1AllocProd3</t>
  </si>
  <si>
    <t>capPlant1AllocProd4</t>
  </si>
  <si>
    <t>obalProd4Reg1UnitsSold</t>
  </si>
  <si>
    <t>obalProd1Reg2UnitsSold</t>
  </si>
  <si>
    <t>obalProd2Reg2UnitsSold</t>
  </si>
  <si>
    <t>Disruptive Segment</t>
  </si>
  <si>
    <t>NCB Segment</t>
  </si>
  <si>
    <t>&amp;Format Sim</t>
  </si>
  <si>
    <t>xxProd6BaseUnits</t>
  </si>
  <si>
    <t>xxProd1BaseUnits</t>
  </si>
  <si>
    <t>Base Volume Data</t>
  </si>
  <si>
    <t>xxMMProd1Driver1</t>
  </si>
  <si>
    <t>xxMMProd1Driver2</t>
  </si>
  <si>
    <t>xxMMProd1Driver3</t>
  </si>
  <si>
    <t>obalProd1Brand</t>
  </si>
  <si>
    <t>obalProd2Brand</t>
  </si>
  <si>
    <t>obalProd3Brand</t>
  </si>
  <si>
    <t>obalProd4Brand</t>
  </si>
  <si>
    <t>paramProd2DisposedUnits</t>
  </si>
  <si>
    <t>paramProd3DisposedUnits</t>
  </si>
  <si>
    <t>paramProd4DisposedUnits</t>
  </si>
  <si>
    <t>paramProd1RoyaltyCostPUnit</t>
  </si>
  <si>
    <t>paramProd1MinFamBrand</t>
  </si>
  <si>
    <t>paramProd2RoyaltyCostPUnit</t>
  </si>
  <si>
    <t>cbalReg2FGValue</t>
  </si>
  <si>
    <t>paramReg1Prod1DistCostPUnit</t>
  </si>
  <si>
    <t>Channel customization level does not have any impact on small incremental changes, only full-level changes? It's confusing to allow smaller changes in the slider with no impact.</t>
  </si>
  <si>
    <t>Same issue for Channel Penetration.</t>
  </si>
  <si>
    <t>capProd1Emp1RecDismExp</t>
  </si>
  <si>
    <t>capProd1Emp2RecDismExp</t>
  </si>
  <si>
    <t>capProd1Emp2AdminExp</t>
  </si>
  <si>
    <t>capProd1Emp1AdminExp</t>
  </si>
  <si>
    <t>Location</t>
  </si>
  <si>
    <t>Message</t>
  </si>
  <si>
    <t>Shareholders Equity</t>
  </si>
  <si>
    <t>capSustHuman</t>
  </si>
  <si>
    <t>capSustTalent</t>
  </si>
  <si>
    <t>capSustainability</t>
  </si>
  <si>
    <t>Year 2</t>
  </si>
  <si>
    <t>Year 1</t>
  </si>
  <si>
    <t>sim0Tool1</t>
  </si>
  <si>
    <t>Selection</t>
  </si>
  <si>
    <t>Year 2 Programs</t>
  </si>
  <si>
    <t>Year 3 Programs</t>
  </si>
  <si>
    <t>Year 1 Programs</t>
  </si>
  <si>
    <t>Whole Grain Cookies</t>
  </si>
  <si>
    <t>*CentrePlate</t>
  </si>
  <si>
    <t>Fake Baked Chips Acquisition</t>
  </si>
  <si>
    <t>Year 3</t>
  </si>
  <si>
    <t>graphCSDAllocation</t>
  </si>
  <si>
    <t>graphNCBAllocation</t>
  </si>
  <si>
    <t>graphFnSAllocation</t>
  </si>
  <si>
    <t>graphNSAllocation</t>
  </si>
  <si>
    <t>Plant &amp; Labor Util Chart</t>
  </si>
  <si>
    <t>Promotional Focus Chart</t>
  </si>
  <si>
    <t>Product Mix Year-on-Year Chart</t>
  </si>
  <si>
    <t>R&amp;D Focus Information Grid</t>
  </si>
  <si>
    <t>Investment ($MM)</t>
  </si>
  <si>
    <t>finPNLReg2Prod3COGSDepExp</t>
  </si>
  <si>
    <t>finPNLReg2Prod3COGSExp</t>
  </si>
  <si>
    <t>finPNLReg2Prod3GrossMargin</t>
  </si>
  <si>
    <t>finPNLReg2Prod3AdvExp</t>
  </si>
  <si>
    <t>finPNLReg2Prod3PromoExp</t>
  </si>
  <si>
    <t>finPNLReg2Prod3InventoryHndlgExp</t>
  </si>
  <si>
    <t>Changing pricing in Escendia does not change Oper Margiin in dashboard. Still seems to be some kind of rounding/cutoff issue</t>
  </si>
  <si>
    <t>068</t>
  </si>
  <si>
    <t>obalReg1Prod4Price</t>
  </si>
  <si>
    <t>Total InEfficiency Expense</t>
  </si>
  <si>
    <t>Total Excess Capacity Expense</t>
  </si>
  <si>
    <t>Total Disposal Expense</t>
  </si>
  <si>
    <t>capProd1COGSPUnitMat</t>
  </si>
  <si>
    <t>paramSustCulture</t>
  </si>
  <si>
    <t>paramSustCommunity</t>
  </si>
  <si>
    <t>Portfolio Development</t>
  </si>
  <si>
    <t>obalRecruitLevel</t>
  </si>
  <si>
    <t>obalEmpDevLevel</t>
  </si>
  <si>
    <t>R&amp;D Allocation By Innovation Type</t>
  </si>
  <si>
    <t>R&amp;D Innovation Type</t>
  </si>
  <si>
    <t>capRFSHrnd</t>
  </si>
  <si>
    <t>capBKTHrnd</t>
  </si>
  <si>
    <t>capDSRPrnd</t>
  </si>
  <si>
    <t>Vetera Net Revs</t>
  </si>
  <si>
    <t>Escendia Net Revs</t>
  </si>
  <si>
    <t>Total Net Revs</t>
  </si>
  <si>
    <t>Market Model Calculation Segment 2 Escendia</t>
  </si>
  <si>
    <t>decRecruitLevel</t>
  </si>
  <si>
    <t>decEmpDevLevel</t>
  </si>
  <si>
    <t>Channel Penetration Level</t>
  </si>
  <si>
    <t>R&amp;D Project #1</t>
  </si>
  <si>
    <t>R&amp;D Project #2</t>
  </si>
  <si>
    <t>R&amp;D Project #3</t>
  </si>
  <si>
    <t>R&amp;D Project #4</t>
  </si>
  <si>
    <t>Plant Capacity Decision</t>
  </si>
  <si>
    <t>PepsiCo &amp;Simulation</t>
  </si>
  <si>
    <t>$(MM)</t>
  </si>
  <si>
    <t>1 Day DSO ($MM) =</t>
  </si>
  <si>
    <t>($MM, MM Units)</t>
  </si>
  <si>
    <t>ffbCopyReg1Prod2Vol</t>
  </si>
  <si>
    <t>ffbCopyReg1Prod2VolNonStockOut</t>
  </si>
  <si>
    <t>ffbCopyReg1Prod2VolStockOut</t>
  </si>
  <si>
    <t>ToolDataExportRunFinal</t>
  </si>
  <si>
    <t>capProd1CostPUnitEmp1</t>
  </si>
  <si>
    <t>Advertising Cost</t>
  </si>
  <si>
    <t>Promotional Cost</t>
  </si>
  <si>
    <t>capReg1Prod4UnitsWiP</t>
  </si>
  <si>
    <t>capReg2Prod4UnitsWiP</t>
  </si>
  <si>
    <t>Beginning Sales force</t>
  </si>
  <si>
    <t>Attrition</t>
  </si>
  <si>
    <t>Recruited/ (Dismissed)</t>
  </si>
  <si>
    <t>Ending Sales force</t>
  </si>
  <si>
    <t>COST</t>
  </si>
  <si>
    <t>Recruiting and Dismissal Expense</t>
  </si>
  <si>
    <t>Fixed Administration Expense</t>
  </si>
  <si>
    <t>Lower Region Sales Force</t>
  </si>
  <si>
    <t>Upper Region Sales Force</t>
  </si>
  <si>
    <t>Upper Region Growth</t>
  </si>
  <si>
    <t>Lower Region growth</t>
  </si>
  <si>
    <t>&amp;ROIC Tree</t>
  </si>
  <si>
    <t>finPNLReg2Prod2COGSDistExp</t>
  </si>
  <si>
    <t>finPNLReg2Prod3COGSDistExp</t>
  </si>
  <si>
    <t>Animal Farm Crisps</t>
  </si>
  <si>
    <t>xxMMProd6Seg2Units</t>
  </si>
  <si>
    <t>xxMMProd6Seg3Units</t>
  </si>
  <si>
    <t>xxMMProd6Seg4Units</t>
  </si>
  <si>
    <t>xxMMProd6Seg5Units</t>
  </si>
  <si>
    <t>decProd2WhatIfUnits</t>
  </si>
  <si>
    <t>decProd3WhatIfUnits</t>
  </si>
  <si>
    <t>International Labor</t>
  </si>
  <si>
    <t>decReg1OnPremAdv</t>
  </si>
  <si>
    <t>decReg2OnPremAdv</t>
  </si>
  <si>
    <t>Bid Labor</t>
  </si>
  <si>
    <t>% Growth Rate from Previous Year</t>
  </si>
  <si>
    <t>paramEmp3OTRate</t>
  </si>
  <si>
    <t>paramEmp1OTRate</t>
  </si>
  <si>
    <t>capEmp1ExCapCost</t>
  </si>
  <si>
    <t>capEmp1OTCost</t>
  </si>
  <si>
    <t>xxWinMetricYear0</t>
  </si>
  <si>
    <t>xxWinMetricYear1</t>
  </si>
  <si>
    <t>xxWinMetricYear2</t>
  </si>
  <si>
    <t>xxWinMetricYear3</t>
  </si>
  <si>
    <t>Wobbler 3</t>
  </si>
  <si>
    <t>Wobbler 4</t>
  </si>
  <si>
    <t>Upper Region Sales Force Effectiveness</t>
  </si>
  <si>
    <t>Lower Region Sales Force Effectiveness</t>
  </si>
  <si>
    <t>paramEmp1Effect</t>
  </si>
  <si>
    <t>paramEmp2Effect</t>
  </si>
  <si>
    <t>Impact of Sales People Hire/Fire</t>
  </si>
  <si>
    <t>Total Employee Development Expenses</t>
  </si>
  <si>
    <t>finPNLempDevCosts</t>
  </si>
  <si>
    <t>IT Capability Improvement</t>
  </si>
  <si>
    <t>paramProd4RDFtr2Cost</t>
  </si>
  <si>
    <t>paramProd4RDFtr4Cost</t>
  </si>
  <si>
    <t>capPlant1MachInEffCost</t>
  </si>
  <si>
    <t>capPlant1MachExCapCost</t>
  </si>
  <si>
    <t>capPlant1InEffDepreciation</t>
  </si>
  <si>
    <t>capPlant1ExCapDepreciation</t>
  </si>
  <si>
    <t>finPNLReg1Prod1RDFtr1Exp</t>
  </si>
  <si>
    <t>finPNLReg1Prod1RDFtr2Exp</t>
  </si>
  <si>
    <t>finPNLReg1Prod1RDFtr4Exp</t>
  </si>
  <si>
    <t>finPNLReg1Prod2RDFtr1Exp</t>
  </si>
  <si>
    <t>finPNLReg1Prod2RDFtr2Exp</t>
  </si>
  <si>
    <t>finPNLReg1Prod2RDFtr4Exp</t>
  </si>
  <si>
    <t>finPNLReg1Prod3RDFtr1Exp</t>
  </si>
  <si>
    <t>Scottish &amp; Newcastle Plc</t>
  </si>
  <si>
    <t xml:space="preserve">Anheuser-Busch Inc.  </t>
  </si>
  <si>
    <t>Hieneken Holding</t>
  </si>
  <si>
    <t>Hieneken NV</t>
  </si>
  <si>
    <t>Profit And Loss</t>
  </si>
  <si>
    <t>Cost of Goods Sold</t>
  </si>
  <si>
    <t>finPNLReg1InventoryHndlgExp</t>
  </si>
  <si>
    <t>finPNLReg1EmpAdminExp</t>
  </si>
  <si>
    <t>finPNLReg1EmpRecDismExp</t>
  </si>
  <si>
    <t>finPNLReg1FixedAdminExp</t>
  </si>
  <si>
    <t>finPNLReg1SGAExp</t>
  </si>
  <si>
    <t>finPNLReg1RandDExp</t>
  </si>
  <si>
    <t>finPNLReg1OtherOpExp</t>
  </si>
  <si>
    <t>Total R&amp;D Spend By Product Type</t>
  </si>
  <si>
    <t>Prev Yr</t>
  </si>
  <si>
    <t>finPNLReg1PromoExp</t>
  </si>
  <si>
    <t>Program 4 Year 3</t>
  </si>
  <si>
    <t>Program 5 Year 3</t>
  </si>
  <si>
    <t>On RESET Macro - Are latest changes reflected in Reset Column (developers Macro)/ and New year macro if Year = 0</t>
  </si>
  <si>
    <t>More Documentation</t>
  </si>
  <si>
    <t>Theoretical Overall Market Share - Based on Segment Break Down Pre Stockout</t>
  </si>
  <si>
    <t>Change Color for team 5 to light purple/pink</t>
  </si>
  <si>
    <t>Total Manufacturing Expense</t>
  </si>
  <si>
    <t>Totals</t>
  </si>
  <si>
    <t>Program Owner</t>
  </si>
  <si>
    <t>Simulation Developer</t>
  </si>
  <si>
    <t>Comments</t>
  </si>
  <si>
    <t>I5</t>
  </si>
  <si>
    <t>I6</t>
  </si>
  <si>
    <t>I7</t>
  </si>
  <si>
    <t>I8</t>
  </si>
  <si>
    <t>Overall Score</t>
  </si>
  <si>
    <t>Beginning Labor Employees</t>
  </si>
  <si>
    <t>Decision Cell Color</t>
  </si>
  <si>
    <t>FMATDAreaColor</t>
  </si>
  <si>
    <t>FMATDAreaFont</t>
  </si>
  <si>
    <t>FMATDAReaBorder</t>
  </si>
  <si>
    <t>FMATRAreaColor</t>
  </si>
  <si>
    <t>FMATRAreaFont</t>
  </si>
  <si>
    <t>FMATRAreaBorder</t>
  </si>
  <si>
    <t>FMATDCellColor</t>
  </si>
  <si>
    <t>FMATDCellFont</t>
  </si>
  <si>
    <t>FMATDCellBorder</t>
  </si>
  <si>
    <t>FMATDBoardFont</t>
  </si>
  <si>
    <t>Dashboard Border</t>
  </si>
  <si>
    <t>FMATDBoardColor</t>
  </si>
  <si>
    <t>FMATBGround</t>
  </si>
  <si>
    <t>Decision Area Font Type Header</t>
  </si>
  <si>
    <t>FMATDAreaFontHeader</t>
  </si>
  <si>
    <t>Font</t>
  </si>
  <si>
    <t>Decision Area Color Header</t>
  </si>
  <si>
    <t>New Partner Brands</t>
  </si>
  <si>
    <t>New Specialty Brands</t>
  </si>
  <si>
    <t>finPNLReg2Prod1EmpAdminExp</t>
  </si>
  <si>
    <t>finPNLReg2Prod1EmpRecDismExp</t>
  </si>
  <si>
    <t>finPNLReg2Prod1FixedAdminExp</t>
  </si>
  <si>
    <t>paramProd2MinFamBrand</t>
  </si>
  <si>
    <t>paramProd3RoyaltyCostPUnit</t>
  </si>
  <si>
    <t>paramProd3MinFamBrand</t>
  </si>
  <si>
    <t>capProd3COGSPUnitMat</t>
  </si>
  <si>
    <t>Market Growth Year 0</t>
  </si>
  <si>
    <t>Market Growth Year 1</t>
  </si>
  <si>
    <t>Market Growth Year 2</t>
  </si>
  <si>
    <t>Market Growth Year 3</t>
  </si>
  <si>
    <t>Market Growth Year 4</t>
  </si>
  <si>
    <t>Graph Data</t>
  </si>
  <si>
    <t>Market 1</t>
  </si>
  <si>
    <t>xxProd4BaseUnits</t>
  </si>
  <si>
    <t>xxProd5BaseUnits</t>
  </si>
  <si>
    <t>FMATDBoardBorder</t>
  </si>
  <si>
    <t>SimFormat</t>
  </si>
  <si>
    <t>finPNLReg1Prod4OtherOpExp</t>
  </si>
  <si>
    <t>finPNLReg1Prod4OpsMargin</t>
  </si>
  <si>
    <t>finPNLReg2Prod1Rev</t>
  </si>
  <si>
    <t>finPNLReg2Prod1COGSMatExp</t>
  </si>
  <si>
    <t>finPNLReg2Prod1COGSPlant1Exp</t>
  </si>
  <si>
    <t>finPNLReg2Prod1COGSDepExp</t>
  </si>
  <si>
    <t>obalReg1Prod1NetRev</t>
  </si>
  <si>
    <t>obalReg2Prod1NetRev</t>
  </si>
  <si>
    <t>obalReg1Prod3NetRev</t>
  </si>
  <si>
    <t>obalReg2Prod3NetRev</t>
  </si>
  <si>
    <t>Plant Flexibility Level</t>
  </si>
  <si>
    <t>IT Level Investment</t>
  </si>
  <si>
    <t>Cash Req</t>
  </si>
  <si>
    <t>MTUs Req</t>
  </si>
  <si>
    <t>Dev Time</t>
  </si>
  <si>
    <t>Std Innovations List</t>
  </si>
  <si>
    <t>cbalEmp10</t>
  </si>
  <si>
    <t>obalEmp10</t>
  </si>
  <si>
    <t>R&amp;D Spend</t>
  </si>
  <si>
    <t>ffbCopyRnDSpend</t>
  </si>
  <si>
    <t>R&amp;D Allocation By Segment</t>
  </si>
  <si>
    <t>finPNLReg2Prod3EmpAdminExp</t>
  </si>
  <si>
    <t>finPNLReg2Prod3EmpRecDismExp</t>
  </si>
  <si>
    <t>finPNLReg2Prod3FixedAdminExp</t>
  </si>
  <si>
    <t>Advertising % Of Gross Revs</t>
  </si>
  <si>
    <t>Promotion % Of Gross Revs</t>
  </si>
  <si>
    <t>Mkt Spend % Of Gross Revs</t>
  </si>
  <si>
    <t>Gross Sales / Salesperson</t>
  </si>
  <si>
    <t>Gross Revenue ($MM)</t>
  </si>
  <si>
    <t>% of Gross Revenues</t>
  </si>
  <si>
    <t>% of Net Revenues</t>
  </si>
  <si>
    <t>% of Total Gross Revenue</t>
  </si>
  <si>
    <t>Gross Margin (over Gross Revenues)</t>
  </si>
  <si>
    <t>% of Total Net Revenue</t>
  </si>
  <si>
    <t>% Gross Margin (over Net Rev.)</t>
  </si>
  <si>
    <t>Gross Margin % (over Net Revenues)</t>
  </si>
  <si>
    <t>% of Gross Revenues - Vetera</t>
  </si>
  <si>
    <t>% of Gross Revenues - Escendia</t>
  </si>
  <si>
    <t>[Revenues - Cost of Goods Sold]/[Net Revenues]</t>
  </si>
  <si>
    <t>[Revenues - Cost of Goods Sold - SG&amp;A - R&amp;D - Other Exp]/[Net Revenues]</t>
  </si>
  <si>
    <t>In-Year Net Rev Growth</t>
  </si>
  <si>
    <t>Overall Net Rev Growth</t>
  </si>
  <si>
    <t>Gross Revenue Per Sales Rep</t>
  </si>
  <si>
    <t>finPNLReg2Prod2RDFtr1Exp</t>
  </si>
  <si>
    <t>finPNLReg2Prod2RDFtr2Exp</t>
  </si>
  <si>
    <t>finPNLReg2Prod2RDFtr4Exp</t>
  </si>
  <si>
    <t>finPNLReg2Prod3RDFtr1Exp</t>
  </si>
  <si>
    <t>finPNLReg2Prod3RDFtr2Exp</t>
  </si>
  <si>
    <t>finPNLReg2Prod3RDFtr4Exp</t>
  </si>
  <si>
    <t>Valid</t>
  </si>
  <si>
    <t>Not used Previously</t>
  </si>
  <si>
    <t>Not used This Year</t>
  </si>
  <si>
    <t>Programs</t>
  </si>
  <si>
    <t>finPNLReg1Prod1COGSEmp3Exp</t>
  </si>
  <si>
    <t>finPNLReg1Prod1Emp1Exp</t>
  </si>
  <si>
    <t>finPNLReg1Prod2COGSEmp3Exp</t>
  </si>
  <si>
    <t>finPNLReg1Prod2Emp1Exp</t>
  </si>
  <si>
    <t>finPNLReg2Prod2EmpRecDismExp</t>
  </si>
  <si>
    <t>finPNLReg2Prod2SGAExp</t>
  </si>
  <si>
    <t>finPNLReg2Prod2RandDExp</t>
  </si>
  <si>
    <t>finPNLReg2Prod2OtherOpExp</t>
  </si>
  <si>
    <t>finPNLReg2Prod2OpsMargin</t>
  </si>
  <si>
    <t>finPNLReg2Prod3Rev</t>
  </si>
  <si>
    <t>finPNLReg2Prod3COGSMatExp</t>
  </si>
  <si>
    <t>finPNLReg2Prod3COGSPlant1Exp</t>
  </si>
  <si>
    <t>Goodwill &amp; Other Assets</t>
  </si>
  <si>
    <t>dataList1to10</t>
  </si>
  <si>
    <t>cbalEmp2</t>
  </si>
  <si>
    <t>cbalEmp3</t>
  </si>
  <si>
    <t>cbalEmp1</t>
  </si>
  <si>
    <t>finPNLReg1Prod3OtherOpExp</t>
  </si>
  <si>
    <t>finPNLReg1Prod3OpsMargin</t>
  </si>
  <si>
    <t>capReg2Emp3AllocProd21</t>
  </si>
  <si>
    <t>capReg2Prod21Emp3Exp</t>
  </si>
  <si>
    <t>capReg2Prod21CostPUnitEmp3</t>
  </si>
  <si>
    <t>How much FG spoils vs. can be carried over to next year?</t>
  </si>
  <si>
    <t>capPlant1DivestmentRevenue</t>
  </si>
  <si>
    <t>Plant Invest(-)</t>
  </si>
  <si>
    <t>Total Depreciation</t>
  </si>
  <si>
    <t>Emp2</t>
  </si>
  <si>
    <t>Emp3</t>
  </si>
  <si>
    <t>Emp4</t>
  </si>
  <si>
    <t>Emp5</t>
  </si>
  <si>
    <t>Emp6</t>
  </si>
  <si>
    <t>Emp7</t>
  </si>
  <si>
    <t>Emp8</t>
  </si>
  <si>
    <t>Emp9</t>
  </si>
  <si>
    <t>Emp10</t>
  </si>
  <si>
    <t>Prod1</t>
  </si>
  <si>
    <t>Prod2</t>
  </si>
  <si>
    <t>Prod3</t>
  </si>
  <si>
    <t>Prod4</t>
  </si>
  <si>
    <t>Prod5</t>
  </si>
  <si>
    <t>Prod6</t>
  </si>
  <si>
    <t>Product Five</t>
  </si>
  <si>
    <t>Product Six</t>
  </si>
  <si>
    <t>Employee 9</t>
  </si>
  <si>
    <t>092</t>
  </si>
  <si>
    <t>Volume Hurdle</t>
  </si>
  <si>
    <t>ffbCopyYearPoints</t>
  </si>
  <si>
    <t>capEmp10Exp</t>
  </si>
  <si>
    <t>ffbCopyProd1Rev</t>
  </si>
  <si>
    <t>ffbCopyProd3Rev</t>
  </si>
  <si>
    <t>Volume Growth Forecast</t>
  </si>
  <si>
    <t>ffbCopyreg1Prod1Price</t>
  </si>
  <si>
    <t>capReg1Prod2UnitsProduction</t>
  </si>
  <si>
    <t>capReg1Prod3UnitsFGUsed</t>
  </si>
  <si>
    <t>capReg1Prod3UnitsWiPUsed</t>
  </si>
  <si>
    <t>capReg1Prod3UnitsWiPEnd</t>
  </si>
  <si>
    <t>capReg1Prod3UnitsProduction</t>
  </si>
  <si>
    <t>cbalProd2Reg1UnitsSold</t>
  </si>
  <si>
    <t>cbalProd3Reg1UnitsWIP</t>
  </si>
  <si>
    <t>cbalProd3Reg1UnitsFG</t>
  </si>
  <si>
    <t>cbalProd3Reg1UnitsSold</t>
  </si>
  <si>
    <t>cbalProd4Reg1UnitsWIP</t>
  </si>
  <si>
    <t>cbalProd4Reg1UnitsFG</t>
  </si>
  <si>
    <t>cbalProd4Reg1UnitsSold</t>
  </si>
  <si>
    <t>finPNLReg2Prod4COGSMatExp</t>
  </si>
  <si>
    <t>finPNLReg1Prod2NetRev</t>
  </si>
  <si>
    <t>finPNLReg1Prod3NetRev</t>
  </si>
  <si>
    <t>finPNLReg1Prod4NetRev</t>
  </si>
  <si>
    <t>finPNLReg2Prod1NetRev</t>
  </si>
  <si>
    <t>finPNLReg2Prod2NetRev</t>
  </si>
  <si>
    <t>finPNLReg2Prod3NetRev</t>
  </si>
  <si>
    <t>finPNLReg2Prod4NetRev</t>
  </si>
  <si>
    <t>Raw Materials Inventory</t>
  </si>
  <si>
    <t>Work In Progress Inventory</t>
  </si>
  <si>
    <t>Finished Goods Inventory</t>
  </si>
  <si>
    <t>Goodwill, Cash &amp; Receivables</t>
  </si>
  <si>
    <t>Inventory Value</t>
  </si>
  <si>
    <t>($MM)</t>
  </si>
  <si>
    <t>F&amp;S Segment</t>
  </si>
  <si>
    <t>032</t>
  </si>
  <si>
    <t>cbalProd1Reg2UnitsWIP</t>
  </si>
  <si>
    <t>cbalProd1Reg2UnitsFG</t>
  </si>
  <si>
    <t>cbalProd1Reg2UnitsSold</t>
  </si>
  <si>
    <t>cbalProd2Reg2UnitsWIP</t>
  </si>
  <si>
    <t>cbalProd2Reg2UnitsFG</t>
  </si>
  <si>
    <t>cbalProd2Reg2UnitsSold</t>
  </si>
  <si>
    <t>cbalProd3Reg2UnitsWIP</t>
  </si>
  <si>
    <t>cbalProd3Reg2UnitsFG</t>
  </si>
  <si>
    <t>finPNLReg1Prod1RandDExp</t>
  </si>
  <si>
    <t>finPNLReg1Prod1OtherOpExp</t>
  </si>
  <si>
    <t>ffbCopyreg1Prod3Price</t>
  </si>
  <si>
    <t>ffbCopyreg1Prod3Vol</t>
  </si>
  <si>
    <t>paramProd3InnovReg2</t>
  </si>
  <si>
    <t>Refresh</t>
  </si>
  <si>
    <t>Breakthrough</t>
  </si>
  <si>
    <t>I1</t>
  </si>
  <si>
    <t>I2</t>
  </si>
  <si>
    <t>I3</t>
  </si>
  <si>
    <t>I4</t>
  </si>
  <si>
    <t>I9</t>
  </si>
  <si>
    <t>I10</t>
  </si>
  <si>
    <t>I11</t>
  </si>
  <si>
    <t>I12</t>
  </si>
  <si>
    <t>decInnov1</t>
  </si>
  <si>
    <t>17. Low Price U.S. Import</t>
  </si>
  <si>
    <t>18. A Connoisseur of Beer</t>
  </si>
  <si>
    <t>19. European Tradition</t>
  </si>
  <si>
    <t>20. Genuine Times</t>
  </si>
  <si>
    <t>11. Spirit of Upper Region</t>
  </si>
  <si>
    <t>Mainstream Lower</t>
  </si>
  <si>
    <t>Mainstream Upper</t>
  </si>
  <si>
    <t>Value Lower</t>
  </si>
  <si>
    <t>Operations sub-dashboard… I would suggest a couple other metrics</t>
  </si>
  <si>
    <t>037</t>
  </si>
  <si>
    <t>Sales Fcst (000)</t>
  </si>
  <si>
    <t>capReg2Prod3UnitsWiPEnd</t>
  </si>
  <si>
    <t>capReg2Prod3UnitsProduction</t>
  </si>
  <si>
    <t>SP3</t>
  </si>
  <si>
    <t>SP4</t>
  </si>
  <si>
    <t>SP5</t>
  </si>
  <si>
    <t>WB1</t>
  </si>
  <si>
    <t>WB2</t>
  </si>
  <si>
    <t>WB3</t>
  </si>
  <si>
    <t>WB4</t>
  </si>
  <si>
    <t>Woblblers</t>
  </si>
  <si>
    <t>cbalCashValue</t>
  </si>
  <si>
    <t>cbalRetEarnValue</t>
  </si>
  <si>
    <t>cbalNetEarnValue</t>
  </si>
  <si>
    <t>cbalCStockValue</t>
  </si>
  <si>
    <t>PROFIT AND LOSS</t>
  </si>
  <si>
    <t>CASH FLOW</t>
  </si>
  <si>
    <t>Opening Balance of cash</t>
  </si>
  <si>
    <t>Cash from Operations</t>
  </si>
  <si>
    <t>Inc(-)/dec(+) in AR</t>
  </si>
  <si>
    <t>Inc(-)/dec(+) in Finished Goods</t>
  </si>
  <si>
    <t>Inc(-)/dec(+) in WIP</t>
  </si>
  <si>
    <t>Values in (000)</t>
  </si>
  <si>
    <t>obalProd4COGSPUnitDep</t>
  </si>
  <si>
    <t>obalProd5COGSPUnitEmp2</t>
  </si>
  <si>
    <t>Recruit/ Dismisall Expense</t>
  </si>
  <si>
    <t>Fixed Admin Expense</t>
  </si>
  <si>
    <t>SGA Expense</t>
  </si>
  <si>
    <t>Operating Expense</t>
  </si>
  <si>
    <t>Administration Expense</t>
  </si>
  <si>
    <t>General Expense</t>
  </si>
  <si>
    <t>Selling Expense</t>
  </si>
  <si>
    <t>finPNLReg1Rev</t>
  </si>
  <si>
    <t>finPNLReg1COGSMatExp</t>
  </si>
  <si>
    <t>finPNLReg1COGSPlant1Exp</t>
  </si>
  <si>
    <t>Should Material Cost / Unit really appear below Channel Customization on Vetera? I would think it should be Distribution cost? (B/C)</t>
  </si>
  <si>
    <t>019</t>
  </si>
  <si>
    <t>Ending Inventories</t>
  </si>
  <si>
    <t>Total WIP Inventory</t>
  </si>
  <si>
    <t>Finished Goods (000 Units)</t>
  </si>
  <si>
    <t>Value of Inventories ($MM)</t>
  </si>
  <si>
    <t>Raw materials</t>
  </si>
  <si>
    <t>Work In Process (000 Units)</t>
  </si>
  <si>
    <t>units/co</t>
  </si>
  <si>
    <t>units/line</t>
  </si>
  <si>
    <t>unilts/line/day</t>
  </si>
  <si>
    <t>cycle time</t>
  </si>
  <si>
    <t>hrs/day</t>
  </si>
  <si>
    <t>mach hrs/unit</t>
  </si>
  <si>
    <t>batches</t>
  </si>
  <si>
    <t>Units WIP/line</t>
  </si>
  <si>
    <t>In the toolPrice market report, Is it appropriate to use the opening balances for calculation of growth rates?</t>
  </si>
  <si>
    <t>finPNLReg1Prod2COGSPlant1Exp</t>
  </si>
  <si>
    <t>finPNLReg1Prod2COGSDepExp</t>
  </si>
  <si>
    <t>finPNLReg1Prod2COGSExp</t>
  </si>
  <si>
    <t>finPNLReg1Prod2GrossMargin</t>
  </si>
  <si>
    <t>finPNLReg1Prod2AdvExp</t>
  </si>
  <si>
    <t>finPNLReg1Prod2PromoExp</t>
  </si>
  <si>
    <t>finPNLReg1Prod2InventoryHndlgExp</t>
  </si>
  <si>
    <t>finPNLReg1Prod2EmpAdminExp</t>
  </si>
  <si>
    <t>finPNLReg1Prod2EmpRecDismExp</t>
  </si>
  <si>
    <t>finPNLReg1Prod2FixedAdminExp</t>
  </si>
  <si>
    <t>finPNLReg1Prod2SGAExp</t>
  </si>
  <si>
    <t>finPNLReg1Prod2RandDExp</t>
  </si>
  <si>
    <t>finPNLReg1Prod2OtherOpExp</t>
  </si>
  <si>
    <t>finPNLReg1Prod2OpsMargin</t>
  </si>
  <si>
    <t>finPNLReg1Prod3Rev</t>
  </si>
  <si>
    <t>paramEmp10OTRate</t>
  </si>
  <si>
    <t>cbalProd1COGSPUnitPlant</t>
  </si>
  <si>
    <t>obalProd5COGSPUnitPlant1</t>
  </si>
  <si>
    <t>obalProd5COGSPUnitDep</t>
  </si>
  <si>
    <t>obalProd6COGSPUnitEmp2</t>
  </si>
  <si>
    <t>obalProd6COGSPUnitPlant1</t>
  </si>
  <si>
    <t>obalProd6COGSPUnitDep</t>
  </si>
  <si>
    <t>PLANT &amp; MACHINERY</t>
  </si>
  <si>
    <t>DEPRECIATION</t>
  </si>
  <si>
    <t>capProd4COGSPUnitDep</t>
  </si>
  <si>
    <t>capProd3COGSPUnitDep</t>
  </si>
  <si>
    <t>Return On Invested Capital</t>
  </si>
  <si>
    <t>Costs</t>
  </si>
  <si>
    <t xml:space="preserve">SG&amp;A </t>
  </si>
  <si>
    <t>Placement of Units - Region A</t>
  </si>
  <si>
    <t>Placement of Units - Region B</t>
  </si>
  <si>
    <t>mmProd3Reg1UnitsSold</t>
  </si>
  <si>
    <t>mmProd3Reg2UnitsSold</t>
  </si>
  <si>
    <t>Market Model Calculation Segment 2 Segment 2</t>
  </si>
  <si>
    <t>ffbCopyreg1Prod1Vol</t>
  </si>
  <si>
    <t>ffbCopyreg1Prod1VolNonStockOut</t>
  </si>
  <si>
    <t>ffbCopyreg1Prod1VolStockOut</t>
  </si>
  <si>
    <t>ffbCopyreg2Prod3Price</t>
  </si>
  <si>
    <t>ffbCopyreg2Prod3VolStockOut</t>
  </si>
  <si>
    <t>ffbCopyreg1Prod4Price</t>
  </si>
  <si>
    <t>ffbCopyreg1Prod4Vol</t>
  </si>
  <si>
    <t>decWobbler1</t>
  </si>
  <si>
    <t>decWobbler2</t>
  </si>
  <si>
    <t>decWobbler3</t>
  </si>
  <si>
    <t>decWobbler4</t>
  </si>
  <si>
    <t>SP1</t>
  </si>
  <si>
    <t>SP2</t>
  </si>
  <si>
    <t>Calculated Value</t>
  </si>
  <si>
    <t>Score Driver 1</t>
  </si>
  <si>
    <t>Score Driver 2</t>
  </si>
  <si>
    <t>Score Driver 3</t>
  </si>
  <si>
    <t>Score Driver 4</t>
  </si>
  <si>
    <t>Score Driver 5</t>
  </si>
  <si>
    <t>Score Driver 6</t>
  </si>
  <si>
    <t>Score Driver 7</t>
  </si>
  <si>
    <t>Segment Size</t>
  </si>
  <si>
    <t>Rank</t>
  </si>
  <si>
    <t>Placement of Units</t>
  </si>
  <si>
    <t>Units In Demand</t>
  </si>
  <si>
    <t>Units Available</t>
  </si>
  <si>
    <t>paramProd4InnovReg1</t>
  </si>
  <si>
    <t>paramProd4InnovReg2</t>
  </si>
  <si>
    <t>decEmp3Change</t>
  </si>
  <si>
    <t>obalEmp1</t>
  </si>
  <si>
    <t>obalEmp2</t>
  </si>
  <si>
    <t>obalEmp3</t>
  </si>
  <si>
    <t>paramEmp1AdminCostPct</t>
  </si>
  <si>
    <t>paramEmp1AttRate</t>
  </si>
  <si>
    <t>paramEmp1Exp</t>
  </si>
  <si>
    <t>Questions (11/15/02)</t>
  </si>
  <si>
    <t>Cost of Goods Sold (per Unit)</t>
  </si>
  <si>
    <t>Sports Stadium Sponsorship</t>
  </si>
  <si>
    <t>Marketing for Consumption Awareness</t>
  </si>
  <si>
    <t>Labelling for Consumption Awareness</t>
  </si>
  <si>
    <t>paramProd2InventoryHndlgPct</t>
  </si>
  <si>
    <t>Year -1 A/P seems very high. Also, the Net Profit number is very low. Balance these 2 items down/up. But see also #049 and #050 below BEFORE doing this one.</t>
  </si>
  <si>
    <t>048</t>
  </si>
  <si>
    <t>ROIC for Year 0 is a bit high. Try to keep to about 25%</t>
  </si>
  <si>
    <t>049</t>
  </si>
  <si>
    <t>A/P calculation on cbal:row92 is not right. Needs to include capex, not just expenses. Also, A/P days is only 30. Should be min 45.</t>
  </si>
  <si>
    <t>050</t>
  </si>
  <si>
    <t>paramEmp2HoursPYear</t>
  </si>
  <si>
    <t>paramEmp2OTRate</t>
  </si>
  <si>
    <t>paramEmp2RecDismCost</t>
  </si>
  <si>
    <t>paramEmp3AdminCostPct</t>
  </si>
  <si>
    <t>paramEmp3AttRate</t>
  </si>
  <si>
    <t>paramEmp3RecDismCost</t>
  </si>
  <si>
    <t>obalEmp3Utiliz</t>
  </si>
  <si>
    <t>1. Fun with Friends</t>
  </si>
  <si>
    <t>5. Hanging with the Guys</t>
  </si>
  <si>
    <t>6. Enhance my Status</t>
  </si>
  <si>
    <t>7. Time to Socialize</t>
  </si>
  <si>
    <t>8. Relaxing Outdoors</t>
  </si>
  <si>
    <t>9. Taste of the Wilderness</t>
  </si>
  <si>
    <t>10. Deserved Reward</t>
  </si>
  <si>
    <t>Net Profit' on Balance Sheet, Income Statements and Cash Flow Statement should be "Net Income"</t>
  </si>
  <si>
    <t>052</t>
  </si>
  <si>
    <t>Relating to #049 above… technically the calc of CashExpense on fin row 714 should subtract out Depreciation as a non-cash expense</t>
  </si>
  <si>
    <t>C/D</t>
  </si>
  <si>
    <t>053</t>
  </si>
  <si>
    <t>On the Income Statements, I would not show 'Overhead' under COGS if it's only $1.5m across all markets-segments.</t>
  </si>
  <si>
    <t>054</t>
  </si>
  <si>
    <t>At the top of financials, where is now says 'Values in (000)' it should really say 'Values in thousands (000), except per unit and %'</t>
  </si>
  <si>
    <t>055</t>
  </si>
  <si>
    <t>Costs for R&amp;D Innovations are coming up as codes</t>
  </si>
  <si>
    <t>056</t>
  </si>
  <si>
    <t>My MTUs are going to -60999941 and staying there.</t>
  </si>
  <si>
    <t>057</t>
  </si>
  <si>
    <t>capReg2Prod1UnitsWiPEnd</t>
  </si>
  <si>
    <t>capReg2Prod1UnitsProduction</t>
  </si>
  <si>
    <t>capReg2Prod1UnitsWiPUsed</t>
  </si>
  <si>
    <t>finPNLCOGSEmp3Exp</t>
  </si>
  <si>
    <t>capReg2Prod2UnitsFGUsed</t>
  </si>
  <si>
    <t>capReg2Prod2UnitsWiPUsed</t>
  </si>
  <si>
    <t>capReg2Prod2UnitsWiPEnd</t>
  </si>
  <si>
    <t>finPNLReg2Prod4RDFtr1Exp</t>
  </si>
  <si>
    <t>finPNLReg2Prod4RDFtr2Exp</t>
  </si>
  <si>
    <t>finPNLReg2Prod4RDFtr4Exp</t>
  </si>
  <si>
    <t>Program 6</t>
  </si>
  <si>
    <t>decSpecProg6</t>
  </si>
  <si>
    <t>SP6</t>
  </si>
  <si>
    <t>paramReg1Prod1CommSpendEffect</t>
  </si>
  <si>
    <t>Innovation 2 Year 1</t>
  </si>
  <si>
    <t>Average Score</t>
  </si>
  <si>
    <t xml:space="preserve">                                  ANALYSIS REPORT</t>
  </si>
  <si>
    <t>THE LEAGUE</t>
  </si>
  <si>
    <t>Team No.</t>
  </si>
  <si>
    <t>Total Costs</t>
  </si>
  <si>
    <t>paramSpecProgReg1Prod1Sales</t>
  </si>
  <si>
    <t>paramProd6LabHrsReqPUnit</t>
  </si>
  <si>
    <t>paramProd6MachHrsReqPUnit</t>
  </si>
  <si>
    <t>paramProd6Emp1Req</t>
  </si>
  <si>
    <t>paramProd6InventoryHndlgPct</t>
  </si>
  <si>
    <t>paramProd6DistCostPUnit</t>
  </si>
  <si>
    <t>paramProd6FixedAdmin</t>
  </si>
  <si>
    <t>paramProd6OtherCost</t>
  </si>
  <si>
    <t>Family Brand</t>
  </si>
  <si>
    <t>Partner Brands</t>
  </si>
  <si>
    <t>Speciality Brands</t>
  </si>
  <si>
    <t>Segments</t>
  </si>
  <si>
    <t>Goodwill</t>
  </si>
  <si>
    <t>obalGoodWillValue</t>
  </si>
  <si>
    <t>GoToToolStrategy</t>
  </si>
  <si>
    <t>&amp;Analysis &amp;&amp; Vision</t>
  </si>
  <si>
    <t>&amp;Strategy Planning</t>
  </si>
  <si>
    <t>paramSpecProgReg2Prod1Sales</t>
  </si>
  <si>
    <t>paramSpecProgReg2Prod3Sales</t>
  </si>
  <si>
    <t>paramSpecProgReg2Prod4Sales</t>
  </si>
  <si>
    <t>080</t>
  </si>
  <si>
    <t>Strategy Execution - MTU Allocation</t>
  </si>
  <si>
    <t>Flag for missed sales</t>
  </si>
  <si>
    <t>Share for Missed Sales</t>
  </si>
  <si>
    <t>finNOPAT</t>
  </si>
  <si>
    <t>cbalReg1Prod4Rev</t>
  </si>
  <si>
    <t>cbalReg2Prod4Rev</t>
  </si>
  <si>
    <t>Rev Growth vs Yr 0</t>
  </si>
  <si>
    <t>Rev Growth vs Prev Yr</t>
  </si>
  <si>
    <t>decProd4Reg1Grth</t>
  </si>
  <si>
    <t>decProd4Reg2Grth</t>
  </si>
  <si>
    <t>decProd1Reg2Grth</t>
  </si>
  <si>
    <t>100</t>
  </si>
  <si>
    <t>paramReg1Emp3Exp</t>
  </si>
  <si>
    <t>paramReg2Emp3Exp</t>
  </si>
  <si>
    <t>Labor Recruit/Dismiss Decision</t>
  </si>
  <si>
    <t>capReg1Emp3Recruit</t>
  </si>
  <si>
    <t>capReg1Emp3Exp</t>
  </si>
  <si>
    <t>capReg1Emp3OTCost</t>
  </si>
  <si>
    <t>capReg1Emp3ExCapCost</t>
  </si>
  <si>
    <t>capReg1Emp3RecDismExp</t>
  </si>
  <si>
    <t>capReg1Emp3AdminExp</t>
  </si>
  <si>
    <t>capReg1Emp3AllocProd1</t>
  </si>
  <si>
    <t>capReg1Emp3AllocProd3</t>
  </si>
  <si>
    <t>capReg1Emp3AllocProd4</t>
  </si>
  <si>
    <t>capReg1Prod1Emp3Exp</t>
  </si>
  <si>
    <t>capReg1Prod3Emp3Exp</t>
  </si>
  <si>
    <t>Tool Utilities</t>
  </si>
  <si>
    <t>Other Liability Growth</t>
  </si>
  <si>
    <t>paramOtherCurrLiabGrowth</t>
  </si>
  <si>
    <t>Earnings Before Tax</t>
  </si>
  <si>
    <t>Long Term Debt Interest Rate</t>
  </si>
  <si>
    <t>paramLTDebtIntRate</t>
  </si>
  <si>
    <t>paramSpecLoansIntRate</t>
  </si>
  <si>
    <t>cbalLTDebtValue</t>
  </si>
  <si>
    <t>Decision Summary</t>
  </si>
  <si>
    <t>Forecasted Growth Rates</t>
  </si>
  <si>
    <t>Operating Margin ($)</t>
  </si>
  <si>
    <t>Dave Ackley</t>
  </si>
  <si>
    <t>Change In Mfg Capacity</t>
  </si>
  <si>
    <t xml:space="preserve">   - Payables &amp; Non-Interest Bearing Liabilities]</t>
  </si>
  <si>
    <t>ffbCopyProd4Rev</t>
  </si>
  <si>
    <t>Innovation</t>
  </si>
  <si>
    <t>Volume Growth</t>
  </si>
  <si>
    <t>Packaging Upgrade</t>
  </si>
  <si>
    <t>OE3</t>
  </si>
  <si>
    <t>Spill-Free Zone Program</t>
  </si>
  <si>
    <t>OE4</t>
  </si>
  <si>
    <t>OE5</t>
  </si>
  <si>
    <t>Strategic Sourcing Program</t>
  </si>
  <si>
    <t>OE7</t>
  </si>
  <si>
    <t>OE8</t>
  </si>
  <si>
    <t>capEmp2AdminExp</t>
  </si>
  <si>
    <t>capEmp2RecDismExp</t>
  </si>
  <si>
    <t>capEmp10Att</t>
  </si>
  <si>
    <t>capEmp10End</t>
  </si>
  <si>
    <t>capEmp10Utiliz</t>
  </si>
  <si>
    <t>capEmp10OTCost</t>
  </si>
  <si>
    <t>capProd3COGSPUnitPlant1</t>
  </si>
  <si>
    <t>finPNLGenExp</t>
  </si>
  <si>
    <t>finPNLAdminExp</t>
  </si>
  <si>
    <t>finPNLSGAExp</t>
  </si>
  <si>
    <t>finPNLRandDExp</t>
  </si>
  <si>
    <t>Mainstream Commercial Spend Effectiveness</t>
  </si>
  <si>
    <t>One of the things we promised in the DevReview is that the disruptive innovations would require strategic initiatve(s) to be executed well</t>
  </si>
  <si>
    <t>091</t>
  </si>
  <si>
    <t>Volume Per Segment</t>
  </si>
  <si>
    <t>Segment 4</t>
  </si>
  <si>
    <t>Segment 5</t>
  </si>
  <si>
    <t>Total Volume</t>
  </si>
  <si>
    <t>Summary</t>
  </si>
  <si>
    <t>Discounted Advertisng</t>
  </si>
  <si>
    <t>Discounted Features</t>
  </si>
  <si>
    <t>Driver 7</t>
  </si>
  <si>
    <t>Upper Mainstream Opening Price</t>
  </si>
  <si>
    <t>Upper Value Opening Price</t>
  </si>
  <si>
    <t>Upper Premium Opening Price</t>
  </si>
  <si>
    <t>paramSustAwareness</t>
  </si>
  <si>
    <t>paramSustProdMix</t>
  </si>
  <si>
    <t>paramSustCareer</t>
  </si>
  <si>
    <t>Placement of Units in Region B</t>
  </si>
  <si>
    <t>mmProd1Reg1UnitsSold</t>
  </si>
  <si>
    <t>Lines Leased</t>
  </si>
  <si>
    <t>Loss on Sale of Plant Lines</t>
  </si>
  <si>
    <t>Ending Plant Lines</t>
  </si>
  <si>
    <t>BU5 Dashboard</t>
  </si>
  <si>
    <t>Escendia Market</t>
  </si>
  <si>
    <t>I13</t>
  </si>
  <si>
    <t>I14</t>
  </si>
  <si>
    <t>Acquisition</t>
  </si>
  <si>
    <t>obalTotalEquity</t>
  </si>
  <si>
    <t>Increase (+)/ Decrease (-) in Long Term Debt</t>
  </si>
  <si>
    <t>Increase (+)/ Decrease (-) in Equity</t>
  </si>
  <si>
    <t>finEquityChange</t>
  </si>
  <si>
    <t>finDebtChange</t>
  </si>
  <si>
    <t>Buildout Cost</t>
  </si>
  <si>
    <t>xxMMProd1Seg5Units</t>
  </si>
  <si>
    <t>xxMMProd1Units</t>
  </si>
  <si>
    <t>Prod1Seg1</t>
  </si>
  <si>
    <t>Prod1Seg2</t>
  </si>
  <si>
    <t>finPNLReg1Prod1COGSManuExp</t>
  </si>
  <si>
    <t>Key Metrics</t>
  </si>
  <si>
    <t>obalAssetsValue</t>
  </si>
  <si>
    <t>cbalAssetsValue</t>
  </si>
  <si>
    <t>xxRankYear1</t>
  </si>
  <si>
    <t>xxRankYear2</t>
  </si>
  <si>
    <t>xxRankYear3</t>
  </si>
  <si>
    <t>xxRankYear4</t>
  </si>
  <si>
    <t>Volume Stock Out</t>
  </si>
  <si>
    <t>Before (discounted price)</t>
  </si>
  <si>
    <t>Vetera &amp; Escendia Income Statements factor in Promotion twice (B)</t>
  </si>
  <si>
    <t>008</t>
  </si>
  <si>
    <t>Distribution should go in SG&amp;A on Vetera &amp; Escendia Income Statements (see toolPNL) (B)</t>
  </si>
  <si>
    <t>009</t>
  </si>
  <si>
    <t>Print Team 4 Annual Report</t>
  </si>
  <si>
    <t>Print Team 5 Annual Report</t>
  </si>
  <si>
    <t>Print All Teams Annual Reports</t>
  </si>
  <si>
    <t>obalReg2Prod2MatValue</t>
  </si>
  <si>
    <t>obalReg2Prod3MatValue</t>
  </si>
  <si>
    <t>obalReg2Prod4MatValue</t>
  </si>
  <si>
    <t>obalReg2Prod5MatValue</t>
  </si>
  <si>
    <t>obalReg2Prod6MatValue</t>
  </si>
  <si>
    <t>obalReg2MatValue</t>
  </si>
  <si>
    <t>Total Accounts Receivable</t>
  </si>
  <si>
    <t>xxMMProd2Driver1</t>
  </si>
  <si>
    <t>xxMMProd2Driver2</t>
  </si>
  <si>
    <t>xxMMProd2Driver3</t>
  </si>
  <si>
    <t>xxMMProd2Driver4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</si>
  <si>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</si>
  <si>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</si>
  <si>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</si>
  <si>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</si>
  <si>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</si>
  <si>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</si>
  <si>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</si>
  <si>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</si>
  <si>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</si>
  <si>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</si>
  <si>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</si>
  <si>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oe1</t>
  </si>
  <si>
    <t>oe2</t>
  </si>
  <si>
    <t>oe3</t>
  </si>
  <si>
    <t>oe4</t>
  </si>
  <si>
    <t>oe5</t>
  </si>
  <si>
    <t>oe6</t>
  </si>
  <si>
    <t>oe7</t>
  </si>
  <si>
    <t>oe8</t>
  </si>
  <si>
    <t>oe9</t>
  </si>
  <si>
    <t>oe10</t>
  </si>
  <si>
    <t>in1</t>
  </si>
  <si>
    <t>Decision Area Font Type</t>
  </si>
  <si>
    <t>Report Area Color</t>
  </si>
  <si>
    <t>Report Area Font Type</t>
  </si>
  <si>
    <t>Manufacturing Overhead</t>
  </si>
  <si>
    <t>SimFBOpenFile</t>
  </si>
  <si>
    <t>Decision Area Border</t>
  </si>
  <si>
    <t>Report Area Border</t>
  </si>
  <si>
    <t>Gross Margin</t>
  </si>
  <si>
    <t>General</t>
  </si>
  <si>
    <t>Financial</t>
  </si>
  <si>
    <t>EBIT</t>
  </si>
  <si>
    <t>Extraordinary</t>
  </si>
  <si>
    <t>Balance Sheet</t>
  </si>
  <si>
    <t>Inventory</t>
  </si>
  <si>
    <t>Retained + Net Earn</t>
  </si>
  <si>
    <t>Stock</t>
  </si>
  <si>
    <t>Cash Flow</t>
  </si>
  <si>
    <t>finPNLReg1GrossMargin</t>
  </si>
  <si>
    <t>finPNLReg1AdvExp</t>
  </si>
  <si>
    <t>039</t>
  </si>
  <si>
    <t>"Self Heating Chai"</t>
  </si>
  <si>
    <t>040</t>
  </si>
  <si>
    <t>Why are the prices of the Disruptive innovations so high?</t>
  </si>
  <si>
    <t>041</t>
  </si>
  <si>
    <t>Disruptive innovation costs need to be balanced</t>
  </si>
  <si>
    <t>042</t>
  </si>
  <si>
    <t>R&amp;D Expense seems low</t>
  </si>
  <si>
    <t>043</t>
  </si>
  <si>
    <t>Decision summary needs completing</t>
  </si>
  <si>
    <t>044</t>
  </si>
  <si>
    <t>Reformat Intro page to include proper logo, etc.</t>
  </si>
  <si>
    <t>045</t>
  </si>
  <si>
    <t>Year 0 Operating margin on NCBs looks very, very low (-45%) - try and bring Escendia to about +/-2% Oper Margin for Year0 (ie, at break-even)</t>
  </si>
  <si>
    <t>046</t>
  </si>
  <si>
    <t>Also, should market size (units) for NCBs in Escendia so much lower than CSBs for Year 0? Consider balancing it a bit.</t>
  </si>
  <si>
    <t>047</t>
  </si>
  <si>
    <t>Escendia Plant</t>
  </si>
  <si>
    <t>R&amp;D Focus #1</t>
  </si>
  <si>
    <t>R&amp;D Focus #3</t>
  </si>
  <si>
    <t>R&amp;D Focus #2</t>
  </si>
  <si>
    <t>R&amp;D Focus #4</t>
  </si>
  <si>
    <t>Research Selection</t>
  </si>
  <si>
    <t>Cost</t>
  </si>
  <si>
    <t>MTUs</t>
  </si>
  <si>
    <t>Flexibility Level</t>
  </si>
  <si>
    <t>Human Resources</t>
  </si>
  <si>
    <t>Information Technology</t>
  </si>
  <si>
    <t>Brand Positioning</t>
  </si>
  <si>
    <t>Product 6 Segment 3</t>
  </si>
  <si>
    <t>Initiative Grid</t>
  </si>
  <si>
    <t>finPNLReg1OpsMarginPct</t>
  </si>
  <si>
    <t>Region 1 Dashboard</t>
  </si>
  <si>
    <t>Region 2 Dashboard</t>
  </si>
  <si>
    <t>obalSpecLoansValue</t>
  </si>
  <si>
    <t>% Allocation BY Product</t>
  </si>
  <si>
    <t>Hours for Region A</t>
  </si>
  <si>
    <t>Hours for Region B</t>
  </si>
  <si>
    <t>capPlant1Reg1HoursReq</t>
  </si>
  <si>
    <t>Number of Leased Lines</t>
  </si>
  <si>
    <t>paramPlant1LeasedLines</t>
  </si>
  <si>
    <t>DUMMY DECISION</t>
  </si>
  <si>
    <t>capPlant1Reg2HoursReq</t>
  </si>
  <si>
    <t>obalProd4COGSPUnitPlant</t>
  </si>
  <si>
    <t>obalProd3COGSPUnitPlant</t>
  </si>
  <si>
    <t>MARKET SALES</t>
  </si>
  <si>
    <t>What if</t>
  </si>
  <si>
    <t>What if Units Prod 1</t>
  </si>
  <si>
    <t>paramProd1CycTimeDays</t>
  </si>
  <si>
    <t>cbalProd1Ftr1Level</t>
  </si>
  <si>
    <t>paramProd1MatPctOfProduction</t>
  </si>
  <si>
    <t>Materials</t>
  </si>
  <si>
    <t>Labor</t>
  </si>
  <si>
    <t>Machinery</t>
  </si>
  <si>
    <t>B</t>
  </si>
  <si>
    <t>D</t>
  </si>
  <si>
    <t>C</t>
  </si>
  <si>
    <t>001</t>
  </si>
  <si>
    <t>Workbook has links to another workbook, remove (C)</t>
  </si>
  <si>
    <t>002</t>
  </si>
  <si>
    <t>Balance sheet is shrinking too much from Year -1 to Year 0, change obal A/P, A/R (C)</t>
  </si>
  <si>
    <t>003</t>
  </si>
  <si>
    <t>decInnov2</t>
  </si>
  <si>
    <t>decInnov3</t>
  </si>
  <si>
    <t>decInnov4</t>
  </si>
  <si>
    <t>Let's go through names of line items on Income Statements... should match PepsiCo's (eg, 'Commercial Spending', 'Fixed Industrial', 'Net Profit') are not appropriate (C)</t>
  </si>
  <si>
    <t>010</t>
  </si>
  <si>
    <t>Change "Sales Volume (Cases)" on V and E Inc Stmts to "Sales Volume (Units)"</t>
  </si>
  <si>
    <t>011</t>
  </si>
  <si>
    <t>Use primary/PepsiCo colors in the charts (D)</t>
  </si>
  <si>
    <t>012</t>
  </si>
  <si>
    <t>On Bal Sheet, SH Equity should not be so low to start (C)</t>
  </si>
  <si>
    <t>capACQrnd</t>
  </si>
  <si>
    <t>Operating Margin - Vetera</t>
  </si>
  <si>
    <t>SGA (Operating Expenses)</t>
  </si>
  <si>
    <t>Total SG&amp;A</t>
  </si>
  <si>
    <t>Total Advertising</t>
  </si>
  <si>
    <t>Total Sales Force</t>
  </si>
  <si>
    <t>Total Inventory Handling</t>
  </si>
  <si>
    <t>Total FG Inventory</t>
  </si>
  <si>
    <t>Let's decide on the name of the foods segment, I suggested F&amp;S for Foods &amp; Snacks in the case (C)</t>
  </si>
  <si>
    <t>020</t>
  </si>
  <si>
    <t>toolIntro needs to be reformatted to include name of program: "Leader of Managers" (C/D)</t>
  </si>
  <si>
    <t>021</t>
  </si>
  <si>
    <t>022</t>
  </si>
  <si>
    <t>Dashboard: Let's use Revenue Growth (%) instead of $ for Corporate dashboard (C)</t>
  </si>
  <si>
    <t>023</t>
  </si>
  <si>
    <t>Change "Plant Capacity" to "Change in Plant Capacity"? Same for Labor? (D/E)</t>
  </si>
  <si>
    <t>024</t>
  </si>
  <si>
    <t>Nothing seems to change with "Flexibility Level"</t>
  </si>
  <si>
    <t>025</t>
  </si>
  <si>
    <t>xxMMProd3Driver10</t>
  </si>
  <si>
    <t>xxMMProd4Units</t>
  </si>
  <si>
    <t>xxMMProd4Seg1Units</t>
  </si>
  <si>
    <t>xxMMProd4Seg2Units</t>
  </si>
  <si>
    <t>xxMMProd4Seg3Units</t>
  </si>
  <si>
    <t>PrintPCToolReport</t>
  </si>
  <si>
    <t>SimToolsNoDisplayPageBreaks</t>
  </si>
  <si>
    <t>SimZoom100</t>
  </si>
  <si>
    <t>ToolHoodCloseFormat</t>
  </si>
  <si>
    <t>ToolHoodOpenFormat</t>
  </si>
  <si>
    <t>SimDataImportDecisions</t>
  </si>
  <si>
    <t>SimMarketModelBids</t>
  </si>
  <si>
    <t>SimDataExportBids</t>
  </si>
  <si>
    <t>SimMarketModelNonBids</t>
  </si>
  <si>
    <t>PrintAnalysisReport</t>
  </si>
  <si>
    <t>PrintAnnualReportsT1</t>
  </si>
  <si>
    <t>PrintAnnualReportsT2</t>
  </si>
  <si>
    <t>PrintAnnualReportsT3</t>
  </si>
  <si>
    <t>PrintAnnualReportsT4</t>
  </si>
  <si>
    <t>PrintAnnualReportsT5</t>
  </si>
  <si>
    <t>PrintAnnualReportsAll</t>
  </si>
  <si>
    <t>PrintCompetitorReport</t>
  </si>
  <si>
    <t>Value Commercial Spend Effectiveness</t>
  </si>
  <si>
    <t>Premium Commercial Spend Effectiveness</t>
  </si>
  <si>
    <t>Background Color</t>
  </si>
  <si>
    <t>Decision Area Color</t>
  </si>
  <si>
    <t>Already Used?</t>
  </si>
  <si>
    <t>Disruptive?</t>
  </si>
  <si>
    <t>Error Msg</t>
  </si>
  <si>
    <t>Disrupt Num</t>
  </si>
  <si>
    <t>Disruptive Prod Launch 1</t>
  </si>
  <si>
    <t>Disruptive Prod Launch 2</t>
  </si>
  <si>
    <t>cbalDisrupt1</t>
  </si>
  <si>
    <t>cbalDisrupt2</t>
  </si>
  <si>
    <t>obalDisrupt1</t>
  </si>
  <si>
    <t>obalDisrupt2</t>
  </si>
  <si>
    <t>Slot Number</t>
  </si>
  <si>
    <t>Lower Region Weight</t>
  </si>
  <si>
    <t>Upper Region Weight</t>
  </si>
  <si>
    <t>multiplier</t>
  </si>
  <si>
    <t>team count</t>
  </si>
  <si>
    <t>Placement of Units in Segment 1</t>
  </si>
  <si>
    <t>Placement of Units in Segment 2</t>
  </si>
  <si>
    <t>Placement of Units in Segment 3</t>
  </si>
  <si>
    <t>Placement of Units in Segment 4</t>
  </si>
  <si>
    <t># of brands</t>
  </si>
  <si>
    <t>dataDisruptWeight</t>
  </si>
  <si>
    <t>paramProd3InnovReg1</t>
  </si>
  <si>
    <t>Nopat (over Net Rev.)</t>
  </si>
  <si>
    <t>Net Revenue Growth (CAGR)</t>
  </si>
  <si>
    <t>Margin % (over Net Rev.)</t>
  </si>
  <si>
    <t>XXX</t>
  </si>
  <si>
    <t>Initiatives that Impact MM</t>
  </si>
  <si>
    <t>Total Long Term R&amp;D</t>
  </si>
  <si>
    <t>finPNLLongTermRDExp</t>
  </si>
  <si>
    <t>Organically Grown Green Tea</t>
  </si>
  <si>
    <t>Bio-Degradable Packaging</t>
  </si>
  <si>
    <t>Vetera Decisions</t>
  </si>
  <si>
    <t>Average Price Per Unit</t>
  </si>
  <si>
    <t>Global Shared Services Decisions</t>
  </si>
  <si>
    <t>Market Share Forecast</t>
  </si>
  <si>
    <t>paramEmp3HoursPYear</t>
  </si>
  <si>
    <t>paramProd2CycTimeDays</t>
  </si>
  <si>
    <t>paramProd2MatPctOfProduction</t>
  </si>
  <si>
    <t>paramProd2LabHrsReqPUnit</t>
  </si>
  <si>
    <t>finPNLReg1Prod3RDFtr2Exp</t>
  </si>
  <si>
    <t>xxcbalNewYearCopy</t>
  </si>
  <si>
    <t>xxResetDecXFormulasCopy</t>
  </si>
  <si>
    <t>Distribution Expenses</t>
  </si>
  <si>
    <t>xxMMProd5Seg4Units</t>
  </si>
  <si>
    <t>EBITDA</t>
  </si>
  <si>
    <t>Previous Years Income Statement</t>
  </si>
  <si>
    <t>Decisions</t>
  </si>
  <si>
    <t>Intro</t>
  </si>
  <si>
    <t>Team Number</t>
  </si>
  <si>
    <t>Team Name</t>
  </si>
  <si>
    <t>Price</t>
  </si>
  <si>
    <t>Volume</t>
  </si>
  <si>
    <t>Advertising</t>
  </si>
  <si>
    <t>Issue/ Retire Debt</t>
  </si>
  <si>
    <t>Dividends</t>
  </si>
  <si>
    <t>Program 1</t>
  </si>
  <si>
    <t>Program 2</t>
  </si>
  <si>
    <t>Program 3</t>
  </si>
  <si>
    <t>Program 4</t>
  </si>
  <si>
    <t>Selection #1</t>
  </si>
  <si>
    <t>Selection #2</t>
  </si>
  <si>
    <t>Selection #3</t>
  </si>
  <si>
    <t>Selection #4</t>
  </si>
  <si>
    <t>Selection #5</t>
  </si>
  <si>
    <t>Selection #6</t>
  </si>
  <si>
    <t>R&amp;D Decisions</t>
  </si>
  <si>
    <t>N.E. Before Int. After Taxes</t>
  </si>
  <si>
    <t>Cost of Equity Capital</t>
  </si>
  <si>
    <t>Interest paid on LT Debt</t>
  </si>
  <si>
    <t>Interest paid on Special Loans</t>
  </si>
  <si>
    <t>Total Capital</t>
  </si>
  <si>
    <t>SVC This Year</t>
  </si>
  <si>
    <t>paramSpecProgReg1Prod1Exp</t>
  </si>
  <si>
    <t>paramSpecProgReg1Prod2Exp</t>
  </si>
  <si>
    <t>cbalPlant1Units</t>
  </si>
  <si>
    <t>Gross Margin %</t>
  </si>
  <si>
    <t>Operating Margin %</t>
  </si>
  <si>
    <t>ASSETS</t>
  </si>
  <si>
    <t>Accounts Receivable</t>
  </si>
  <si>
    <t>TOTAL ASSETS</t>
  </si>
  <si>
    <t>Liabilities</t>
  </si>
  <si>
    <t>Long Term Debt</t>
  </si>
  <si>
    <t>OPENING CASH BALANCE</t>
  </si>
  <si>
    <t>finPNLReg2Prod3SGAExp</t>
  </si>
  <si>
    <t>finPNLReg2Prod3RandDExp</t>
  </si>
  <si>
    <t>finPNLReg2Prod3OtherOpExp</t>
  </si>
  <si>
    <t>finPNLReg2Prod3OpsMargin</t>
  </si>
  <si>
    <t>finPNLReg2Prod4Rev</t>
  </si>
  <si>
    <t>paramProd6MatCostPUnit</t>
  </si>
  <si>
    <t>paramProd6MatPctOfProduction</t>
  </si>
  <si>
    <t>decReg1ChanLevel</t>
  </si>
  <si>
    <t>decReg2ChanLevel</t>
  </si>
  <si>
    <t>Environmental</t>
  </si>
  <si>
    <t>Human</t>
  </si>
  <si>
    <t>Talent</t>
  </si>
  <si>
    <t>Sales Volume (Units)</t>
  </si>
  <si>
    <t>Average Revenue/Unit</t>
  </si>
  <si>
    <t>Average COGS/Unit</t>
  </si>
  <si>
    <t>Average SG&amp;A Expense/Unit</t>
  </si>
  <si>
    <t>Operating Expense/Unit</t>
  </si>
  <si>
    <t>Unit Sales ('000 Units)</t>
  </si>
  <si>
    <t>Forecast Sales</t>
  </si>
  <si>
    <t>Actual Sales</t>
  </si>
  <si>
    <t>Accuracy</t>
  </si>
  <si>
    <t>Demand Volume</t>
  </si>
  <si>
    <t>Forecast Volume</t>
  </si>
  <si>
    <t>Prod6Seg3</t>
  </si>
  <si>
    <t>Prod6Seg4</t>
  </si>
  <si>
    <t>Labor Force</t>
  </si>
  <si>
    <t>Beginning Labor</t>
  </si>
  <si>
    <t>Ending Labor</t>
  </si>
  <si>
    <t>Utilization Rate</t>
  </si>
  <si>
    <t>Beginning Line Batches</t>
  </si>
  <si>
    <t>3. National Pride</t>
  </si>
  <si>
    <t>Sales Force Education Program - Escendia</t>
  </si>
  <si>
    <t>Operational Redundancy Reduction - Vetera</t>
  </si>
  <si>
    <t>Operational Redundancy Reduction - Escendia</t>
  </si>
  <si>
    <t>Total Operating Margin</t>
  </si>
  <si>
    <t>Taxes</t>
  </si>
  <si>
    <t>Tax Rate</t>
  </si>
  <si>
    <t>paramProd1FixedAdmin</t>
  </si>
  <si>
    <t>Projected Sales ('000)</t>
  </si>
  <si>
    <t>Recruit/Dismiss Cost</t>
  </si>
  <si>
    <t>Net Revenues</t>
  </si>
  <si>
    <t>Gross Revenues</t>
  </si>
  <si>
    <t>finPNLReg2Prod1Emp1Exp</t>
  </si>
  <si>
    <t>finPNLReg2Prod3Emp1Exp</t>
  </si>
  <si>
    <t>obalLTDebtValue</t>
  </si>
  <si>
    <t>obalCStockValue</t>
  </si>
  <si>
    <t>obalRetEarnValue</t>
  </si>
  <si>
    <t>obalNetEarnValue</t>
  </si>
  <si>
    <t>R</t>
  </si>
  <si>
    <t>Name</t>
  </si>
  <si>
    <t>Vetera Financials</t>
  </si>
  <si>
    <t>Escendia Financials</t>
  </si>
  <si>
    <t>Per Unit COGS And SG&amp;A</t>
  </si>
  <si>
    <t>Promotion And Discounts</t>
  </si>
  <si>
    <t>capPlant1Prod21HoursReq</t>
  </si>
  <si>
    <t>capPlant1Prod22HoursReq</t>
  </si>
  <si>
    <t>capPlant1AllocProd21</t>
  </si>
  <si>
    <t>cbalReg1Prod1Price</t>
  </si>
  <si>
    <t>cbalReg2Prod1Price</t>
  </si>
  <si>
    <t>cbalReg1Prod2Price</t>
  </si>
  <si>
    <t>cbalReg2Prod2Price</t>
  </si>
  <si>
    <t>cbalReg1Prod3Price</t>
  </si>
  <si>
    <t>cbalReg2Prod3Price</t>
  </si>
  <si>
    <t>cbalReg1Prod4Price</t>
  </si>
  <si>
    <t>cbalReg2Prod4Price</t>
  </si>
  <si>
    <t>finPNLReg2Prod4COGSDistExp</t>
  </si>
  <si>
    <t>finPNLReg2COGSDistExp</t>
  </si>
  <si>
    <t>paramProd4RoyaltyCostPUnit</t>
  </si>
  <si>
    <t>RIOC</t>
  </si>
  <si>
    <t>Invested capital</t>
  </si>
  <si>
    <t>Earning Before Interest &amp; Taxes</t>
  </si>
  <si>
    <t>finPNLEBIT</t>
  </si>
  <si>
    <t>finInvestedCapital</t>
  </si>
  <si>
    <t>Forecasted Share</t>
  </si>
  <si>
    <t>% gross margin</t>
  </si>
  <si>
    <t>Employee Dev level does not impact MTU total in dashboard</t>
  </si>
  <si>
    <t>I hope</t>
  </si>
  <si>
    <t>Dividend Amount</t>
  </si>
  <si>
    <t>I think it does now</t>
  </si>
  <si>
    <t>capPlant1AllocProd22</t>
  </si>
  <si>
    <t>capProd21COGSPUnitPlant1</t>
  </si>
  <si>
    <t>capProd22COGSPUnitPlant1</t>
  </si>
  <si>
    <t>capProd21Depreciation</t>
  </si>
  <si>
    <t>capProd22Depreciation</t>
  </si>
  <si>
    <t>capProd21COGSPUnitDep</t>
  </si>
  <si>
    <t>capProd22COGSPUnitDep</t>
  </si>
  <si>
    <t>Dep Cost 1</t>
  </si>
  <si>
    <t>Dep Cost 2</t>
  </si>
  <si>
    <t>EBITDA Margin Product 1 Reg1</t>
  </si>
  <si>
    <t>EBITDA Margin Product 1 Reg2</t>
  </si>
  <si>
    <t>EBITDA Margin Product 3 Reg1</t>
  </si>
  <si>
    <t>EBITDA Margin Product 3 Reg2</t>
  </si>
  <si>
    <t>EBITDA Margin Product 4 Reg1</t>
  </si>
  <si>
    <t>EBITDA Margin Product 4 Reg2</t>
  </si>
  <si>
    <t>Wobbler</t>
  </si>
  <si>
    <t>CSE- Value Lower</t>
  </si>
  <si>
    <t>Lines</t>
  </si>
  <si>
    <t>finPNLReg2Prod4COGSManuExp</t>
  </si>
  <si>
    <t>finPNLReg2COGSManuExp</t>
  </si>
  <si>
    <t>Advertising Costs</t>
  </si>
  <si>
    <t>Inventory Handling Costs</t>
  </si>
  <si>
    <t>Advertising &amp; Promotion</t>
  </si>
  <si>
    <t>Selling Costs</t>
  </si>
  <si>
    <t>Labor Capacity</t>
  </si>
  <si>
    <t>Labor Employees Recruited</t>
  </si>
  <si>
    <t>Labor Attrition</t>
  </si>
  <si>
    <t>Recruiting Investment Level</t>
  </si>
  <si>
    <t>mmProd1Seg1ActShare</t>
  </si>
  <si>
    <t>mmProd1Seg1PreSalesShare</t>
  </si>
  <si>
    <t>mmProd1Seg2PreSalesShare</t>
  </si>
  <si>
    <t>mmProd1Seg2ActShare</t>
  </si>
  <si>
    <t>mmProd3Seg1PreSalesShare</t>
  </si>
  <si>
    <t>mmProd3Seg1ActShare</t>
  </si>
  <si>
    <t>mmProd3Seg2PreSalesShare</t>
  </si>
  <si>
    <t>In year socre on leader board</t>
  </si>
  <si>
    <t>capRnD3MTUs</t>
  </si>
  <si>
    <t>capRnD4MTUs</t>
  </si>
  <si>
    <t>capPlantCapMTUs</t>
  </si>
  <si>
    <t>capPlantFlexMTUs</t>
  </si>
  <si>
    <t>capITinvestMTUs</t>
  </si>
  <si>
    <t>capInitsMTUs</t>
  </si>
  <si>
    <t>Operating Cost</t>
  </si>
  <si>
    <t>Ramp-Up Cost</t>
  </si>
  <si>
    <t>cbalRecruitLevel</t>
  </si>
  <si>
    <t>cbalEmpDevLevel</t>
  </si>
  <si>
    <t>paramProd1MachHrsReqPUnit</t>
  </si>
  <si>
    <t>Hours Available</t>
  </si>
  <si>
    <t>Value of Units Sold</t>
  </si>
  <si>
    <t>Depreciation &amp; Amortization</t>
  </si>
  <si>
    <t>finPNLAdvExp</t>
  </si>
  <si>
    <t>finPNLPromoExp</t>
  </si>
  <si>
    <t>finPNLSalesForceExp</t>
  </si>
  <si>
    <t>Materials Expense</t>
  </si>
  <si>
    <t>Plant &amp; Machinery Expense</t>
  </si>
  <si>
    <t>Intro Page</t>
  </si>
  <si>
    <t>*Home Fountain</t>
  </si>
  <si>
    <t>paramGoodwillAmorRate</t>
  </si>
  <si>
    <t>Lower Mainstream Opening Price</t>
  </si>
  <si>
    <t>Lower Premium Opening Price</t>
  </si>
  <si>
    <t>Lower Value Opening Price</t>
  </si>
  <si>
    <t>CSD Number Of Brands Dec</t>
  </si>
  <si>
    <t>decProd1Ftr4LevelDec</t>
  </si>
  <si>
    <t>capReg1Prod1UnitsFGEnd</t>
  </si>
  <si>
    <t>capReg1Prod2UnitsSold</t>
  </si>
  <si>
    <t>capReg1Prod2UnitsSoldFG</t>
  </si>
  <si>
    <t>capReg1Prod2UnitsSoldNewProd</t>
  </si>
  <si>
    <t>capReg1Prod2UnitsFGEnd</t>
  </si>
  <si>
    <t>capReg1Prod4UnitsSold</t>
  </si>
  <si>
    <t>capReg1Prod4UnitsSoldFG</t>
  </si>
  <si>
    <t>capReg1Prod4UnitsSoldNewProd</t>
  </si>
  <si>
    <t>Fixed Administration Cost</t>
  </si>
  <si>
    <t>capReg1Prod4UnitsFGEnd</t>
  </si>
  <si>
    <t>capReg1Prod3UnitsSold</t>
  </si>
  <si>
    <t>capReg1Prod3UnitsSoldFG</t>
  </si>
  <si>
    <t>capReg1Prod3UnitsSoldNewProd</t>
  </si>
  <si>
    <t>capReg1Prod3UnitsFGEnd</t>
  </si>
  <si>
    <t>capReg2Prod1UnitsSold</t>
  </si>
  <si>
    <t>decProd1AdvR2</t>
  </si>
  <si>
    <t>decProd1PromoR2</t>
  </si>
  <si>
    <t>decProd3AdvR2</t>
  </si>
  <si>
    <t>decProd3PromoR2</t>
  </si>
  <si>
    <t>decProd4AdvR2</t>
  </si>
  <si>
    <t>decProd4PromoR2</t>
  </si>
  <si>
    <t>Vetera</t>
  </si>
  <si>
    <t>Escendia</t>
  </si>
  <si>
    <t>Document</t>
  </si>
  <si>
    <t>Capital Turnover</t>
  </si>
  <si>
    <t>[Revenues]/[Invested Capital]</t>
  </si>
  <si>
    <t>Capital Turnover (Avg Assets)</t>
  </si>
  <si>
    <t>in2</t>
  </si>
  <si>
    <t>in3</t>
  </si>
  <si>
    <t>in4</t>
  </si>
  <si>
    <t>in5</t>
  </si>
  <si>
    <t>in6</t>
  </si>
  <si>
    <t>in7</t>
  </si>
  <si>
    <t>d1</t>
  </si>
  <si>
    <t>d2</t>
  </si>
  <si>
    <t>d3</t>
  </si>
  <si>
    <t>d4</t>
  </si>
  <si>
    <t>d5</t>
  </si>
  <si>
    <t>d6</t>
  </si>
  <si>
    <t>cl1</t>
  </si>
  <si>
    <t>cl2</t>
  </si>
  <si>
    <t>cl3</t>
  </si>
  <si>
    <t>cl4</t>
  </si>
  <si>
    <t>cl5</t>
  </si>
  <si>
    <t>cl6</t>
  </si>
  <si>
    <t>cl7</t>
  </si>
  <si>
    <t>cl8</t>
  </si>
  <si>
    <t>cl9</t>
  </si>
  <si>
    <t>cl10</t>
  </si>
  <si>
    <t>cl11</t>
  </si>
  <si>
    <t>Product 6 Segment 4</t>
  </si>
  <si>
    <t>Product 6 Segment 5</t>
  </si>
  <si>
    <t>xxMMProd2Units</t>
  </si>
  <si>
    <t>xxMMProd2Seg1Units</t>
  </si>
  <si>
    <t>xxMMProd2Seg2Units</t>
  </si>
  <si>
    <t>xxMMProd2Seg3Units</t>
  </si>
  <si>
    <t>xxMMProd2Seg4Units</t>
  </si>
  <si>
    <t>xxMMProd2Seg5Units</t>
  </si>
  <si>
    <t>finPNLReg1COGSManuExp</t>
  </si>
  <si>
    <t>finPNLReg2Prod2COGSManuExp</t>
  </si>
  <si>
    <t>finPNLReg2Prod3COGSManuExp</t>
  </si>
  <si>
    <t>obalProd2Reg1UnitsFG</t>
  </si>
  <si>
    <t>Partner Brand</t>
  </si>
  <si>
    <t>Speciality Brand</t>
  </si>
  <si>
    <t>Packaging Decisions</t>
  </si>
  <si>
    <t>paramReg2Prod1DistCostPUnit</t>
  </si>
  <si>
    <t>paramReg1Prod2DistCostPUnit</t>
  </si>
  <si>
    <t>paramReg2Prod2DistCostPUnit</t>
  </si>
  <si>
    <t>OE2</t>
  </si>
  <si>
    <t>Import &amp;Bid Decisions</t>
  </si>
  <si>
    <t>Net Units Produced From Inventory</t>
  </si>
  <si>
    <t>Global Manufacturing</t>
  </si>
  <si>
    <t xml:space="preserve"> Global Shared Services</t>
  </si>
  <si>
    <t>Sales Performance</t>
  </si>
  <si>
    <t>Capacity</t>
  </si>
  <si>
    <t>Production</t>
  </si>
  <si>
    <t>capStratReg2Prod4RatingNorm</t>
  </si>
  <si>
    <t>Strategy - How (Scored)</t>
  </si>
  <si>
    <t>Command Bar Menu Name</t>
  </si>
  <si>
    <t>Tool</t>
  </si>
  <si>
    <t>&amp;Decisions</t>
  </si>
  <si>
    <t>&amp;Reports</t>
  </si>
  <si>
    <t>&amp;Trees</t>
  </si>
  <si>
    <t>&amp;Actions</t>
  </si>
  <si>
    <t>Mkt Age</t>
  </si>
  <si>
    <t>Total New Units Produced</t>
  </si>
  <si>
    <t>capTotalUnitsProduced</t>
  </si>
  <si>
    <t>Flexibility Ramp-Up Cost</t>
  </si>
  <si>
    <t>paramPlantFlexRamp</t>
  </si>
  <si>
    <t>obalPlant1Flex</t>
  </si>
  <si>
    <t>Plant Equipmentl Capital Upgrade Cost</t>
  </si>
  <si>
    <t>capPlant1UpgradeCost</t>
  </si>
  <si>
    <t>Plant &amp; Labor Utilization</t>
  </si>
  <si>
    <t>Channel Penetration Buildout Cost</t>
  </si>
  <si>
    <t>Region 2 Channel Level</t>
  </si>
  <si>
    <t>obalReg2ChanLevel</t>
  </si>
  <si>
    <t>paramChanLevelRamp</t>
  </si>
  <si>
    <t>Innovation 1 Year 1</t>
  </si>
  <si>
    <t>capReg1Prod1UnitsWiPEnd</t>
  </si>
  <si>
    <t>capReg1Prod1UnitsProduction</t>
  </si>
  <si>
    <t>capReg1Prod2UnitsFGUsed</t>
  </si>
  <si>
    <t>capReg1Prod2UnitsWiPUsed</t>
  </si>
  <si>
    <t>capReg1Prod2UnitsWiPEnd</t>
  </si>
  <si>
    <t>Initiatives Selected in Previous Years</t>
  </si>
  <si>
    <t>Price Value Reg1Prod1</t>
  </si>
  <si>
    <t>Price Value Reg2Prod1</t>
  </si>
  <si>
    <t>Price Value Reg1Prod3</t>
  </si>
  <si>
    <t>Price Value Reg2Prod3</t>
  </si>
  <si>
    <t>107</t>
  </si>
  <si>
    <t>108</t>
  </si>
  <si>
    <t>109</t>
  </si>
  <si>
    <t>110</t>
  </si>
  <si>
    <t>111</t>
  </si>
  <si>
    <t>Innovation 1 Year 2</t>
  </si>
  <si>
    <t>Innovation 2 Year 2</t>
  </si>
  <si>
    <t>Innovation 3 Year 2</t>
  </si>
  <si>
    <t>Innovation 1 Year 3</t>
  </si>
  <si>
    <t>Innovation 2 Year 3</t>
  </si>
  <si>
    <t>Innovation 3 Year 3</t>
  </si>
  <si>
    <t>Values in thousands (000), except per unit and %</t>
  </si>
  <si>
    <t>Address this</t>
  </si>
  <si>
    <t>double check</t>
  </si>
  <si>
    <t>Labor cost split out??</t>
  </si>
  <si>
    <t>&amp;Initiatives</t>
  </si>
  <si>
    <t>GoToToolPrograms</t>
  </si>
  <si>
    <t>Change In Plant Labor</t>
  </si>
  <si>
    <t>Plant flexibility level</t>
  </si>
  <si>
    <t>decPlant1Flex</t>
  </si>
  <si>
    <t>Brand Range</t>
  </si>
  <si>
    <t>Very Narrow</t>
  </si>
  <si>
    <t>Narrow</t>
  </si>
  <si>
    <t>Intermediate</t>
  </si>
  <si>
    <t>Broad</t>
  </si>
  <si>
    <t>Very Broad</t>
  </si>
  <si>
    <t>Level</t>
  </si>
  <si>
    <t>dataBrandImpactMatrix</t>
  </si>
  <si>
    <t>Vivia</t>
  </si>
  <si>
    <t>Region 1 Price</t>
  </si>
  <si>
    <t>Region 2 Price</t>
  </si>
  <si>
    <t>Number of Brands 1</t>
  </si>
  <si>
    <t>Number of Brands 2</t>
  </si>
  <si>
    <t>paramReg1Prod2CommSpendEffect</t>
  </si>
  <si>
    <t>paramReg2Prod2CommSpendEffect</t>
  </si>
  <si>
    <t>Go-To-Market</t>
  </si>
  <si>
    <t>Channel Customization</t>
  </si>
  <si>
    <t>Channel Penetration</t>
  </si>
  <si>
    <t>Channel Decisions</t>
  </si>
  <si>
    <t>Channel Level Region 1</t>
  </si>
  <si>
    <t>Channel Level Region 2</t>
  </si>
  <si>
    <t>Range Of Brands</t>
  </si>
  <si>
    <t>Impact of Brand Range Decision</t>
  </si>
  <si>
    <t>CSD Segment</t>
  </si>
  <si>
    <t>Volume per Sales Rep</t>
  </si>
  <si>
    <t>Revenue Per Sales Rep</t>
  </si>
  <si>
    <t>Related to #3, Inventory value of Finished Goods too low in Year 0, check calcs/params (B)</t>
  </si>
  <si>
    <t>004</t>
  </si>
  <si>
    <t>005</t>
  </si>
  <si>
    <t>Check Promotions &amp; Discounts proportions viz PepsiCo annual report (C)</t>
  </si>
  <si>
    <t>006</t>
  </si>
  <si>
    <t>paramProd4LabHrsReqPUnit</t>
  </si>
  <si>
    <t>paramProd4MachHrsReqPUnit</t>
  </si>
  <si>
    <t>capProd1Emp2SalExp</t>
  </si>
  <si>
    <t>capProd2Emp2SalExp</t>
  </si>
  <si>
    <t>capProd3Emp2SalExp</t>
  </si>
  <si>
    <t>capProd4Emp2SalExp</t>
  </si>
  <si>
    <t>finPNLReg1Prod1COGSMatExp</t>
  </si>
  <si>
    <t>finPNLReg1Prod1Rev</t>
  </si>
  <si>
    <t>finPNLReg1Prod1COGSPlant1Exp</t>
  </si>
  <si>
    <t>finPNLReg1Prod1COGSDepExp</t>
  </si>
  <si>
    <t>finPNLReg1Prod1COGSExp</t>
  </si>
  <si>
    <t>finPNLReg1Prod1GrossMargin</t>
  </si>
  <si>
    <t>###</t>
  </si>
  <si>
    <t>finPNLReg2Prod4Emp1Exp</t>
  </si>
  <si>
    <t>finPNLReg2NetRev</t>
  </si>
  <si>
    <t>finPNLReg1NetRev</t>
  </si>
  <si>
    <t>obalProd3COGSPUnitDep</t>
  </si>
  <si>
    <t>Baseline</t>
  </si>
  <si>
    <t>Recruiting</t>
  </si>
  <si>
    <t>cbalProd3Reg2UnitsSold</t>
  </si>
  <si>
    <t>cbalProd4Reg2UnitsWIP</t>
  </si>
  <si>
    <t>capReg1Prod4CostPUnitEmp3</t>
  </si>
  <si>
    <t>Scorecard</t>
  </si>
  <si>
    <t>Rev Growth Score</t>
  </si>
  <si>
    <t>ROIC Score</t>
  </si>
  <si>
    <t>Sustainability Score</t>
  </si>
  <si>
    <t>Overall Rank</t>
  </si>
  <si>
    <t>In-Year Score</t>
  </si>
  <si>
    <t>Year 1 Score</t>
  </si>
  <si>
    <t>Year 2 Score</t>
  </si>
  <si>
    <t>Year 3 Score</t>
  </si>
  <si>
    <t>Sustainability</t>
  </si>
  <si>
    <t>cbalReg1Prod1Rev</t>
  </si>
  <si>
    <t>cbalReg2Prod1Rev</t>
  </si>
  <si>
    <t>cbalReg1Prod2Rev</t>
  </si>
  <si>
    <t>cbalReg2Prod2Rev</t>
  </si>
  <si>
    <t>ffbCopyreg2Prod1VolNonStockOut</t>
  </si>
  <si>
    <t>ffbCopyreg2Prod1VolStockOut</t>
  </si>
  <si>
    <t>paramSpecProgReg1Prod3Sales</t>
  </si>
  <si>
    <t>paramSpecProgReg1Prod4Sales</t>
  </si>
  <si>
    <t>Operating Margin - Escendia</t>
  </si>
  <si>
    <t>Operating Margin - Overall</t>
  </si>
  <si>
    <t>ffbCopySustainability</t>
  </si>
  <si>
    <t>Capital Velocity</t>
  </si>
  <si>
    <t>ffbCopyCapVel</t>
  </si>
  <si>
    <t>ffbCopyNOPAT</t>
  </si>
  <si>
    <t>NOPAT Margin</t>
  </si>
  <si>
    <t>ffbCopyROIC</t>
  </si>
  <si>
    <t>finPNLReg1Prod4COGSExp</t>
  </si>
  <si>
    <t>finPNLReg1Prod4GrossMargin</t>
  </si>
  <si>
    <t>finPNLReg1Prod4AdvExp</t>
  </si>
  <si>
    <t>finPNLReg1Prod4PromoExp</t>
  </si>
  <si>
    <t>finPNLReg1Prod4InventoryHndlgExp</t>
  </si>
  <si>
    <t>cbalProd2COGSPUnitLabor</t>
  </si>
  <si>
    <t>cbalProd2COGSPUnitPlant</t>
  </si>
  <si>
    <t>cbalProd3COGSPUnitPlant</t>
  </si>
  <si>
    <t>I've paid down all of my debt as of Year2 and can do nothing with the mounds of cash I have. Need to implement the Dividend, as above.</t>
  </si>
  <si>
    <t>085</t>
  </si>
  <si>
    <t>Operating Margin in Escendia getting worse - at -21% in Yr2</t>
  </si>
  <si>
    <t>086</t>
  </si>
  <si>
    <t>JC</t>
  </si>
  <si>
    <t>capProd4Emp1AdminExp</t>
  </si>
  <si>
    <t>Company Culture</t>
  </si>
  <si>
    <t>Community</t>
  </si>
  <si>
    <t>paramSustWaterUse</t>
  </si>
  <si>
    <t>paramSustEnergyUse</t>
  </si>
  <si>
    <t>paramSustWasteProd</t>
  </si>
  <si>
    <t>paramSustProdInnov</t>
  </si>
  <si>
    <t>obalReg1Prod1Price</t>
  </si>
  <si>
    <t>obalReg1Prod2Price</t>
  </si>
  <si>
    <t>obalReg1Prod3Price</t>
  </si>
  <si>
    <t>capReg2Prod4Emp3AdminExp</t>
  </si>
  <si>
    <t>capReg1Prod4Emp3AdminExp</t>
  </si>
  <si>
    <t>&amp;Developer Tools</t>
  </si>
  <si>
    <t>Someone needs to go thru the initiatives 1 by 1 and look at how impacts dashboard… some have funky impacts</t>
  </si>
  <si>
    <t>060</t>
  </si>
  <si>
    <t>For example, Init oe3 has no impact on sustainability</t>
  </si>
  <si>
    <t>061</t>
  </si>
  <si>
    <t>Need to widen column for cell that shows total cost of initiatives selected</t>
  </si>
  <si>
    <t>062</t>
  </si>
  <si>
    <t>oe5 and oe3 don't require any MTUs?</t>
  </si>
  <si>
    <t>063</t>
  </si>
  <si>
    <t>None of the initiatives have ongoing cost? Or do enough of them have ongoing cost to justify showing ongoing cost?</t>
  </si>
  <si>
    <t>064</t>
  </si>
  <si>
    <t>On Analysis Report, in all markets-segments, Forecast Market Share is the exact same as Actual Market Share</t>
  </si>
  <si>
    <t>079</t>
  </si>
  <si>
    <t>Shouldn't Mfg Flexibility Level impact Labor Utiliz?</t>
  </si>
  <si>
    <t>Escendia Decisions</t>
  </si>
  <si>
    <t>Change In Sales Force</t>
  </si>
  <si>
    <t>Change In Plant Units</t>
  </si>
  <si>
    <t>Customer Satisfaction</t>
  </si>
  <si>
    <t>CSAT</t>
  </si>
  <si>
    <t>Special Programs</t>
  </si>
  <si>
    <t>Initiative Costs</t>
  </si>
  <si>
    <t>Corporate Initiative Costs</t>
  </si>
  <si>
    <t>Year Selected</t>
  </si>
  <si>
    <t>Program Number</t>
  </si>
  <si>
    <t>Opening Balances</t>
  </si>
  <si>
    <t>Team 1</t>
  </si>
  <si>
    <t>Team 2</t>
  </si>
  <si>
    <t>Team 3</t>
  </si>
  <si>
    <t>Team 4</t>
  </si>
  <si>
    <t>Team 5</t>
  </si>
  <si>
    <t>Assets</t>
  </si>
  <si>
    <t>Cash</t>
  </si>
  <si>
    <t>Total Current Assets</t>
  </si>
  <si>
    <t>Current Assets</t>
  </si>
  <si>
    <t>Plant</t>
  </si>
  <si>
    <t>Total Plant</t>
  </si>
  <si>
    <t>Total Assets</t>
  </si>
  <si>
    <t>Equity and Liabilities</t>
  </si>
  <si>
    <t>Current Liabilities</t>
  </si>
  <si>
    <t>Substracted the Anchor Value to Drive Them Further up the Curve. (Get to diminishing returns more quickly)</t>
  </si>
  <si>
    <t>Team Number:</t>
  </si>
  <si>
    <t>Team Name:</t>
  </si>
  <si>
    <t>ffbCopySGAExp</t>
  </si>
  <si>
    <t>ffbCopyVolumeRegionB</t>
  </si>
  <si>
    <t>ffbCopyVolumeRegionA</t>
  </si>
  <si>
    <t>ffbCopyCashInHand</t>
  </si>
  <si>
    <t>Placement of Units in Region A</t>
  </si>
  <si>
    <t>Invest Capital Mainainance</t>
  </si>
  <si>
    <t>Locked Color</t>
  </si>
  <si>
    <t># Common Stock Issued (Bought Back)</t>
  </si>
  <si>
    <t>Decision for Stock Buy Back</t>
  </si>
  <si>
    <t>$ Change in Common Stock (+/-)</t>
  </si>
  <si>
    <t>$ Change in Retained Earnings (+/-)</t>
  </si>
  <si>
    <t>ROIC Calculation</t>
  </si>
  <si>
    <t>R&amp;D Costs</t>
  </si>
  <si>
    <t>Payables &amp; Non-Interest Bearing Expenses</t>
  </si>
  <si>
    <t>Return on Invested Capital</t>
  </si>
  <si>
    <t>finROIC</t>
  </si>
  <si>
    <t>Decision Type</t>
  </si>
  <si>
    <t>finPNLReg2Prod2Emp2ExpS2</t>
  </si>
  <si>
    <t>finPNLReg2Prod2InventoryHndlgExpS2</t>
  </si>
  <si>
    <t>finPNLReg2Prod2EmpAdminExpS2</t>
  </si>
  <si>
    <t>finPNLReg2Prod2EmpRecDismExpS2</t>
  </si>
  <si>
    <t>finPNLReg2Prod2FixedAdminExpS2</t>
  </si>
  <si>
    <t>Is 57% and 60% the right utilization levels for Plant and Labor for Year 0? (B)</t>
  </si>
  <si>
    <t>026</t>
  </si>
  <si>
    <t>finPNLReg2Prod2RandDExpS2</t>
  </si>
  <si>
    <t>finPNLReg2Prod2DisposalExpS2</t>
  </si>
  <si>
    <t>finPNLReg2Prod2SpecProgExpS2</t>
  </si>
  <si>
    <t>finPNLReg2Prod2OtherOpExpS2</t>
  </si>
  <si>
    <t>GoToToolPNLRegionA</t>
  </si>
  <si>
    <t>paramProd5MatCostPUnitPFtr1Level</t>
  </si>
  <si>
    <t>paramProd5MatCostPUnit</t>
  </si>
  <si>
    <t>paramProd5MatPctOfProduction</t>
  </si>
  <si>
    <t>paramProd5LabHrsReqPUnit</t>
  </si>
  <si>
    <t>paramProd5MachHrsReqPUnit</t>
  </si>
  <si>
    <t>paramProd5Emp1Req</t>
  </si>
  <si>
    <t>Special Programs Expense Product 3 Region 2</t>
  </si>
  <si>
    <t>Should sales force attrition in Escendia be 3x Vetera? (C/D)</t>
  </si>
  <si>
    <t>Error</t>
  </si>
  <si>
    <t>Index No.</t>
  </si>
  <si>
    <t>Criticality Level</t>
  </si>
  <si>
    <t>#s in Year 0 Income Statement column for 'Snacks' in Escendia is quite off</t>
  </si>
  <si>
    <t>Escendia mkt size and growth rates need fixing</t>
  </si>
  <si>
    <t>Number of Units Sold (MM)</t>
  </si>
  <si>
    <t>NOT COUNTED IN REGOINAL FINANCIALS</t>
  </si>
  <si>
    <t>When using Save Tool on the Vetera and Escendia pages, the screen resets off-center</t>
  </si>
  <si>
    <t>070</t>
  </si>
  <si>
    <t>finPNLReg2Prod2COGSManuExpS2</t>
  </si>
  <si>
    <t>finPNLReg2Prod2COGSDistExpS2</t>
  </si>
  <si>
    <t>finPNLReg2Prod2COGSRoyExpS2</t>
  </si>
  <si>
    <t>Total Royalties Expense</t>
  </si>
  <si>
    <t>finPNLReg1Prod4Rev</t>
  </si>
  <si>
    <t>finPNLReg1Prod4COGSMatExp</t>
  </si>
  <si>
    <t>finPNLReg1Prod4COGSPlant1Exp</t>
  </si>
  <si>
    <t>Export &amp;Final Decisions</t>
  </si>
  <si>
    <t>2. Masculinity</t>
  </si>
  <si>
    <t>Other Operating</t>
  </si>
  <si>
    <t>capProd2Emp1RecDismExp</t>
  </si>
  <si>
    <t>finPNLReg2Prod1RDFtr1Exp</t>
  </si>
  <si>
    <t>finPNLReg2Prod1RDFtr2Exp</t>
  </si>
  <si>
    <t>finPNLReg2Prod1RDFtr4Exp</t>
  </si>
  <si>
    <t>paramEmp10Coeff</t>
  </si>
  <si>
    <t>via att rate</t>
  </si>
  <si>
    <t>Impacts of Recruitment Level</t>
  </si>
  <si>
    <t>capEmp10Recruit</t>
  </si>
  <si>
    <t>mmProd1Reg2UnitsSold</t>
  </si>
  <si>
    <t>SG&amp;A</t>
  </si>
  <si>
    <t>finPNLReg2Prod4COGSPlant1Exp</t>
  </si>
  <si>
    <t>finPNLReg2Prod4COGSDepExp</t>
  </si>
  <si>
    <t>finPNLReg2Prod4COGSExp</t>
  </si>
  <si>
    <t>xxMMProd1Seg3Units</t>
  </si>
  <si>
    <t>xxMMProd1Seg4Units</t>
  </si>
  <si>
    <t>xxMMProd6Driver3</t>
  </si>
  <si>
    <t>xxMMProd6Driver4</t>
  </si>
  <si>
    <t>xxMMProd6Driver5</t>
  </si>
  <si>
    <t>xxMMProd6Driver6</t>
  </si>
  <si>
    <t>xxMMProd6Driver7</t>
  </si>
  <si>
    <t>xxMMProd6Driver8</t>
  </si>
  <si>
    <t>paramProd3Emp1HrsReq</t>
  </si>
  <si>
    <t>paramProd3Emp2HrsReq</t>
  </si>
  <si>
    <t>Promotion &amp; Discounts</t>
  </si>
  <si>
    <t>Definitely increase the dividend and also make the Debt Decision Debt+Equity… otherwise, they'll run out of debt to pay back</t>
  </si>
  <si>
    <t>Check plant capacity for Year 1… Don't need to add any plant… Is it the inventory draw down?</t>
  </si>
  <si>
    <t>038</t>
  </si>
  <si>
    <t>095</t>
  </si>
  <si>
    <t>Inventories</t>
  </si>
  <si>
    <t>Code</t>
  </si>
  <si>
    <t>Fixed Administration Costs</t>
  </si>
  <si>
    <t>finPNLReg2LongTermRDExp</t>
  </si>
  <si>
    <t>finPNLReg1LongTermRDExp</t>
  </si>
  <si>
    <t>finPNLReg1Prod3RDFtr4Exp</t>
  </si>
  <si>
    <t>finPNLReg1Prod4RDFtr1Exp</t>
  </si>
  <si>
    <t>Balance Sheet Average Net Assets</t>
  </si>
  <si>
    <t>AP</t>
  </si>
  <si>
    <t>Net Assets</t>
  </si>
  <si>
    <t>Initiatives</t>
  </si>
  <si>
    <t>DuPont Data</t>
  </si>
  <si>
    <t>Profit Margin</t>
  </si>
  <si>
    <t>ATO</t>
  </si>
  <si>
    <t>ROA Avg Assets</t>
  </si>
  <si>
    <t>Mat Costs Cogs</t>
  </si>
  <si>
    <t>Lab Cost Cogs</t>
  </si>
  <si>
    <t>Dep Cost Cogs</t>
  </si>
  <si>
    <t>Mach Cost cogs</t>
  </si>
  <si>
    <t>obalProd1COGSPUnitDep</t>
  </si>
  <si>
    <t>Interbrew SA</t>
  </si>
  <si>
    <t>paramProd2MachHrsReqPUnit</t>
  </si>
  <si>
    <t>paramProd2Emp1Req</t>
  </si>
  <si>
    <t>capProd4COGSPUnitMat</t>
  </si>
  <si>
    <t>obalProd1COGSPUnitMat</t>
  </si>
  <si>
    <t>obalProd6COGSPUnitMat</t>
  </si>
  <si>
    <t>obalProd5COGSPUnitMat</t>
  </si>
  <si>
    <t>obalProd4COGSPUnitMat</t>
  </si>
  <si>
    <t>obalProd3COGSPUnitMat</t>
  </si>
  <si>
    <t>Closing Value Team 1</t>
  </si>
  <si>
    <t>capEmp10AllocProd?</t>
  </si>
  <si>
    <t xml:space="preserve">Impact of Family &amp; Partner Brand Decisions </t>
  </si>
  <si>
    <t>paramProd2FixedAdmin</t>
  </si>
  <si>
    <t>paramProd3CycTimeDays</t>
  </si>
  <si>
    <t>decSpecProg1</t>
  </si>
  <si>
    <t>decSpecProg3</t>
  </si>
  <si>
    <t>decSpecProg4</t>
  </si>
  <si>
    <t>decSpecProg5</t>
  </si>
  <si>
    <t xml:space="preserve">In the toolCommercial report, is it appropriate to use the opening balances for # of sales people for calculating "Revenue per sales rep" and "volume hL/ sales rep"? </t>
  </si>
  <si>
    <t>obalProd1Reg1UnitsSold</t>
  </si>
  <si>
    <t>obalProd2Reg1UnitsSold</t>
  </si>
  <si>
    <t>obalProd3Reg1UnitsSold</t>
  </si>
  <si>
    <t>obalReg2Prod4Rev</t>
  </si>
  <si>
    <t>Sales force Cost</t>
  </si>
  <si>
    <t>Market Model Calculation Segment 1 Product 5 Segment 1</t>
  </si>
  <si>
    <t>Market Model Calculation Segment 1 Product 6 Segment 1</t>
  </si>
  <si>
    <t>MATERIALS COSTS</t>
  </si>
  <si>
    <t>capProd2COGSPUnitMat</t>
  </si>
  <si>
    <t>paramReg1Prod3DistCostPUnit</t>
  </si>
  <si>
    <t>paramReg2Prod3DistCostPUnit</t>
  </si>
  <si>
    <t>paramReg1Prod4DistCostPUnit</t>
  </si>
  <si>
    <t>paramReg2Prod4DistCostPUnit</t>
  </si>
  <si>
    <t>Payables Days</t>
  </si>
  <si>
    <t>finPNLReg1Prod4EmpRecDismExp</t>
  </si>
  <si>
    <t>finPNLReg1Prod4FixedAdminExp</t>
  </si>
  <si>
    <t>finPNLReg1Prod4SGAExp</t>
  </si>
  <si>
    <t>finPNLReg1Prod4RandDExp</t>
  </si>
  <si>
    <t>HR Decisions</t>
  </si>
  <si>
    <t>IT Decisions</t>
  </si>
  <si>
    <t>MTU</t>
  </si>
  <si>
    <t>Free Cash Flow</t>
  </si>
  <si>
    <t>finFreeCashFlow</t>
  </si>
  <si>
    <t>capPlant1DivestmentValue</t>
  </si>
  <si>
    <t>capPlant1AllocProd1</t>
  </si>
  <si>
    <t>Loyal Share</t>
  </si>
  <si>
    <t>Impact of Plant Labor on Plant Efficiency</t>
  </si>
  <si>
    <t>capReg1Prod21COGSPUnitUMC</t>
  </si>
  <si>
    <t>capReg1Prod21COGSPUnit</t>
  </si>
  <si>
    <t>capReg1Prod22COGSPUnitUMC</t>
  </si>
  <si>
    <t>capReg1Prod22COGSPUnit</t>
  </si>
  <si>
    <t>capReg1Prod3COGSPUnitUMC</t>
  </si>
  <si>
    <t>capReg1Prod3COGSPUnit</t>
  </si>
  <si>
    <t>capReg1Prod4COGSPUnitUMC</t>
  </si>
  <si>
    <t>capReg1Prod4COGSPUnit</t>
  </si>
  <si>
    <t>capReg2Prod1COGSPUnitUMC</t>
  </si>
  <si>
    <t>capReg2Prod1COGSPUnit</t>
  </si>
  <si>
    <t>capReg2Prod21COGSPUnitUMC</t>
  </si>
  <si>
    <t>capReg2Prod21COGSPUnit</t>
  </si>
  <si>
    <t>capReg2Prod22COGSPUnitUMC</t>
  </si>
  <si>
    <t>capReg2Prod22COGSPUnit</t>
  </si>
  <si>
    <t>capReg2Prod3COGSPUnitUMC</t>
  </si>
  <si>
    <t>capReg2Prod3COGSPUnit</t>
  </si>
  <si>
    <t>capReg2Prod4COGSPUnitUMC</t>
  </si>
  <si>
    <t>capReg2Prod4COGSPUnit</t>
  </si>
  <si>
    <t>capReg1Emp3AllocProd22</t>
  </si>
  <si>
    <t>capReg1Prod22Emp3Exp</t>
  </si>
  <si>
    <t>capReg1Prod22CostPUnitEmp3</t>
  </si>
  <si>
    <t>capReg1Emp3AllocProd21</t>
  </si>
  <si>
    <t>capReg1Prod21Emp3Exp</t>
  </si>
  <si>
    <t>capReg1Prod21CostPUnitEmp3</t>
  </si>
  <si>
    <t>Cross-Category Bundling Promotion - Escendia</t>
  </si>
  <si>
    <t>V2-V</t>
  </si>
  <si>
    <t>V2-E</t>
  </si>
  <si>
    <t>V3-V</t>
  </si>
  <si>
    <t>V3-E</t>
  </si>
  <si>
    <t>APC Program - Vetera</t>
  </si>
  <si>
    <t>APC Program - Escendia</t>
  </si>
  <si>
    <t>Sales Force Education Program - Vetera</t>
  </si>
  <si>
    <t>finRetEarnChange</t>
  </si>
  <si>
    <t>obalProd2COGSPUnitDep</t>
  </si>
  <si>
    <t>Average Unit Price</t>
  </si>
  <si>
    <t>Vetera Market</t>
  </si>
  <si>
    <t>paramProd5InventoryHndlgPct</t>
  </si>
  <si>
    <t>paramProd5DistCostPUnit</t>
  </si>
  <si>
    <t>paramProd5FixedAdmin</t>
  </si>
  <si>
    <t>paramProd5OtherCost</t>
  </si>
  <si>
    <t>finPNLoperEarnPct</t>
  </si>
  <si>
    <t>finPNLReg1Prod3COGSEmp3Exp</t>
  </si>
  <si>
    <t>xxMMProd1Driver4</t>
  </si>
  <si>
    <t>xxMMProd1Driver5</t>
  </si>
  <si>
    <t>xxMMProd1Driver6</t>
  </si>
  <si>
    <t>xxMMProd1Driver7</t>
  </si>
  <si>
    <t>xxMMProd1Driver8</t>
  </si>
  <si>
    <t>xxMMProd1Driver9</t>
  </si>
  <si>
    <t>($MM Except Unit Price, MM Units)</t>
  </si>
  <si>
    <t>capEmp10req</t>
  </si>
  <si>
    <t>Product 4 Segment 2</t>
  </si>
  <si>
    <t>Product 4 Segment 3</t>
  </si>
  <si>
    <t>Product 4 Segment 4</t>
  </si>
  <si>
    <t>finCashFLowFromOps</t>
  </si>
  <si>
    <t>Market Model Calculation Segment 1 Vetera</t>
  </si>
  <si>
    <t>And should not be!</t>
  </si>
  <si>
    <t>finPNLReg1Prod3COGSDistExp</t>
  </si>
  <si>
    <t>finPNLReg1Prod4COGSDistExp</t>
  </si>
  <si>
    <t>Questions (11/20/02)</t>
  </si>
  <si>
    <t>Why add royalties to Disposal expense since we pay on manufacturing</t>
  </si>
  <si>
    <t>finPNLReg2COGSSpecialityExp</t>
  </si>
  <si>
    <t>finPNLReg1COGSSpecialityExp</t>
  </si>
  <si>
    <t xml:space="preserve">In the toolMarket market report, how do we break down the cost by Family, Partner and Speciality brand expecially when we have them affect the different parameters on the adjustments page?  </t>
  </si>
  <si>
    <t>N</t>
  </si>
  <si>
    <t>Initiave Type</t>
  </si>
  <si>
    <t>Initiative 1</t>
  </si>
  <si>
    <t>Initiative 2</t>
  </si>
  <si>
    <t>Initiative 3</t>
  </si>
  <si>
    <t>Initiative 4</t>
  </si>
  <si>
    <t>Initiative 5</t>
  </si>
  <si>
    <t>Initiavie Allocation</t>
  </si>
  <si>
    <t>graphVallocation</t>
  </si>
  <si>
    <t>graphESallocation</t>
  </si>
  <si>
    <t>graphOEallocation</t>
  </si>
  <si>
    <t>graphINallocation</t>
  </si>
  <si>
    <t>Should the cost per level on Employee Recruiting be 1/10 of Employee Dev? (B/C)</t>
  </si>
  <si>
    <t>028</t>
  </si>
  <si>
    <t>Finance decision should not be just Debt; should be Debt+Equity (B/C)</t>
  </si>
  <si>
    <t>029</t>
  </si>
  <si>
    <t>Didn't we say we'd change the column called Disruptive to something else? (D)</t>
  </si>
  <si>
    <t>030</t>
  </si>
  <si>
    <t>SimNewYear</t>
  </si>
  <si>
    <t>ToolCreateTool</t>
  </si>
  <si>
    <t>SetPaperSizeA4</t>
  </si>
  <si>
    <t>SetPaperSizeLetter</t>
  </si>
  <si>
    <t>Royalties</t>
  </si>
  <si>
    <t>Recruitment/Dismissal Costs</t>
  </si>
  <si>
    <t>Total SG&amp;A Expense</t>
  </si>
  <si>
    <t>CHOSEN SPECIAL PROGRAMS</t>
  </si>
  <si>
    <t>Program 1 Year 1</t>
  </si>
  <si>
    <t>Program 2 Year 1</t>
  </si>
  <si>
    <t>Increase (+)/ Decrease (-) in Special Loans</t>
  </si>
  <si>
    <t>FMATDAreaColorHeader</t>
  </si>
  <si>
    <t>FMATDAreaBorderHeader</t>
  </si>
  <si>
    <t>cbalARValue</t>
  </si>
  <si>
    <t>cbalAPValue</t>
  </si>
  <si>
    <t>cbalOtherCurrLiabValue</t>
  </si>
  <si>
    <t>cbalSpecLoansValue</t>
  </si>
  <si>
    <t>Days per Year</t>
  </si>
  <si>
    <t>paramDaysPerYear</t>
  </si>
  <si>
    <t>capProd1Depreciation</t>
  </si>
  <si>
    <t>capProd3Depreciation</t>
  </si>
  <si>
    <t>capProd4Depreciation</t>
  </si>
  <si>
    <t>Wobbler 1</t>
  </si>
  <si>
    <t>Wobbler 2</t>
  </si>
  <si>
    <t>capReg2Prod1UnitsFGUsed</t>
  </si>
  <si>
    <t>Overall Net Rev Growth (Average)</t>
  </si>
  <si>
    <t>Average Sustainability</t>
  </si>
  <si>
    <t>Advertising Allocation</t>
  </si>
  <si>
    <t>capProd2Adv</t>
  </si>
  <si>
    <t>finPNLReg2Prod2SpecProgExp</t>
  </si>
  <si>
    <t>finPNLReg2Prod3SpecProgExp</t>
  </si>
  <si>
    <t>finPNLReg2Prod4SpecProgExp</t>
  </si>
  <si>
    <t>Market Model Prod6 Drivers</t>
  </si>
  <si>
    <t>xxMMProd6Driver1</t>
  </si>
  <si>
    <t>xxMMProd6Driver2</t>
  </si>
  <si>
    <t>finCashFlowOperations</t>
  </si>
  <si>
    <t>On Action</t>
  </si>
  <si>
    <t>GoToToolPNL</t>
  </si>
  <si>
    <t>Command Bar Name</t>
  </si>
  <si>
    <t>Enabled</t>
  </si>
  <si>
    <t>Total Selling Expense</t>
  </si>
  <si>
    <t>finROA</t>
  </si>
  <si>
    <t>finProfitMargin</t>
  </si>
  <si>
    <t>What if Units Prod 2</t>
  </si>
  <si>
    <t>What if Units Prod 3</t>
  </si>
  <si>
    <t>What if Units Prod 4</t>
  </si>
  <si>
    <t>Vetera Strategy - Where</t>
  </si>
  <si>
    <t>CSD Rating</t>
  </si>
  <si>
    <t>NCB Rating</t>
  </si>
  <si>
    <t>F&amp;S Rating</t>
  </si>
  <si>
    <t>Total Vetera Rating</t>
  </si>
  <si>
    <t>Escendia Strategy - Where</t>
  </si>
  <si>
    <t>Total Escendia Rating</t>
  </si>
  <si>
    <t>NCB Rating - Total</t>
  </si>
  <si>
    <t>CSD Rating - Total</t>
  </si>
  <si>
    <t>F&amp;S Rating - Total</t>
  </si>
  <si>
    <t>capStratProd1TotalRating</t>
  </si>
  <si>
    <t>capStratProd3TotalRating</t>
  </si>
  <si>
    <t>capStratProd4TotalRating</t>
  </si>
  <si>
    <t>Sector Strategy - Where</t>
  </si>
  <si>
    <t>capStratReg1Prod1Rating</t>
  </si>
  <si>
    <t>capStratReg1Prod3Rating</t>
  </si>
  <si>
    <t>capStratReg1Prod4Rating</t>
  </si>
  <si>
    <t>obalReg2Prod3WIPValue</t>
  </si>
  <si>
    <t>obalReg2Prod4WIPValue</t>
  </si>
  <si>
    <t>obalReg2Prod5WIPValue</t>
  </si>
  <si>
    <t>obalReg2Prod6WIPValue</t>
  </si>
  <si>
    <t>obalReg2WIPValue</t>
  </si>
  <si>
    <t>obalReg2Prod1FGValue</t>
  </si>
  <si>
    <t>obalReg2Prod2FGValue</t>
  </si>
  <si>
    <t>obalReg2Prod3FGValue</t>
  </si>
  <si>
    <t>decStratVetCSD</t>
  </si>
  <si>
    <t>decStratVetNCB</t>
  </si>
  <si>
    <t>decStratVetFnS</t>
  </si>
  <si>
    <t>decStratEdaCSD</t>
  </si>
  <si>
    <t>decStratEdaNCB</t>
  </si>
  <si>
    <t>decStratEdaFnS</t>
  </si>
  <si>
    <t>decStratVetCons</t>
  </si>
  <si>
    <t>decStratVetCust</t>
  </si>
  <si>
    <t>decStratVetComp</t>
  </si>
  <si>
    <t>decStratEdaCons</t>
  </si>
  <si>
    <t>decStratEdaCust</t>
  </si>
  <si>
    <t>decStratEdaComp</t>
  </si>
  <si>
    <t>obalStratVetCSD</t>
  </si>
  <si>
    <t>obalStratVetNCB</t>
  </si>
  <si>
    <t>obalStratVetFnS</t>
  </si>
  <si>
    <t>obalStratEdaCSD</t>
  </si>
  <si>
    <t>obalStratEdaNCB</t>
  </si>
  <si>
    <t>obalStratEdaFnS</t>
  </si>
  <si>
    <t>obalStratVetCons</t>
  </si>
  <si>
    <t>obalStratVetCust</t>
  </si>
  <si>
    <t>obalStratVetComp</t>
  </si>
  <si>
    <t>obalStratEdaCons</t>
  </si>
  <si>
    <t>obalStratEdaCust</t>
  </si>
  <si>
    <t>obalStratEdaComp</t>
  </si>
  <si>
    <t>cbalStratVetCSD</t>
  </si>
  <si>
    <t>cbalStratVetNCB</t>
  </si>
  <si>
    <t>cbalStratVetFnS</t>
  </si>
  <si>
    <t>cbalStratEdaCSD</t>
  </si>
  <si>
    <t>cbalStratEdaNCB</t>
  </si>
  <si>
    <t>cbalStratEdaFnS</t>
  </si>
  <si>
    <t>cbalStratVetCons</t>
  </si>
  <si>
    <t>cbalStratVetCust</t>
  </si>
  <si>
    <t>cbalStratVetComp</t>
  </si>
  <si>
    <t>cbalStratEdaCons</t>
  </si>
  <si>
    <t>cbalStratEdaCust</t>
  </si>
  <si>
    <t>cbalStratEdaComp</t>
  </si>
  <si>
    <t>GoToToolAnalyVision</t>
  </si>
  <si>
    <t>cbalReg1Prod3Rev</t>
  </si>
  <si>
    <t>cbalReg2Prod3Rev</t>
  </si>
  <si>
    <t>013</t>
  </si>
  <si>
    <t>Also on Bal Sheet, Net Profit from Year -1 should not be so low</t>
  </si>
  <si>
    <t>014</t>
  </si>
  <si>
    <t>Let's get a proper dividend level into the sim (right now, too, too low) (C)</t>
  </si>
  <si>
    <t>015</t>
  </si>
  <si>
    <t>paramSpecProgReg1Prod3Exp</t>
  </si>
  <si>
    <t>paramSpecProgReg1Prod4Exp</t>
  </si>
  <si>
    <t>paramSpecProgReg2Prod1Exp</t>
  </si>
  <si>
    <t>paramSpecProgReg2Prod2Exp</t>
  </si>
  <si>
    <t>paramEmp10Reg2ChanLevel</t>
  </si>
  <si>
    <t>ES9</t>
  </si>
  <si>
    <t>Organic Corn Syrup Partnership</t>
  </si>
  <si>
    <t>Group 1</t>
  </si>
  <si>
    <t>Group 2</t>
  </si>
  <si>
    <t>Total Ops Margin</t>
  </si>
  <si>
    <t>ffbCopyOpsMargin</t>
  </si>
  <si>
    <t>Vetera Ops Margin</t>
  </si>
  <si>
    <t>ffbCopyReg1OpsMargin</t>
  </si>
  <si>
    <t>Escendia Ops Margin</t>
  </si>
  <si>
    <t>ffbCopyReg2OpsMargin</t>
  </si>
  <si>
    <t>R&amp;D Spending</t>
  </si>
  <si>
    <t>Report Area Color Header</t>
  </si>
  <si>
    <t>finPNLReg2Prod1PromoExp</t>
  </si>
  <si>
    <t>finPNLReg2Prod1InventoryHndlgExp</t>
  </si>
  <si>
    <t>finPNLCapLossExp</t>
  </si>
  <si>
    <t>finPNLExtraOrdExp</t>
  </si>
  <si>
    <t>finPNLNetIntExp</t>
  </si>
  <si>
    <t>finPNLTaxExp</t>
  </si>
  <si>
    <t>finPNLNetEarn</t>
  </si>
  <si>
    <t>finCashExpense</t>
  </si>
  <si>
    <t>finCashFlowDep</t>
  </si>
  <si>
    <t>finCashFlowWorkCap</t>
  </si>
  <si>
    <t>CSE- Mainstream Lower</t>
  </si>
  <si>
    <t>(includes FG, WIP and Materials)</t>
  </si>
  <si>
    <t>Family Brands</t>
  </si>
  <si>
    <t>Weight</t>
  </si>
  <si>
    <t>Anchor</t>
  </si>
  <si>
    <t>finPNLReg2Prod4InventoryHndlgExp</t>
  </si>
  <si>
    <t>capEmp10Begin</t>
  </si>
  <si>
    <t>Recruiting Level Ramp-Up Cost</t>
  </si>
  <si>
    <t>paramRecruitLevelRamp</t>
  </si>
  <si>
    <t>paramRecruitLevelCost</t>
  </si>
  <si>
    <t>paramEmpDevCost</t>
  </si>
  <si>
    <t>paramEmpDevRamp</t>
  </si>
  <si>
    <t>paramITlevelCost</t>
  </si>
  <si>
    <t>finPNLReg1Prod4RDFtr2Exp</t>
  </si>
  <si>
    <t>finPNLReg1Prod4RDFtr4Exp</t>
  </si>
  <si>
    <t>Family Brand R&amp;D</t>
  </si>
  <si>
    <t>Partner Brand R&amp;D</t>
  </si>
  <si>
    <t>R&amp;D Expense</t>
  </si>
  <si>
    <t>Advertising Budget (000)</t>
  </si>
  <si>
    <t>Promotion Budget (000)</t>
  </si>
  <si>
    <t>Revenue Growth</t>
  </si>
  <si>
    <t>xxMMProd3Seg1Units</t>
  </si>
  <si>
    <t>xxMMProd3Seg2Units</t>
  </si>
  <si>
    <t>xxMMProd3Seg3Units</t>
  </si>
  <si>
    <t>xxMMProd3Seg4Units</t>
  </si>
  <si>
    <t>xxMMProd3Seg5Units</t>
  </si>
  <si>
    <t>xxMMProd3Driver1</t>
  </si>
  <si>
    <t>Amortization</t>
  </si>
  <si>
    <t>paramProd4MinFamBrand</t>
  </si>
  <si>
    <t>finPNLReg1Prod2COGSRoyExp</t>
  </si>
  <si>
    <t>finPNLReg1Prod3COGSRoyExp</t>
  </si>
  <si>
    <t>finPNLReg1Prod4COGSRoyExp</t>
  </si>
  <si>
    <t>finPNLReg1COGSRoyExp</t>
  </si>
  <si>
    <t>finPNLReg2Prod1COGSRoyExp</t>
  </si>
  <si>
    <t>finPNLReg1Prod3SGAExp</t>
  </si>
  <si>
    <t>finPNLReg1Prod3RandDExp</t>
  </si>
  <si>
    <t>Plant Utilization</t>
  </si>
  <si>
    <t>Labor Utilization</t>
  </si>
  <si>
    <t>Key Ratios</t>
  </si>
  <si>
    <t>Days of Sales Outstanding</t>
  </si>
  <si>
    <t>Price Change</t>
  </si>
  <si>
    <t>New Family Brands</t>
  </si>
  <si>
    <t>finPNLReg2OpsMarginPct</t>
  </si>
  <si>
    <t>Shared Services Dashboard</t>
  </si>
  <si>
    <t>Number of Brands Decision</t>
  </si>
  <si>
    <t>finPNLReg1Prod3Emp1Exp</t>
  </si>
  <si>
    <t>finPNLReg1Prod4COGSEmp3Exp</t>
  </si>
  <si>
    <t>finPNLReg1Prod4Emp1Exp</t>
  </si>
  <si>
    <t>finPNLReg2Prod1COGSEmp3Exp</t>
  </si>
  <si>
    <t>finPNLReg2Prod2COGSEmp3Exp</t>
  </si>
  <si>
    <t>finPNLReg2Prod2Emp2Exp</t>
  </si>
  <si>
    <t>finPNLReg2Prod3COGSEmp3Exp</t>
  </si>
  <si>
    <t>finPNLReg2Prod4COGSEmp3Exp</t>
  </si>
  <si>
    <t>Product 4 Segment 5</t>
  </si>
  <si>
    <t>Distribution Routing Optimization Program - Vetera</t>
  </si>
  <si>
    <t>Distribution Routing Optimization Program - Escendia</t>
  </si>
  <si>
    <t>Distribu-Link Program - Vetera</t>
  </si>
  <si>
    <t>Distribu-Link Program - Escendia</t>
  </si>
  <si>
    <t>Virtual Speak Program - Vetera</t>
  </si>
  <si>
    <t>Virtual Speak Program - Escendia</t>
  </si>
  <si>
    <t>V6-V</t>
  </si>
  <si>
    <t>V6-E</t>
  </si>
  <si>
    <t>V7-V</t>
  </si>
  <si>
    <t>V7-E</t>
  </si>
  <si>
    <t>Prod5Seg2</t>
  </si>
  <si>
    <t>Prod5Seg3</t>
  </si>
  <si>
    <t>Prod5Seg4</t>
  </si>
  <si>
    <t>Prod5Seg5</t>
  </si>
  <si>
    <t>Prod5Seg1</t>
  </si>
  <si>
    <t>Prod6Seg2</t>
  </si>
  <si>
    <t>finPNLReg2Prod2COGSRoyExp</t>
  </si>
  <si>
    <t>finPNLReg2Prod3COGSRoyExp</t>
  </si>
  <si>
    <t>finPNLReg2Prod4COGSRoyExp</t>
  </si>
  <si>
    <t>finPNLReg2COGSRoyExp</t>
  </si>
  <si>
    <t>Disruptive 1 Revenues</t>
  </si>
  <si>
    <t>Print Decision Summaries</t>
  </si>
  <si>
    <t>PrintDecSummaries</t>
  </si>
  <si>
    <t>Inventory Handling &amp; Distribution Costs</t>
  </si>
  <si>
    <t>&amp;Balance Sheet</t>
  </si>
  <si>
    <t>&amp;Cash Flow</t>
  </si>
  <si>
    <t>&amp;Save Tool</t>
  </si>
  <si>
    <t>&amp;New Year</t>
  </si>
  <si>
    <t>ToolSave</t>
  </si>
  <si>
    <t>Loss on Sale of Plant</t>
  </si>
  <si>
    <t>Special Loan Expense</t>
  </si>
  <si>
    <t>Misc</t>
  </si>
  <si>
    <t>Special Loans Expense</t>
  </si>
  <si>
    <t>Total Extraordinary Items</t>
  </si>
  <si>
    <t>Interest Income</t>
  </si>
  <si>
    <t>Interest Expense</t>
  </si>
  <si>
    <t>CASH FROM FINANCING ACTIVITIES</t>
  </si>
  <si>
    <t>Market Driver 3</t>
  </si>
  <si>
    <t>Market Driver 4</t>
  </si>
  <si>
    <t>Market Driver 5</t>
  </si>
  <si>
    <t>Market Driver 6</t>
  </si>
  <si>
    <t>Market Driver 7</t>
  </si>
  <si>
    <t>Market Driver 8</t>
  </si>
  <si>
    <t>Market Driver 9</t>
  </si>
  <si>
    <t>Market Driver 10</t>
  </si>
  <si>
    <t>Market Drivers</t>
  </si>
  <si>
    <t>Manual Adjustment (%)</t>
  </si>
  <si>
    <t>MMSegCurrent</t>
  </si>
  <si>
    <t>MMSegCount</t>
  </si>
  <si>
    <t>MMShareCopy</t>
  </si>
  <si>
    <t>MMSegSummary</t>
  </si>
  <si>
    <t>MMSharePaste</t>
  </si>
  <si>
    <t>MMTotalUnits</t>
  </si>
  <si>
    <t>MMInMarket</t>
  </si>
  <si>
    <t>MMExplainPasteSeg1</t>
  </si>
  <si>
    <t>MMExplainPasteSeg5</t>
  </si>
  <si>
    <t>MMExplainPasteSeg4</t>
  </si>
  <si>
    <t>MMExplainPasteSeg3</t>
  </si>
  <si>
    <t>MMExplainPasteSeg2</t>
  </si>
  <si>
    <t>Number of Brands</t>
  </si>
  <si>
    <t>finPNLReg1Prod3COGSMatExp</t>
  </si>
  <si>
    <t>Other Current Liabilities</t>
  </si>
  <si>
    <t>Special Loans</t>
  </si>
  <si>
    <t>Total Current Liabilities</t>
  </si>
  <si>
    <t>Long-term debt</t>
  </si>
  <si>
    <t>Total Liabilities</t>
  </si>
  <si>
    <t>Equity</t>
  </si>
  <si>
    <t>Common stock</t>
  </si>
  <si>
    <t>capProd3Emp1SalExp</t>
  </si>
  <si>
    <t>capProd4Emp1SalExp</t>
  </si>
  <si>
    <t>Finished Goods Units</t>
  </si>
  <si>
    <t>Product 1</t>
  </si>
  <si>
    <t>ESAT</t>
  </si>
  <si>
    <t>Finance</t>
  </si>
  <si>
    <t>Common Stock</t>
  </si>
  <si>
    <t>capEmpDevMTUs</t>
  </si>
  <si>
    <t>capRecruitingMTUs</t>
  </si>
  <si>
    <t>capChanCustMTUs</t>
  </si>
  <si>
    <t>capChanPenMTUs</t>
  </si>
  <si>
    <t>capRnD1MTUs</t>
  </si>
  <si>
    <t>&amp;Decision Summary</t>
  </si>
  <si>
    <t>&amp;Profit and Loss</t>
  </si>
  <si>
    <t>Plant Decisions</t>
  </si>
  <si>
    <t>Plant Report</t>
  </si>
  <si>
    <t>Simplified Cash Flow</t>
  </si>
  <si>
    <t>finSimpleCashFlow</t>
  </si>
  <si>
    <t xml:space="preserve"> Cost of Sales</t>
  </si>
  <si>
    <t xml:space="preserve"> R&amp;D Expense </t>
  </si>
  <si>
    <t>Change in A/R</t>
  </si>
  <si>
    <t>Change in Inventory</t>
  </si>
  <si>
    <t>Change in A/P</t>
  </si>
  <si>
    <t>Capital Expenditures</t>
  </si>
  <si>
    <t>Working Cap. Movement</t>
  </si>
  <si>
    <t>CapEx</t>
  </si>
  <si>
    <t>Working Cap. Mvmnt.</t>
  </si>
  <si>
    <t>"Oper'l" Cash Flow</t>
  </si>
  <si>
    <t>Inc(-)/dec(+) in Materials</t>
  </si>
  <si>
    <t>Inc(-)/dec(+) in AP</t>
  </si>
  <si>
    <t>Inc(-)/dec(+) in Other Curr Liab</t>
  </si>
  <si>
    <t>Total</t>
  </si>
  <si>
    <t>Net Cash from Operations</t>
  </si>
  <si>
    <t>Other invest(-)/divest(+)</t>
  </si>
  <si>
    <t>Market Driver 1</t>
  </si>
  <si>
    <t>Market Driver 2</t>
  </si>
  <si>
    <t>Discounted</t>
  </si>
  <si>
    <t>Discounted Value</t>
  </si>
  <si>
    <t>Driver 8</t>
  </si>
  <si>
    <t>Score Driver 8</t>
  </si>
  <si>
    <t>Driver 9</t>
  </si>
  <si>
    <t>capReg1Prod1UnitsSold</t>
  </si>
  <si>
    <t>capReg1Prod1UnitsSoldFG</t>
  </si>
  <si>
    <t>finPNLReg1Prod1COGSRoyExp</t>
  </si>
  <si>
    <t>finPNLReg1Prod1COGSDistExp</t>
  </si>
  <si>
    <t>finPNLReg1Prod2COGSDistExp</t>
  </si>
  <si>
    <t>decProd2Promo2</t>
  </si>
  <si>
    <t>decProd2Promo1</t>
  </si>
  <si>
    <t>finPNLReg1Prod1OpsMargin</t>
  </si>
  <si>
    <r>
      <t xml:space="preserve">Family Brand </t>
    </r>
    <r>
      <rPr>
        <b/>
        <i/>
        <sz val="8"/>
        <rFont val="Arial"/>
        <family val="2"/>
      </rPr>
      <t>(Three Brands Per Year)</t>
    </r>
  </si>
  <si>
    <r>
      <t xml:space="preserve">Partner Brand </t>
    </r>
    <r>
      <rPr>
        <b/>
        <i/>
        <sz val="8"/>
        <rFont val="Arial"/>
        <family val="2"/>
      </rPr>
      <t>(One Brand Per Year)</t>
    </r>
  </si>
  <si>
    <t>finPNLReg1Prod2Rev</t>
  </si>
  <si>
    <t>finPNLReg1Prod2COGSMatExp</t>
  </si>
  <si>
    <t>ffbCopyreg2Prod1Price</t>
  </si>
  <si>
    <t>ffbCopyreg2Prod1Vol</t>
  </si>
  <si>
    <t>obalReg2Prod4FGValue</t>
  </si>
  <si>
    <t>obalReg2Prod5FGValue</t>
  </si>
  <si>
    <t>Lines Bought</t>
  </si>
  <si>
    <t>Lines Sold</t>
  </si>
  <si>
    <t>Total Speciality Brand Expense</t>
  </si>
  <si>
    <t>Wobblers</t>
  </si>
  <si>
    <t>xxMMProd4Driver1</t>
  </si>
  <si>
    <t>xxMMProd4Driver2</t>
  </si>
  <si>
    <t>xxMMProd4Driver3</t>
  </si>
  <si>
    <t>Plant Machinery Operating/Maintenance Cost</t>
  </si>
  <si>
    <t>Inefficiency Dep Cost</t>
  </si>
  <si>
    <t>Excess Capacity Dep Cost</t>
  </si>
  <si>
    <t>Inefficiency Maint Cost</t>
  </si>
  <si>
    <t>Excess Capacity Maint Cost</t>
  </si>
  <si>
    <t>InEfficiency Expense</t>
  </si>
  <si>
    <t>Increase (-)/ Decrease (+) in Finished Goods</t>
  </si>
  <si>
    <t>Increase (-)/ Decrease (+) in Work In Process</t>
  </si>
  <si>
    <t>Inc(+)/dec(-) in Equity</t>
  </si>
  <si>
    <t>finCashFlowSpecLoansChange</t>
  </si>
  <si>
    <t>finCashFlowDividendPayOut</t>
  </si>
  <si>
    <t>Decrease (-) from Dividend</t>
  </si>
  <si>
    <t>&amp;Vetera</t>
  </si>
  <si>
    <t>&amp;Escendia</t>
  </si>
  <si>
    <t>&amp;Operations</t>
  </si>
  <si>
    <t>&amp;Global Shared Services</t>
  </si>
  <si>
    <t>GoToToolVetera</t>
  </si>
  <si>
    <t>GoToToolEscendia</t>
  </si>
  <si>
    <t>GoToToolGSS</t>
  </si>
  <si>
    <t>GoToToolRnD</t>
  </si>
  <si>
    <t>Global Shared Services</t>
  </si>
  <si>
    <t>&amp;R&amp;&amp;D</t>
  </si>
  <si>
    <t>Innovations</t>
  </si>
  <si>
    <t>Innovation 1</t>
  </si>
  <si>
    <t>Innovation 2</t>
  </si>
  <si>
    <t>Innovation 3</t>
  </si>
  <si>
    <t>Innovation 4</t>
  </si>
  <si>
    <t>paramProd1InnovReg1</t>
  </si>
  <si>
    <t>paramProd1InnovReg2</t>
  </si>
  <si>
    <t>CODE</t>
  </si>
  <si>
    <t>Plant Flex Error</t>
  </si>
  <si>
    <t>finPNLReg2Prod2COGSExpS2</t>
  </si>
  <si>
    <t>finPNLReg1COGSDepExp</t>
  </si>
  <si>
    <t>finPNLReg1COGSExp</t>
  </si>
  <si>
    <t>obalProd1Reg2UnitsFG</t>
  </si>
  <si>
    <t>obalProd2Reg2UnitsWIP</t>
  </si>
  <si>
    <t>obalProd2Reg2UnitsFG</t>
  </si>
  <si>
    <t>obalProd3Reg2UnitsWIP</t>
  </si>
  <si>
    <t>obalProd3Reg2UnitsFG</t>
  </si>
  <si>
    <t>obalProd4Reg2UnitsWIP</t>
  </si>
  <si>
    <t>obalProd4Reg2UnitsFG</t>
  </si>
  <si>
    <t>obalReg1Prod1WIPValue</t>
  </si>
  <si>
    <t>obalReg1Prod2WIPValue</t>
  </si>
  <si>
    <t>obalReg1Prod3WIPValue</t>
  </si>
  <si>
    <t>obalReg1Prod4WIPValue</t>
  </si>
  <si>
    <t>obalReg1Prod5WIPValue</t>
  </si>
  <si>
    <t>obalReg1Prod6WIPValue</t>
  </si>
  <si>
    <t>obalReg1Prod1FGValue</t>
  </si>
  <si>
    <t>obalReg1Prod2FGValue</t>
  </si>
  <si>
    <t>decProd1Reg1Price</t>
  </si>
  <si>
    <t>decProd1Reg2Price</t>
  </si>
  <si>
    <t>decProd1Brand</t>
  </si>
  <si>
    <t>obalReg2Prod6FGValue</t>
  </si>
  <si>
    <t>obalReg2FGValue</t>
  </si>
  <si>
    <t>xxWinMetricYear4</t>
  </si>
  <si>
    <t>Other Op Expense</t>
  </si>
  <si>
    <t>finPNLOtherOpExp</t>
  </si>
  <si>
    <t>paramReg2Prod4CommSpendEffect</t>
  </si>
  <si>
    <t>paramPlant1RampUpPct</t>
  </si>
  <si>
    <t>capPlant1UnitsAvail</t>
  </si>
  <si>
    <t>capPlant1HoursAvail</t>
  </si>
  <si>
    <t>capPlant1Utiliz</t>
  </si>
  <si>
    <t>Excess Capacity Costs</t>
  </si>
  <si>
    <t>capEmp1Att</t>
  </si>
  <si>
    <t>capEmp1Utiliz</t>
  </si>
  <si>
    <t>capEmp2Att</t>
  </si>
  <si>
    <t>capEmp2Utiliz</t>
  </si>
  <si>
    <t>capEmp3Att</t>
  </si>
  <si>
    <t>capEmp3Utiliz</t>
  </si>
  <si>
    <t>capReg1Prod1UnitsWiP</t>
  </si>
  <si>
    <t>capReg2Prod1UnitsWiP</t>
  </si>
  <si>
    <t>capReg1Prod3UnitsWiP</t>
  </si>
  <si>
    <t>capReg2Prod3UnitsWiP</t>
  </si>
  <si>
    <t>GoToToolOps</t>
  </si>
  <si>
    <t>Portfolio Breadth</t>
  </si>
  <si>
    <t>Year 0 Market Split</t>
  </si>
  <si>
    <t>y</t>
  </si>
  <si>
    <t>Mat Cost Impact</t>
  </si>
  <si>
    <t>Prod Spec</t>
  </si>
  <si>
    <t>capProd21COGSPUnitMat</t>
  </si>
  <si>
    <t>capProd22COGSPUnitMat</t>
  </si>
  <si>
    <t>paramProd21MatCostPUnit</t>
  </si>
  <si>
    <t>paramProd22MatCostPUnit</t>
  </si>
  <si>
    <t>Mat Costs Cogs 1</t>
  </si>
  <si>
    <t>Run &amp;Market Model</t>
  </si>
  <si>
    <t>xxMMProd2Driver6</t>
  </si>
  <si>
    <t>xxMMProd2Driver7</t>
  </si>
  <si>
    <t>Total Region A</t>
  </si>
  <si>
    <t>Inefficiency Cost</t>
  </si>
  <si>
    <t>finEVAEcoProfit</t>
  </si>
  <si>
    <t>finPNLReg1COGSDistExp</t>
  </si>
  <si>
    <t>Fruit-Based Colas</t>
  </si>
  <si>
    <t>Muscle Recovery Sports Drink</t>
  </si>
  <si>
    <t>Carbonated Candy</t>
  </si>
  <si>
    <t>4. Taste of the Wilderness</t>
  </si>
  <si>
    <t xml:space="preserve">Time-To-Market </t>
  </si>
  <si>
    <t>Jonah Cohen</t>
  </si>
  <si>
    <t>Glossary</t>
  </si>
  <si>
    <t>English</t>
  </si>
  <si>
    <t>decSWOTt1</t>
  </si>
  <si>
    <t>decSWOTt2</t>
  </si>
  <si>
    <t>decSWOTt3</t>
  </si>
  <si>
    <t>decSWOTt4</t>
  </si>
  <si>
    <t>decSWOTt5</t>
  </si>
  <si>
    <t>Vision</t>
  </si>
  <si>
    <t>decVision</t>
  </si>
  <si>
    <t>Goals</t>
  </si>
  <si>
    <t>Goal 1</t>
  </si>
  <si>
    <t>Goal 3</t>
  </si>
  <si>
    <t>Goal 4</t>
  </si>
  <si>
    <t>Goal 5</t>
  </si>
  <si>
    <t>Goal 6</t>
  </si>
  <si>
    <t>Goal 7</t>
  </si>
  <si>
    <t>Goal 8</t>
  </si>
  <si>
    <t>Goal 9</t>
  </si>
  <si>
    <t>Goal 10</t>
  </si>
  <si>
    <t>Goal 11</t>
  </si>
  <si>
    <t>Goal 12</t>
  </si>
  <si>
    <t>Goal 13</t>
  </si>
  <si>
    <t>decGoals1</t>
  </si>
  <si>
    <t>decGoals3</t>
  </si>
  <si>
    <t>decGoals4</t>
  </si>
  <si>
    <t>decGoals5</t>
  </si>
  <si>
    <t>decGoals6</t>
  </si>
  <si>
    <t>decGoals7</t>
  </si>
  <si>
    <t>decGoals8</t>
  </si>
  <si>
    <t>decGoals9</t>
  </si>
  <si>
    <t>decGoals10</t>
  </si>
  <si>
    <t>decGoals11</t>
  </si>
  <si>
    <t>decGoals12</t>
  </si>
  <si>
    <t>decGoals13</t>
  </si>
  <si>
    <t>Strategy - WHAT</t>
  </si>
  <si>
    <t>Differentiator1</t>
  </si>
  <si>
    <t>Differentiator2</t>
  </si>
  <si>
    <t>Shipping &amp; Handling Costs</t>
  </si>
  <si>
    <t>Raw Materials</t>
  </si>
  <si>
    <t>Gross Revenue</t>
  </si>
  <si>
    <t>Net Revenue</t>
  </si>
  <si>
    <t>Promotions &amp; Discounts</t>
  </si>
  <si>
    <t>SG&amp;A %</t>
  </si>
  <si>
    <t>Taxes (Net of Interest)</t>
  </si>
  <si>
    <t>Cash &amp; Receivables</t>
  </si>
  <si>
    <t>NOPAT</t>
  </si>
  <si>
    <t>Income Statement</t>
  </si>
  <si>
    <t>Income Statement - Vetera</t>
  </si>
  <si>
    <t>Income Statement - Escendia</t>
  </si>
  <si>
    <t>capReg1Prod1UnitsFGUsed</t>
  </si>
  <si>
    <t>capReg1Prod1UnitsWiPUsed</t>
  </si>
  <si>
    <t>paramReg2Prod1CommSpendEffect</t>
  </si>
  <si>
    <t>paramReg1Prod3CommSpendEffect</t>
  </si>
  <si>
    <t>paramReg2Prod3CommSpendEffect</t>
  </si>
  <si>
    <t>paramReg1Prod4CommSpendEffect</t>
  </si>
  <si>
    <t>capReg2Prod2UnitsProduction</t>
  </si>
  <si>
    <t>capReg2Prod3UnitsFGUsed</t>
  </si>
  <si>
    <t>capReg2Prod3UnitsWiPUsed</t>
  </si>
  <si>
    <t>French</t>
  </si>
  <si>
    <t>capPlant1UnitsEnd</t>
  </si>
  <si>
    <t>capPlant1Investment</t>
  </si>
  <si>
    <t>paramPlant1DivRevenue</t>
  </si>
  <si>
    <t>paramPlant1InvCost</t>
  </si>
  <si>
    <t>paramPlant1MachHrsPUnit</t>
  </si>
  <si>
    <t>Total Hours Required</t>
  </si>
  <si>
    <t>paramPlant1MachCostPHr</t>
  </si>
  <si>
    <t>paramPlant1DepRate</t>
  </si>
  <si>
    <t>GoToToolBalSheet</t>
  </si>
  <si>
    <t>GoToToolCashFlow</t>
  </si>
  <si>
    <t>Total Revenues</t>
  </si>
  <si>
    <t>Total COGS</t>
  </si>
  <si>
    <t>Selling</t>
  </si>
  <si>
    <t>Sales Force</t>
  </si>
  <si>
    <t>Year 0 growth in V Snacks is -58% (check all growth rates on Data Page)</t>
  </si>
  <si>
    <t>016</t>
  </si>
  <si>
    <t>&amp;Run Bid Market Model</t>
  </si>
  <si>
    <t>&amp;Export Bid Results</t>
  </si>
  <si>
    <t>cbalEmp3Utiliz</t>
  </si>
  <si>
    <t>&amp;Print Analysis</t>
  </si>
  <si>
    <t>Print &amp;Annuals</t>
  </si>
  <si>
    <t>&amp;Open Feedback File</t>
  </si>
  <si>
    <t>&amp;Reset Year 0</t>
  </si>
  <si>
    <t>&amp;Create Tool</t>
  </si>
  <si>
    <t>Change to Paper &amp;A4</t>
  </si>
  <si>
    <t>Change to Paper &amp;Letter</t>
  </si>
  <si>
    <t>&amp;Print PC Tool</t>
  </si>
  <si>
    <t>R&amp;emove Page Breaks</t>
  </si>
  <si>
    <t>&amp;Zoom 100%</t>
  </si>
  <si>
    <t>Format &amp;Closed Hood</t>
  </si>
  <si>
    <t>Format &amp;Opened Hood</t>
  </si>
  <si>
    <t>Print Team 1 Annual Report</t>
  </si>
  <si>
    <t>Print Team 2 Annual Report</t>
  </si>
  <si>
    <t>Print Team 3 Annual Report</t>
  </si>
  <si>
    <t>capReg2Emp3Recruit</t>
  </si>
  <si>
    <t>capReg2Emp3OTCost</t>
  </si>
  <si>
    <t>capReg2Emp3Exp</t>
  </si>
  <si>
    <t>capReg2Emp3ExCapCost</t>
  </si>
  <si>
    <t>capReg2Emp3RecDismExp</t>
  </si>
  <si>
    <t>capReg2Emp3AdminExp</t>
  </si>
  <si>
    <t>capReg2Emp3AllocProd1</t>
  </si>
  <si>
    <t>capReg2Emp3AllocProd3</t>
  </si>
  <si>
    <t>capReg2Emp3AllocProd4</t>
  </si>
  <si>
    <t>capReg2Prod1Emp3Exp</t>
  </si>
  <si>
    <t>capReg2Emp3AllocProd22</t>
  </si>
  <si>
    <t>capReg2Prod22Emp3Exp</t>
  </si>
  <si>
    <t>capReg2Prod22CostPUnitEmp3</t>
  </si>
  <si>
    <t>obalReg1Prod1COGSPUnitLabor</t>
  </si>
  <si>
    <t>obalReg2Prod1COGSPUnitLabor</t>
  </si>
  <si>
    <t>obalReg1Prod3COGSPUnitLabor</t>
  </si>
  <si>
    <t>obalReg2Prod3COGSPUnitLabor</t>
  </si>
  <si>
    <t>obalReg1Prod4COGSPUnitLabor</t>
  </si>
  <si>
    <t>obalReg2Prod4COGSPUnitLabor</t>
  </si>
  <si>
    <t>Decouple Labor for regions</t>
  </si>
  <si>
    <t>Channel Customization MTUs</t>
  </si>
  <si>
    <t>paramEmp10Reg1ChanLevel</t>
  </si>
  <si>
    <t>Key Metric</t>
  </si>
  <si>
    <t>Year 0 Actual</t>
  </si>
  <si>
    <t>Conservative</t>
  </si>
  <si>
    <t>Aggressive</t>
  </si>
  <si>
    <t>CORPORATE</t>
  </si>
  <si>
    <t>(CEO)</t>
  </si>
  <si>
    <t>VETERA</t>
  </si>
  <si>
    <t>(GM)</t>
  </si>
  <si>
    <t>ESCENDIA</t>
  </si>
  <si>
    <t>(SVP)</t>
  </si>
  <si>
    <t>Talent Sustainability</t>
  </si>
  <si>
    <t>Debt</t>
  </si>
  <si>
    <t>$3B</t>
  </si>
  <si>
    <t>$0B</t>
  </si>
  <si>
    <t>$2B</t>
  </si>
  <si>
    <t>$4B</t>
  </si>
  <si>
    <t>Corporate</t>
  </si>
  <si>
    <t>Top 2</t>
  </si>
  <si>
    <t>Differentiator/Enabler 1</t>
  </si>
  <si>
    <t>Differentiator/Enabler 2</t>
  </si>
  <si>
    <t>Differentiator/Enabler 3</t>
  </si>
  <si>
    <t>Customer Relationships</t>
  </si>
  <si>
    <t>Cost Efficiency</t>
  </si>
  <si>
    <t>Trade Spend</t>
  </si>
  <si>
    <t>Breakthrough Innovations</t>
  </si>
  <si>
    <t>Product Variety</t>
  </si>
  <si>
    <t>Health &amp; Wellness</t>
  </si>
  <si>
    <t>Environmentalism</t>
  </si>
  <si>
    <t>Talent Development</t>
  </si>
  <si>
    <t>Financial Strength</t>
  </si>
  <si>
    <t>Forecast Accuracy</t>
  </si>
  <si>
    <t>IT Investment</t>
  </si>
  <si>
    <t>Marketing</t>
  </si>
  <si>
    <t>Operational Flexibility</t>
  </si>
  <si>
    <t>Price Discount</t>
  </si>
  <si>
    <t>Price Premium</t>
  </si>
  <si>
    <t>Product Availability</t>
  </si>
  <si>
    <t>Refresh Innovations</t>
  </si>
  <si>
    <t>Channel Pen.</t>
  </si>
  <si>
    <t>317:318</t>
  </si>
  <si>
    <t>finPNLNetRev</t>
  </si>
  <si>
    <t>finPNLReg1Prod2NetRevS1</t>
  </si>
  <si>
    <t>finPNLReg2Prod2NetRevS2</t>
  </si>
  <si>
    <t>finPNLReg1Prod1NetRev</t>
  </si>
  <si>
    <t>GoTotoolROIC_Two</t>
  </si>
  <si>
    <t>paramEmp10AttRate</t>
  </si>
  <si>
    <t>paramEmp10Exp</t>
  </si>
  <si>
    <t>paramEmp10RecDismCost</t>
  </si>
  <si>
    <t>paramEmp10AdminCostPct</t>
  </si>
  <si>
    <t>Current Segment</t>
  </si>
  <si>
    <t>Total  Volume</t>
  </si>
  <si>
    <t>Segment Vol</t>
  </si>
  <si>
    <t>CASH FROM OPERATING ACTIVITIES</t>
  </si>
  <si>
    <t>Changes In Working Capital</t>
  </si>
  <si>
    <t>Increase (-)/ Decrease (+) in Accounts Receivable</t>
  </si>
  <si>
    <t>Increase (+)/ Decrease (-) in Accounts Payable</t>
  </si>
  <si>
    <t>Increase (+)/ Decrease (-) in Other Current Liabilities</t>
  </si>
  <si>
    <t>obalCashValue</t>
  </si>
  <si>
    <t>obalARValue</t>
  </si>
  <si>
    <t>obalReg1Prod5FGValue</t>
  </si>
  <si>
    <t>obalReg1Prod6FGValue</t>
  </si>
  <si>
    <t>obalReg1MatValue</t>
  </si>
  <si>
    <t>obalReg1WIPValue</t>
  </si>
  <si>
    <t>obalReg1FGValue</t>
  </si>
  <si>
    <t>obalReg2Prod1MatValue</t>
  </si>
  <si>
    <t>obalProd1COGSPUnitPlant</t>
  </si>
  <si>
    <t>obalProd2COGSPUnitLabor</t>
  </si>
  <si>
    <t xml:space="preserve">In the toolPlant market report, how should we calculate the royalties cost?  </t>
  </si>
  <si>
    <t>obalReg1Prod1MatValue</t>
  </si>
  <si>
    <t>obalReg1Prod2MatValue</t>
  </si>
  <si>
    <t>obalReg1Prod3MatValue</t>
  </si>
  <si>
    <t>obalReg1Prod4MatValue</t>
  </si>
  <si>
    <t>obalReg1Prod5MatValue</t>
  </si>
  <si>
    <t>obalReg1Prod6MatValue</t>
  </si>
  <si>
    <t>Lines Available</t>
  </si>
  <si>
    <t>cbalReg1Prod5FGValue</t>
  </si>
  <si>
    <t>obalReg2Prod1Price</t>
  </si>
  <si>
    <t>obalReg2Prod4Price</t>
  </si>
  <si>
    <t>obalReg2Prod3Price</t>
  </si>
  <si>
    <t>xxMMProd5Seg5Units</t>
  </si>
  <si>
    <t>Market Model Prod5 Drivers</t>
  </si>
  <si>
    <t>xxMMProd5Driver1</t>
  </si>
  <si>
    <t>xxMMProd5Driver2</t>
  </si>
  <si>
    <t>xxMMProd5Driver3</t>
  </si>
  <si>
    <t>paramProd3RDFtr4Cost</t>
  </si>
  <si>
    <t>paramProd4RDFtr1Cost</t>
  </si>
  <si>
    <t>obalReg2Prod2Price</t>
  </si>
  <si>
    <t>obalReg1Prod1Rev</t>
  </si>
  <si>
    <t>obalReg2Prod1Rev</t>
  </si>
  <si>
    <t>obalReg1Prod2Rev</t>
  </si>
  <si>
    <t>obalReg2Prod2Rev</t>
  </si>
  <si>
    <t>obalReg1Prod3Rev</t>
  </si>
  <si>
    <t>obalReg2Prod3Rev</t>
  </si>
  <si>
    <t>obalReg1Prod4Rev</t>
  </si>
  <si>
    <t>Region specific initiatives don't match documentation</t>
  </si>
  <si>
    <t>obalProd1Reg2UnitsWIP</t>
  </si>
  <si>
    <t>Average</t>
  </si>
  <si>
    <t>Simulation Name</t>
  </si>
  <si>
    <t>PepsiCo</t>
  </si>
  <si>
    <t>capReg2Prod4UnitsFGCbal</t>
  </si>
  <si>
    <t>paramCStockParValue</t>
  </si>
  <si>
    <t>capProd3Emp1RecDismExp</t>
  </si>
  <si>
    <t>obalPlant1Units</t>
  </si>
  <si>
    <t>capProd2Emp2RecDismExp</t>
  </si>
  <si>
    <t>capProd3Emp2RecDismExp</t>
  </si>
  <si>
    <t>capProd4Emp2RecDismExp</t>
  </si>
  <si>
    <t>capProd2Emp2AdminExp</t>
  </si>
  <si>
    <t>capProd3Emp2AdminExp</t>
  </si>
  <si>
    <t>capProd4Emp2AdminExp</t>
  </si>
  <si>
    <t>capProd1CostPUnitEmp2</t>
  </si>
  <si>
    <t>capProd2CostPUnitEmp2</t>
  </si>
  <si>
    <t>capProd3CostPUnitEmp2</t>
  </si>
  <si>
    <t>Sustainability Metric</t>
  </si>
  <si>
    <t>finPNLReg2Prod2COGSPlant1ExpS2</t>
  </si>
  <si>
    <t>Y</t>
  </si>
  <si>
    <t>Let's discuss</t>
  </si>
  <si>
    <t>How so?</t>
  </si>
  <si>
    <t>paramProd1InventoryHndlgPct</t>
  </si>
  <si>
    <t>Total Sales</t>
  </si>
  <si>
    <t>¢</t>
  </si>
  <si>
    <t>Operational Improvement</t>
  </si>
  <si>
    <t>Environmental Stewardship</t>
  </si>
  <si>
    <t>Total Discounted Comparative Cost</t>
  </si>
  <si>
    <t>Range Of Products</t>
  </si>
  <si>
    <t>(+/- Lines)</t>
  </si>
  <si>
    <t>(+Recruit / -Dismiss)</t>
  </si>
  <si>
    <t>SELECT ONE</t>
  </si>
  <si>
    <t>Strategic Initiatives</t>
  </si>
  <si>
    <t>Revenue Mix</t>
  </si>
  <si>
    <t>Revenue Forecast</t>
  </si>
  <si>
    <t>Ensure that logo on Intro page is the Leader of Managers version.</t>
  </si>
  <si>
    <t>Initiative V1 says it requires 5 MTUs but it doesn't reduce MTUs.</t>
  </si>
  <si>
    <t>Change starting name on tool to Vivia (not PepsiCo University).</t>
  </si>
  <si>
    <t>Year 1 throws off way too much cash. My teams had &gt;$5b in excess cash after investments.</t>
  </si>
  <si>
    <t>Initiative OE4 gives #NUM errors when entered.</t>
  </si>
  <si>
    <t>There's still a piece of the Issue/Retire Debt decision that doesn't work. Paying off a large amount appears to reduce shares outstanding by too many.</t>
  </si>
  <si>
    <t>The Issue/Retire Debts should say "Issue/Retire Capital" since it impacts Debt and Equity.</t>
  </si>
  <si>
    <t>101</t>
  </si>
  <si>
    <t>102</t>
  </si>
  <si>
    <t>103</t>
  </si>
  <si>
    <t>106</t>
  </si>
  <si>
    <t>capProd1Emp1ChanLevelRamp</t>
  </si>
  <si>
    <t>capProd2Emp1ChanLevelRamp</t>
  </si>
  <si>
    <t>capProd3Emp1ChanLevelRamp</t>
  </si>
  <si>
    <t>capProd4Emp1ChanLevelRamp</t>
  </si>
  <si>
    <t>Employee Recruit/Develop Costs</t>
  </si>
  <si>
    <t>Error Check</t>
  </si>
  <si>
    <t>xxDecXDataImport</t>
  </si>
  <si>
    <t>decTeamYear</t>
  </si>
  <si>
    <t>cbalProd1Reg1UnitsSold</t>
  </si>
  <si>
    <t>Upper Region Price as % of Lower Region</t>
  </si>
  <si>
    <t>% of Price</t>
  </si>
  <si>
    <t>Hurdle</t>
  </si>
  <si>
    <t>Channel Penetration decision needs to have bigger expense and capital implications, as well as MTU (C)</t>
  </si>
  <si>
    <t>031</t>
  </si>
  <si>
    <t>Impact of Plant Flexibility Level</t>
  </si>
  <si>
    <t>Plant Hours Required</t>
  </si>
  <si>
    <t>paramPlant1HoursReq</t>
  </si>
  <si>
    <t>Plant Flex Req</t>
  </si>
  <si>
    <t>Plant Flex?</t>
  </si>
  <si>
    <t>?</t>
  </si>
  <si>
    <t>capStratReg1CustomerRank</t>
  </si>
  <si>
    <t>capStratReg1CompanyRank</t>
  </si>
  <si>
    <t>capStratReg2ConsumerRank</t>
  </si>
  <si>
    <t>capStratReg2CustomerRank</t>
  </si>
  <si>
    <t>capStratReg2CompanyRank</t>
  </si>
  <si>
    <t>capStratConsumerRank</t>
  </si>
  <si>
    <t>capStratCustomerRank</t>
  </si>
  <si>
    <t>capStratCompanyRank</t>
  </si>
  <si>
    <t>Average Vetera Rating</t>
  </si>
  <si>
    <t>capStratReg1AvgRating</t>
  </si>
  <si>
    <t>Average Escendia Rating</t>
  </si>
  <si>
    <t>capStratReg2AvgRating</t>
  </si>
  <si>
    <t>CSD Rating - Avg</t>
  </si>
  <si>
    <t>NCB Rating - Avg</t>
  </si>
  <si>
    <t>F&amp;S Rating - Avg</t>
  </si>
  <si>
    <t>capStratProd1AvgRating</t>
  </si>
  <si>
    <t>capStratProd3AvgRating</t>
  </si>
  <si>
    <t>capStratProd4AvgRating</t>
  </si>
  <si>
    <t>Vetera Sector Strategy</t>
  </si>
  <si>
    <t>Vetera CSD</t>
  </si>
  <si>
    <t>Vetera F&amp;S</t>
  </si>
  <si>
    <t>Escendia CSD</t>
  </si>
  <si>
    <t>Escendia F&amp;S</t>
  </si>
  <si>
    <t>Strategy - Where (Normalized)</t>
  </si>
  <si>
    <t>Vetera NCB</t>
  </si>
  <si>
    <t>Escendia NCB</t>
  </si>
  <si>
    <t>Total Allocation</t>
  </si>
  <si>
    <t>capStratTotalRatingAllocation</t>
  </si>
  <si>
    <t>capStratReg1Prod1RatingNorm</t>
  </si>
  <si>
    <t>capStratReg1Prod3RatingNorm</t>
  </si>
  <si>
    <t>capStratReg1Prod4RatingNorm</t>
  </si>
  <si>
    <t>capStratReg2Prod1RatingNorm</t>
  </si>
  <si>
    <t>capStratReg2Prod3RatingNorm</t>
  </si>
  <si>
    <t>Growth</t>
  </si>
  <si>
    <t>capProd2CostPUnitEmp1</t>
  </si>
  <si>
    <t>capProd3CostPUnitEmp1</t>
  </si>
  <si>
    <t>capProd4CostPUnitEmp1</t>
  </si>
  <si>
    <t>Net Change in Working Capital</t>
  </si>
  <si>
    <t>NET CASH FROM OPERATING ACTIVITIES</t>
  </si>
  <si>
    <t>CASH USED IN INVESTING ACTIVITIES</t>
  </si>
  <si>
    <t>Working Captial Movement</t>
  </si>
  <si>
    <t>WIP</t>
  </si>
  <si>
    <t>FG</t>
  </si>
  <si>
    <t>1 Day DSO =</t>
  </si>
  <si>
    <t>Days Sales Outstanding</t>
  </si>
  <si>
    <t>DSO</t>
  </si>
  <si>
    <t>1 Day =</t>
  </si>
  <si>
    <t>Market Share</t>
  </si>
  <si>
    <t>Actual Share</t>
  </si>
  <si>
    <t>paramProd3MatPctOfProduction</t>
  </si>
  <si>
    <t>paramProd3LabHrsReqPUnit</t>
  </si>
  <si>
    <t>paramProd3MachHrsReqPUnit</t>
  </si>
  <si>
    <t>paramProd3Emp1Req</t>
  </si>
  <si>
    <t>paramProd3InventoryHndlgPct</t>
  </si>
  <si>
    <t>paramProd3FixedAdmin</t>
  </si>
  <si>
    <t>paramProd4CycTimeDays</t>
  </si>
  <si>
    <t>paramProd4MatCostPUnit</t>
  </si>
  <si>
    <t>paramProd4MatPctOfProduction</t>
  </si>
  <si>
    <t>Corporate Strategy - HOW</t>
  </si>
  <si>
    <t>capStratReg1ConsumerRank</t>
  </si>
  <si>
    <t>obalProd22COGSPUnitMat</t>
  </si>
  <si>
    <t>Forecasted Sales (000)</t>
  </si>
  <si>
    <t>Ending Cash Balance ($000)</t>
  </si>
  <si>
    <t>Cumulative Cash Flow ($000)</t>
  </si>
  <si>
    <t>Cash Flow From Financing Activities ($000)</t>
  </si>
  <si>
    <t>Cash Flow From Plant (Investment)/Divestment ($000)</t>
  </si>
  <si>
    <t>Cash Flow From Changes in Working Capital ($000)</t>
  </si>
  <si>
    <t>Cash Flow From Operations ($000)</t>
  </si>
  <si>
    <t>Opening Cash Balance ($000)</t>
  </si>
  <si>
    <t>For Graph on R&amp;D Page</t>
  </si>
  <si>
    <t>decSpecProg2</t>
  </si>
  <si>
    <t>Amortization of Goodwill</t>
  </si>
  <si>
    <t>xxMMProd2Driver5</t>
  </si>
  <si>
    <t>Market Model Calculation Segment 4 *CentrePlate</t>
  </si>
  <si>
    <t>paramReg1Prod1DispCostPct</t>
  </si>
  <si>
    <t>paramReg2Prod1DispCostPct</t>
  </si>
  <si>
    <t>paramReg2Prod2DispCostPct</t>
  </si>
  <si>
    <t>paramReg1Prod2DispCostPct</t>
  </si>
  <si>
    <t>paramReg1Prod3DispCostPct</t>
  </si>
  <si>
    <t>paramReg2Prod3DispCostPct</t>
  </si>
  <si>
    <t>paramReg1Prod4DispCostPct</t>
  </si>
  <si>
    <t>paramReg2Prod4DispCostPct</t>
  </si>
  <si>
    <t>Cash Interest Rate</t>
  </si>
  <si>
    <t>Decision Cell Font</t>
  </si>
  <si>
    <t>Decision Cell Border</t>
  </si>
  <si>
    <t>Dashboard</t>
  </si>
  <si>
    <t>Program 1 Year 2</t>
  </si>
  <si>
    <t>Debt Issue/ (Retire):</t>
  </si>
  <si>
    <t>Program 2 Year 2</t>
  </si>
  <si>
    <t>Program 3 Year 2</t>
  </si>
  <si>
    <t>paramLongTermRD</t>
  </si>
  <si>
    <t>Excess Capacity Expense</t>
  </si>
  <si>
    <t>Other Operating Expenses</t>
  </si>
  <si>
    <t>Program 4 Year 2</t>
  </si>
  <si>
    <t>Program 5 Year 2</t>
  </si>
  <si>
    <t>Program 1 Year 3</t>
  </si>
  <si>
    <t>Program 2 Year 3</t>
  </si>
  <si>
    <t>Program 3 Year 3</t>
  </si>
  <si>
    <t>Product 5 Segment 1</t>
  </si>
  <si>
    <t>Product 5 Segment 2</t>
  </si>
  <si>
    <t>Product 5 Segment 3</t>
  </si>
  <si>
    <t>Product 5 Segment 4</t>
  </si>
  <si>
    <t>Product 5 Segment 5</t>
  </si>
  <si>
    <t>Product 6 Segment 1</t>
  </si>
  <si>
    <t>Product 6 Segment 2</t>
  </si>
  <si>
    <t>Ending Labor Employees</t>
  </si>
  <si>
    <r>
      <t xml:space="preserve">Sales Force </t>
    </r>
    <r>
      <rPr>
        <sz val="10"/>
        <rFont val="Arial"/>
        <family val="2"/>
      </rPr>
      <t>(+Hire / -Fire)</t>
    </r>
  </si>
  <si>
    <t>Ending Salesforce*</t>
  </si>
  <si>
    <t>Impact of Channel Penetration Decision</t>
  </si>
  <si>
    <t>yr 0 vetera</t>
  </si>
  <si>
    <t>yr 0 escendia</t>
  </si>
  <si>
    <t>Advertising Spend ($000)</t>
  </si>
  <si>
    <t>Promotion Spend ($000)</t>
  </si>
  <si>
    <t>=</t>
  </si>
  <si>
    <t>Total SG&amp;A Expenses</t>
  </si>
  <si>
    <t>Total General Expense</t>
  </si>
  <si>
    <t>Working Capital</t>
  </si>
  <si>
    <t>cbalProd2Reg1UnitsWIP</t>
  </si>
  <si>
    <t>cbalProd2Reg1UnitsFG</t>
  </si>
  <si>
    <t>xxMMProd3Driver9</t>
  </si>
  <si>
    <t>I'm able to select Innovations in Yr2 that I already launched in Yr1.</t>
  </si>
  <si>
    <t>074</t>
  </si>
  <si>
    <t>capReg1Prod3Emp3RecDismExp</t>
  </si>
  <si>
    <t>capReg1Prod4Emp3RecDismExp</t>
  </si>
  <si>
    <t>capReg1Prod1Emp3AdminExp</t>
  </si>
  <si>
    <t>capReg1Prod3Emp3AdminExp</t>
  </si>
  <si>
    <t>capReg1Prod1CostPUnitEmp3</t>
  </si>
  <si>
    <t>capReg1Prod3CostPUnitEmp3</t>
  </si>
  <si>
    <t>make sure MTU usage for innitiatives is being tallied</t>
  </si>
  <si>
    <t>Region Weight</t>
  </si>
  <si>
    <t>Energy Re-Capture Program</t>
  </si>
  <si>
    <t>Electric Vehicle Program</t>
  </si>
  <si>
    <t>Point-Of-Sale Cooler Replacement</t>
  </si>
  <si>
    <t>up front</t>
  </si>
  <si>
    <t>recurring</t>
  </si>
  <si>
    <t>paramEmp10Inits</t>
  </si>
  <si>
    <t>034</t>
  </si>
  <si>
    <t>Water Usage Performance</t>
  </si>
  <si>
    <t>Energy Usage Performance</t>
  </si>
  <si>
    <t>Waste Production Performance</t>
  </si>
  <si>
    <t>Innovation Partnership Cooperative</t>
  </si>
  <si>
    <t>R&amp;D Cost Coefficient</t>
  </si>
  <si>
    <t>Total Materials</t>
  </si>
  <si>
    <t>Total WIP</t>
  </si>
  <si>
    <t>Total Finished Goods</t>
  </si>
  <si>
    <t>Total Cash/Cash Like</t>
  </si>
  <si>
    <t>Plant1</t>
  </si>
  <si>
    <t>Plant2</t>
  </si>
  <si>
    <t>Plant3</t>
  </si>
  <si>
    <t>Domestiberg</t>
  </si>
  <si>
    <t>Inefficiency Maintenance Cost</t>
  </si>
  <si>
    <t>paramProd3MatCostPUnit</t>
  </si>
  <si>
    <t>cbalProd1Brand</t>
  </si>
  <si>
    <t>cbalProd2Brand</t>
  </si>
  <si>
    <t>cbalProd3Brand</t>
  </si>
  <si>
    <t>cbalProd4Brand</t>
  </si>
  <si>
    <t>V1</t>
  </si>
  <si>
    <t>V5</t>
  </si>
  <si>
    <t>finPNLReg1Prod3COGSPlant1Exp</t>
  </si>
  <si>
    <t>finPNLReg1Prod3COGSDepExp</t>
  </si>
  <si>
    <t>finPNLReg1Prod3COGSExp</t>
  </si>
  <si>
    <t>finPNLReg1Prod3GrossMargin</t>
  </si>
  <si>
    <t>finPNLReg1Prod3AdvExp</t>
  </si>
  <si>
    <t>finPNLReg1Prod3PromoExp</t>
  </si>
  <si>
    <t>finPNLReg1Prod3InventoryHndlgExp</t>
  </si>
  <si>
    <t>finPNLReg1Prod3EmpAdminExp</t>
  </si>
  <si>
    <t>finPNLReg1Prod3EmpRecDismExp</t>
  </si>
  <si>
    <t>finPNLReg1Prod3FixedAdminExp</t>
  </si>
  <si>
    <t>capReg2Prod4UnitsFGUsed</t>
  </si>
  <si>
    <t>capReg2Prod4UnitsWiPUsed</t>
  </si>
  <si>
    <t>capReg2Prod4UnitsWiPEnd</t>
  </si>
  <si>
    <t>capReg2Prod4UnitsProduction</t>
  </si>
  <si>
    <t>Score Driver 9</t>
  </si>
  <si>
    <t>Driver 10</t>
  </si>
  <si>
    <t>Score Driver 10</t>
  </si>
  <si>
    <t>Driver Effect</t>
  </si>
  <si>
    <t>Total Effect</t>
  </si>
  <si>
    <t>Available Plant Units</t>
  </si>
  <si>
    <t xml:space="preserve">Total Distribution </t>
  </si>
  <si>
    <t>Total Employee Admin</t>
  </si>
  <si>
    <t>Total Recruit/ Dismiss</t>
  </si>
  <si>
    <t>Total Fixed</t>
  </si>
  <si>
    <t>Total Admin Expense</t>
  </si>
  <si>
    <t>Research &amp; Development</t>
  </si>
  <si>
    <t>obalRev</t>
  </si>
  <si>
    <t>% Rev Growth</t>
  </si>
  <si>
    <t>% Volume Growth</t>
  </si>
  <si>
    <t>In Year Score</t>
  </si>
  <si>
    <t>Changes</t>
  </si>
  <si>
    <t>Within the market model for each segment Promotion is being accounted for twice, double boost of MM. Removed the promotion boost from the Price driver</t>
  </si>
  <si>
    <t>SBA</t>
  </si>
  <si>
    <t>Employee Development Level Ramp-Up Cost</t>
  </si>
  <si>
    <t>Recruiting Level Cost</t>
  </si>
  <si>
    <t>AdjType</t>
  </si>
  <si>
    <t>Special Deals</t>
  </si>
  <si>
    <t>Adjustments</t>
  </si>
  <si>
    <t>obalProd1Ftr3Level</t>
  </si>
  <si>
    <t>obalProd1Ftr4Level</t>
  </si>
  <si>
    <t>obalProd2Ftr1Level</t>
  </si>
  <si>
    <t>obalProd2Ftr3Level</t>
  </si>
  <si>
    <t>obalProd2Ftr4Level</t>
  </si>
  <si>
    <t>obalProd3Ftr1Level</t>
  </si>
  <si>
    <t>finPNLPortfolioRND</t>
  </si>
  <si>
    <t>2nd Disruptive?</t>
  </si>
  <si>
    <t>Forecasted Volume Growth</t>
  </si>
  <si>
    <t>decProd1Reg1Grth</t>
  </si>
  <si>
    <t>Global Mfg section needs to show more data next to decisions to illustrate impacts (B/C)</t>
  </si>
  <si>
    <t>027</t>
  </si>
  <si>
    <t>Royalties Expense</t>
  </si>
  <si>
    <t>Speciality Brand Expense</t>
  </si>
  <si>
    <t>Fixed?</t>
  </si>
  <si>
    <t>Overhead</t>
  </si>
  <si>
    <t>Total Distribution Expenses</t>
  </si>
  <si>
    <t>graphOIallocation</t>
  </si>
  <si>
    <t>Organization</t>
  </si>
  <si>
    <t>Environment</t>
  </si>
  <si>
    <t>cbalReg2Prod2MatValue</t>
  </si>
  <si>
    <t>cbalReg2Prod3MatValue</t>
  </si>
  <si>
    <t>Plant Capacity</t>
  </si>
  <si>
    <t>Plant Capacity (Hours)</t>
  </si>
  <si>
    <t>capEmp1AllocProd1</t>
  </si>
  <si>
    <t>capEmp1End</t>
  </si>
  <si>
    <t>capEmp2AllocProd1</t>
  </si>
  <si>
    <t>capEmp2End</t>
  </si>
  <si>
    <t>capEmp3End</t>
  </si>
  <si>
    <t>decEmp2Change</t>
  </si>
  <si>
    <t>decEmp1Change</t>
  </si>
  <si>
    <t>CEO</t>
  </si>
  <si>
    <t>Vetera GM</t>
  </si>
  <si>
    <t>Escendia GM</t>
  </si>
  <si>
    <t>SVP Ops</t>
  </si>
  <si>
    <t>SVP R&amp;D</t>
  </si>
  <si>
    <t>SVP Shared Services</t>
  </si>
  <si>
    <t>Officers</t>
  </si>
  <si>
    <t>decCEO</t>
  </si>
  <si>
    <t>decGMvet</t>
  </si>
  <si>
    <t>decGMesc</t>
  </si>
  <si>
    <t>decSVPops</t>
  </si>
  <si>
    <t>decSVPrnd</t>
  </si>
  <si>
    <t>decSVPshared</t>
  </si>
  <si>
    <t>finPNLReg1Prod2RevS1</t>
  </si>
  <si>
    <t>finPNLReg1Prod2COGSMatExpS1</t>
  </si>
  <si>
    <t>finPNLReg1Prod2COGSEmp3ExpS1</t>
  </si>
  <si>
    <t>finPNLReg1Prod2COGSPlant1ExpS1</t>
  </si>
  <si>
    <t>finPNLReg1Prod2COGSManuExpS1</t>
  </si>
  <si>
    <t>finPNLReg1Prod2COGSDistExpS1</t>
  </si>
  <si>
    <t>finPNLReg1Prod2COGSRoyExpS1</t>
  </si>
  <si>
    <t>finPNLReg1Prod2COGSExpS1</t>
  </si>
  <si>
    <t>finPNLReg1Prod2GrossMarginS1</t>
  </si>
  <si>
    <t>finPNLReg1Prod2AdvExpS1</t>
  </si>
  <si>
    <t>finPNLReg1Prod2PromoExpS1</t>
  </si>
  <si>
    <t>finPNLReg1Prod2Emp1ExpS1</t>
  </si>
  <si>
    <t>finPNLReg1Prod2InventoryHndlgExpS1</t>
  </si>
  <si>
    <t>finPNLReg1Prod2EmpAdminExpS1</t>
  </si>
  <si>
    <t>finPNLReg1Prod2EmpRecDismExpS1</t>
  </si>
  <si>
    <t>finPNLReg1Prod2FixedAdminExpS1</t>
  </si>
  <si>
    <t>capReg2Prod3UnitsSold</t>
  </si>
  <si>
    <t>capReg2Prod3UnitsSoldFG</t>
  </si>
  <si>
    <t>capReg2Prod3UnitsSoldNewProd</t>
  </si>
  <si>
    <t>capReg2Prod3UnitsFGEnd</t>
  </si>
  <si>
    <t>capReg2Prod4UnitsSold</t>
  </si>
  <si>
    <t>capReg2Prod4UnitsSoldFG</t>
  </si>
  <si>
    <t>capReg2Prod4UnitsSoldNewProd</t>
  </si>
  <si>
    <t>finPNLReg2Prod1COGSDistExp</t>
  </si>
  <si>
    <t>Range of Products</t>
  </si>
  <si>
    <t>Mat Costs Cogs 2</t>
  </si>
  <si>
    <t>obalProd21COGSPUnitMat</t>
  </si>
  <si>
    <t>Cost of Sales Per Unit</t>
  </si>
  <si>
    <t>Selling, General &amp; Administrative Per Unit</t>
  </si>
  <si>
    <t>G&amp;A Expense</t>
  </si>
  <si>
    <t>IT Level Req</t>
  </si>
  <si>
    <t>Vetera Net Revenues</t>
  </si>
  <si>
    <t>Escendia Net Revenues</t>
  </si>
  <si>
    <t>Total Year 0 Net Revenues</t>
  </si>
  <si>
    <t>Total Prev Year Net Revenues</t>
  </si>
  <si>
    <t>Gross Margin Percent (over net rev.)</t>
  </si>
  <si>
    <t>Ops Margin Percent (over net rev.)</t>
  </si>
  <si>
    <t>Invested capital as % of Net Rev</t>
  </si>
  <si>
    <t>Current Year vs Year 0</t>
  </si>
  <si>
    <t>CAGR</t>
  </si>
  <si>
    <t>Margin % (over Net Rev)</t>
  </si>
  <si>
    <t>Margin %  (over Gross Rev)</t>
  </si>
  <si>
    <t>% of Revenues (over Net Rev)</t>
  </si>
  <si>
    <t>NOPAT Margin (over Net Rev)</t>
  </si>
  <si>
    <t>Margin % (over Gross Rev)</t>
  </si>
  <si>
    <t>Nopat Margin (over Net Rev.)</t>
  </si>
  <si>
    <t>Competitor Report: BLUE WORLD</t>
  </si>
  <si>
    <t>ffbCopyreg1Prod3VolNonStockOut</t>
  </si>
  <si>
    <t>Organizational Excellence</t>
  </si>
  <si>
    <t>finStockchange</t>
  </si>
  <si>
    <t>finCommonStockChange</t>
  </si>
  <si>
    <t>cbalReg2Prod4MatValue</t>
  </si>
  <si>
    <t>cbalReg2Prod5MatValue</t>
  </si>
  <si>
    <t>cbalReg2Prod6MatValue</t>
  </si>
  <si>
    <t>cbalReg2MatValue</t>
  </si>
  <si>
    <t>cbalReg2Prod1WIPValue</t>
  </si>
  <si>
    <t>cbalReg2Prod2WIPValue</t>
  </si>
  <si>
    <t>cbalReg2Prod3WIPValue</t>
  </si>
  <si>
    <t>cbalReg2Prod4WIPValue</t>
  </si>
  <si>
    <t>cbalReg2Prod5WIPValue</t>
  </si>
  <si>
    <t>cbalReg2Prod6WIPValue</t>
  </si>
  <si>
    <t>cbalReg2WIPValue</t>
  </si>
  <si>
    <t>Net Revenues / Unit</t>
  </si>
  <si>
    <t>Price per Unit</t>
  </si>
  <si>
    <t>NET CASH FROM INVESTING ACTIVITIES</t>
  </si>
  <si>
    <t>FREE CASH FLOW</t>
  </si>
  <si>
    <t>Rebalance F&amp;S vetera drivers to correctly account for acquisitions and innovations</t>
  </si>
  <si>
    <t>093</t>
  </si>
  <si>
    <t>make acquisitions more powerful but more expensive</t>
  </si>
  <si>
    <t>094</t>
  </si>
  <si>
    <t>Utiliziation</t>
  </si>
  <si>
    <t>Units Invested (Divested)</t>
  </si>
  <si>
    <t>REGION A</t>
  </si>
  <si>
    <t>REGION B</t>
  </si>
  <si>
    <t>cbalReg1Prod1MatValue</t>
  </si>
  <si>
    <t>cbalReg1Prod2MatValue</t>
  </si>
  <si>
    <t>cbalReg1Prod3MatValue</t>
  </si>
  <si>
    <t>cbalReg1Prod4MatValue</t>
  </si>
  <si>
    <t>OE6-V</t>
  </si>
  <si>
    <t>OE6-E</t>
  </si>
  <si>
    <t>OI3-V</t>
  </si>
  <si>
    <t>OI3-E</t>
  </si>
  <si>
    <t>OI5-V</t>
  </si>
  <si>
    <t>OI5-E</t>
  </si>
  <si>
    <t>Cross-Category Bundling Promotion - Vetera</t>
  </si>
  <si>
    <t>finPNLReg2Prod1SGAExp</t>
  </si>
  <si>
    <t>finPNLReg2Prod1RandDExp</t>
  </si>
  <si>
    <t>finPNLReg2Prod1OtherOpExp</t>
  </si>
  <si>
    <t>cbalProd4COGSPUnitPlant</t>
  </si>
  <si>
    <t>WACC Calculation</t>
  </si>
  <si>
    <t>paramProd6CycTimeDays</t>
  </si>
  <si>
    <t>paramProd6MatCostPUnitPFtr1Level</t>
  </si>
  <si>
    <t>Region 1 Cogs</t>
  </si>
  <si>
    <t>Region 2 Cogs</t>
  </si>
  <si>
    <t>capReg1Prod1COGSPUnitUMC</t>
  </si>
  <si>
    <t>capReg1Prod1COGSPUnit</t>
  </si>
  <si>
    <t>Enter New Market Shares</t>
  </si>
  <si>
    <t>Financials</t>
  </si>
  <si>
    <t>finAssetTurnover</t>
  </si>
  <si>
    <t>xxDecResetValues</t>
  </si>
  <si>
    <t>Parameters</t>
  </si>
  <si>
    <t>Feedback Time Series</t>
  </si>
  <si>
    <t xml:space="preserve">Feedback </t>
  </si>
  <si>
    <t>xxDecErrorRange</t>
  </si>
  <si>
    <t>Total Cost of Goods Sold</t>
  </si>
  <si>
    <t>finPNLSpecProgExp</t>
  </si>
  <si>
    <t>Extraordinary Items</t>
  </si>
  <si>
    <t>Financial Items</t>
  </si>
  <si>
    <t>Total Operating Expenses</t>
  </si>
  <si>
    <t>finPNLSpecLoansExp</t>
  </si>
  <si>
    <t>finPNLIntInc</t>
  </si>
  <si>
    <t>finPNLIntExp</t>
  </si>
  <si>
    <t>NET CASH FROM FINANCING ACTIVITIES</t>
  </si>
  <si>
    <t>F&amp;S Commercial Spend Effectiveness</t>
  </si>
  <si>
    <t>NCB Commercial Spend Effectiveness</t>
  </si>
  <si>
    <t>obalPlant1Value</t>
  </si>
  <si>
    <t>obalAPValue</t>
  </si>
  <si>
    <t>obalOtherCurrLiabValue</t>
  </si>
  <si>
    <t>Add a menu item from Decisions that goes straight to Initiatives</t>
  </si>
  <si>
    <t>090</t>
  </si>
  <si>
    <t>Program 6 Year 3</t>
  </si>
  <si>
    <t>Program 6 Year 1</t>
  </si>
  <si>
    <t>Volume Non Stock Out</t>
  </si>
  <si>
    <t>Margin</t>
  </si>
  <si>
    <t>Big Company 5</t>
  </si>
  <si>
    <t>Product 4 Segment 1</t>
  </si>
  <si>
    <t>Opening Cash Balance</t>
  </si>
  <si>
    <t>Total SG&amp;A by Segment</t>
  </si>
  <si>
    <t>mmProd3Seg2ActShare</t>
  </si>
  <si>
    <t>mmProd4Seg1PreSalesShare</t>
  </si>
  <si>
    <t>mmProd4Seg1ActShare</t>
  </si>
  <si>
    <t>mmProd4Seg2PreSalesShare</t>
  </si>
  <si>
    <t>mmProd4Seg2ActShare</t>
  </si>
  <si>
    <t>ENDING CASH BALANCE ($MM)</t>
  </si>
  <si>
    <t>GoToToolPNLRegionB</t>
  </si>
  <si>
    <t>GoTotoolROIC</t>
  </si>
  <si>
    <t>capPlant1Reg1Alloc</t>
  </si>
  <si>
    <t>capPlant1Reg2Alloc</t>
  </si>
  <si>
    <t>finPNLReg1ExcapExp</t>
  </si>
  <si>
    <t>[Accounts Receivable/Revenues]*365</t>
  </si>
  <si>
    <t>Asset Velocity</t>
  </si>
  <si>
    <t>ROIC</t>
  </si>
  <si>
    <t>WACC</t>
  </si>
  <si>
    <t>Cost of Capital</t>
  </si>
  <si>
    <t>paramPlant1Efficiency</t>
  </si>
  <si>
    <t>Selling &amp; Marketing Expenses</t>
  </si>
  <si>
    <t>Total Selling &amp; Marketing Expenses</t>
  </si>
  <si>
    <t>Selling &amp; Marketing Spending</t>
  </si>
  <si>
    <t xml:space="preserve"> Marketing Spend Allocation</t>
  </si>
  <si>
    <t>Selling &amp; Marketing Spend/ Unit</t>
  </si>
  <si>
    <t>F&amp;S</t>
  </si>
  <si>
    <t>capReg2Prod1UnitsSoldNewProd</t>
  </si>
  <si>
    <t>capReg2Prod1UnitsFGEnd</t>
  </si>
  <si>
    <t>capReg2Prod2UnitsSold</t>
  </si>
  <si>
    <t>capReg2Prod2UnitsSoldFG</t>
  </si>
  <si>
    <t>capReg2Prod2UnitsSoldNewProd</t>
  </si>
  <si>
    <t>capReg2Prod2UnitsFGEnd</t>
  </si>
  <si>
    <t>Exp.</t>
  </si>
  <si>
    <t>Long Term R&amp;D</t>
  </si>
  <si>
    <t>Impacts on Pamameters</t>
  </si>
  <si>
    <t>Fam. Brand</t>
  </si>
  <si>
    <t>Part. Brand</t>
  </si>
  <si>
    <t>Spec. Brand</t>
  </si>
  <si>
    <t>Packaging</t>
  </si>
  <si>
    <t>Material Costs</t>
  </si>
  <si>
    <t>Machine Hours</t>
  </si>
  <si>
    <t>Labor Hours</t>
  </si>
  <si>
    <t>Distribution Costs</t>
  </si>
  <si>
    <t>Fixed Admin Costs</t>
  </si>
  <si>
    <t>Yes</t>
  </si>
  <si>
    <t>Small</t>
  </si>
  <si>
    <t>No</t>
  </si>
  <si>
    <t>Material Inv.</t>
  </si>
  <si>
    <t>Cycle Time</t>
  </si>
  <si>
    <t>Questions</t>
  </si>
  <si>
    <t>Programs Selected in Year 1</t>
  </si>
  <si>
    <t xml:space="preserve"> Review Data Page with Tony S.</t>
  </si>
  <si>
    <t>paramProd1RDFtr4Cost</t>
  </si>
  <si>
    <t>Competitive Share</t>
  </si>
  <si>
    <t>Sports Sponsorship</t>
  </si>
  <si>
    <t>IN1</t>
  </si>
  <si>
    <t>IN2</t>
  </si>
  <si>
    <t>IN3</t>
  </si>
  <si>
    <t>IN4</t>
  </si>
  <si>
    <t>Total Other Operating Expense</t>
  </si>
  <si>
    <t>decProd1WhatIfUnits</t>
  </si>
  <si>
    <t>Value</t>
  </si>
  <si>
    <t>Share</t>
  </si>
  <si>
    <t>Emp1</t>
  </si>
  <si>
    <t>Effect</t>
  </si>
  <si>
    <t>Program 3 Year 1</t>
  </si>
  <si>
    <t>Program 4 Year 1</t>
  </si>
  <si>
    <t>Program 5 Year 1</t>
  </si>
  <si>
    <t>This is going to be VERY hard to do without making different material costs for each region</t>
  </si>
  <si>
    <t>Special Programs Expense Product 4 Region 2</t>
  </si>
  <si>
    <t>capStratCompanyScore</t>
  </si>
  <si>
    <t>Corporate Strategy</t>
  </si>
  <si>
    <t>Vetera Strategy</t>
  </si>
  <si>
    <t>Escendia Strategy</t>
  </si>
  <si>
    <t>Sector Strategy</t>
  </si>
  <si>
    <t>capProd4COGSPUnitPlant1</t>
  </si>
  <si>
    <t>Market Page</t>
  </si>
  <si>
    <t>xxProd2BaseUnits</t>
  </si>
  <si>
    <t>xxProd3BaseUnits</t>
  </si>
  <si>
    <t>finPNLReg1Prod2DisposalExpS1</t>
  </si>
  <si>
    <t>finPNLReg1Prod2SpecProgExpS1</t>
  </si>
  <si>
    <t>finPNLReg1Prod2OtherOpExpS1</t>
  </si>
  <si>
    <t>finPNLReg1Prod2COGSDepExpS1</t>
  </si>
  <si>
    <t>finPNLReg1Prod2OpsMarginS1</t>
  </si>
  <si>
    <t>Total Region B</t>
  </si>
  <si>
    <t>finPNLReg1COGSEmp3Exp</t>
  </si>
  <si>
    <t>finPNLReg1Emp1Exp</t>
  </si>
  <si>
    <t>Impact of Labor Utilization on Attrition</t>
  </si>
  <si>
    <t>Pioneer's Circle</t>
  </si>
  <si>
    <t>Prod6Seg1</t>
  </si>
  <si>
    <t>Cool Cats</t>
  </si>
  <si>
    <t>Less Cool Cats</t>
  </si>
  <si>
    <t>Wankers</t>
  </si>
  <si>
    <t>Faithfull Followers</t>
  </si>
  <si>
    <t>Other SG&amp;A Costs</t>
  </si>
  <si>
    <t>Employee Administration Costs</t>
  </si>
  <si>
    <t>Recruitment / Dismissal Costs</t>
  </si>
  <si>
    <t>Total Other SG&amp;A Costs</t>
  </si>
  <si>
    <t>Research &amp; Development Expense</t>
  </si>
  <si>
    <t>(Values in 000)</t>
  </si>
  <si>
    <t>paramProd2RDFtr1Cost</t>
  </si>
  <si>
    <t>paramProd2RDFtr2Cost</t>
  </si>
  <si>
    <t>paramProd2RDFtr4Cost</t>
  </si>
  <si>
    <t>paramProd3RDFtr1Cost</t>
  </si>
  <si>
    <t>paramProd3RDFtr2Cost</t>
  </si>
  <si>
    <t>cbalProd1Reg1UnitsWIP</t>
  </si>
  <si>
    <t>cbalProd1Reg1UnitsFG</t>
  </si>
  <si>
    <t>ffbCopyreg2Prod3Vol</t>
  </si>
  <si>
    <t>ffbCopyreg2Prod3VolNonStockOut</t>
  </si>
  <si>
    <t>The pull-down men in the toolcommercial page</t>
  </si>
  <si>
    <t>Populating of fields in the feedback TS page</t>
  </si>
  <si>
    <t>Material Expense</t>
  </si>
  <si>
    <t>Labor Expense</t>
  </si>
  <si>
    <t>Machinery Expense</t>
  </si>
  <si>
    <t>Depreciation Expense</t>
  </si>
  <si>
    <t>Manufacturing Expense</t>
  </si>
  <si>
    <t>Advertising Expense</t>
  </si>
  <si>
    <t>Promotional Expense</t>
  </si>
  <si>
    <t>Sales Force Expense</t>
  </si>
  <si>
    <t>Inventory Handling Expense</t>
  </si>
  <si>
    <t>Distribution Expense</t>
  </si>
  <si>
    <t>Employe Admin Expense</t>
  </si>
  <si>
    <t>decProd4WhatIfUnits</t>
  </si>
  <si>
    <t>obalProd1Reg1UnitsWIP</t>
  </si>
  <si>
    <t>obalProd1Reg1UnitsFG</t>
  </si>
  <si>
    <t>obalProd2Reg1UnitsWIP</t>
  </si>
  <si>
    <t>obalProd3Reg1UnitsWIP</t>
  </si>
  <si>
    <t>obalProd3Reg1UnitsFG</t>
  </si>
  <si>
    <t>obalProd4Reg1UnitsWIP</t>
  </si>
  <si>
    <t>obalProd4Reg1UnitsFG</t>
  </si>
  <si>
    <t>12. Quality Worth Pursuing</t>
  </si>
  <si>
    <t>paramConsumerStrategy</t>
  </si>
  <si>
    <t>paramCustomerStrategy</t>
  </si>
  <si>
    <t>paramCompanyStrategy</t>
  </si>
  <si>
    <t>END</t>
  </si>
  <si>
    <t>Strategy Parameters</t>
  </si>
  <si>
    <t>Innovation By Type</t>
  </si>
  <si>
    <t>Strategy - HOW</t>
  </si>
  <si>
    <t>Strategy - WHERE</t>
  </si>
  <si>
    <t>Strategy</t>
  </si>
  <si>
    <t>finPNLReg1Prod1SpecProgExp</t>
  </si>
  <si>
    <t>finPNLReg1Prod4SpecProgExp</t>
  </si>
  <si>
    <t>finPNLReg1Prod3SpecProgExp</t>
  </si>
  <si>
    <t>finPNLReg1Prod2SpecProgExp</t>
  </si>
  <si>
    <t>finPNLReg2Prod1SpecProgExp</t>
  </si>
  <si>
    <t>capReg1Prod1UnitsSoldNewProd</t>
  </si>
  <si>
    <t>Plant Leasing Cost Per Unit</t>
  </si>
  <si>
    <t>paramPlant1LeasingCost</t>
  </si>
  <si>
    <t>Leasing Cost Special</t>
  </si>
  <si>
    <t>capPlant1Leasing</t>
  </si>
  <si>
    <t>Prod1Seg4</t>
  </si>
  <si>
    <t>Prod1Seg5</t>
  </si>
  <si>
    <t>Prod2Seg2</t>
  </si>
  <si>
    <t>Prod2Seg3</t>
  </si>
  <si>
    <t>Prod2Seg4</t>
  </si>
  <si>
    <t>Prod2Seg5</t>
  </si>
  <si>
    <t>Prod2Seg1</t>
  </si>
  <si>
    <t>Prod3Seg2</t>
  </si>
  <si>
    <t>obalProd3Ftr3Level</t>
  </si>
  <si>
    <t>Gross Margin Product 4</t>
  </si>
  <si>
    <t>RANGE ADJUST</t>
  </si>
  <si>
    <t>obalReg1Prod4NetRev</t>
  </si>
  <si>
    <t>obalReg2Prod4NetRev</t>
  </si>
  <si>
    <t>cbalReg1Prod2NetRev</t>
  </si>
  <si>
    <t>Closing Balances</t>
  </si>
  <si>
    <t>Error Checking (non decision)</t>
  </si>
  <si>
    <t>Common Stock Par Value</t>
  </si>
  <si>
    <t>capReg1Prod1UnitsFGCbal</t>
  </si>
  <si>
    <t>capReg1Prod2UnitsFGCbal</t>
  </si>
  <si>
    <t>capReg1Prod3UnitsFGCbal</t>
  </si>
  <si>
    <t>capReg1Prod4UnitsFGCbal</t>
  </si>
  <si>
    <t>capReg2Prod1UnitsFGCbal</t>
  </si>
  <si>
    <t>capReg2Prod2UnitsFGCbal</t>
  </si>
  <si>
    <t>capReg2Prod3UnitsFGCbal</t>
  </si>
  <si>
    <t>finPNLReg1InEffExp</t>
  </si>
  <si>
    <t>Inefficiency Expense</t>
  </si>
  <si>
    <t>finPNLReg2InEffExp</t>
  </si>
  <si>
    <t>Inventory (- missed sales)</t>
  </si>
  <si>
    <t>13. Worthy of My Name</t>
  </si>
  <si>
    <t>14. Mystery of the Night</t>
  </si>
  <si>
    <t>15. Quality at Low Price</t>
  </si>
  <si>
    <t>16. Bang for the Buck</t>
  </si>
  <si>
    <t>Missed Gross Sales ($)</t>
  </si>
  <si>
    <t>Actual Grossl Sales ($)</t>
  </si>
  <si>
    <t>Actula Grossl Sales ($)</t>
  </si>
  <si>
    <t>CSD Reg. 2 Sales Force Hrs. Required</t>
  </si>
  <si>
    <t>NCB Reg. 2 Sales Force Hrs. Required</t>
  </si>
  <si>
    <t>F&amp;S Reg. 2 Sales Force Hrs. Required</t>
  </si>
  <si>
    <t>Employee Development Level</t>
  </si>
  <si>
    <t>IT Capability Level</t>
  </si>
  <si>
    <t>Front Line Technology Level</t>
  </si>
  <si>
    <t>Operations Dashboard</t>
  </si>
  <si>
    <t>R&amp;D Dashboard</t>
  </si>
  <si>
    <t>Area 51</t>
  </si>
  <si>
    <t>Area 52</t>
  </si>
  <si>
    <t>Gross Margin Product 1 Reg1</t>
  </si>
  <si>
    <t>Gross Margin Product 1 Reg2</t>
  </si>
  <si>
    <t>Gross Margin Product 3 Reg1</t>
  </si>
  <si>
    <t>Gross Margin Product 3 Reg2</t>
  </si>
  <si>
    <t>SWOT</t>
  </si>
  <si>
    <t>Strengths</t>
  </si>
  <si>
    <t>Weaknesses</t>
  </si>
  <si>
    <t>Still don't need to add any plant capacity even in the face of solid volume growth. Is this the inventory draw-down issue?</t>
  </si>
  <si>
    <t>065</t>
  </si>
  <si>
    <t>Time-to-market figures seemed to have skyrocketed to 3-7 years!</t>
  </si>
  <si>
    <t>066</t>
  </si>
  <si>
    <t>Need an adj to moderate some of the costs in Escendia. I'm at -20% op margin with decisions that don't seem too bad to me.</t>
  </si>
  <si>
    <t>067</t>
  </si>
  <si>
    <t>finPNLReg2Prod2COGSMatExpS2</t>
  </si>
  <si>
    <t>finPNLReg2Prod2COGSEmp3ExpS2</t>
  </si>
  <si>
    <t>Initiave Cost</t>
  </si>
  <si>
    <t>TOTAL R&amp;D MTUs</t>
  </si>
  <si>
    <t>capTotRnDMTUs</t>
  </si>
  <si>
    <t>MTU Allocation</t>
  </si>
  <si>
    <t>MTUs Allocation Chart</t>
  </si>
  <si>
    <t>IT</t>
  </si>
  <si>
    <t>Chan. Pent.</t>
  </si>
  <si>
    <t>HR</t>
  </si>
  <si>
    <t>Number</t>
  </si>
  <si>
    <t>Parameter</t>
  </si>
  <si>
    <t>Parameter Look-Up</t>
  </si>
  <si>
    <t>Program Effects</t>
  </si>
  <si>
    <t>Not Selected</t>
  </si>
  <si>
    <t>1st Year</t>
  </si>
  <si>
    <t>2nd Year</t>
  </si>
  <si>
    <t>3rd Year</t>
  </si>
  <si>
    <t>4th Year</t>
  </si>
  <si>
    <t>Years in Effect</t>
  </si>
  <si>
    <t>Name:</t>
  </si>
  <si>
    <t>Programs Selected in Year 2</t>
  </si>
  <si>
    <t>Programs Selected in Year 3</t>
  </si>
  <si>
    <t>League</t>
  </si>
  <si>
    <t>Simulation Analysis</t>
  </si>
  <si>
    <t>finPNLReg2Prod4GrossMargin</t>
  </si>
  <si>
    <t>finPNLReg2Prod4AdvExp</t>
  </si>
  <si>
    <t>finPNLReg2Prod4PromoExp</t>
  </si>
  <si>
    <t>Gross Rev</t>
  </si>
  <si>
    <t>Market Model Calculation Segment 3 *Home Fountain</t>
  </si>
  <si>
    <t>Price ($)</t>
  </si>
  <si>
    <t>Dep Cost</t>
  </si>
  <si>
    <t>xxMMProd3Driver2</t>
  </si>
  <si>
    <t>xxMMProd3Driver3</t>
  </si>
  <si>
    <t>obalProd2COGSPUnitPlant</t>
  </si>
  <si>
    <t>capReg2Prod1UnitsSoldFG</t>
  </si>
  <si>
    <t>obalProd3Ftr4Level</t>
  </si>
  <si>
    <t>obalProd4Ftr1Level</t>
  </si>
  <si>
    <t>obalProd4Ftr3Level</t>
  </si>
  <si>
    <t>obalProd4Ftr4Level</t>
  </si>
  <si>
    <t>obalProd1Ftr2Level</t>
  </si>
  <si>
    <t># of Teams</t>
  </si>
  <si>
    <t>Current Year</t>
  </si>
  <si>
    <t>Index Team</t>
  </si>
  <si>
    <t>Team Names</t>
  </si>
  <si>
    <t>decTeamNumber</t>
  </si>
  <si>
    <t>decTeamName</t>
  </si>
  <si>
    <t>Do we have any initiatives that impact working capital items like A/R and A/P?</t>
  </si>
  <si>
    <t>051</t>
  </si>
  <si>
    <t>Plant capacity decision zeroes out when creating tools</t>
  </si>
  <si>
    <t>Slider protection issue</t>
  </si>
  <si>
    <t>Remove price rounding</t>
  </si>
  <si>
    <t>035</t>
  </si>
  <si>
    <t>Add side data on Ops page to see impacts of decisions</t>
  </si>
  <si>
    <t>036</t>
  </si>
  <si>
    <t>Special Programs Expense</t>
  </si>
  <si>
    <t>paramSpecProgExp</t>
  </si>
  <si>
    <t>Special Program Expense</t>
  </si>
  <si>
    <t>A</t>
  </si>
  <si>
    <t>Finished Goods</t>
  </si>
  <si>
    <t>Machinery Cost Per Product</t>
  </si>
  <si>
    <t>Machinery Cost Per Unit</t>
  </si>
  <si>
    <t>Price Value Reg1Prod4</t>
  </si>
  <si>
    <t>Price Value Reg2Prod4</t>
  </si>
  <si>
    <t>ffbCopyreg1Prod3VolStockOut</t>
  </si>
  <si>
    <t>ffbCopyProd1Commercial</t>
  </si>
  <si>
    <t>ffbCopyProd4Commercial</t>
  </si>
  <si>
    <t>ffbCopyProd3Commercial</t>
  </si>
  <si>
    <t>capEmp10ExCapCost</t>
  </si>
  <si>
    <t>capEmp10RecDismExp</t>
  </si>
  <si>
    <t>capEmp10AdminExp</t>
  </si>
  <si>
    <t>Prod4Seg4</t>
  </si>
  <si>
    <t>Prod4Seg5</t>
  </si>
  <si>
    <t>Prod4Seg1</t>
  </si>
  <si>
    <t>Prod4Seg2</t>
  </si>
  <si>
    <t xml:space="preserve">Performance Market Share </t>
  </si>
  <si>
    <t>Plant 2</t>
  </si>
  <si>
    <t>ToolDataImportBalances</t>
  </si>
  <si>
    <t>Menu 1</t>
  </si>
  <si>
    <t>Menu2</t>
  </si>
  <si>
    <t>&amp;Sim Tools</t>
  </si>
  <si>
    <t>prod1Reg2Focus</t>
  </si>
  <si>
    <t>prod3Reg1Focus</t>
  </si>
  <si>
    <t>prod4Reg1Focus</t>
  </si>
  <si>
    <t>prod3Reg2Focus</t>
  </si>
  <si>
    <t>prod4Reg2Focus</t>
  </si>
  <si>
    <t>Brands</t>
  </si>
  <si>
    <t>Operation</t>
  </si>
  <si>
    <t>Overall</t>
  </si>
  <si>
    <t>capSustEnvironment</t>
  </si>
  <si>
    <t>cbalReg2Prod2NetRev</t>
  </si>
  <si>
    <t>obalReg1Prod2NetRev</t>
  </si>
  <si>
    <t>obalReg2Prod2NetRev</t>
  </si>
  <si>
    <t>Disruptive Products</t>
  </si>
  <si>
    <t>Prod Hours Avail</t>
  </si>
  <si>
    <t>capEmp3HoursAvail</t>
  </si>
  <si>
    <t>unlocked</t>
  </si>
  <si>
    <t>W1a</t>
  </si>
  <si>
    <t>W1b</t>
  </si>
  <si>
    <t>Advertising ($MM)</t>
  </si>
  <si>
    <t>Promotion ($MM)</t>
  </si>
  <si>
    <t>Gross Revenues ($MM)</t>
  </si>
  <si>
    <t>Net Revenues ($MM)</t>
  </si>
  <si>
    <t>I15</t>
  </si>
  <si>
    <t>I16</t>
  </si>
  <si>
    <t>I17</t>
  </si>
  <si>
    <t>I18</t>
  </si>
  <si>
    <t>cbalReg1Prod4NetRev</t>
  </si>
  <si>
    <t>obalProd2NetRevsS1</t>
  </si>
  <si>
    <t>obalProd2NetRevsS2</t>
  </si>
  <si>
    <t>obalReg1NetRev</t>
  </si>
  <si>
    <t>obalReg2NetRev</t>
  </si>
  <si>
    <t>obalNetRev</t>
  </si>
  <si>
    <t>Actual Volume</t>
  </si>
  <si>
    <t>Inventory / (Missed Sales)</t>
  </si>
  <si>
    <t>PreStockOut Share</t>
  </si>
  <si>
    <t>Market Share (PreStock Out)</t>
  </si>
  <si>
    <t>cbalGoodwillValue</t>
  </si>
  <si>
    <t>(START HERE)</t>
  </si>
  <si>
    <t>finPNLReg2Prod1OpsMargin</t>
  </si>
  <si>
    <t>finPNLReg2Prod2Rev</t>
  </si>
  <si>
    <t>finPNLReg2Prod2COGSMatExp</t>
  </si>
  <si>
    <t>finPNLReg2Prod2COGSPlant1Exp</t>
  </si>
  <si>
    <t>finPNLReg2Prod2COGSDepExp</t>
  </si>
  <si>
    <t>finPNLReg2Prod2COGSExp</t>
  </si>
  <si>
    <t>finPNLReg2Prod2GrossMargin</t>
  </si>
  <si>
    <t>finPNLReg2Prod2AdvExp</t>
  </si>
  <si>
    <t>finPNLReg2Prod2PromoExp</t>
  </si>
  <si>
    <t>finPNLReg2Prod2InventoryHndlgExp</t>
  </si>
  <si>
    <t>finPNLReg2Prod2EmpAdminExp</t>
  </si>
  <si>
    <t>finPNLReg2Prod1COGSExp</t>
  </si>
  <si>
    <t>finPNLReg2Prod1GrossMargin</t>
  </si>
  <si>
    <t>finPNLReg2Prod1AdvExp</t>
  </si>
  <si>
    <t>capReg1Prod4Emp3Exp</t>
  </si>
  <si>
    <t>capReg1Prod1Emp3RecDismExp</t>
  </si>
  <si>
    <t>Impacts of Employee Dev</t>
  </si>
  <si>
    <t>Gross Margin % (over Net Rev.)</t>
  </si>
  <si>
    <t>Operating Margin % (over Net Rev.)</t>
  </si>
  <si>
    <t>Profit Margin % (over Net Rev.)</t>
  </si>
  <si>
    <t>Operating Profit as % of Net Rev.</t>
  </si>
  <si>
    <t>Invested capital as % of Net Rev.</t>
  </si>
  <si>
    <t>Year 0 Net Revenues</t>
  </si>
  <si>
    <t>Prev Year Net Revenues</t>
  </si>
  <si>
    <t>Current Year Net Revenues</t>
  </si>
  <si>
    <t>paramProd4Emp1HrsReq</t>
  </si>
  <si>
    <t>paramProd4Emp2HrsReq</t>
  </si>
  <si>
    <t>capEmp1AllocProd2</t>
  </si>
  <si>
    <t>capEmp1AllocProd3</t>
  </si>
  <si>
    <t>capEmp1AllocProd4</t>
  </si>
  <si>
    <t>Accounts Payable</t>
  </si>
  <si>
    <t>xxMMProd4Seg4Units</t>
  </si>
  <si>
    <t>xxMMProd4Seg5Units</t>
  </si>
  <si>
    <t>Credit Days - Region B</t>
  </si>
  <si>
    <t>paramReg1ARCreditDays</t>
  </si>
  <si>
    <t>paramReg2ARCreditDays</t>
  </si>
  <si>
    <t>obalReg1ARValue</t>
  </si>
  <si>
    <t>obalReg2ARValue</t>
  </si>
  <si>
    <t>cbalReg1ARValue</t>
  </si>
  <si>
    <t>cbalReg2ARValue</t>
  </si>
  <si>
    <t>Goodwill Amortization Rate</t>
  </si>
  <si>
    <t>Corporate:    Revenues $$        Operating Margin         ROIC          Sustainability         MTUs</t>
  </si>
  <si>
    <t>Escendia Market:    Beverage Revs $$        Snack Revs $$         Operating Margin</t>
  </si>
  <si>
    <t>CSD</t>
  </si>
  <si>
    <t>NCB</t>
  </si>
  <si>
    <t>SWOT Analysis (Top 5 in Each Quadrant)</t>
  </si>
  <si>
    <t>STRENGTHS</t>
  </si>
  <si>
    <t>WEAKNESSES</t>
  </si>
  <si>
    <t>THREATS</t>
  </si>
  <si>
    <t>OPPORTUNITIES</t>
  </si>
  <si>
    <t>WHAT Is Our Company's Vision?</t>
  </si>
  <si>
    <t>HOW Do We Brand Our Company? (New Name!)</t>
  </si>
  <si>
    <t>ffbCopyreg2Prod4Vol</t>
  </si>
  <si>
    <t>ffbCopyreg2Prod4VolNonStockOut</t>
  </si>
  <si>
    <t>ffbCopyreg2Prod4VolStockOut</t>
  </si>
  <si>
    <t>Impact of Family Brand, Partner Brand &amp; Speciality Brand Decisions</t>
  </si>
  <si>
    <t>When are royaltys paid?</t>
  </si>
  <si>
    <t>cbalProd4Reg2UnitsSold</t>
  </si>
  <si>
    <t>paramProd1DisposedUnits</t>
  </si>
  <si>
    <t>Net Interest Expense</t>
  </si>
  <si>
    <t>Other</t>
  </si>
  <si>
    <t>-</t>
  </si>
  <si>
    <t>Expenses</t>
  </si>
  <si>
    <t>obalPlantValue</t>
  </si>
  <si>
    <t>cbalPlantValue</t>
  </si>
  <si>
    <t>AR</t>
  </si>
  <si>
    <t>Total Volume Sold</t>
  </si>
  <si>
    <t>Total R&amp;D Expense</t>
  </si>
  <si>
    <t>Other Expenses</t>
  </si>
  <si>
    <t>Total Operating Expense</t>
  </si>
  <si>
    <t>Prerec.</t>
  </si>
  <si>
    <t>paramEmp1RecDismCost</t>
  </si>
  <si>
    <t>paramEmp2AdminCostPct</t>
  </si>
  <si>
    <t>paramEmp2AttRate</t>
  </si>
  <si>
    <t>paramEmp2Exp</t>
  </si>
  <si>
    <t>On toolMKT sheets get rid of word 'Cases', as it doesn't apply to Snacks (C)</t>
  </si>
  <si>
    <t>017</t>
  </si>
  <si>
    <t>capEmp10Expense</t>
  </si>
  <si>
    <t>mmProd22UnitsSold</t>
  </si>
  <si>
    <t>mmProd21UnitsSold</t>
  </si>
  <si>
    <t>Region 1 Revenues</t>
  </si>
  <si>
    <t>Region 2 Revenues</t>
  </si>
  <si>
    <t>Region 2</t>
  </si>
  <si>
    <t>Region 1</t>
  </si>
  <si>
    <t>Sustainability Index Drivers</t>
  </si>
  <si>
    <t>Healthy Product Innovation</t>
  </si>
  <si>
    <t>Career Path</t>
  </si>
  <si>
    <t>098</t>
  </si>
  <si>
    <t>Unhide for disruptives on analysis report</t>
  </si>
  <si>
    <t>099</t>
  </si>
  <si>
    <t>Might want to recalibrate recruit/dismiss cost... cost to hire each sales person stays the same no matter how many you hire at once (D)</t>
  </si>
  <si>
    <t>018</t>
  </si>
  <si>
    <t>finPNLReg2Prod2GrossMarginS2</t>
  </si>
  <si>
    <t>finPNLReg2Prod2AdvExpS2</t>
  </si>
  <si>
    <t>finPNLReg2Prod2PromoExpS2</t>
  </si>
  <si>
    <t>capPlant1InvestmentNew</t>
  </si>
  <si>
    <t>capPlant1CapitalMaint</t>
  </si>
  <si>
    <t>finPNLReg1Prod4COGSDepExp</t>
  </si>
  <si>
    <t>Capital Maintenance</t>
  </si>
  <si>
    <t>Strategy Session Name</t>
  </si>
  <si>
    <t>decStratName</t>
  </si>
  <si>
    <t>&amp;Goals</t>
  </si>
  <si>
    <t>&amp;Strategy</t>
  </si>
  <si>
    <t>GoToToolGoals</t>
  </si>
  <si>
    <t>Opportunities</t>
  </si>
  <si>
    <t>Threats</t>
  </si>
  <si>
    <t>Strength 1</t>
  </si>
  <si>
    <t>Strength 2</t>
  </si>
  <si>
    <t>Strength 3</t>
  </si>
  <si>
    <t>Strength 4</t>
  </si>
  <si>
    <t>Strength 5</t>
  </si>
  <si>
    <t>Weakness 1</t>
  </si>
  <si>
    <t>Weakness 2</t>
  </si>
  <si>
    <t>Weakness 3</t>
  </si>
  <si>
    <t>Weakness 4</t>
  </si>
  <si>
    <t>Weakness 5</t>
  </si>
  <si>
    <t>Opportunity 1</t>
  </si>
  <si>
    <t>Opportunity 2</t>
  </si>
  <si>
    <t>Opportunity 3</t>
  </si>
  <si>
    <t>Opportunity 4</t>
  </si>
  <si>
    <t>Opportunity 5</t>
  </si>
  <si>
    <t>Threat 1</t>
  </si>
  <si>
    <t>Threat 2</t>
  </si>
  <si>
    <t>Threat 3</t>
  </si>
  <si>
    <t>Threat 4</t>
  </si>
  <si>
    <t>Threat 5</t>
  </si>
  <si>
    <t>decSWOTs1</t>
  </si>
  <si>
    <t>decSWOTs2</t>
  </si>
  <si>
    <t>decSWOTs3</t>
  </si>
  <si>
    <t>decSWOTs4</t>
  </si>
  <si>
    <t>decSWOTs5</t>
  </si>
  <si>
    <t>decSWOTw1</t>
  </si>
  <si>
    <t>decSWOTw2</t>
  </si>
  <si>
    <t>decSWOTw3</t>
  </si>
  <si>
    <t>decSWOTw4</t>
  </si>
  <si>
    <t>decSWOTw5</t>
  </si>
  <si>
    <t>decSWOTo1</t>
  </si>
  <si>
    <t>decSWOTo2</t>
  </si>
  <si>
    <t>decSWOTo3</t>
  </si>
  <si>
    <t>decSWOTo4</t>
  </si>
  <si>
    <t>decSWOTo5</t>
  </si>
  <si>
    <t>ES6</t>
  </si>
  <si>
    <t>ES7</t>
  </si>
  <si>
    <t>ES8</t>
  </si>
  <si>
    <t>Water Re-Use System</t>
  </si>
  <si>
    <t>Solar Power Generators For Plants</t>
  </si>
  <si>
    <t>Packaging Partnership</t>
  </si>
  <si>
    <t>Agricultural Sourcing Guidelines</t>
  </si>
  <si>
    <t>OI2</t>
  </si>
  <si>
    <t>OI4</t>
  </si>
  <si>
    <t>OI6</t>
  </si>
  <si>
    <t>OI7</t>
  </si>
  <si>
    <t>Wholesaler Consolidation in Escendia</t>
  </si>
  <si>
    <t>Customized Business Simulations</t>
  </si>
  <si>
    <t>Customer Round Table</t>
  </si>
  <si>
    <t>Employee Health &amp; Wellness Program</t>
  </si>
  <si>
    <t>Parnership With University R&amp;D Lab</t>
  </si>
  <si>
    <t>Market Research Study</t>
  </si>
  <si>
    <t>Disruptive 1 Price</t>
  </si>
  <si>
    <t>Disruptive 2 Price</t>
  </si>
  <si>
    <t>Vol</t>
  </si>
  <si>
    <t>KPI Crackdown</t>
  </si>
  <si>
    <t>SOP Refresh</t>
  </si>
  <si>
    <t>Change In Reward System</t>
  </si>
  <si>
    <t>Depreciation</t>
  </si>
  <si>
    <t>COGS</t>
  </si>
  <si>
    <t>Utilization</t>
  </si>
  <si>
    <t>Total Labor Expense</t>
  </si>
  <si>
    <t>Excess Capacity Cost</t>
  </si>
  <si>
    <t>paramProd1LabHrsReqPUnit</t>
  </si>
  <si>
    <t>Total Portfolio Development</t>
  </si>
  <si>
    <t>Driver</t>
  </si>
  <si>
    <t>Cap Util</t>
  </si>
  <si>
    <t>Plant Eff</t>
  </si>
  <si>
    <t>Emp Dev</t>
  </si>
  <si>
    <t>Forecasting</t>
  </si>
  <si>
    <t>R1 SF Util</t>
  </si>
  <si>
    <t>R2 SF Util</t>
  </si>
  <si>
    <t>Sustainability Index</t>
  </si>
  <si>
    <t>paramSustainability</t>
  </si>
  <si>
    <t>R&amp;D Focus on dashboard is 0% 0% 0% no matter what I chose, probably because of #55 above</t>
  </si>
  <si>
    <t>Investment Cost in Plant Lines</t>
  </si>
  <si>
    <t>Cost of Leasing Lines</t>
  </si>
  <si>
    <t>Disruptive 2 Revenues</t>
  </si>
  <si>
    <t>obalProd2RevsS1</t>
  </si>
  <si>
    <t>obalProd2RevsS2</t>
  </si>
  <si>
    <t>Total Cost of Goods Sold Per Unit</t>
  </si>
  <si>
    <t>Price Per Unit</t>
  </si>
  <si>
    <t xml:space="preserve">Number of Units Sold </t>
  </si>
  <si>
    <t>For Graph on Initiaves Page</t>
  </si>
  <si>
    <t>NET CASH FLOW</t>
  </si>
  <si>
    <t>ENDING CASH BALANCE</t>
  </si>
  <si>
    <t>Total Materials Expense</t>
  </si>
  <si>
    <t>Total Machinery Expenses</t>
  </si>
  <si>
    <t>Total Depreciaition Expenses</t>
  </si>
  <si>
    <t>capPlant1CapitalLoss</t>
  </si>
  <si>
    <t>TOTAL LIABILITIES &amp; EQUITY</t>
  </si>
  <si>
    <t>LIABILITIES &amp; EQUITY</t>
  </si>
  <si>
    <t>Work In Process</t>
  </si>
  <si>
    <t>Total Inventories</t>
  </si>
  <si>
    <t>Cash Flow Statement</t>
  </si>
  <si>
    <t>finCashFlowARChange</t>
  </si>
  <si>
    <t>finCashFlowFGChange</t>
  </si>
  <si>
    <t>finCashFlowWIPChange</t>
  </si>
  <si>
    <t>finCashFlowMatChange</t>
  </si>
  <si>
    <t>finCashFlowAPChange</t>
  </si>
  <si>
    <t>finCashFlowOtherCurrLiabChange</t>
  </si>
  <si>
    <t>Make IT level capability more expensive per level</t>
  </si>
  <si>
    <t>Net Rev Growth</t>
  </si>
  <si>
    <t>[DBE] Not in Macro!!</t>
  </si>
  <si>
    <t>Net Rev Growth (Average)</t>
  </si>
  <si>
    <t>finPNLReg2Prod2FixedAdminExp</t>
  </si>
  <si>
    <t>finPNLReg2Rev</t>
  </si>
  <si>
    <t>Operational Cash Flow</t>
  </si>
  <si>
    <t>Loss on sale of plant</t>
  </si>
  <si>
    <t>Working Capital Changes</t>
  </si>
  <si>
    <t>Investment</t>
  </si>
  <si>
    <t>Ending Cash</t>
  </si>
  <si>
    <t>Cash &gt;0</t>
  </si>
  <si>
    <t>Cash Is Less Than Zero, Please Issue More Capital</t>
  </si>
  <si>
    <t>capReg2Prod4UnitsFGEnd</t>
  </si>
  <si>
    <t>finPNLReg2Prod3RDlt</t>
  </si>
  <si>
    <t>finPNLReg1Prod1RDlt</t>
  </si>
  <si>
    <t>finPNLReg1Prod3RDlt</t>
  </si>
  <si>
    <t>finPNLReg1Prod4RDlt</t>
  </si>
  <si>
    <t>finPNLReg2Prod1RDlt</t>
  </si>
  <si>
    <t>finPNLReg2Prod4RDlt</t>
  </si>
  <si>
    <t>capRnD2MTUs</t>
  </si>
  <si>
    <t>I needed to hire 10000+ plant labor in year 3, but didn't need to add any plant capacity - doesn't seem at all right</t>
  </si>
  <si>
    <t>087</t>
  </si>
  <si>
    <t>Many of the es initiatives do not impact the sustainability score</t>
  </si>
  <si>
    <t>088</t>
  </si>
  <si>
    <t>xxMMProd4Driver4</t>
  </si>
  <si>
    <t>xxMMProd4Driver5</t>
  </si>
  <si>
    <t>xxMMProd4Driver6</t>
  </si>
  <si>
    <t>xxMMProd4Driver7</t>
  </si>
  <si>
    <t>xxMMProd4Driver8</t>
  </si>
  <si>
    <t>xxMMProd4Driver9</t>
  </si>
  <si>
    <t>xxMMProd4Driver10</t>
  </si>
  <si>
    <t>xxMMProd5Units</t>
  </si>
  <si>
    <t>xxMMProd5Seg1Units</t>
  </si>
  <si>
    <t>xxMMProd5Seg2Units</t>
  </si>
  <si>
    <t>xxMMProd5Seg3Units</t>
  </si>
  <si>
    <t>Differentiator3</t>
  </si>
  <si>
    <t>Strategy1</t>
  </si>
  <si>
    <t>Strategy2</t>
  </si>
  <si>
    <t>decVetDiffr1</t>
  </si>
  <si>
    <t>decVetDiffr2</t>
  </si>
  <si>
    <t>decVetDiffr3</t>
  </si>
  <si>
    <t>decEdaDiffr1</t>
  </si>
  <si>
    <t>decEdaDiffr2</t>
  </si>
  <si>
    <t>decEdaDiffr3</t>
  </si>
  <si>
    <t>decCorpDiffr1</t>
  </si>
  <si>
    <t>decCorpDiffr2</t>
  </si>
  <si>
    <t>decCorpDiffr3</t>
  </si>
  <si>
    <t>Prod1Seg3</t>
  </si>
  <si>
    <t>decProd21Ftr4LevelDec</t>
  </si>
  <si>
    <t>decProd22Ftr4LevelDec</t>
  </si>
  <si>
    <t>decProd2Adv2</t>
  </si>
  <si>
    <t>Total Volume Vetera</t>
  </si>
  <si>
    <t>Total Volume Escendia</t>
  </si>
  <si>
    <t>ffbCopyreg2Prod2Price</t>
  </si>
  <si>
    <t>ffbCopyreg2Prod2Vol</t>
  </si>
  <si>
    <t>ffbCopyreg2Prod2VolNonStockOut</t>
  </si>
  <si>
    <t>ffbCopyreg2Prod2VolStockOut</t>
  </si>
  <si>
    <t>ffbCopyReg1Prod2Price</t>
  </si>
  <si>
    <t>xxMMProd1Driver10</t>
  </si>
  <si>
    <t>xxMMProd1Seg1Units</t>
  </si>
  <si>
    <t>xxMMProd1Seg2Units</t>
  </si>
  <si>
    <t>Ending Share</t>
  </si>
  <si>
    <t>Compared to Actual Market Share</t>
  </si>
  <si>
    <t xml:space="preserve">Adjust to </t>
  </si>
  <si>
    <t>Difference</t>
  </si>
  <si>
    <t>Units Placed Per Segment</t>
  </si>
  <si>
    <t>Total Units</t>
  </si>
  <si>
    <t>Ending Market Share Actual</t>
  </si>
  <si>
    <t>Check</t>
  </si>
  <si>
    <t>xxobalYear0Copy</t>
  </si>
  <si>
    <t>Segment Count</t>
  </si>
  <si>
    <t>Revenues</t>
  </si>
  <si>
    <t>xx</t>
  </si>
  <si>
    <t>xxffbResetCopy</t>
  </si>
  <si>
    <t>Total Other Operating Expenses</t>
  </si>
  <si>
    <t>Admin.</t>
  </si>
  <si>
    <t>Check initiative es6 impact - seems to require significant addition of plant labor</t>
  </si>
  <si>
    <t>089</t>
  </si>
  <si>
    <t>there is 1</t>
  </si>
  <si>
    <t>Net Income</t>
  </si>
  <si>
    <t>Operating Income</t>
  </si>
  <si>
    <t>Operating Income /Unit</t>
  </si>
  <si>
    <t>They aren't necessarily "cross-segment." That is the only issue</t>
  </si>
  <si>
    <t>MAYBE</t>
  </si>
  <si>
    <t>It increases energy usage (ostensibly). I'm not sure why</t>
  </si>
  <si>
    <t>Chan Cust</t>
  </si>
  <si>
    <t>Unluck Prod2 Group 1</t>
  </si>
  <si>
    <t>Unluck Prod2 Group 2</t>
  </si>
  <si>
    <t>obalProd2Unlock1</t>
  </si>
  <si>
    <t>obalProd2Unlock2</t>
  </si>
  <si>
    <t>Group 1 Unlock</t>
  </si>
  <si>
    <t>Initiatives Req</t>
  </si>
  <si>
    <t>Group 2 Unlock</t>
  </si>
  <si>
    <t>Program 5</t>
  </si>
  <si>
    <t>Controls</t>
  </si>
  <si>
    <t>Sim0Tool1</t>
  </si>
  <si>
    <t>Credit Days - Region A</t>
  </si>
  <si>
    <t>xxMMProd6Units</t>
  </si>
  <si>
    <t>xxMMProd6Seg1Units</t>
  </si>
  <si>
    <t>Placed due to missed sales</t>
  </si>
  <si>
    <t>Manual Adjustment (Units)</t>
  </si>
  <si>
    <t>To Inventory (Missed Sales)</t>
  </si>
  <si>
    <t>Units for F.G.</t>
  </si>
  <si>
    <t>Actual no Placed</t>
  </si>
  <si>
    <t>Act. mkt share</t>
  </si>
  <si>
    <t>Volume This Year</t>
  </si>
  <si>
    <t>Data Page</t>
  </si>
  <si>
    <t>Market Growth</t>
  </si>
  <si>
    <t>Region A</t>
  </si>
  <si>
    <t>Region B</t>
  </si>
  <si>
    <t>Cost of Sales</t>
  </si>
  <si>
    <t>TOTAL</t>
  </si>
  <si>
    <t xml:space="preserve"> </t>
  </si>
  <si>
    <t>Distribution</t>
  </si>
  <si>
    <t>cbalReg2Prod4FGValue</t>
  </si>
  <si>
    <t>cbalReg2Prod5FGValue</t>
  </si>
  <si>
    <t>cbalReg2Prod6FGValue</t>
  </si>
  <si>
    <t>Gross Profit</t>
  </si>
  <si>
    <t>Operating Profit</t>
  </si>
  <si>
    <t>Capital Expenditures(-)/ Divestments (+)</t>
  </si>
  <si>
    <t>[Operating Profit]/[Plant + Receivables + Inventories</t>
  </si>
  <si>
    <t>decProd3Ftr1</t>
  </si>
  <si>
    <t>decProd3Ftr2</t>
  </si>
  <si>
    <t>InitialCost</t>
  </si>
  <si>
    <t>Ongoing Cost</t>
  </si>
  <si>
    <t>Initial Cost</t>
  </si>
  <si>
    <t>R&amp;D Types</t>
  </si>
  <si>
    <t>R&amp;D Allocation</t>
  </si>
  <si>
    <t>capCSDRnD</t>
  </si>
  <si>
    <t>capNCBRnD</t>
  </si>
  <si>
    <t>capSnackRnD</t>
  </si>
  <si>
    <t>capDisruptRnD</t>
  </si>
  <si>
    <t>capInnov1Cost</t>
  </si>
  <si>
    <t>capInnov2Cost</t>
  </si>
  <si>
    <t>capInnov3Cost</t>
  </si>
  <si>
    <t>capInnov4Cost</t>
  </si>
  <si>
    <t>capTotalRnDCost</t>
  </si>
  <si>
    <t>cost</t>
  </si>
  <si>
    <t>Initiative Code</t>
  </si>
  <si>
    <t>Initiative Name</t>
  </si>
  <si>
    <t>Initiatives Cost Matrix</t>
  </si>
  <si>
    <t>Portfolio R&amp;D</t>
  </si>
  <si>
    <t>New Product R&amp;D</t>
  </si>
  <si>
    <t>finPNLCSDRnD</t>
  </si>
  <si>
    <t>finPNLNCBRnD</t>
  </si>
  <si>
    <t>finPNLSnackRND</t>
  </si>
  <si>
    <t>finPNLDisruptiveRND</t>
  </si>
  <si>
    <t>Prod3Seg3</t>
  </si>
  <si>
    <t>Prod3Seg4</t>
  </si>
  <si>
    <t>Prod3Seg5</t>
  </si>
  <si>
    <t>Prod3Seg1</t>
  </si>
  <si>
    <t>Prod4Seg3</t>
  </si>
  <si>
    <t>capProd1Adv</t>
  </si>
  <si>
    <t>Promotional Allocation</t>
  </si>
  <si>
    <t>decProd1Promo</t>
  </si>
  <si>
    <t>Region 1 Net Revs</t>
  </si>
  <si>
    <t>Region 2 Net Revs</t>
  </si>
  <si>
    <t>Disruptive 1 Net Revs</t>
  </si>
  <si>
    <t>Disruptive 2 Net Revs</t>
  </si>
  <si>
    <t>Region 1 Net revs</t>
  </si>
  <si>
    <t>cbalReg1Prod1NetRev</t>
  </si>
  <si>
    <t>cbalReg2Prod1NetRev</t>
  </si>
  <si>
    <t>cbalReg1Prod3NetRev</t>
  </si>
  <si>
    <t>cbalReg2Prod3NetRev</t>
  </si>
  <si>
    <t>cbalReg2Prod4NetRev</t>
  </si>
  <si>
    <t>OVERALL</t>
  </si>
  <si>
    <t>finPNLReg2SpecProgExp</t>
  </si>
  <si>
    <t>finPNLReg1SpecProgExp</t>
  </si>
  <si>
    <t>finNOPATmargin</t>
  </si>
  <si>
    <t>capEmp2AllocProd2</t>
  </si>
  <si>
    <t>capEmp2AllocProd3</t>
  </si>
  <si>
    <t>capEmp2AllocProd4</t>
  </si>
  <si>
    <t>capProd1COGSPUnitPlant1</t>
  </si>
  <si>
    <t>capPlant1Depreciation</t>
  </si>
  <si>
    <t>capProd1COGSPUnitDep</t>
  </si>
  <si>
    <t>Rearrange Pages</t>
  </si>
  <si>
    <t>cbalReg1MatValue</t>
  </si>
  <si>
    <t>finPNLOperEarn</t>
  </si>
  <si>
    <t>cbalReg1Prod1WIPValue</t>
  </si>
  <si>
    <t>cbalReg1Prod2WIPValue</t>
  </si>
  <si>
    <t>cbalReg1Prod3WIPValue</t>
  </si>
  <si>
    <t>cbalReg1Prod4WIPValue</t>
  </si>
  <si>
    <t>cbalReg1Prod5WIPValue</t>
  </si>
  <si>
    <t>cbalReg1Prod6WIPValue</t>
  </si>
  <si>
    <t>cbalReg1WIPValue</t>
  </si>
  <si>
    <t>cbalReg1Prod1FGValue</t>
  </si>
  <si>
    <t>cbalReg1Prod2FGValue</t>
  </si>
  <si>
    <t>cbalReg1Prod3FGValue</t>
  </si>
  <si>
    <t>cbalReg1Prod4FGValue</t>
  </si>
  <si>
    <t>Net Margin</t>
  </si>
  <si>
    <t>&amp;Op. Cash Flow Tree</t>
  </si>
  <si>
    <t>Menus</t>
  </si>
  <si>
    <t>Menu Name</t>
  </si>
  <si>
    <t>MenuItems</t>
  </si>
  <si>
    <t>Menu Number</t>
  </si>
  <si>
    <t>Menu Item</t>
  </si>
  <si>
    <t>finEVACStock</t>
  </si>
  <si>
    <t>finEVARetEarn</t>
  </si>
  <si>
    <t>finEVANetEarn</t>
  </si>
  <si>
    <t>Units Completed this year (000)</t>
  </si>
  <si>
    <t>Profit and Loss - &amp;Vetera</t>
  </si>
  <si>
    <t>Profit and Loss - &amp;Escendia</t>
  </si>
  <si>
    <t>obalReg2Prod1WIPValue</t>
  </si>
  <si>
    <t>obalReg2Prod2WIPValue</t>
  </si>
  <si>
    <t>decProd3Ftr4LevelDec</t>
  </si>
  <si>
    <t>decProd4Ftr4LevelDec</t>
  </si>
  <si>
    <t>SELECT INNOVATION</t>
  </si>
  <si>
    <t>finPNLReg2Prod2COGSDepExpS2</t>
  </si>
  <si>
    <t>finPNLReg2Prod2OpsMarginS2</t>
  </si>
  <si>
    <t>Segment 1 Units</t>
  </si>
  <si>
    <t>Segment 2 Units</t>
  </si>
  <si>
    <t>Segment 3 Units</t>
  </si>
  <si>
    <t>Program 6 Year 2</t>
  </si>
  <si>
    <t>paramTaxRate</t>
  </si>
  <si>
    <t>Begin Group</t>
  </si>
  <si>
    <t>SubMenuItems</t>
  </si>
  <si>
    <t>Sub Menu Item</t>
  </si>
  <si>
    <t>dec(-) in Dividend</t>
  </si>
  <si>
    <t>Inc(-)/dec(+) in long-term debt</t>
  </si>
  <si>
    <t>Inc(-)/dec(+) in special loans</t>
  </si>
  <si>
    <t>Economy</t>
  </si>
  <si>
    <t>Value Upper</t>
  </si>
  <si>
    <t>Premium Lower</t>
  </si>
  <si>
    <t>Premium Upper</t>
  </si>
  <si>
    <t>prod1Reg1Focus</t>
  </si>
  <si>
    <t>paramCashIntRate</t>
  </si>
  <si>
    <t>Dashboard Font</t>
  </si>
  <si>
    <t>Color Scheme</t>
  </si>
  <si>
    <t>finPNLReg1Prod2SGAExpS1</t>
  </si>
  <si>
    <t>finPNLReg1Prod2RDFtr1ExpS1</t>
  </si>
  <si>
    <t>finPNLReg1Prod2RDFtr2ExpS1</t>
  </si>
  <si>
    <t>finPNLReg1Prod2RDFtr4ExpS1</t>
  </si>
  <si>
    <t>capProd4CostPUnitEmp2</t>
  </si>
  <si>
    <t>Labor Hours Available</t>
  </si>
  <si>
    <t>Avg Distribution Cost / Unit</t>
  </si>
  <si>
    <r>
      <t>What-If Analysis</t>
    </r>
    <r>
      <rPr>
        <sz val="10"/>
        <rFont val="Arial"/>
        <family val="2"/>
      </rPr>
      <t xml:space="preserve">  </t>
    </r>
    <r>
      <rPr>
        <sz val="9"/>
        <rFont val="Arial"/>
        <family val="2"/>
      </rPr>
      <t>(% of Forecast)</t>
    </r>
  </si>
  <si>
    <t>finEVACostOfEquity</t>
  </si>
  <si>
    <t>finEVALtDebt</t>
  </si>
  <si>
    <t>finEVACostOfLTDebt</t>
  </si>
  <si>
    <t>finEVASpecLoans</t>
  </si>
  <si>
    <t>finEVACostOfSpeclLoans</t>
  </si>
  <si>
    <t>finEVACapital</t>
  </si>
  <si>
    <t>finEVAWACCPct</t>
  </si>
  <si>
    <t>finEVACostOfCap</t>
  </si>
  <si>
    <t>finPNLReg2Prod1COGSManuExp</t>
  </si>
  <si>
    <t>finPNLReg1Prod2COGSManuExp</t>
  </si>
  <si>
    <t>finPNLReg1Prod3COGSManuExp</t>
  </si>
  <si>
    <t>finPNLReg1Prod4COGSManuExp</t>
  </si>
  <si>
    <t>Performance Appraisal Plan</t>
  </si>
  <si>
    <t>decProd1Ftr1</t>
  </si>
  <si>
    <t>decProd1Ftr2</t>
  </si>
  <si>
    <t>decProd4Ftr1</t>
  </si>
  <si>
    <t>decProd4Ftr2</t>
  </si>
  <si>
    <t>decProd4Ftr3</t>
  </si>
  <si>
    <t>Other Operating Costs</t>
  </si>
  <si>
    <t>Work In Progress</t>
  </si>
  <si>
    <t>Segment Adjustments</t>
  </si>
  <si>
    <t>capProd?Emp10Exp</t>
  </si>
  <si>
    <t>capProd?Emp10RecDismExp</t>
  </si>
  <si>
    <t>capProd?Emp10AdminExp</t>
  </si>
  <si>
    <t>Bid Plant</t>
  </si>
  <si>
    <t>paramPlant2DivRevenue</t>
  </si>
  <si>
    <t>paramPlant2InvCost</t>
  </si>
  <si>
    <t xml:space="preserve"> 3-YEAR PLAN:  Analysis &amp; Vision</t>
  </si>
  <si>
    <t xml:space="preserve"> 3-YEAR PLAN:  Goals</t>
  </si>
  <si>
    <t xml:space="preserve"> 3-YEAR PLAN:  Strategy</t>
  </si>
  <si>
    <t>&amp;Intro</t>
  </si>
  <si>
    <t>GoToToolIntro</t>
  </si>
  <si>
    <t>GoToToolDecSummary</t>
  </si>
  <si>
    <t>PopsiCo</t>
  </si>
  <si>
    <t>Everyday</t>
  </si>
  <si>
    <t>Choice</t>
  </si>
  <si>
    <t>ENVIRONMENT</t>
  </si>
  <si>
    <t>HUMAN</t>
  </si>
  <si>
    <t>TALENT</t>
  </si>
  <si>
    <t>Plant Eff:</t>
  </si>
  <si>
    <t>Labour Utilization</t>
  </si>
  <si>
    <t>Plant Flexibility</t>
  </si>
  <si>
    <t>Nutrico</t>
  </si>
  <si>
    <t>The Outlaws</t>
  </si>
  <si>
    <t>cbalReg2Prod1FGValue</t>
  </si>
  <si>
    <t>cbalReg2Prod2FGValue</t>
  </si>
  <si>
    <t>cbalReg2Prod3FGValue</t>
  </si>
  <si>
    <t>Number:</t>
  </si>
  <si>
    <t>Positioning 6</t>
  </si>
  <si>
    <t>Plant Efficiency</t>
  </si>
  <si>
    <t>Report Area Font Type Header</t>
  </si>
  <si>
    <t>Questions (12/02/02)</t>
  </si>
  <si>
    <t>Decision Area Border Header</t>
  </si>
  <si>
    <t>Report Area Border Header</t>
  </si>
  <si>
    <t>FMATRAreaBorderHeader</t>
  </si>
  <si>
    <t>FMATRAreaFontHeader</t>
  </si>
  <si>
    <t>FMATRAreaColorHeader</t>
  </si>
  <si>
    <t>Prod6Seg5</t>
  </si>
  <si>
    <t>cbalReg1Prod5MatValue</t>
  </si>
  <si>
    <t>cbalReg1Prod6MatValue</t>
  </si>
  <si>
    <t>Special Programs Expense Product 2 Region 1</t>
  </si>
  <si>
    <t>Special Programs Expense Product 3 Region 1</t>
  </si>
  <si>
    <t>Special Programs Expense Product 4 Region 1</t>
  </si>
  <si>
    <t>Special Programs Expense Product 1 Region 2</t>
  </si>
  <si>
    <t>Special Programs Expense Product 2 Region 2</t>
  </si>
  <si>
    <t>decProd2Reg1Price</t>
  </si>
  <si>
    <t>decProd2Reg2Price</t>
  </si>
  <si>
    <t>decProd2Reg1Units</t>
  </si>
  <si>
    <t>decProd2Reg2Units</t>
  </si>
  <si>
    <t>decProd2Adv</t>
  </si>
  <si>
    <t>Importiberb</t>
  </si>
  <si>
    <t>Bidberg</t>
  </si>
  <si>
    <t>People</t>
  </si>
  <si>
    <t>paramEmp1HoursPYear</t>
  </si>
  <si>
    <t>Lt. Debt</t>
  </si>
  <si>
    <t>xxQAT</t>
  </si>
  <si>
    <t xml:space="preserve">To captivate consumers the world over with high quality delicious, fun &amp; nutritious convenient foods &amp; beverages that provide great value for money &amp; are ubiquitously available
</t>
  </si>
  <si>
    <t>(Role)
Executive Name</t>
  </si>
  <si>
    <t>BEVERAGES</t>
  </si>
  <si>
    <t>GROUP</t>
  </si>
  <si>
    <t>GLOBAL</t>
  </si>
  <si>
    <t>FUNCTIONS</t>
  </si>
  <si>
    <t>a. WHERE do we focus to win?</t>
  </si>
  <si>
    <t>Rate the priority of each market/sector (1=low, 5=high)</t>
  </si>
  <si>
    <t>GTM</t>
  </si>
  <si>
    <t>Productivity</t>
  </si>
  <si>
    <t>b. WHAT is our plan to create competitive advantage?</t>
  </si>
  <si>
    <t>2. Force rank your strategic imperatives across each market/sector (1=first, 4=last):</t>
  </si>
  <si>
    <t>c. HOW will we allocate resources and investments to execute our strategy?</t>
  </si>
  <si>
    <t xml:space="preserve">Select the top 2-3 strategic thrusts from the list of business drivers below: </t>
  </si>
  <si>
    <t>xxHoodClose</t>
  </si>
  <si>
    <t>added - needed for ribbon macro, not sure if there are any other impacts</t>
  </si>
  <si>
    <t>Brands Strategy</t>
  </si>
  <si>
    <t>Innovation Strategy</t>
  </si>
  <si>
    <t>Productivity Strategy</t>
  </si>
  <si>
    <t>BR9</t>
  </si>
  <si>
    <t>GT1-V</t>
  </si>
  <si>
    <t>GT1-E</t>
  </si>
  <si>
    <t>PR1-V</t>
  </si>
  <si>
    <t>PR1-E</t>
  </si>
  <si>
    <t>BR10</t>
  </si>
  <si>
    <t>GT2</t>
  </si>
  <si>
    <t>GT3-V</t>
  </si>
  <si>
    <t>GT3-E</t>
  </si>
  <si>
    <t>PR2-V</t>
  </si>
  <si>
    <t>PR2-E</t>
  </si>
  <si>
    <t>BR11</t>
  </si>
  <si>
    <t>PR15</t>
  </si>
  <si>
    <t>PR16</t>
  </si>
  <si>
    <t>GT8</t>
  </si>
  <si>
    <t>BR13</t>
  </si>
  <si>
    <t>PR17</t>
  </si>
  <si>
    <t>BR14</t>
  </si>
  <si>
    <t>IN12</t>
  </si>
  <si>
    <t>BR15</t>
  </si>
  <si>
    <t>x</t>
  </si>
  <si>
    <t>PR3</t>
  </si>
  <si>
    <t>BR12</t>
  </si>
  <si>
    <t>PR4</t>
  </si>
  <si>
    <t>PR5</t>
  </si>
  <si>
    <t>PR6</t>
  </si>
  <si>
    <t>PR7-V</t>
  </si>
  <si>
    <t>PR7-E</t>
  </si>
  <si>
    <t>PR8</t>
  </si>
  <si>
    <t>PR9</t>
  </si>
  <si>
    <t>PR10</t>
  </si>
  <si>
    <t>PR11</t>
  </si>
  <si>
    <t>GT4-V</t>
  </si>
  <si>
    <t>GT4-E</t>
  </si>
  <si>
    <t>GT5</t>
  </si>
  <si>
    <t>GT6-V</t>
  </si>
  <si>
    <t>GT6-E</t>
  </si>
  <si>
    <t>PR12</t>
  </si>
  <si>
    <t>PR13</t>
  </si>
  <si>
    <t>GT7-V</t>
  </si>
  <si>
    <t>GT7-E</t>
  </si>
  <si>
    <t>PR14</t>
  </si>
  <si>
    <t>Nutrition (% of Revenue)</t>
  </si>
  <si>
    <t>Sustainability (Index)</t>
  </si>
  <si>
    <t>Breakthru Innov. % of Rev.</t>
  </si>
  <si>
    <t>GT9</t>
  </si>
  <si>
    <t>GT10</t>
  </si>
  <si>
    <t>GT11-V</t>
  </si>
  <si>
    <t>GT11-E</t>
  </si>
  <si>
    <t>Global Bottling Network Extension</t>
  </si>
  <si>
    <t>BR1</t>
  </si>
  <si>
    <t>BR2</t>
  </si>
  <si>
    <t>BR3</t>
  </si>
  <si>
    <t>BR4</t>
  </si>
  <si>
    <t>BR5</t>
  </si>
  <si>
    <t>BR6</t>
  </si>
  <si>
    <t>BR7</t>
  </si>
  <si>
    <t>Best Ads Global Share</t>
  </si>
  <si>
    <t>Digital Vivia</t>
  </si>
  <si>
    <t>Vivia Times</t>
  </si>
  <si>
    <t>Vivia Friends</t>
  </si>
  <si>
    <t>SportsStar Campaign</t>
  </si>
  <si>
    <t>BR8-V</t>
  </si>
  <si>
    <t>BR8-E</t>
  </si>
  <si>
    <t>Tighter Nutrition Standards Vetera</t>
  </si>
  <si>
    <t>Tighter Nutrition Standards Escendia</t>
  </si>
  <si>
    <t>IN5</t>
  </si>
  <si>
    <t>IN6</t>
  </si>
  <si>
    <t>IN7</t>
  </si>
  <si>
    <t>IN8</t>
  </si>
  <si>
    <t>IN9</t>
  </si>
  <si>
    <t>IN11</t>
  </si>
  <si>
    <t>IN13</t>
  </si>
  <si>
    <t>IN10-V</t>
  </si>
  <si>
    <t>IN10-E</t>
  </si>
  <si>
    <t>Centers of Expertise</t>
  </si>
  <si>
    <t>Innovation Stage Gates</t>
  </si>
  <si>
    <t>Channel Insights Vetera</t>
  </si>
  <si>
    <t>Channel Insights Escendia</t>
  </si>
  <si>
    <t>Go-to-Market Strategy</t>
  </si>
  <si>
    <t>paramInnovationStrategy</t>
  </si>
  <si>
    <t>Reframe</t>
  </si>
  <si>
    <t>Breakthrough Innovation</t>
  </si>
  <si>
    <t xml:space="preserve">Breakthrough Innovations </t>
  </si>
  <si>
    <t>Breakthrough Product</t>
  </si>
  <si>
    <t>Breakthrough Products</t>
  </si>
  <si>
    <t>Breakthrough 1 Revenues</t>
  </si>
  <si>
    <t>Breakthrough 2 Revenues</t>
  </si>
  <si>
    <t>Breakthrough 1 Net Revs</t>
  </si>
  <si>
    <t>Breakthrough 2 Net Revs</t>
  </si>
  <si>
    <t>Breakthrough Prod Launch 1</t>
  </si>
  <si>
    <t>Breakthrough Prod Launch 2</t>
  </si>
  <si>
    <t>Breakthrough Product Sales</t>
  </si>
  <si>
    <t>Breakthrough Groups Unlock</t>
  </si>
  <si>
    <t>Breakthrough line appears on year 2!</t>
  </si>
  <si>
    <t>(includes Breakthrough)</t>
  </si>
  <si>
    <t>Reframe Innovations</t>
  </si>
  <si>
    <t>*Holy Cow Cup</t>
  </si>
  <si>
    <t>*Nitro Nachos</t>
  </si>
  <si>
    <t>Wobbler Year 2</t>
  </si>
  <si>
    <t>Year 0</t>
  </si>
  <si>
    <t>Beverages</t>
  </si>
  <si>
    <t>Food &amp; Snacks</t>
  </si>
  <si>
    <t>Revenue Mix Current Year</t>
  </si>
  <si>
    <t>Beverage</t>
  </si>
  <si>
    <t>Revenue by Region</t>
  </si>
  <si>
    <t>Revenue by Category</t>
  </si>
  <si>
    <t>Go-to-Market</t>
  </si>
  <si>
    <t>decStratVetInnov</t>
  </si>
  <si>
    <t>decStratEdaInnov</t>
  </si>
  <si>
    <t>capStratReg1InnovationRank</t>
  </si>
  <si>
    <t>capStratReg2InnovationRank</t>
  </si>
  <si>
    <t>capStratInnovationTotal</t>
  </si>
  <si>
    <t>capStratInnovationRank</t>
  </si>
  <si>
    <t>Vetera - Brands</t>
  </si>
  <si>
    <t>Vetera - Innovation</t>
  </si>
  <si>
    <t>Vetera - Go-to-Market</t>
  </si>
  <si>
    <t>Vetera - Productivity</t>
  </si>
  <si>
    <t>Escendia - Brands</t>
  </si>
  <si>
    <t>Escendia - Innovation</t>
  </si>
  <si>
    <t>Escendia - Go-to-Market</t>
  </si>
  <si>
    <t>Escendia - Productivity</t>
  </si>
  <si>
    <t>Corporate - Brands</t>
  </si>
  <si>
    <t>Corporate - Innovation</t>
  </si>
  <si>
    <t>Corporate - Go-to-Market</t>
  </si>
  <si>
    <t>Corporate - Productivity</t>
  </si>
  <si>
    <t>capStratReg1InnovationScore</t>
  </si>
  <si>
    <t>capStratReg2InnovationScore</t>
  </si>
  <si>
    <t>capStratInnovationScore</t>
  </si>
  <si>
    <t>obalStratVetInnov</t>
  </si>
  <si>
    <t>obalStratEdaInnov</t>
  </si>
  <si>
    <t>cbalStratVetInnov</t>
  </si>
  <si>
    <t>cbalStratEdaInnov</t>
  </si>
  <si>
    <t>Partnership With Organic Retailers</t>
  </si>
  <si>
    <t>Semi-Sabbatical</t>
  </si>
  <si>
    <t>Understanding Large Format Retailers Evolution</t>
  </si>
  <si>
    <t>Multi-Segmentation Vetera</t>
  </si>
  <si>
    <t>Multi-Segmentation Escendia</t>
  </si>
  <si>
    <t>Viva La Vivia</t>
  </si>
  <si>
    <t>Viva La Vivia Festival</t>
  </si>
  <si>
    <t>Cherry Picking Innovations</t>
  </si>
  <si>
    <t>Local Global Innovation</t>
  </si>
  <si>
    <t>Innovation Platforms</t>
  </si>
  <si>
    <t>Veggie-Bites</t>
  </si>
  <si>
    <t>Oats In A Cup</t>
  </si>
  <si>
    <t>Flavored Bottled Water</t>
  </si>
  <si>
    <t>Rice Pops</t>
  </si>
  <si>
    <t>I19</t>
  </si>
  <si>
    <t>Branding</t>
  </si>
  <si>
    <t>Market Model Calculation Segment 1 *Holy Cow Cup</t>
  </si>
  <si>
    <t>Market Model Calculation Segment 2 *Nitro Nachos</t>
  </si>
  <si>
    <t>Vetera - Productitivy</t>
  </si>
  <si>
    <t>finPNLReg2Prod1Emp2Exp</t>
  </si>
  <si>
    <t>ImportExportCSV_ExportInputs</t>
  </si>
  <si>
    <t>Keep same input values next round?</t>
  </si>
  <si>
    <t>ImportExportCSV_BalSheetClosing</t>
  </si>
  <si>
    <t>FinDefBSClose</t>
  </si>
  <si>
    <t>Closing balance sheet location</t>
  </si>
  <si>
    <t>ImportExportCSV_BalSheetOpening</t>
  </si>
  <si>
    <t>FinDefBSOpen</t>
  </si>
  <si>
    <t>Opening balance sheet location</t>
  </si>
  <si>
    <t>ImportExportCSV_BalSheetOnObal</t>
  </si>
  <si>
    <t>Balance sheet on obal?</t>
  </si>
  <si>
    <t>Set Up</t>
  </si>
  <si>
    <t xml:space="preserve">  Cell must be linked to another worksheet.</t>
  </si>
  <si>
    <t xml:space="preserve">  Formula cell.  Developer may modify.</t>
  </si>
  <si>
    <t xml:space="preserve">  Calculated cell. User must not modify.</t>
  </si>
  <si>
    <t xml:space="preserve">  Hard-coded cell.  Developer may modify.</t>
  </si>
  <si>
    <t>Calculation Cell Types</t>
  </si>
  <si>
    <t>Input Cell Types</t>
  </si>
  <si>
    <t>Legend</t>
  </si>
  <si>
    <t>ModuleFactory@bts.com</t>
  </si>
  <si>
    <t>For support contact:</t>
  </si>
  <si>
    <t>ImportCSVDecisions</t>
  </si>
  <si>
    <t>ExportCSVBalances</t>
  </si>
  <si>
    <t>tlobalCashValue</t>
  </si>
  <si>
    <t>tlobalReg1ARValue</t>
  </si>
  <si>
    <t>tlobalReg2ARValue</t>
  </si>
  <si>
    <t>tlobalARValue</t>
  </si>
  <si>
    <t>tlobalReg1Prod2MatValue</t>
  </si>
  <si>
    <t>tlobalReg1Prod2WIPValue</t>
  </si>
  <si>
    <t>tlobalReg1Prod2FGValue</t>
  </si>
  <si>
    <t>tlobalReg2Prod2MatValue</t>
  </si>
  <si>
    <t>tlobalReg2Prod2WIPValue</t>
  </si>
  <si>
    <t>tlobalReg2Prod2FGValue</t>
  </si>
  <si>
    <t>tlobalReg1Prod1MatValue</t>
  </si>
  <si>
    <t>tlobalReg1Prod3MatValue</t>
  </si>
  <si>
    <t>tlobalReg1Prod4MatValue</t>
  </si>
  <si>
    <t>tlobalReg1Prod5MatValue</t>
  </si>
  <si>
    <t>tlobalReg1Prod6MatValue</t>
  </si>
  <si>
    <t>tlobalReg1MatValue</t>
  </si>
  <si>
    <t>tlobalReg1Prod1WIPValue</t>
  </si>
  <si>
    <t>tlobalReg1Prod3WIPValue</t>
  </si>
  <si>
    <t>tlobalReg1Prod4WIPValue</t>
  </si>
  <si>
    <t>tlobalReg1Prod5WIPValue</t>
  </si>
  <si>
    <t>tlobalReg1Prod6WIPValue</t>
  </si>
  <si>
    <t>tlobalReg1WIPValue</t>
  </si>
  <si>
    <t>tlobalReg1Prod1FGValue</t>
  </si>
  <si>
    <t>tlobalReg1Prod3FGValue</t>
  </si>
  <si>
    <t>tlobalReg1Prod4FGValue</t>
  </si>
  <si>
    <t>tlobalReg1Prod5FGValue</t>
  </si>
  <si>
    <t>tlobalReg1Prod6FGValue</t>
  </si>
  <si>
    <t>tlobalReg1FGValue</t>
  </si>
  <si>
    <t>tlobalReg2Prod1MatValue</t>
  </si>
  <si>
    <t>tlobalReg2Prod3MatValue</t>
  </si>
  <si>
    <t>tlobalReg2Prod4MatValue</t>
  </si>
  <si>
    <t>tlobalReg2Prod5MatValue</t>
  </si>
  <si>
    <t>tlobalReg2Prod6MatValue</t>
  </si>
  <si>
    <t>tlobalReg2MatValue</t>
  </si>
  <si>
    <t>tlobalReg2Prod1WIPValue</t>
  </si>
  <si>
    <t>tlobalReg2Prod3WIPValue</t>
  </si>
  <si>
    <t>tlobalReg2Prod4WIPValue</t>
  </si>
  <si>
    <t>tlobalReg2Prod5WIPValue</t>
  </si>
  <si>
    <t>tlobalReg2Prod6WIPValue</t>
  </si>
  <si>
    <t>tlobalReg2WIPValue</t>
  </si>
  <si>
    <t>tlobalReg2Prod1FGValue</t>
  </si>
  <si>
    <t>tlobalReg2Prod3FGValue</t>
  </si>
  <si>
    <t>tlobalReg2Prod4FGValue</t>
  </si>
  <si>
    <t>tlobalReg2Prod5FGValue</t>
  </si>
  <si>
    <t>tlobalReg2Prod6FGValue</t>
  </si>
  <si>
    <t>tlobalReg2FGValue</t>
  </si>
  <si>
    <t>tlobalGoodWillValue</t>
  </si>
  <si>
    <t>tlobalPlant1Value</t>
  </si>
  <si>
    <t>tlobalPlantValue</t>
  </si>
  <si>
    <t>tlobalAssetsValue</t>
  </si>
  <si>
    <t>tlobalAPValue</t>
  </si>
  <si>
    <t>tlobalOtherCurrLiabValue</t>
  </si>
  <si>
    <t>tlobalSpecLoansValue</t>
  </si>
  <si>
    <t>tlobalLTDebtValue</t>
  </si>
  <si>
    <t>tlobalCStockValue</t>
  </si>
  <si>
    <t>tlobalRetEarnValue</t>
  </si>
  <si>
    <t>tlobalNetEarnValue</t>
  </si>
  <si>
    <t>tlobalTotalEquity</t>
  </si>
  <si>
    <t>tlobalProd1Reg1UnitsWIP</t>
  </si>
  <si>
    <t>tlobalProd1Reg1UnitsFG</t>
  </si>
  <si>
    <t>tlobalProd1Reg1UnitsSold</t>
  </si>
  <si>
    <t>tlobalProd3Reg1UnitsWIP</t>
  </si>
  <si>
    <t>tlobalProd3Reg1UnitsFG</t>
  </si>
  <si>
    <t>tlobalProd3Reg1UnitsSold</t>
  </si>
  <si>
    <t>tlobalProd4Reg1UnitsWIP</t>
  </si>
  <si>
    <t>tlobalProd4Reg1UnitsFG</t>
  </si>
  <si>
    <t>tlobalProd4Reg1UnitsSold</t>
  </si>
  <si>
    <t>tlobalProd1Reg2UnitsWIP</t>
  </si>
  <si>
    <t>tlobalProd1Reg2UnitsFG</t>
  </si>
  <si>
    <t>tlobalProd1Reg2UnitsSold</t>
  </si>
  <si>
    <t>tlobalProd3Reg2UnitsWIP</t>
  </si>
  <si>
    <t>tlobalProd3Reg2UnitsFG</t>
  </si>
  <si>
    <t>tlobalProd3Reg2UnitsSold</t>
  </si>
  <si>
    <t>tlobalProd4Reg2UnitsWIP</t>
  </si>
  <si>
    <t>tlobalProd4Reg2UnitsFG</t>
  </si>
  <si>
    <t>tlobalProd4Reg2UnitsSold</t>
  </si>
  <si>
    <t>tlobalProd2Reg1UnitsWIP</t>
  </si>
  <si>
    <t>tlobalProd2Reg1UnitsFG</t>
  </si>
  <si>
    <t>tlobalProd2Reg1UnitsSold</t>
  </si>
  <si>
    <t>tlobalProd2Reg2UnitsWIP</t>
  </si>
  <si>
    <t>tlobalProd2Reg2UnitsFG</t>
  </si>
  <si>
    <t>tlobalProd2Reg2UnitsSold</t>
  </si>
  <si>
    <t>tlobalEmp1</t>
  </si>
  <si>
    <t>tlobalEmp2</t>
  </si>
  <si>
    <t>tlobalEmp3</t>
  </si>
  <si>
    <t>tlobalEmp3Utiliz</t>
  </si>
  <si>
    <t>tlobalEmp10</t>
  </si>
  <si>
    <t>tlobalRecruitLevel</t>
  </si>
  <si>
    <t>tlobalEmpDevLevel</t>
  </si>
  <si>
    <t>tlobalPlant1Units</t>
  </si>
  <si>
    <t>tlobalPlant1Flex</t>
  </si>
  <si>
    <t>tlobalReg1Rev</t>
  </si>
  <si>
    <t>tlobalReg2Rev</t>
  </si>
  <si>
    <t>tlobalRev</t>
  </si>
  <si>
    <t>tlobalReg1NetRev</t>
  </si>
  <si>
    <t>tlobalReg2NetRev</t>
  </si>
  <si>
    <t>tlobalNetRev</t>
  </si>
  <si>
    <t>tlobalCStockPricePShare</t>
  </si>
  <si>
    <t>tlobalCStockShares</t>
  </si>
  <si>
    <t>tlobalCSAT</t>
  </si>
  <si>
    <t>tlobalProd1Brand</t>
  </si>
  <si>
    <t>tlobalProd2Brand</t>
  </si>
  <si>
    <t>tlobalProd3Brand</t>
  </si>
  <si>
    <t>tlobalProd4Brand</t>
  </si>
  <si>
    <t>tlobalReg2ChanLevel</t>
  </si>
  <si>
    <t>tlobalITcapLevel</t>
  </si>
  <si>
    <t>tlobalReg1Prod1Price</t>
  </si>
  <si>
    <t>tlobalReg2Prod1Price</t>
  </si>
  <si>
    <t>tlobalReg1Prod1Rev</t>
  </si>
  <si>
    <t>tlobalReg2Prod1Rev</t>
  </si>
  <si>
    <t>tlobalReg1Prod1NetRev</t>
  </si>
  <si>
    <t>tlobalReg2Prod1NetRev</t>
  </si>
  <si>
    <t>tlobalProd1Ftr1Level</t>
  </si>
  <si>
    <t>tlobalProd1Ftr2Level</t>
  </si>
  <si>
    <t>tlobalProd1Ftr3Level</t>
  </si>
  <si>
    <t>tlobalProd1Ftr4Level</t>
  </si>
  <si>
    <t>tlobalProd1COGSPUnitMat</t>
  </si>
  <si>
    <t>tlobalReg1Prod1COGSPUnitLabor</t>
  </si>
  <si>
    <t>tlobalReg2Prod1COGSPUnitLabor</t>
  </si>
  <si>
    <t>tlobalProd1COGSPUnitPlant</t>
  </si>
  <si>
    <t>tlobalProd1COGSPUnitDep</t>
  </si>
  <si>
    <t>tlobalReg1Prod2Price</t>
  </si>
  <si>
    <t>tlobalReg2Prod2Price</t>
  </si>
  <si>
    <t>tlobalProd2RevsS1</t>
  </si>
  <si>
    <t>tlobalProd2RevsS2</t>
  </si>
  <si>
    <t>tlobalProd2NetRevsS1</t>
  </si>
  <si>
    <t>tlobalProd2NetRevsS2</t>
  </si>
  <si>
    <t>tlobalReg1Prod2Rev</t>
  </si>
  <si>
    <t>tlobalReg2Prod2Rev</t>
  </si>
  <si>
    <t>tlobalReg1Prod2NetRev</t>
  </si>
  <si>
    <t>tlobalReg2Prod2NetRev</t>
  </si>
  <si>
    <t>tlobalProd2Ftr1Level</t>
  </si>
  <si>
    <t>tlobalProd2Ftr2Level</t>
  </si>
  <si>
    <t>tlobalProd2Ftr3Level</t>
  </si>
  <si>
    <t>tlobalProd2Ftr4Level</t>
  </si>
  <si>
    <t>tlobalProd21COGSPUnitMat</t>
  </si>
  <si>
    <t>tlobalProd22COGSPUnitMat</t>
  </si>
  <si>
    <t>tlobalProd2COGSPUnitLabor</t>
  </si>
  <si>
    <t>tlobalProd2COGSPUnitPlant</t>
  </si>
  <si>
    <t>tlobalProd2COGSPUnitDep</t>
  </si>
  <si>
    <t>tlobalDisrupt1</t>
  </si>
  <si>
    <t>tlobalDisrupt2</t>
  </si>
  <si>
    <t>tlobalReg1Prod3Price</t>
  </si>
  <si>
    <t>tlobalReg2Prod3Price</t>
  </si>
  <si>
    <t>tlobalReg1Prod3Rev</t>
  </si>
  <si>
    <t>tlobalReg2Prod3Rev</t>
  </si>
  <si>
    <t>tlobalReg1Prod3NetRev</t>
  </si>
  <si>
    <t>tlobalReg2Prod3NetRev</t>
  </si>
  <si>
    <t>tlobalProd3Ftr1Level</t>
  </si>
  <si>
    <t>tlobalProd3Ftr2Level</t>
  </si>
  <si>
    <t>tlobalProd3Ftr3Level</t>
  </si>
  <si>
    <t>tlobalProd3Ftr4Level</t>
  </si>
  <si>
    <t>tlobalProd3COGSPUnitMat</t>
  </si>
  <si>
    <t>tlobalReg1Prod3COGSPUnitLabor</t>
  </si>
  <si>
    <t>tlobalReg2Prod3COGSPUnitLabor</t>
  </si>
  <si>
    <t>tlobalProd3COGSPUnitPlant</t>
  </si>
  <si>
    <t>tlobalProd3COGSPUnitDep</t>
  </si>
  <si>
    <t>tlobalReg1Prod4Price</t>
  </si>
  <si>
    <t>tlobalReg2Prod4Price</t>
  </si>
  <si>
    <t>tlobalReg1Prod4Rev</t>
  </si>
  <si>
    <t>tlobalReg2Prod4Rev</t>
  </si>
  <si>
    <t>tlobalReg1Prod4NetRev</t>
  </si>
  <si>
    <t>tlobalReg2Prod4NetRev</t>
  </si>
  <si>
    <t>tlobalProd4Ftr1Level</t>
  </si>
  <si>
    <t>tlobalProd4Ftr2Level</t>
  </si>
  <si>
    <t>tlobalProd4Ftr3Level</t>
  </si>
  <si>
    <t>tlobalProd4Ftr4Level</t>
  </si>
  <si>
    <t>tlobalProd4COGSPUnitMat</t>
  </si>
  <si>
    <t>tlobalReg1Prod4COGSPUnitLabor</t>
  </si>
  <si>
    <t>tlobalReg2Prod4COGSPUnitLabor</t>
  </si>
  <si>
    <t>tlobalProd4COGSPUnitPlant</t>
  </si>
  <si>
    <t>tlobalProd4COGSPUnitDep</t>
  </si>
  <si>
    <t>tlobalProd5COGSPUnitMat</t>
  </si>
  <si>
    <t>tlobalProd5COGSPUnitEmp2</t>
  </si>
  <si>
    <t>tlobalProd5COGSPUnitPlant1</t>
  </si>
  <si>
    <t>tlobalProd5COGSPUnitDep</t>
  </si>
  <si>
    <t>tlobalProd6COGSPUnitMat</t>
  </si>
  <si>
    <t>tlobalProd6COGSPUnitEmp2</t>
  </si>
  <si>
    <t>tlobalProd6COGSPUnitPlant1</t>
  </si>
  <si>
    <t>tlobalProd6COGSPUnitDep</t>
  </si>
  <si>
    <t>tlobalProd2Unlock1</t>
  </si>
  <si>
    <t>tlobalProd2Unlock2</t>
  </si>
  <si>
    <t>tlobalStratVetCSD</t>
  </si>
  <si>
    <t>tlobalStratVetNCB</t>
  </si>
  <si>
    <t>tlobalStratVetFnS</t>
  </si>
  <si>
    <t>tlobalStratEdaCSD</t>
  </si>
  <si>
    <t>tlobalStratEdaNCB</t>
  </si>
  <si>
    <t>tlobalStratEdaFnS</t>
  </si>
  <si>
    <t>tlobalStratVetCons</t>
  </si>
  <si>
    <t>tlobalStratVetInnov</t>
  </si>
  <si>
    <t>tlobalStratVetCust</t>
  </si>
  <si>
    <t>tlobalStratVetComp</t>
  </si>
  <si>
    <t>tlobalStratEdaCons</t>
  </si>
  <si>
    <t>tlobalStratEdaInnov</t>
  </si>
  <si>
    <t>tlobalStratEdaCust</t>
  </si>
  <si>
    <t>tlobalStratEdaComp</t>
  </si>
  <si>
    <t>tlInputTeamNumber</t>
  </si>
  <si>
    <t>tlInputTeamName</t>
  </si>
  <si>
    <t>tlInputTeamYear</t>
  </si>
  <si>
    <t>tlInputProd1Reg1Price</t>
  </si>
  <si>
    <t>tlInputProd1Reg2Price</t>
  </si>
  <si>
    <t>tlInputProd1Reg1Grth</t>
  </si>
  <si>
    <t>tlInputProd1Reg2Grth</t>
  </si>
  <si>
    <t>tlInputProd1Ftr1</t>
  </si>
  <si>
    <t>tlInputProd1Ftr2</t>
  </si>
  <si>
    <t>tlInputProd1Ftr4LevelDec</t>
  </si>
  <si>
    <t>tlInputProd1Brand</t>
  </si>
  <si>
    <t>tlInputProd1Adv</t>
  </si>
  <si>
    <t>tlInputProd1AdvR2</t>
  </si>
  <si>
    <t>tlInputProd1Promo</t>
  </si>
  <si>
    <t>tlInputProd1PromoR2</t>
  </si>
  <si>
    <t>tlInputReg1OnPremAdv</t>
  </si>
  <si>
    <t>tlInputReg2OnPremAdv</t>
  </si>
  <si>
    <t>tlInputProd2Reg1Price</t>
  </si>
  <si>
    <t>tlInputProd2Reg2Price</t>
  </si>
  <si>
    <t>tlInputProd2Reg1Units</t>
  </si>
  <si>
    <t>tlInputProd2Reg2Units</t>
  </si>
  <si>
    <t>tlInputProd21Ftr4LevelDec</t>
  </si>
  <si>
    <t>tlInputProd22Ftr4LevelDec</t>
  </si>
  <si>
    <t>tlInputProd2Adv</t>
  </si>
  <si>
    <t>tlInputProd2Adv2</t>
  </si>
  <si>
    <t>tlInputProd2Promo1</t>
  </si>
  <si>
    <t>tlInputProd2Promo2</t>
  </si>
  <si>
    <t>tlInputProd3Reg1Price</t>
  </si>
  <si>
    <t>tlInputProd3Reg2Price</t>
  </si>
  <si>
    <t>tlInputProd3Reg1Grth</t>
  </si>
  <si>
    <t>tlInputProd3Reg2Grth</t>
  </si>
  <si>
    <t>tlInputProd3Ftr1</t>
  </si>
  <si>
    <t>tlInputProd3Ftr2</t>
  </si>
  <si>
    <t>tlInputProd3Ftr4LevelDec</t>
  </si>
  <si>
    <t>tlInputProd3Brand</t>
  </si>
  <si>
    <t>tlInputProd3Adv</t>
  </si>
  <si>
    <t>tlInputProd3AdvR2</t>
  </si>
  <si>
    <t>tlInputProd3Promo</t>
  </si>
  <si>
    <t>tlInputProd3PromoR2</t>
  </si>
  <si>
    <t>tlInputProd4Reg1Price</t>
  </si>
  <si>
    <t>tlInputProd4Reg2Price</t>
  </si>
  <si>
    <t>tlInputProd4Reg1Grth</t>
  </si>
  <si>
    <t>tlInputProd4Reg2Grth</t>
  </si>
  <si>
    <t>tlInputProd4Ftr1</t>
  </si>
  <si>
    <t>tlInputProd4Ftr2</t>
  </si>
  <si>
    <t>tlInputProd4Ftr3</t>
  </si>
  <si>
    <t>tlInputProd4Ftr4LevelDec</t>
  </si>
  <si>
    <t>tlInputProd4Brand</t>
  </si>
  <si>
    <t>tlInputProd4Adv</t>
  </si>
  <si>
    <t>tlInputProd4AdvR2</t>
  </si>
  <si>
    <t>tlInputProd4Promo</t>
  </si>
  <si>
    <t>tlInputProd4PromoR2</t>
  </si>
  <si>
    <t>tlInputITcapAdd</t>
  </si>
  <si>
    <t>tlInputReg1ChanLevel</t>
  </si>
  <si>
    <t>tlInputReg2ChanLevel</t>
  </si>
  <si>
    <t>tlInputPlant1UnitsChange</t>
  </si>
  <si>
    <t>tlInputPlant1Flex</t>
  </si>
  <si>
    <t>tlInputEmp1Change</t>
  </si>
  <si>
    <t>tlInputEmp2Change</t>
  </si>
  <si>
    <t>tlInputEmp3Change</t>
  </si>
  <si>
    <t>tlInputRecruitLevel</t>
  </si>
  <si>
    <t>tlInputEmpDevLevel</t>
  </si>
  <si>
    <t>tlInputLTDebtChange</t>
  </si>
  <si>
    <t>tlInputDividendAmount</t>
  </si>
  <si>
    <t>tlInputProd1WhatIfUnits</t>
  </si>
  <si>
    <t>tlInputProd2WhatIfUnits</t>
  </si>
  <si>
    <t>tlInputProd3WhatIfUnits</t>
  </si>
  <si>
    <t>tlInputProd4WhatIfUnits</t>
  </si>
  <si>
    <t>tlInputInnov1</t>
  </si>
  <si>
    <t>tlInputInnov2</t>
  </si>
  <si>
    <t>tlInputInnov3</t>
  </si>
  <si>
    <t>tlInputInnov4</t>
  </si>
  <si>
    <t>tlInputSpecProg1</t>
  </si>
  <si>
    <t>tlInputSpecProg2</t>
  </si>
  <si>
    <t>tlInputSpecProg3</t>
  </si>
  <si>
    <t>tlInputSpecProg4</t>
  </si>
  <si>
    <t>tlInputSpecProg5</t>
  </si>
  <si>
    <t>tlInputSpecProg6</t>
  </si>
  <si>
    <t>tlInputWobbler1</t>
  </si>
  <si>
    <t>tlInputWobbler2</t>
  </si>
  <si>
    <t>tlInputWobbler3</t>
  </si>
  <si>
    <t>tlInputWobbler4</t>
  </si>
  <si>
    <t>tlInputStratVetCSD</t>
  </si>
  <si>
    <t>tlInputStratVetNCB</t>
  </si>
  <si>
    <t>tlInputStratVetFnS</t>
  </si>
  <si>
    <t>tlInputStratEdaCSD</t>
  </si>
  <si>
    <t>tlInputStratEdaNCB</t>
  </si>
  <si>
    <t>tlInputStratEdaFnS</t>
  </si>
  <si>
    <t>tlInputStratVetCons</t>
  </si>
  <si>
    <t>tlInputStratVetInnov</t>
  </si>
  <si>
    <t>tlInputStratVetCust</t>
  </si>
  <si>
    <t>tlInputStratVetComp</t>
  </si>
  <si>
    <t>tlInputStratEdaCons</t>
  </si>
  <si>
    <t>tlInputStratEdaInnov</t>
  </si>
  <si>
    <t>tlInputStratEdaCust</t>
  </si>
  <si>
    <t>tlInputStratEdaComp</t>
  </si>
  <si>
    <t>tlInputVetDiffr1</t>
  </si>
  <si>
    <t>tlInputVetDiffr2</t>
  </si>
  <si>
    <t>tlInputVetDiffr3</t>
  </si>
  <si>
    <t>tlInputEdaDiffr1</t>
  </si>
  <si>
    <t>tlInputEdaDiffr2</t>
  </si>
  <si>
    <t>tlInputEdaDiffr3</t>
  </si>
  <si>
    <t>tlInputCorpDiffr1</t>
  </si>
  <si>
    <t>tlInputCorpDiffr2</t>
  </si>
  <si>
    <t>tlInputCorpDiffr3</t>
  </si>
  <si>
    <t>tlInputSWOTs1</t>
  </si>
  <si>
    <t>tlInputSWOTs2</t>
  </si>
  <si>
    <t>tlInputSWOTs3</t>
  </si>
  <si>
    <t>tlInputSWOTs4</t>
  </si>
  <si>
    <t>tlInputSWOTs5</t>
  </si>
  <si>
    <t>tlInputSWOTw1</t>
  </si>
  <si>
    <t>tlInputSWOTw2</t>
  </si>
  <si>
    <t>tlInputSWOTw3</t>
  </si>
  <si>
    <t>tlInputSWOTw4</t>
  </si>
  <si>
    <t>tlInputSWOTw5</t>
  </si>
  <si>
    <t>tlInputSWOTo1</t>
  </si>
  <si>
    <t>tlInputSWOTo2</t>
  </si>
  <si>
    <t>tlInputSWOTo3</t>
  </si>
  <si>
    <t>tlInputSWOTo4</t>
  </si>
  <si>
    <t>tlInputSWOTo5</t>
  </si>
  <si>
    <t>tlInputSWOTt1</t>
  </si>
  <si>
    <t>tlInputSWOTt2</t>
  </si>
  <si>
    <t>tlInputSWOTt3</t>
  </si>
  <si>
    <t>tlInputSWOTt4</t>
  </si>
  <si>
    <t>tlInputSWOTt5</t>
  </si>
  <si>
    <t>tlInputVision</t>
  </si>
  <si>
    <t>tlInputStratName</t>
  </si>
  <si>
    <t>tlInputCEO</t>
  </si>
  <si>
    <t>tlInputGMvet</t>
  </si>
  <si>
    <t>tlInputGMesc</t>
  </si>
  <si>
    <t>tlInputSVPops</t>
  </si>
  <si>
    <t>tlInputSVPrnd</t>
  </si>
  <si>
    <t>tlInputSVPshared</t>
  </si>
  <si>
    <t>tlInputGoals1</t>
  </si>
  <si>
    <t>tlInputGoals3</t>
  </si>
  <si>
    <t>tlInputGoals4</t>
  </si>
  <si>
    <t>tlInputGoals5</t>
  </si>
  <si>
    <t>tlInputGoals6</t>
  </si>
  <si>
    <t>tlInputGoals7</t>
  </si>
  <si>
    <t>tlInputGoals8</t>
  </si>
  <si>
    <t>tlInputGoals9</t>
  </si>
  <si>
    <t>tlInputGoals10</t>
  </si>
  <si>
    <t>tlInputGoals11</t>
  </si>
  <si>
    <t>tlInputGoals12</t>
  </si>
  <si>
    <t>tlInputGoals13</t>
  </si>
  <si>
    <t>cbalTotalEquity</t>
  </si>
  <si>
    <t>cbalPlant1Value</t>
  </si>
  <si>
    <t>cbalPlant1Flex</t>
  </si>
  <si>
    <t>cbalReg1Rev</t>
  </si>
  <si>
    <t>cbalReg2Rev</t>
  </si>
  <si>
    <t>cbalRev</t>
  </si>
  <si>
    <t>cbalReg1NetRev</t>
  </si>
  <si>
    <t>cbalReg2NetRev</t>
  </si>
  <si>
    <t>cbalNetRev</t>
  </si>
  <si>
    <t>cbalCStockPricePShare</t>
  </si>
  <si>
    <t>cbalCSAT</t>
  </si>
  <si>
    <t>cbalReg2ChanLevel</t>
  </si>
  <si>
    <t>cbalProd1COGSPUnitMat</t>
  </si>
  <si>
    <t>cbalReg1Prod1COGSPUnitLabor</t>
  </si>
  <si>
    <t>cbalReg2Prod1COGSPUnitLabor</t>
  </si>
  <si>
    <t>cbalProd1COGSPUnitDep</t>
  </si>
  <si>
    <t>cbalProd2RevsS1</t>
  </si>
  <si>
    <t>cbalProd2RevsS2</t>
  </si>
  <si>
    <t>cbalProd2NetRevsS1</t>
  </si>
  <si>
    <t>cbalProd2NetRevsS2</t>
  </si>
  <si>
    <t>cbalProd21COGSPUnitMat</t>
  </si>
  <si>
    <t>cbalProd22COGSPUnitMat</t>
  </si>
  <si>
    <t>cbalProd2COGSPUnitDep</t>
  </si>
  <si>
    <t>cbalProd3COGSPUnitMat</t>
  </si>
  <si>
    <t>cbalReg1Prod3COGSPUnitLabor</t>
  </si>
  <si>
    <t>cbalReg2Prod3COGSPUnitLabor</t>
  </si>
  <si>
    <t>cbalProd3COGSPUnitDep</t>
  </si>
  <si>
    <t>cbalProd4COGSPUnitMat</t>
  </si>
  <si>
    <t>cbalReg1Prod4COGSPUnitLabor</t>
  </si>
  <si>
    <t>cbalReg2Prod4COGSPUnitLabor</t>
  </si>
  <si>
    <t>cbalProd4COGSPUnitDep</t>
  </si>
  <si>
    <t>cbalProd5COGSPUnitMat</t>
  </si>
  <si>
    <t>cbalProd5COGSPUnitEmp2</t>
  </si>
  <si>
    <t>cbalProd5COGSPUnitPlant1</t>
  </si>
  <si>
    <t>cbalProd5COGSPUnitDep</t>
  </si>
  <si>
    <t>cbalProd6COGSPUnitMat</t>
  </si>
  <si>
    <t>cbalProd6COGSPUnitEmp2</t>
  </si>
  <si>
    <t>cbalProd6COGSPUnitPlant1</t>
  </si>
  <si>
    <t>cbalProd6COGSPUnitDep</t>
  </si>
  <si>
    <t>cbalProd2Unlock1</t>
  </si>
  <si>
    <t>cbalProd2Unlock2</t>
  </si>
  <si>
    <t>_tlOutputNamer_Color</t>
  </si>
  <si>
    <t>Color of cells to name</t>
  </si>
  <si>
    <t>**Must be manually added for MiniMaster solutions</t>
  </si>
  <si>
    <t>_tlOutputNamer_ScreenName</t>
  </si>
  <si>
    <t>Screen</t>
  </si>
  <si>
    <t>Screen range to search in</t>
  </si>
  <si>
    <t>_tlOutputNamer_SheetPre</t>
  </si>
  <si>
    <t>Sheet prefix for naming</t>
  </si>
  <si>
    <t>Inputs / Configuration</t>
  </si>
  <si>
    <t>tlOuputNamer Module</t>
  </si>
  <si>
    <t>tool</t>
  </si>
  <si>
    <t>Moved from Dec Page for Isomer Conversion (February 2018)</t>
  </si>
  <si>
    <t>capProd1Reg1Units</t>
  </si>
  <si>
    <t>capProd1Reg2Units</t>
  </si>
  <si>
    <t>capProd1Reg1Price</t>
  </si>
  <si>
    <t>capProd1Reg2Price</t>
  </si>
  <si>
    <t>CSD Region 2 Forecast</t>
  </si>
  <si>
    <t>CSD Region 1 Forecast</t>
  </si>
  <si>
    <t>capProd1Ftr4Level</t>
  </si>
  <si>
    <t>CSD Number Of Brands</t>
  </si>
  <si>
    <t>capProd1AdvR2</t>
  </si>
  <si>
    <t>capProd1Promo</t>
  </si>
  <si>
    <t>capProd1PromoR2</t>
  </si>
  <si>
    <t>capProd2Reg1Price</t>
  </si>
  <si>
    <t>capProd2Reg2Price</t>
  </si>
  <si>
    <t>capProd2Reg1Units</t>
  </si>
  <si>
    <t>capProd2Reg2Units</t>
  </si>
  <si>
    <t>capProd2Ftr1Level</t>
  </si>
  <si>
    <t>capProd2Ftr2Level</t>
  </si>
  <si>
    <t>capProd2Ftr3Level</t>
  </si>
  <si>
    <t>capProd2Ftr4Level</t>
  </si>
  <si>
    <t>capProd2Ftr4Level2</t>
  </si>
  <si>
    <t>capProd2Brand</t>
  </si>
  <si>
    <t>decDisrupt1</t>
  </si>
  <si>
    <t>decDisrupt2</t>
  </si>
  <si>
    <t>capProd2Adv2</t>
  </si>
  <si>
    <t>capProd2Promo1</t>
  </si>
  <si>
    <t>capProd2Promo2</t>
  </si>
  <si>
    <t>capDisrupt1</t>
  </si>
  <si>
    <t>capDisrupt2</t>
  </si>
  <si>
    <t>NCB Region 1 Price</t>
  </si>
  <si>
    <t>NCB Region 2 Price</t>
  </si>
  <si>
    <t>capProd3Reg1Price</t>
  </si>
  <si>
    <t>capProd3Reg2Price</t>
  </si>
  <si>
    <t>capProd3Reg1Units</t>
  </si>
  <si>
    <t>capProd3Reg2Units</t>
  </si>
  <si>
    <t>capProd3Ftr3Level</t>
  </si>
  <si>
    <t>capProd3Ftr4Level</t>
  </si>
  <si>
    <t>NCB Region 1 Advertising</t>
  </si>
  <si>
    <t>NCB Region 2 Advertising</t>
  </si>
  <si>
    <t>NCB Region 1 Promotions</t>
  </si>
  <si>
    <t>NCB Region 2 Promotions</t>
  </si>
  <si>
    <t>capProd3Adv</t>
  </si>
  <si>
    <t>capProd3AdvR2</t>
  </si>
  <si>
    <t>capProd3Promo</t>
  </si>
  <si>
    <t>capProd3PromoR2</t>
  </si>
  <si>
    <t>capProd4Reg1Price</t>
  </si>
  <si>
    <t>capProd4Reg2Price</t>
  </si>
  <si>
    <t>capProd4Reg1Units</t>
  </si>
  <si>
    <t>capProd4Reg2Units</t>
  </si>
  <si>
    <t>capProd4Ftr4Level</t>
  </si>
  <si>
    <t>capProd4Adv</t>
  </si>
  <si>
    <t>capProd4AdvR2</t>
  </si>
  <si>
    <t>capProd4Promo</t>
  </si>
  <si>
    <t>capProd4PromoR2</t>
  </si>
  <si>
    <t>capReg1ChanLevel</t>
  </si>
  <si>
    <t>capReg2ChanLevel</t>
  </si>
  <si>
    <t>capPlant1UnitsChange</t>
  </si>
  <si>
    <t>Change in Mfg Capacity</t>
  </si>
  <si>
    <t>capEmp1Change</t>
  </si>
  <si>
    <t>capEmp2Change</t>
  </si>
  <si>
    <t>capEmp3Change</t>
  </si>
  <si>
    <t>Emp1 Change</t>
  </si>
  <si>
    <t>Emp2 Change</t>
  </si>
  <si>
    <t>Emp3 Change</t>
  </si>
  <si>
    <t>capLTDebtChange</t>
  </si>
  <si>
    <t>capDividendAmount</t>
  </si>
  <si>
    <t>capProd1WhatIfUnits</t>
  </si>
  <si>
    <t>capProd2WhatIfUnits</t>
  </si>
  <si>
    <t>capProd3WhatIfUnits</t>
  </si>
  <si>
    <t>capProd4WhatIfUnits</t>
  </si>
  <si>
    <t>What if activate</t>
  </si>
  <si>
    <t>decWhatIfActivate</t>
  </si>
  <si>
    <t>capInnov1</t>
  </si>
  <si>
    <t>capInnov2</t>
  </si>
  <si>
    <t>capInnov3</t>
  </si>
  <si>
    <t>capInnov4</t>
  </si>
  <si>
    <t>decProd1Ftr2Level</t>
  </si>
  <si>
    <t>tlInputProd1Ftr1Level</t>
  </si>
  <si>
    <t>decProd1Ftr1Level</t>
  </si>
  <si>
    <t>tlInputProd1Ftr2Level</t>
  </si>
  <si>
    <t>tlInputDisrupt1</t>
  </si>
  <si>
    <t>tlInputDisrupt2</t>
  </si>
  <si>
    <t>tlInputWhatIfActivate</t>
  </si>
  <si>
    <t>DataValidation_Types</t>
  </si>
  <si>
    <t>DataValidation_Names</t>
  </si>
  <si>
    <t>Validation Inputs</t>
  </si>
  <si>
    <t>Validation Type</t>
  </si>
  <si>
    <t>Input Range</t>
  </si>
  <si>
    <t>Inputs</t>
  </si>
  <si>
    <t>**Link from dec_ToolInputPrefix</t>
  </si>
  <si>
    <t>DataValidation_Pre</t>
  </si>
  <si>
    <t>tlInput</t>
  </si>
  <si>
    <t>Input Cell Prefix</t>
  </si>
  <si>
    <t>DataValidation</t>
  </si>
  <si>
    <t>tlInputCorpStrat1</t>
  </si>
  <si>
    <t>tlInputCorpStrat2</t>
  </si>
  <si>
    <t>tlInputProd4Ftr3Level</t>
  </si>
  <si>
    <t>tlInputStratEdaProd</t>
  </si>
  <si>
    <t>tlInputStratVetProd</t>
  </si>
  <si>
    <t>TestAuto_Constraint_Min</t>
  </si>
  <si>
    <t>TestAuto_Constraint_Max</t>
  </si>
  <si>
    <t>TestAuto_Constraint_Metric</t>
  </si>
  <si>
    <t>Metric Min Value</t>
  </si>
  <si>
    <t>Metric Max Value</t>
  </si>
  <si>
    <t>Metric Named Range</t>
  </si>
  <si>
    <t>Metric Name</t>
  </si>
  <si>
    <t>Constrainting Metric - for BA1 / Hybrid Board Sim Mode Test</t>
  </si>
  <si>
    <t>TestAuto_OutputMetrics</t>
  </si>
  <si>
    <t>Output Metrics to Capture</t>
  </si>
  <si>
    <t>Set Up Named Ranges in DataValidation Module</t>
  </si>
  <si>
    <t>Set Up / Inputs</t>
  </si>
  <si>
    <t>Run Tests</t>
  </si>
  <si>
    <r>
      <t xml:space="preserve">**DataValidation Module </t>
    </r>
    <r>
      <rPr>
        <i/>
        <u/>
        <sz val="11"/>
        <color rgb="FFFF0000"/>
        <rFont val="Verdana"/>
        <family val="2"/>
      </rPr>
      <t>required</t>
    </r>
    <r>
      <rPr>
        <i/>
        <sz val="11"/>
        <color rgb="FFFF0000"/>
        <rFont val="Verdana"/>
        <family val="2"/>
      </rPr>
      <t xml:space="preserve"> for use</t>
    </r>
  </si>
  <si>
    <t>Testing Automation Module</t>
  </si>
  <si>
    <t>Vetera Market Op Margin</t>
  </si>
  <si>
    <t>Vetera Market Bev Rev Prod1</t>
  </si>
  <si>
    <t>Vetera Market Bev Rev Prod3</t>
  </si>
  <si>
    <t>Escendia Market Bev Rev Prod1</t>
  </si>
  <si>
    <t>Escendia Market Bev Rev Prod3</t>
  </si>
  <si>
    <t>Vetera F&amp;S Revenue</t>
  </si>
  <si>
    <t>Escendia F&amp;S Revenue</t>
  </si>
  <si>
    <t>Escendia Market Op Margin</t>
  </si>
  <si>
    <t>Plant Lines</t>
  </si>
  <si>
    <t>Vetera %</t>
  </si>
  <si>
    <t>Escendia %</t>
  </si>
  <si>
    <t>MTU Turnover</t>
  </si>
  <si>
    <t>Text Length</t>
  </si>
  <si>
    <t>List</t>
  </si>
  <si>
    <t>DatalistStrategy</t>
  </si>
  <si>
    <t>Whole Number</t>
  </si>
  <si>
    <t>Percentage</t>
  </si>
  <si>
    <t>datalist1to10</t>
  </si>
  <si>
    <t>dataInnovList</t>
  </si>
  <si>
    <t>dataList1to5</t>
  </si>
  <si>
    <t>dataBrandRange</t>
  </si>
  <si>
    <t>DataBrandRange</t>
  </si>
  <si>
    <t>Datalist1to4</t>
  </si>
  <si>
    <t>Datalist1to5</t>
  </si>
  <si>
    <t>Datalist1to10</t>
  </si>
  <si>
    <t>Multiplied by 1000000</t>
  </si>
  <si>
    <t>Issue/ Retire Capital (000,000s)</t>
  </si>
  <si>
    <t>Advertising Spend ($000,000)</t>
  </si>
  <si>
    <t>Promotion Spend ($000,000)</t>
  </si>
  <si>
    <t>Tailored Store Messaging for Customers</t>
  </si>
  <si>
    <t>Nutrition Start-up Partnerships</t>
  </si>
  <si>
    <t>IN14</t>
  </si>
  <si>
    <t>Executive Sponsorship for Breakthrough Innovation</t>
  </si>
  <si>
    <t>Top Priority Account Management - Vetera</t>
  </si>
  <si>
    <t>Top Priority Account Managemen - Escendia</t>
  </si>
  <si>
    <t>PR18</t>
  </si>
  <si>
    <t>Manufacturing Facilities Revamp</t>
  </si>
  <si>
    <t>Smart Box Delivery System</t>
  </si>
  <si>
    <t>GTM Digitization</t>
  </si>
  <si>
    <t>Impact of GTM Digitization Region 1 Decision</t>
  </si>
  <si>
    <t>Brand</t>
  </si>
  <si>
    <t>Execution Bucket</t>
  </si>
  <si>
    <t>Other Capex</t>
  </si>
  <si>
    <t>capOtherInvestment</t>
  </si>
  <si>
    <t>GTM Digitization Capex</t>
  </si>
  <si>
    <t>IT Level Capex</t>
  </si>
  <si>
    <t>paramGTMDigitalLevelCost</t>
  </si>
  <si>
    <t>Multi-Vitamin &amp; Probiotics Juice</t>
  </si>
  <si>
    <t>Flavored Sparkling Water</t>
  </si>
  <si>
    <t>Strategy Planning Commit</t>
  </si>
  <si>
    <t>New Product Development Unlock</t>
  </si>
  <si>
    <t>Second Break Through Innovation Unlock</t>
  </si>
  <si>
    <t>Op Margin</t>
  </si>
  <si>
    <t>Beverage Revenue</t>
  </si>
  <si>
    <t>F&amp;S Revenue</t>
  </si>
  <si>
    <t>R&amp;D Focus</t>
  </si>
  <si>
    <t>CSD &amp; NCB</t>
  </si>
  <si>
    <t>tlOutput_Dashboard1</t>
  </si>
  <si>
    <t>tlOutput_Dashboard2</t>
  </si>
  <si>
    <t>tlOutput_Dashboard3</t>
  </si>
  <si>
    <t>tlOutput_Dashboard4</t>
  </si>
  <si>
    <t>tlOutput_Dashboard5</t>
  </si>
  <si>
    <t>tlOutput_Dashboard6</t>
  </si>
  <si>
    <t>tlOutput_Dashboard7</t>
  </si>
  <si>
    <t>tlOutput_Dashboard8</t>
  </si>
  <si>
    <t>tlOutput_Dashboard9</t>
  </si>
  <si>
    <t>tlOutput_Dashboard10</t>
  </si>
  <si>
    <t>tlOutput_Dashboard11</t>
  </si>
  <si>
    <t>tlOutput_Dashboard12</t>
  </si>
  <si>
    <t>tlOutput_Dashboard13</t>
  </si>
  <si>
    <t>tlOutput_Dashboard14</t>
  </si>
  <si>
    <t>tlOutput_Dashboard15</t>
  </si>
  <si>
    <t>tlOutput_Dashboard16</t>
  </si>
  <si>
    <t>tlOutput_Dashboard17</t>
  </si>
  <si>
    <t>tlOutput_Dashboard18</t>
  </si>
  <si>
    <t>tlOutput_Dashboard19</t>
  </si>
  <si>
    <t>tlOutput_Dashboard20</t>
  </si>
  <si>
    <t>dataList0to5</t>
  </si>
  <si>
    <t>dataList0to4</t>
  </si>
  <si>
    <t>Select</t>
  </si>
  <si>
    <t>0</t>
  </si>
  <si>
    <t>What-If True/0</t>
  </si>
  <si>
    <t>Innovations Launched in Previous Years</t>
  </si>
  <si>
    <t>Chan. Digit.</t>
  </si>
  <si>
    <t>Talent (Sustainability)</t>
  </si>
  <si>
    <t>Capex</t>
  </si>
  <si>
    <t>tlOutput_Dashboard21</t>
  </si>
  <si>
    <t>tlOutput_Dashboard22</t>
  </si>
  <si>
    <t>Channel Digitization MTUs</t>
  </si>
  <si>
    <t>&amp;Import DIGITAL Decisions</t>
  </si>
  <si>
    <t>Export DIGITAL &amp;Balances</t>
  </si>
  <si>
    <t xml:space="preserve">To captivate consumers the world over with high quality delicious, fun &amp; nutritious convenient foods &amp; beverages that provide great value for money &amp; are ubiquitously available_x000D_
</t>
  </si>
  <si>
    <t>MTU Remaining</t>
  </si>
  <si>
    <t>Innovations Condition</t>
  </si>
  <si>
    <t>decInnov1Cond</t>
  </si>
  <si>
    <t>decInnov2Cond</t>
  </si>
  <si>
    <t>decInnov3Cond</t>
  </si>
  <si>
    <t>decInnov4Cond</t>
  </si>
  <si>
    <t>FOOD &amp; SNACKS</t>
  </si>
  <si>
    <t>tlInputInnov1Cond</t>
  </si>
  <si>
    <t>tlInputInnov2Cond</t>
  </si>
  <si>
    <t>tlInputInnov3Cond</t>
  </si>
  <si>
    <t>tlInputInnov4Cond</t>
  </si>
  <si>
    <t>Corporate:   Net Rev Growth: 4.2%,   Op Margin: 23.2%   ROIC: 25.2%   Sustainability: 100.8   MTUs: 67</t>
  </si>
  <si>
    <t>Vetera Market:   Beverage Rev: $12,456,068   F&amp;S Rev: $6,771,250   Op Margin: 24.0%</t>
  </si>
  <si>
    <t>Escendia Market:   Beverage Rev: $4,813,254   F&amp;S Rev: $2,025,000   Op Margin: 24.0%</t>
  </si>
  <si>
    <t>R&amp;D Focus:    CSD &amp; NCB: 0%    F&amp;S: 0%    Other: 0%</t>
  </si>
  <si>
    <t>Operations:    Plant Lines: 911    Vetera: 66%    Escendia: 34%   Plant Efficiency: 76.0%</t>
  </si>
  <si>
    <t>Global Shared Services:   Ending Cash: $4,959,719   Talent (Sustainability): 100.2   CAPEX: $1,001,472   Long Term Debt: $3,110,000</t>
  </si>
  <si>
    <t>Packaging for Force Energy Drinks</t>
  </si>
  <si>
    <t>R&amp;D Focus 3</t>
  </si>
  <si>
    <t>R&amp;D Focus 4</t>
  </si>
  <si>
    <t>Break Through Innovation 1</t>
  </si>
  <si>
    <t>Break Through Innovation 2</t>
  </si>
  <si>
    <t xml:space="preserve"> Other Op. Exp</t>
  </si>
  <si>
    <t>obalYr1SpecProg1</t>
  </si>
  <si>
    <t>obalYr1SpecProg2</t>
  </si>
  <si>
    <t>obalYr1SpecProg3</t>
  </si>
  <si>
    <t>obalYr1SpecProg4</t>
  </si>
  <si>
    <t>obalYr1SpecProg5</t>
  </si>
  <si>
    <t>obalYr1SpecProg6</t>
  </si>
  <si>
    <t>obalYr3SpecProg1</t>
  </si>
  <si>
    <t>obalYr3SpecProg2</t>
  </si>
  <si>
    <t>obalYr3SpecProg3</t>
  </si>
  <si>
    <t>obalYr3SpecProg4</t>
  </si>
  <si>
    <t>obalYr3SpecProg5</t>
  </si>
  <si>
    <t>obalYr3SpecProg6</t>
  </si>
  <si>
    <t>obalYr2SpecProg1</t>
  </si>
  <si>
    <t>obalYr2SpecProg2</t>
  </si>
  <si>
    <t>obalYr2SpecProg3</t>
  </si>
  <si>
    <t>obalYr2SpecProg4</t>
  </si>
  <si>
    <t>obalYr2SpecProg5</t>
  </si>
  <si>
    <t>obalYr2SpecProg6</t>
  </si>
  <si>
    <t>cbalYr1SpecProg1</t>
  </si>
  <si>
    <t>cbalYr1SpecProg2</t>
  </si>
  <si>
    <t>cbalYr1SpecProg3</t>
  </si>
  <si>
    <t>cbalYr1SpecProg4</t>
  </si>
  <si>
    <t>cbalYr1SpecProg5</t>
  </si>
  <si>
    <t>cbalYr1SpecProg6</t>
  </si>
  <si>
    <t>cbalYr2SpecProg1</t>
  </si>
  <si>
    <t>cbalYr2SpecProg2</t>
  </si>
  <si>
    <t>cbalYr2SpecProg3</t>
  </si>
  <si>
    <t>cbalYr2SpecProg4</t>
  </si>
  <si>
    <t>cbalYr2SpecProg5</t>
  </si>
  <si>
    <t>cbalYr2SpecProg6</t>
  </si>
  <si>
    <t>cbalYr3SpecProg1</t>
  </si>
  <si>
    <t>cbalYr3SpecProg2</t>
  </si>
  <si>
    <t>cbalYr3SpecProg3</t>
  </si>
  <si>
    <t>cbalYr3SpecProg4</t>
  </si>
  <si>
    <t>cbalYr3SpecProg5</t>
  </si>
  <si>
    <t>cbalYr3SpecProg6</t>
  </si>
  <si>
    <t>obalYr1Innov1</t>
  </si>
  <si>
    <t>obalYr1Innov2</t>
  </si>
  <si>
    <t>obalYr1Innov3</t>
  </si>
  <si>
    <t>obalYr1Innov4</t>
  </si>
  <si>
    <t>obalYr2Innov1</t>
  </si>
  <si>
    <t>obalYr2Innov2</t>
  </si>
  <si>
    <t>obalYr2Innov3</t>
  </si>
  <si>
    <t>obalYr2Innov4</t>
  </si>
  <si>
    <t>obalYr3Innov1</t>
  </si>
  <si>
    <t>obalYr3Innov2</t>
  </si>
  <si>
    <t>obalYr3Innov3</t>
  </si>
  <si>
    <t>obalYr3Innov4</t>
  </si>
  <si>
    <t>cbalYr1Innov1</t>
  </si>
  <si>
    <t>cbalYr1Innov2</t>
  </si>
  <si>
    <t>cbalYr1Innov3</t>
  </si>
  <si>
    <t>cbalYr1Innov4</t>
  </si>
  <si>
    <t>cbalYr2Innov1</t>
  </si>
  <si>
    <t>cbalYr2Innov2</t>
  </si>
  <si>
    <t>cbalYr2Innov3</t>
  </si>
  <si>
    <t>cbalYr2Innov4</t>
  </si>
  <si>
    <t>cbalYr3Innov1</t>
  </si>
  <si>
    <t>cbalYr3Innov2</t>
  </si>
  <si>
    <t>cbalYr3Innov3</t>
  </si>
  <si>
    <t>cbalYr3Innov4</t>
  </si>
  <si>
    <t>In Round 2</t>
  </si>
  <si>
    <t>In Round 3</t>
  </si>
  <si>
    <t>*R&amp;D Focus 4 and Breakthrough Innovation 2 are always locked in Rd1 and Rd2</t>
  </si>
  <si>
    <t>e-Commerce Capability Building</t>
  </si>
  <si>
    <t>Plant Utilization Error Check</t>
  </si>
  <si>
    <t>Plant Labor Utilization Check</t>
  </si>
  <si>
    <t>Innovation Already Used</t>
  </si>
  <si>
    <t>Disruption Already Selected</t>
  </si>
  <si>
    <t>What if Activate</t>
  </si>
  <si>
    <t>capWhatIfUnits</t>
  </si>
  <si>
    <t>Old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</si>
</sst>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0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\ #,##0_);\ \(#,##0\);_(* &quot;-&quot;??_);_(@_)"/>
    <numFmt numFmtId="165" formatCode="#,##0,_);\ \(#,##0,\);_(* &quot;-&quot;_);_(@_)"/>
    <numFmt numFmtId="166" formatCode="#,##0,,_);\ \(#,##0,,\);_(* &quot;-&quot;_);_(@_)"/>
    <numFmt numFmtId="167" formatCode="0.0"/>
    <numFmt numFmtId="168" formatCode="_(* #,##0.0_);_(* \(#,##0.0\);_(* &quot;-&quot;??_);_(@_)"/>
    <numFmt numFmtId="169" formatCode="_(* #,##0_);_(* \(#,##0\);_(* &quot;-&quot;??_);_(@_)"/>
    <numFmt numFmtId="170" formatCode="0_);\(0\)"/>
    <numFmt numFmtId="171" formatCode="#,##0,;\(#,##0,\);_(* &quot;-&quot;_);_(@_)"/>
    <numFmt numFmtId="172" formatCode="0.0%"/>
    <numFmt numFmtId="173" formatCode="_(&quot;$&quot;* #,##0_);_(&quot;$&quot;* \(#,##0\);_(&quot;$&quot;* &quot;-&quot;??_);_(@_)"/>
    <numFmt numFmtId="174" formatCode="_(* #,##0.00_);_(* \(#,##0.00\);_(* &quot;-&quot;_);_(@_)"/>
    <numFmt numFmtId="175" formatCode="#,##0.0_);\(#,##0.0\)"/>
    <numFmt numFmtId="176" formatCode="_(&quot;$&quot;* #,##0.00_);_(&quot;$&quot;* \(#,##0.00\);_(&quot;$&quot;* &quot;-&quot;_);_(@_)"/>
    <numFmt numFmtId="177" formatCode="mmm\ dd\ &quot;Year&quot;\ yy"/>
    <numFmt numFmtId="178" formatCode="_(* #,##0.0000_);_(* \(#,##0.0000\);_(* &quot;-&quot;??_);_(@_)"/>
    <numFmt numFmtId="179" formatCode="&quot;$&quot;#,##0"/>
    <numFmt numFmtId="180" formatCode="_(&quot;$&quot;#,###,_);_(&quot;$&quot;\(#,###,\);_(&quot;--&quot;??_);_(@_)"/>
    <numFmt numFmtId="181" formatCode="_(&quot;$&quot;##,###_);_(&quot;$&quot;\(##,###_);_(&quot;--&quot;??_);_(@_)"/>
    <numFmt numFmtId="182" formatCode="_(#,##0_);_(\(#,##0\);_(&quot;--&quot;?_);_(@_)"/>
    <numFmt numFmtId="183" formatCode="_(#,##0.00_);_(\(#,##0.00\);_(&quot;--&quot;??_);_(@_)"/>
    <numFmt numFmtId="184" formatCode="_(##,###_);_(\(##,###_);_(&quot;--&quot;??_);_(@_)"/>
    <numFmt numFmtId="185" formatCode="_(#,##0.00_);_(* \(#,##0.00\);_(&quot;--&quot;_);_(@_)"/>
    <numFmt numFmtId="186" formatCode="#,##0,;\(#,##0,\);_(@_)"/>
    <numFmt numFmtId="187" formatCode="&quot;$&quot;#,##0,;\(&quot;$&quot;#,##0,\);_(* &quot;-&quot;_);_(@_)"/>
    <numFmt numFmtId="188" formatCode="0.000"/>
    <numFmt numFmtId="189" formatCode="&quot;$&quot;#,##0.00"/>
    <numFmt numFmtId="190" formatCode="_(* #,##0,_);_(* \(#,##0,\);_(* &quot;-&quot;??_);_(@_)"/>
    <numFmt numFmtId="191" formatCode="_(* #,##0.0_);_(* \(#,##0.0\);_(* &quot;-&quot;_);_(@_)"/>
    <numFmt numFmtId="192" formatCode="0.0000000"/>
    <numFmt numFmtId="193" formatCode="_(* #,##0.0_);_(* \(#,##0.0\);_(* &quot;-&quot;?_);_(@_)"/>
    <numFmt numFmtId="194" formatCode="_(* #,##0.000_);_(* \(#,##0.000\);_(* &quot;-&quot;???_);_(@_)"/>
    <numFmt numFmtId="195" formatCode="&quot;$&quot;#,##0,,\ ;[Red]\(#,##0,,\);\-\ ;"/>
    <numFmt numFmtId="196" formatCode="#,##0.000"/>
    <numFmt numFmtId="197" formatCode="#,##0,,_);\(#,##0.00\)"/>
    <numFmt numFmtId="198" formatCode="&quot;$&quot;#,##0,,"/>
    <numFmt numFmtId="199" formatCode="#,###.0,,"/>
    <numFmt numFmtId="200" formatCode="_(&quot;$&quot;##,,&quot;M&quot;_);_(&quot;$&quot;\(##,,&quot;M&quot;_);_(&quot;--&quot;??_);_(@_)"/>
    <numFmt numFmtId="201" formatCode="_(&quot;$&quot;##.0,,&quot;M&quot;_);_(&quot;$&quot;\(##.0,,&quot;M&quot;_);_(&quot;--&quot;??_);_(@_)"/>
    <numFmt numFmtId="202" formatCode="_(&quot;$&quot;#0.0,,&quot;M&quot;_);_(&quot;$&quot;\(#0.0,,&quot;M&quot;_);_(&quot;--&quot;??_);_(@_)"/>
    <numFmt numFmtId="203" formatCode="&quot;$&quot;#,##0.0,,&quot;M&quot;;[Red]\(#,##0,,\);\ \-\ \ ;"/>
    <numFmt numFmtId="204" formatCode="#0.0%;&quot;-&quot;#0.0%;_(* &quot;-&quot;_)"/>
    <numFmt numFmtId="205" formatCode="_(* #.0,,_);_(* \(#.0,,\);_(* &quot;-&quot;??_);_(@_)"/>
    <numFmt numFmtId="206" formatCode="_(&quot;$&quot;* #.0,,_);_(&quot;$&quot;* \(#.0,,\);_(&quot;$&quot;* &quot;-&quot;??_);_(@_)"/>
    <numFmt numFmtId="207" formatCode="_(* #,##0.00000000000000_);_(* \(#,##0.00000000000000\);_(* &quot;-&quot;??_);_(@_)"/>
    <numFmt numFmtId="208" formatCode="&quot;$&quot;#,##0.0,,\ ;[Red]\(#,##0.0,,\);\-\ ;"/>
    <numFmt numFmtId="209" formatCode="&quot;$&quot;#,##0.00,,\ ;[Red]\(#,##0.00,,\);\-\ ;"/>
    <numFmt numFmtId="210" formatCode="#,##0.0,,\ ;[Red]\(#,##0.0,,\);\-\ ;"/>
    <numFmt numFmtId="211" formatCode="_(&quot;$&quot;#.0,,&quot;M&quot;_);_(&quot;$&quot;* \(#.0,,&quot;M&quot;\);_(&quot;$&quot;* &quot;-&quot;_);"/>
    <numFmt numFmtId="212" formatCode="_(&quot;$&quot;#,,&quot;M&quot;_);_(&quot;$&quot;* \(#,,&quot;M&quot;\);_(&quot;$&quot;* &quot;-&quot;_);"/>
    <numFmt numFmtId="213" formatCode="_(&quot;$&quot;#,&quot;K&quot;_);_(&quot;$&quot;* \(#,&quot;K&quot;\);_(&quot;$&quot;* &quot;-&quot;_);"/>
    <numFmt numFmtId="214" formatCode="0.000000%"/>
    <numFmt numFmtId="215" formatCode="#,##0,_);\(#,##0,\)"/>
    <numFmt numFmtId="216" formatCode="_(&quot;$&quot;* #,##0,_);_(&quot;$&quot;* \(#,##0\);_(&quot;$&quot;* &quot;-&quot;??_);_(@_)"/>
    <numFmt numFmtId="217" formatCode="0.00000%"/>
  </numFmts>
  <fonts count="150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9"/>
      <name val="Arial"/>
      <family val="2"/>
    </font>
    <font>
      <b/>
      <sz val="14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i/>
      <sz val="14"/>
      <color indexed="9"/>
      <name val="Arial Black"/>
      <family val="2"/>
    </font>
    <font>
      <sz val="12"/>
      <color indexed="9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6"/>
      <color indexed="9"/>
      <name val="Arial"/>
      <family val="2"/>
    </font>
    <font>
      <sz val="16"/>
      <color indexed="9"/>
      <name val="Arial"/>
      <family val="2"/>
    </font>
    <font>
      <b/>
      <i/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46"/>
      <name val="Arial"/>
      <family val="2"/>
    </font>
    <font>
      <b/>
      <i/>
      <sz val="10"/>
      <color indexed="17"/>
      <name val="Arial"/>
      <family val="2"/>
    </font>
    <font>
      <b/>
      <i/>
      <sz val="12"/>
      <color indexed="22"/>
      <name val="Arial Black"/>
      <family val="2"/>
    </font>
    <font>
      <sz val="8"/>
      <color indexed="22"/>
      <name val="Arial"/>
      <family val="2"/>
    </font>
    <font>
      <b/>
      <sz val="8"/>
      <name val="Courier New"/>
      <family val="3"/>
    </font>
    <font>
      <b/>
      <sz val="12"/>
      <name val="Courier New"/>
      <family val="3"/>
    </font>
    <font>
      <b/>
      <sz val="9"/>
      <name val="Century Schoolbook"/>
      <family val="1"/>
    </font>
    <font>
      <b/>
      <sz val="16"/>
      <name val="DomCasual BT"/>
    </font>
    <font>
      <b/>
      <i/>
      <sz val="12"/>
      <color indexed="9"/>
      <name val="Arial Black"/>
      <family val="2"/>
    </font>
    <font>
      <b/>
      <i/>
      <sz val="14"/>
      <color indexed="9"/>
      <name val="Arial"/>
      <family val="2"/>
    </font>
    <font>
      <b/>
      <sz val="14"/>
      <color indexed="9"/>
      <name val="Arial"/>
      <family val="2"/>
    </font>
    <font>
      <b/>
      <i/>
      <sz val="10"/>
      <color indexed="9"/>
      <name val="Arial"/>
      <family val="2"/>
    </font>
    <font>
      <sz val="10"/>
      <color indexed="9"/>
      <name val="Arial"/>
      <family val="2"/>
    </font>
    <font>
      <b/>
      <i/>
      <sz val="10"/>
      <name val="Arial"/>
      <family val="2"/>
    </font>
    <font>
      <b/>
      <i/>
      <sz val="8"/>
      <color indexed="8"/>
      <name val="Arial"/>
      <family val="2"/>
    </font>
    <font>
      <b/>
      <sz val="11"/>
      <color indexed="9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b/>
      <sz val="16"/>
      <name val="Arial"/>
      <family val="2"/>
    </font>
    <font>
      <b/>
      <i/>
      <sz val="12"/>
      <color indexed="9"/>
      <name val="Arial"/>
      <family val="2"/>
    </font>
    <font>
      <b/>
      <i/>
      <sz val="12"/>
      <name val="Arial"/>
      <family val="2"/>
    </font>
    <font>
      <b/>
      <sz val="10"/>
      <name val="Century Schoolbook"/>
      <family val="1"/>
    </font>
    <font>
      <b/>
      <i/>
      <sz val="8"/>
      <color indexed="10"/>
      <name val="Arial"/>
      <family val="2"/>
    </font>
    <font>
      <b/>
      <sz val="8"/>
      <color indexed="10"/>
      <name val="Arial"/>
      <family val="2"/>
    </font>
    <font>
      <sz val="8"/>
      <color indexed="63"/>
      <name val="Arial"/>
      <family val="2"/>
    </font>
    <font>
      <b/>
      <sz val="8"/>
      <color indexed="63"/>
      <name val="Arial"/>
      <family val="2"/>
    </font>
    <font>
      <b/>
      <sz val="8"/>
      <color indexed="12"/>
      <name val="Arial"/>
      <family val="2"/>
    </font>
    <font>
      <b/>
      <sz val="16"/>
      <name val="Symbol"/>
      <family val="1"/>
      <charset val="2"/>
    </font>
    <font>
      <b/>
      <u/>
      <sz val="11"/>
      <name val="Arial"/>
      <family val="2"/>
    </font>
    <font>
      <b/>
      <u/>
      <sz val="10"/>
      <name val="Arial"/>
      <family val="2"/>
    </font>
    <font>
      <b/>
      <sz val="10"/>
      <color indexed="8"/>
      <name val="Arial"/>
      <family val="2"/>
    </font>
    <font>
      <i/>
      <sz val="10"/>
      <name val="Arial"/>
      <family val="2"/>
    </font>
    <font>
      <i/>
      <sz val="8"/>
      <color indexed="10"/>
      <name val="Arial"/>
      <family val="2"/>
    </font>
    <font>
      <sz val="8"/>
      <name val="Verdana"/>
      <family val="2"/>
    </font>
    <font>
      <b/>
      <sz val="14"/>
      <name val="Verdana"/>
      <family val="2"/>
    </font>
    <font>
      <sz val="14"/>
      <name val="Verdana"/>
      <family val="2"/>
    </font>
    <font>
      <b/>
      <i/>
      <sz val="22"/>
      <name val="Verdana"/>
      <family val="2"/>
    </font>
    <font>
      <b/>
      <sz val="26"/>
      <color indexed="18"/>
      <name val="Verdana"/>
      <family val="2"/>
    </font>
    <font>
      <b/>
      <sz val="24"/>
      <color indexed="18"/>
      <name val="Verdana"/>
      <family val="2"/>
    </font>
    <font>
      <b/>
      <u/>
      <sz val="20"/>
      <name val="Verdana"/>
      <family val="2"/>
    </font>
    <font>
      <b/>
      <sz val="18"/>
      <name val="Verdana"/>
      <family val="2"/>
    </font>
    <font>
      <sz val="8"/>
      <color indexed="24"/>
      <name val="Arial"/>
      <family val="2"/>
    </font>
    <font>
      <b/>
      <sz val="8"/>
      <color indexed="9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8"/>
      <color indexed="9"/>
      <name val="Arial"/>
      <family val="2"/>
    </font>
    <font>
      <b/>
      <sz val="12"/>
      <color indexed="9"/>
      <name val="DomCasual BT"/>
    </font>
    <font>
      <b/>
      <sz val="12"/>
      <color indexed="12"/>
      <name val="Arial Black"/>
      <family val="2"/>
    </font>
    <font>
      <sz val="12"/>
      <color indexed="10"/>
      <name val="Arial Narrow"/>
      <family val="2"/>
    </font>
    <font>
      <b/>
      <u/>
      <sz val="12"/>
      <name val="Arial"/>
      <family val="2"/>
    </font>
    <font>
      <sz val="12"/>
      <color indexed="10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34"/>
      <name val="Times New Roman"/>
      <family val="1"/>
    </font>
    <font>
      <sz val="9"/>
      <name val="Arial"/>
      <family val="2"/>
    </font>
    <font>
      <i/>
      <sz val="7"/>
      <name val="Arial"/>
      <family val="2"/>
    </font>
    <font>
      <i/>
      <sz val="12"/>
      <color indexed="9"/>
      <name val="Arial"/>
      <family val="2"/>
    </font>
    <font>
      <sz val="7"/>
      <name val="Arial"/>
      <family val="2"/>
    </font>
    <font>
      <sz val="11"/>
      <name val="Arial"/>
      <family val="2"/>
    </font>
    <font>
      <i/>
      <sz val="9"/>
      <name val="Arial"/>
      <family val="2"/>
    </font>
    <font>
      <u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10"/>
      <name val="Arial"/>
      <family val="2"/>
    </font>
    <font>
      <b/>
      <sz val="12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17"/>
      <name val="Arial"/>
      <family val="2"/>
    </font>
    <font>
      <sz val="18"/>
      <name val="Arial"/>
      <family val="2"/>
    </font>
    <font>
      <sz val="18"/>
      <name val="Arial"/>
      <family val="2"/>
    </font>
    <font>
      <b/>
      <sz val="9"/>
      <color indexed="10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16"/>
      <name val="Arial"/>
      <family val="2"/>
    </font>
    <font>
      <b/>
      <sz val="14"/>
      <color indexed="10"/>
      <name val="Arial"/>
      <family val="2"/>
    </font>
    <font>
      <sz val="14"/>
      <name val="Arial"/>
      <family val="2"/>
    </font>
    <font>
      <sz val="12"/>
      <color indexed="8"/>
      <name val="Arial"/>
      <family val="2"/>
    </font>
    <font>
      <sz val="8"/>
      <color rgb="FF000000"/>
      <name val="Arial"/>
      <family val="2"/>
    </font>
    <font>
      <sz val="8"/>
      <color rgb="FF000000"/>
      <name val="Tahoma"/>
      <family val="2"/>
    </font>
    <font>
      <b/>
      <sz val="8"/>
      <color indexed="81"/>
      <name val="Tahoma"/>
      <family val="2"/>
    </font>
    <font>
      <b/>
      <sz val="9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53"/>
      <name val="Arial"/>
      <family val="2"/>
    </font>
    <font>
      <sz val="11"/>
      <color theme="1"/>
      <name val="Verdana"/>
      <family val="2"/>
    </font>
    <font>
      <sz val="11"/>
      <color theme="0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b/>
      <sz val="11"/>
      <color theme="0"/>
      <name val="Verdana"/>
      <family val="2"/>
    </font>
    <font>
      <sz val="11"/>
      <color rgb="FF000000"/>
      <name val="Verdana"/>
      <family val="2"/>
    </font>
    <font>
      <i/>
      <sz val="11"/>
      <color theme="1"/>
      <name val="Verdana"/>
      <family val="2"/>
    </font>
    <font>
      <i/>
      <sz val="11"/>
      <name val="Verdana"/>
      <family val="2"/>
    </font>
    <font>
      <i/>
      <sz val="11"/>
      <color rgb="FFFF0000"/>
      <name val="Verdana"/>
      <family val="2"/>
    </font>
    <font>
      <i/>
      <u/>
      <sz val="11"/>
      <color rgb="FFFF0000"/>
      <name val="Verdana"/>
      <family val="2"/>
    </font>
    <font>
      <sz val="8"/>
      <color rgb="FFFF0000"/>
      <name val="Arial"/>
      <family val="2"/>
    </font>
    <font>
      <b/>
      <sz val="12"/>
      <color theme="1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65"/>
        <bgColor indexed="64"/>
      </patternFill>
    </fill>
    <fill>
      <patternFill patternType="lightUp"/>
    </fill>
    <fill>
      <patternFill patternType="lightTrellis"/>
    </fill>
    <fill>
      <patternFill patternType="lightTrellis">
        <bgColor indexed="41"/>
      </patternFill>
    </fill>
    <fill>
      <patternFill patternType="gray125">
        <bgColor indexed="10"/>
      </patternFill>
    </fill>
    <fill>
      <patternFill patternType="lightGray"/>
    </fill>
    <fill>
      <patternFill patternType="lightGray">
        <bgColor indexed="10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10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63">
    <xf numFmtId="0" fontId="0" fillId="0" borderId="0"/>
    <xf numFmtId="0" fontId="95" fillId="2" borderId="0" applyNumberFormat="0" applyBorder="0" applyAlignment="0" applyProtection="0"/>
    <xf numFmtId="0" fontId="95" fillId="3" borderId="0" applyNumberFormat="0" applyBorder="0" applyAlignment="0" applyProtection="0"/>
    <xf numFmtId="0" fontId="95" fillId="4" borderId="0" applyNumberFormat="0" applyBorder="0" applyAlignment="0" applyProtection="0"/>
    <xf numFmtId="0" fontId="95" fillId="5" borderId="0" applyNumberFormat="0" applyBorder="0" applyAlignment="0" applyProtection="0"/>
    <xf numFmtId="0" fontId="95" fillId="6" borderId="0" applyNumberFormat="0" applyBorder="0" applyAlignment="0" applyProtection="0"/>
    <xf numFmtId="0" fontId="95" fillId="7" borderId="0" applyNumberFormat="0" applyBorder="0" applyAlignment="0" applyProtection="0"/>
    <xf numFmtId="0" fontId="95" fillId="8" borderId="0" applyNumberFormat="0" applyBorder="0" applyAlignment="0" applyProtection="0"/>
    <xf numFmtId="0" fontId="95" fillId="9" borderId="0" applyNumberFormat="0" applyBorder="0" applyAlignment="0" applyProtection="0"/>
    <xf numFmtId="0" fontId="95" fillId="10" borderId="0" applyNumberFormat="0" applyBorder="0" applyAlignment="0" applyProtection="0"/>
    <xf numFmtId="0" fontId="95" fillId="5" borderId="0" applyNumberFormat="0" applyBorder="0" applyAlignment="0" applyProtection="0"/>
    <xf numFmtId="0" fontId="95" fillId="8" borderId="0" applyNumberFormat="0" applyBorder="0" applyAlignment="0" applyProtection="0"/>
    <xf numFmtId="0" fontId="95" fillId="11" borderId="0" applyNumberFormat="0" applyBorder="0" applyAlignment="0" applyProtection="0"/>
    <xf numFmtId="0" fontId="96" fillId="12" borderId="0" applyNumberFormat="0" applyBorder="0" applyAlignment="0" applyProtection="0"/>
    <xf numFmtId="0" fontId="96" fillId="9" borderId="0" applyNumberFormat="0" applyBorder="0" applyAlignment="0" applyProtection="0"/>
    <xf numFmtId="0" fontId="96" fillId="10" borderId="0" applyNumberFormat="0" applyBorder="0" applyAlignment="0" applyProtection="0"/>
    <xf numFmtId="0" fontId="96" fillId="13" borderId="0" applyNumberFormat="0" applyBorder="0" applyAlignment="0" applyProtection="0"/>
    <xf numFmtId="0" fontId="96" fillId="14" borderId="0" applyNumberFormat="0" applyBorder="0" applyAlignment="0" applyProtection="0"/>
    <xf numFmtId="0" fontId="96" fillId="15" borderId="0" applyNumberFormat="0" applyBorder="0" applyAlignment="0" applyProtection="0"/>
    <xf numFmtId="0" fontId="97" fillId="4" borderId="0" applyNumberFormat="0" applyBorder="0" applyAlignment="0" applyProtection="0"/>
    <xf numFmtId="0" fontId="98" fillId="20" borderId="1" applyNumberFormat="0" applyAlignment="0" applyProtection="0"/>
    <xf numFmtId="0" fontId="99" fillId="21" borderId="2" applyNumberFormat="0" applyAlignment="0" applyProtection="0"/>
    <xf numFmtId="0" fontId="100" fillId="0" borderId="3" applyNumberFormat="0" applyFill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164" fontId="6" fillId="22" borderId="4" applyFont="0" applyFill="0" applyBorder="0" applyAlignment="0" applyProtection="0">
      <alignment horizontal="center"/>
      <protection locked="0"/>
    </xf>
    <xf numFmtId="165" fontId="8" fillId="0" borderId="0" applyFont="0" applyFill="0" applyBorder="0" applyAlignment="0" applyProtection="0"/>
    <xf numFmtId="166" fontId="5" fillId="0" borderId="0" applyFont="0" applyFill="0" applyBorder="0" applyAlignment="0" applyProtection="0"/>
    <xf numFmtId="39" fontId="16" fillId="23" borderId="5" applyFont="0" applyFill="0" applyBorder="0" applyAlignment="0" applyProtection="0">
      <alignment horizontal="centerContinuous" vertical="center"/>
    </xf>
    <xf numFmtId="171" fontId="43" fillId="24" borderId="0" applyFont="0" applyFill="0" applyBorder="0" applyAlignment="0" applyProtection="0"/>
    <xf numFmtId="44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96" fillId="16" borderId="0" applyNumberFormat="0" applyBorder="0" applyAlignment="0" applyProtection="0"/>
    <xf numFmtId="0" fontId="96" fillId="17" borderId="0" applyNumberFormat="0" applyBorder="0" applyAlignment="0" applyProtection="0"/>
    <xf numFmtId="0" fontId="96" fillId="18" borderId="0" applyNumberFormat="0" applyBorder="0" applyAlignment="0" applyProtection="0"/>
    <xf numFmtId="0" fontId="96" fillId="13" borderId="0" applyNumberFormat="0" applyBorder="0" applyAlignment="0" applyProtection="0"/>
    <xf numFmtId="0" fontId="96" fillId="14" borderId="0" applyNumberFormat="0" applyBorder="0" applyAlignment="0" applyProtection="0"/>
    <xf numFmtId="0" fontId="96" fillId="19" borderId="0" applyNumberFormat="0" applyBorder="0" applyAlignment="0" applyProtection="0"/>
    <xf numFmtId="0" fontId="101" fillId="7" borderId="1" applyNumberFormat="0" applyAlignment="0" applyProtection="0"/>
    <xf numFmtId="0" fontId="102" fillId="3" borderId="0" applyNumberFormat="0" applyBorder="0" applyAlignment="0" applyProtection="0"/>
    <xf numFmtId="0" fontId="103" fillId="25" borderId="0" applyNumberFormat="0" applyBorder="0" applyAlignment="0" applyProtection="0"/>
    <xf numFmtId="0" fontId="83" fillId="0" borderId="0"/>
    <xf numFmtId="0" fontId="83" fillId="26" borderId="9" applyNumberFormat="0" applyFont="0" applyAlignment="0" applyProtection="0"/>
    <xf numFmtId="9" fontId="5" fillId="0" borderId="0" applyFont="0" applyFill="0" applyBorder="0" applyAlignment="0" applyProtection="0"/>
    <xf numFmtId="10" fontId="5" fillId="0" borderId="11" applyFont="0" applyFill="0" applyBorder="0" applyAlignment="0" applyProtection="0"/>
    <xf numFmtId="0" fontId="104" fillId="20" borderId="10" applyNumberFormat="0" applyAlignment="0" applyProtection="0"/>
    <xf numFmtId="0" fontId="105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8" fillId="0" borderId="6" applyNumberFormat="0" applyFill="0" applyAlignment="0" applyProtection="0"/>
    <xf numFmtId="0" fontId="109" fillId="0" borderId="7" applyNumberFormat="0" applyFill="0" applyAlignment="0" applyProtection="0"/>
    <xf numFmtId="0" fontId="110" fillId="0" borderId="8" applyNumberFormat="0" applyFill="0" applyAlignment="0" applyProtection="0"/>
    <xf numFmtId="0" fontId="110" fillId="0" borderId="0" applyNumberFormat="0" applyFill="0" applyBorder="0" applyAlignment="0" applyProtection="0"/>
    <xf numFmtId="0" fontId="111" fillId="0" borderId="12" applyNumberFormat="0" applyFill="0" applyAlignment="0" applyProtection="0"/>
    <xf numFmtId="0" fontId="5" fillId="0" borderId="0"/>
    <xf numFmtId="0" fontId="135" fillId="0" borderId="0"/>
    <xf numFmtId="0" fontId="4" fillId="0" borderId="0"/>
    <xf numFmtId="0" fontId="140" fillId="0" borderId="0" applyNumberForma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2" fillId="0" borderId="0"/>
    <xf numFmtId="0" fontId="1" fillId="0" borderId="0"/>
  </cellStyleXfs>
  <cellXfs count="2634">
    <xf numFmtId="0" fontId="0" fillId="0" borderId="0" xfId="0"/>
    <xf numFmtId="43" fontId="6" fillId="0" borderId="0" xfId="0" applyNumberFormat="1" applyFont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0" fillId="0" borderId="13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43" fontId="0" fillId="0" borderId="0" xfId="23" applyFont="1"/>
    <xf numFmtId="41" fontId="0" fillId="0" borderId="0" xfId="24" applyFont="1"/>
    <xf numFmtId="9" fontId="0" fillId="0" borderId="0" xfId="0" applyNumberFormat="1"/>
    <xf numFmtId="41" fontId="6" fillId="0" borderId="0" xfId="24" applyFont="1"/>
    <xf numFmtId="41" fontId="0" fillId="0" borderId="0" xfId="0" applyNumberFormat="1"/>
    <xf numFmtId="9" fontId="0" fillId="0" borderId="0" xfId="43" applyFont="1"/>
    <xf numFmtId="3" fontId="0" fillId="0" borderId="0" xfId="0" applyNumberFormat="1"/>
    <xf numFmtId="41" fontId="6" fillId="0" borderId="0" xfId="0" applyNumberFormat="1" applyFont="1"/>
    <xf numFmtId="43" fontId="0" fillId="0" borderId="0" xfId="0" applyNumberFormat="1"/>
    <xf numFmtId="41" fontId="0" fillId="0" borderId="0" xfId="23" applyNumberFormat="1" applyFont="1"/>
    <xf numFmtId="43" fontId="6" fillId="0" borderId="0" xfId="23" applyFont="1"/>
    <xf numFmtId="0" fontId="0" fillId="0" borderId="0" xfId="0" applyBorder="1"/>
    <xf numFmtId="0" fontId="8" fillId="0" borderId="0" xfId="0" applyFont="1"/>
    <xf numFmtId="41" fontId="7" fillId="0" borderId="0" xfId="24" applyFont="1"/>
    <xf numFmtId="0" fontId="10" fillId="27" borderId="0" xfId="0" applyFont="1" applyFill="1"/>
    <xf numFmtId="0" fontId="11" fillId="27" borderId="0" xfId="0" applyFont="1" applyFill="1"/>
    <xf numFmtId="0" fontId="13" fillId="0" borderId="0" xfId="0" applyFont="1"/>
    <xf numFmtId="3" fontId="12" fillId="0" borderId="16" xfId="0" applyNumberFormat="1" applyFont="1" applyBorder="1"/>
    <xf numFmtId="3" fontId="12" fillId="0" borderId="17" xfId="0" applyNumberFormat="1" applyFont="1" applyBorder="1"/>
    <xf numFmtId="41" fontId="12" fillId="0" borderId="16" xfId="24" applyFont="1" applyBorder="1"/>
    <xf numFmtId="0" fontId="12" fillId="0" borderId="0" xfId="0" applyFont="1"/>
    <xf numFmtId="0" fontId="0" fillId="28" borderId="0" xfId="0" applyFill="1"/>
    <xf numFmtId="0" fontId="0" fillId="29" borderId="0" xfId="0" applyFill="1"/>
    <xf numFmtId="0" fontId="0" fillId="0" borderId="0" xfId="0" applyFill="1"/>
    <xf numFmtId="0" fontId="6" fillId="0" borderId="18" xfId="0" quotePrefix="1" applyFont="1" applyBorder="1" applyAlignment="1">
      <alignment horizontal="left"/>
    </xf>
    <xf numFmtId="0" fontId="7" fillId="0" borderId="19" xfId="0" applyFont="1" applyBorder="1"/>
    <xf numFmtId="0" fontId="7" fillId="0" borderId="20" xfId="0" applyFont="1" applyBorder="1"/>
    <xf numFmtId="0" fontId="7" fillId="0" borderId="21" xfId="0" applyFont="1" applyBorder="1"/>
    <xf numFmtId="0" fontId="7" fillId="0" borderId="0" xfId="0" applyFont="1" applyBorder="1"/>
    <xf numFmtId="43" fontId="7" fillId="0" borderId="0" xfId="23" applyFont="1" applyBorder="1"/>
    <xf numFmtId="43" fontId="7" fillId="0" borderId="22" xfId="23" applyFont="1" applyBorder="1"/>
    <xf numFmtId="9" fontId="7" fillId="0" borderId="0" xfId="0" applyNumberFormat="1" applyFont="1" applyBorder="1"/>
    <xf numFmtId="43" fontId="7" fillId="0" borderId="23" xfId="23" applyFont="1" applyBorder="1"/>
    <xf numFmtId="0" fontId="6" fillId="0" borderId="24" xfId="0" quotePrefix="1" applyFont="1" applyBorder="1" applyAlignment="1">
      <alignment horizontal="left"/>
    </xf>
    <xf numFmtId="0" fontId="7" fillId="0" borderId="25" xfId="0" applyFont="1" applyBorder="1"/>
    <xf numFmtId="0" fontId="7" fillId="0" borderId="26" xfId="0" applyFont="1" applyBorder="1"/>
    <xf numFmtId="0" fontId="7" fillId="0" borderId="27" xfId="0" applyFont="1" applyBorder="1"/>
    <xf numFmtId="9" fontId="7" fillId="0" borderId="27" xfId="43" applyFont="1" applyBorder="1"/>
    <xf numFmtId="9" fontId="7" fillId="0" borderId="0" xfId="43" applyFont="1" applyBorder="1"/>
    <xf numFmtId="0" fontId="6" fillId="0" borderId="18" xfId="0" applyFont="1" applyBorder="1"/>
    <xf numFmtId="0" fontId="7" fillId="0" borderId="28" xfId="0" applyFont="1" applyBorder="1"/>
    <xf numFmtId="0" fontId="7" fillId="0" borderId="15" xfId="0" applyFont="1" applyBorder="1"/>
    <xf numFmtId="0" fontId="7" fillId="0" borderId="29" xfId="0" applyFont="1" applyBorder="1"/>
    <xf numFmtId="43" fontId="7" fillId="0" borderId="30" xfId="0" applyNumberFormat="1" applyFont="1" applyBorder="1"/>
    <xf numFmtId="0" fontId="7" fillId="0" borderId="31" xfId="0" applyFont="1" applyBorder="1"/>
    <xf numFmtId="43" fontId="7" fillId="0" borderId="22" xfId="0" applyNumberFormat="1" applyFont="1" applyBorder="1"/>
    <xf numFmtId="0" fontId="7" fillId="0" borderId="32" xfId="0" applyFont="1" applyBorder="1"/>
    <xf numFmtId="10" fontId="7" fillId="0" borderId="28" xfId="43" applyNumberFormat="1" applyFont="1" applyBorder="1"/>
    <xf numFmtId="43" fontId="7" fillId="0" borderId="28" xfId="23" applyFont="1" applyBorder="1"/>
    <xf numFmtId="0" fontId="7" fillId="0" borderId="33" xfId="0" applyFont="1" applyBorder="1"/>
    <xf numFmtId="0" fontId="6" fillId="0" borderId="19" xfId="0" applyFont="1" applyBorder="1"/>
    <xf numFmtId="0" fontId="6" fillId="0" borderId="27" xfId="0" applyFont="1" applyBorder="1"/>
    <xf numFmtId="0" fontId="6" fillId="0" borderId="0" xfId="0" applyFont="1" applyBorder="1"/>
    <xf numFmtId="0" fontId="7" fillId="0" borderId="24" xfId="0" applyFont="1" applyBorder="1"/>
    <xf numFmtId="0" fontId="6" fillId="0" borderId="23" xfId="0" applyFont="1" applyBorder="1"/>
    <xf numFmtId="9" fontId="7" fillId="0" borderId="30" xfId="43" applyFont="1" applyBorder="1"/>
    <xf numFmtId="9" fontId="7" fillId="0" borderId="22" xfId="43" applyFont="1" applyBorder="1"/>
    <xf numFmtId="0" fontId="7" fillId="0" borderId="23" xfId="0" applyFont="1" applyBorder="1"/>
    <xf numFmtId="9" fontId="7" fillId="0" borderId="23" xfId="43" applyFont="1" applyBorder="1"/>
    <xf numFmtId="9" fontId="7" fillId="0" borderId="25" xfId="43" applyFont="1" applyBorder="1"/>
    <xf numFmtId="0" fontId="6" fillId="0" borderId="24" xfId="0" applyFont="1" applyBorder="1"/>
    <xf numFmtId="9" fontId="6" fillId="0" borderId="23" xfId="43" applyFont="1" applyBorder="1"/>
    <xf numFmtId="10" fontId="7" fillId="0" borderId="0" xfId="0" applyNumberFormat="1" applyFont="1"/>
    <xf numFmtId="0" fontId="6" fillId="0" borderId="26" xfId="0" applyFont="1" applyBorder="1"/>
    <xf numFmtId="0" fontId="6" fillId="0" borderId="21" xfId="0" applyFont="1" applyBorder="1"/>
    <xf numFmtId="0" fontId="7" fillId="0" borderId="18" xfId="0" applyFont="1" applyBorder="1"/>
    <xf numFmtId="3" fontId="0" fillId="0" borderId="17" xfId="0" applyNumberFormat="1" applyBorder="1"/>
    <xf numFmtId="0" fontId="6" fillId="0" borderId="0" xfId="0" applyFont="1" applyAlignment="1">
      <alignment horizontal="right"/>
    </xf>
    <xf numFmtId="0" fontId="0" fillId="30" borderId="0" xfId="0" applyFill="1"/>
    <xf numFmtId="43" fontId="0" fillId="30" borderId="0" xfId="23" applyFont="1" applyFill="1"/>
    <xf numFmtId="0" fontId="6" fillId="30" borderId="0" xfId="0" applyFont="1" applyFill="1"/>
    <xf numFmtId="43" fontId="6" fillId="30" borderId="0" xfId="23" applyFont="1" applyFill="1"/>
    <xf numFmtId="41" fontId="0" fillId="30" borderId="0" xfId="24" applyFont="1" applyFill="1"/>
    <xf numFmtId="41" fontId="6" fillId="30" borderId="0" xfId="24" applyFont="1" applyFill="1"/>
    <xf numFmtId="41" fontId="7" fillId="30" borderId="0" xfId="24" applyFont="1" applyFill="1"/>
    <xf numFmtId="41" fontId="7" fillId="0" borderId="0" xfId="0" applyNumberFormat="1" applyFont="1"/>
    <xf numFmtId="9" fontId="7" fillId="0" borderId="0" xfId="43" applyFont="1"/>
    <xf numFmtId="41" fontId="7" fillId="0" borderId="0" xfId="24" applyFont="1" applyBorder="1"/>
    <xf numFmtId="0" fontId="7" fillId="0" borderId="0" xfId="0" applyFont="1" applyBorder="1" applyAlignment="1">
      <alignment horizontal="center"/>
    </xf>
    <xf numFmtId="0" fontId="0" fillId="0" borderId="27" xfId="0" applyBorder="1"/>
    <xf numFmtId="0" fontId="0" fillId="0" borderId="30" xfId="0" applyBorder="1"/>
    <xf numFmtId="0" fontId="0" fillId="0" borderId="21" xfId="0" applyBorder="1"/>
    <xf numFmtId="9" fontId="0" fillId="0" borderId="0" xfId="43" applyFont="1" applyBorder="1"/>
    <xf numFmtId="0" fontId="0" fillId="0" borderId="24" xfId="0" applyBorder="1"/>
    <xf numFmtId="0" fontId="0" fillId="0" borderId="23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5" xfId="0" applyBorder="1"/>
    <xf numFmtId="0" fontId="0" fillId="31" borderId="17" xfId="0" applyFill="1" applyBorder="1"/>
    <xf numFmtId="41" fontId="0" fillId="0" borderId="0" xfId="24" applyFont="1" applyBorder="1"/>
    <xf numFmtId="41" fontId="0" fillId="0" borderId="22" xfId="0" applyNumberFormat="1" applyBorder="1"/>
    <xf numFmtId="41" fontId="0" fillId="0" borderId="23" xfId="24" applyFont="1" applyBorder="1"/>
    <xf numFmtId="41" fontId="0" fillId="0" borderId="25" xfId="0" applyNumberFormat="1" applyBorder="1"/>
    <xf numFmtId="9" fontId="12" fillId="0" borderId="0" xfId="43" applyFont="1"/>
    <xf numFmtId="10" fontId="0" fillId="0" borderId="0" xfId="0" applyNumberFormat="1"/>
    <xf numFmtId="10" fontId="0" fillId="0" borderId="0" xfId="43" applyNumberFormat="1" applyFont="1" applyBorder="1"/>
    <xf numFmtId="10" fontId="6" fillId="0" borderId="23" xfId="0" applyNumberFormat="1" applyFont="1" applyBorder="1"/>
    <xf numFmtId="0" fontId="0" fillId="0" borderId="26" xfId="0" applyBorder="1"/>
    <xf numFmtId="10" fontId="0" fillId="0" borderId="0" xfId="0" applyNumberFormat="1" applyBorder="1"/>
    <xf numFmtId="10" fontId="6" fillId="0" borderId="19" xfId="0" applyNumberFormat="1" applyFont="1" applyBorder="1"/>
    <xf numFmtId="10" fontId="0" fillId="0" borderId="27" xfId="0" applyNumberFormat="1" applyBorder="1"/>
    <xf numFmtId="0" fontId="0" fillId="0" borderId="16" xfId="0" applyBorder="1"/>
    <xf numFmtId="0" fontId="7" fillId="0" borderId="34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10" fontId="0" fillId="0" borderId="19" xfId="0" applyNumberFormat="1" applyBorder="1"/>
    <xf numFmtId="10" fontId="6" fillId="0" borderId="23" xfId="43" applyNumberFormat="1" applyFont="1" applyBorder="1"/>
    <xf numFmtId="41" fontId="0" fillId="29" borderId="0" xfId="24" applyFont="1" applyFill="1"/>
    <xf numFmtId="43" fontId="0" fillId="29" borderId="0" xfId="23" applyFont="1" applyFill="1"/>
    <xf numFmtId="0" fontId="0" fillId="31" borderId="0" xfId="0" applyFill="1"/>
    <xf numFmtId="0" fontId="0" fillId="32" borderId="0" xfId="0" applyFill="1"/>
    <xf numFmtId="41" fontId="0" fillId="32" borderId="0" xfId="24" applyFont="1" applyFill="1"/>
    <xf numFmtId="43" fontId="0" fillId="32" borderId="0" xfId="23" applyFont="1" applyFill="1"/>
    <xf numFmtId="43" fontId="7" fillId="0" borderId="0" xfId="23" applyFont="1"/>
    <xf numFmtId="41" fontId="0" fillId="33" borderId="0" xfId="24" applyFont="1" applyFill="1"/>
    <xf numFmtId="0" fontId="0" fillId="33" borderId="0" xfId="0" applyFill="1"/>
    <xf numFmtId="0" fontId="0" fillId="0" borderId="0" xfId="0" applyNumberFormat="1"/>
    <xf numFmtId="0" fontId="0" fillId="34" borderId="0" xfId="0" applyFill="1" applyBorder="1"/>
    <xf numFmtId="0" fontId="0" fillId="35" borderId="0" xfId="0" applyFill="1"/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27" borderId="0" xfId="0" applyFill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28" xfId="0" applyBorder="1"/>
    <xf numFmtId="0" fontId="0" fillId="0" borderId="33" xfId="0" applyBorder="1"/>
    <xf numFmtId="0" fontId="6" fillId="0" borderId="0" xfId="0" applyFont="1" applyAlignment="1">
      <alignment horizontal="left"/>
    </xf>
    <xf numFmtId="10" fontId="0" fillId="0" borderId="0" xfId="43" applyNumberFormat="1" applyFont="1"/>
    <xf numFmtId="41" fontId="0" fillId="0" borderId="0" xfId="24" applyFont="1" applyFill="1"/>
    <xf numFmtId="41" fontId="6" fillId="0" borderId="0" xfId="24" applyFont="1" applyFill="1"/>
    <xf numFmtId="41" fontId="7" fillId="0" borderId="0" xfId="24" applyFont="1" applyFill="1"/>
    <xf numFmtId="43" fontId="0" fillId="0" borderId="0" xfId="23" applyFont="1" applyFill="1"/>
    <xf numFmtId="0" fontId="10" fillId="36" borderId="0" xfId="0" applyFont="1" applyFill="1"/>
    <xf numFmtId="0" fontId="11" fillId="36" borderId="0" xfId="0" applyFont="1" applyFill="1"/>
    <xf numFmtId="0" fontId="19" fillId="36" borderId="0" xfId="0" applyFont="1" applyFill="1"/>
    <xf numFmtId="0" fontId="14" fillId="36" borderId="0" xfId="0" applyFont="1" applyFill="1" applyAlignment="1">
      <alignment horizontal="right"/>
    </xf>
    <xf numFmtId="0" fontId="10" fillId="36" borderId="0" xfId="0" applyFont="1" applyFill="1" applyAlignment="1">
      <alignment horizontal="right"/>
    </xf>
    <xf numFmtId="0" fontId="10" fillId="36" borderId="0" xfId="0" quotePrefix="1" applyFont="1" applyFill="1" applyAlignment="1">
      <alignment horizontal="left"/>
    </xf>
    <xf numFmtId="0" fontId="0" fillId="0" borderId="0" xfId="0" applyFill="1" applyBorder="1"/>
    <xf numFmtId="0" fontId="7" fillId="0" borderId="0" xfId="0" applyFont="1" applyFill="1" applyBorder="1"/>
    <xf numFmtId="41" fontId="7" fillId="0" borderId="0" xfId="0" applyNumberFormat="1" applyFont="1" applyBorder="1"/>
    <xf numFmtId="41" fontId="6" fillId="0" borderId="23" xfId="43" applyNumberFormat="1" applyFont="1" applyBorder="1"/>
    <xf numFmtId="0" fontId="7" fillId="0" borderId="29" xfId="0" applyNumberFormat="1" applyFont="1" applyBorder="1"/>
    <xf numFmtId="43" fontId="7" fillId="0" borderId="30" xfId="23" applyFont="1" applyFill="1" applyBorder="1"/>
    <xf numFmtId="43" fontId="7" fillId="0" borderId="20" xfId="0" applyNumberFormat="1" applyFont="1" applyBorder="1"/>
    <xf numFmtId="0" fontId="6" fillId="0" borderId="0" xfId="0" quotePrefix="1" applyFont="1" applyBorder="1" applyAlignment="1">
      <alignment horizontal="left"/>
    </xf>
    <xf numFmtId="0" fontId="6" fillId="0" borderId="35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/>
    <xf numFmtId="0" fontId="6" fillId="0" borderId="5" xfId="0" applyFont="1" applyBorder="1"/>
    <xf numFmtId="0" fontId="7" fillId="0" borderId="0" xfId="0" applyFont="1" applyBorder="1" applyAlignment="1">
      <alignment horizontal="right"/>
    </xf>
    <xf numFmtId="0" fontId="6" fillId="0" borderId="14" xfId="0" applyFont="1" applyBorder="1"/>
    <xf numFmtId="43" fontId="6" fillId="0" borderId="35" xfId="23" applyFont="1" applyBorder="1"/>
    <xf numFmtId="43" fontId="7" fillId="0" borderId="14" xfId="23" applyFont="1" applyBorder="1"/>
    <xf numFmtId="43" fontId="7" fillId="0" borderId="36" xfId="23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24" xfId="0" applyFont="1" applyBorder="1" applyAlignment="1">
      <alignment horizontal="left"/>
    </xf>
    <xf numFmtId="9" fontId="7" fillId="0" borderId="32" xfId="43" applyFont="1" applyBorder="1"/>
    <xf numFmtId="9" fontId="7" fillId="0" borderId="28" xfId="43" applyFont="1" applyBorder="1"/>
    <xf numFmtId="9" fontId="7" fillId="0" borderId="33" xfId="43" applyFont="1" applyBorder="1"/>
    <xf numFmtId="9" fontId="7" fillId="0" borderId="26" xfId="43" applyFont="1" applyBorder="1"/>
    <xf numFmtId="9" fontId="7" fillId="0" borderId="21" xfId="43" applyFont="1" applyBorder="1"/>
    <xf numFmtId="9" fontId="7" fillId="0" borderId="24" xfId="43" applyFont="1" applyBorder="1"/>
    <xf numFmtId="0" fontId="11" fillId="0" borderId="0" xfId="0" applyFont="1" applyFill="1" applyBorder="1"/>
    <xf numFmtId="0" fontId="11" fillId="27" borderId="0" xfId="0" applyFont="1" applyFill="1" applyBorder="1"/>
    <xf numFmtId="41" fontId="6" fillId="0" borderId="0" xfId="24" applyFont="1" applyBorder="1"/>
    <xf numFmtId="3" fontId="6" fillId="0" borderId="0" xfId="0" applyNumberFormat="1" applyFont="1" applyBorder="1"/>
    <xf numFmtId="3" fontId="0" fillId="0" borderId="0" xfId="0" applyNumberFormat="1" applyBorder="1"/>
    <xf numFmtId="0" fontId="8" fillId="0" borderId="0" xfId="0" applyFont="1" applyFill="1" applyBorder="1"/>
    <xf numFmtId="0" fontId="10" fillId="27" borderId="0" xfId="0" applyFont="1" applyFill="1" applyBorder="1"/>
    <xf numFmtId="0" fontId="0" fillId="37" borderId="0" xfId="0" applyFill="1"/>
    <xf numFmtId="0" fontId="0" fillId="0" borderId="0" xfId="0" quotePrefix="1"/>
    <xf numFmtId="41" fontId="0" fillId="38" borderId="0" xfId="24" applyFont="1" applyFill="1"/>
    <xf numFmtId="41" fontId="6" fillId="38" borderId="0" xfId="24" applyFont="1" applyFill="1"/>
    <xf numFmtId="41" fontId="7" fillId="38" borderId="0" xfId="24" applyFont="1" applyFill="1"/>
    <xf numFmtId="0" fontId="12" fillId="38" borderId="0" xfId="0" applyFont="1" applyFill="1"/>
    <xf numFmtId="0" fontId="0" fillId="38" borderId="0" xfId="0" applyFill="1"/>
    <xf numFmtId="43" fontId="0" fillId="38" borderId="0" xfId="23" applyFont="1" applyFill="1"/>
    <xf numFmtId="9" fontId="0" fillId="38" borderId="0" xfId="43" applyFont="1" applyFill="1"/>
    <xf numFmtId="41" fontId="7" fillId="0" borderId="23" xfId="24" applyFont="1" applyBorder="1"/>
    <xf numFmtId="0" fontId="0" fillId="0" borderId="11" xfId="0" applyBorder="1"/>
    <xf numFmtId="0" fontId="0" fillId="0" borderId="40" xfId="0" applyBorder="1"/>
    <xf numFmtId="0" fontId="0" fillId="0" borderId="41" xfId="0" applyBorder="1"/>
    <xf numFmtId="166" fontId="0" fillId="0" borderId="0" xfId="27" applyFont="1"/>
    <xf numFmtId="41" fontId="6" fillId="0" borderId="27" xfId="24" applyFont="1" applyBorder="1"/>
    <xf numFmtId="41" fontId="7" fillId="0" borderId="21" xfId="24" applyFont="1" applyBorder="1"/>
    <xf numFmtId="41" fontId="7" fillId="0" borderId="26" xfId="24" applyFont="1" applyBorder="1"/>
    <xf numFmtId="41" fontId="7" fillId="0" borderId="21" xfId="24" applyFont="1" applyBorder="1" applyProtection="1"/>
    <xf numFmtId="41" fontId="7" fillId="0" borderId="25" xfId="24" applyFont="1" applyBorder="1"/>
    <xf numFmtId="0" fontId="12" fillId="0" borderId="23" xfId="0" applyFont="1" applyBorder="1"/>
    <xf numFmtId="0" fontId="7" fillId="0" borderId="23" xfId="0" applyFont="1" applyBorder="1" applyAlignment="1">
      <alignment horizontal="center"/>
    </xf>
    <xf numFmtId="0" fontId="7" fillId="0" borderId="23" xfId="0" applyFont="1" applyBorder="1" applyAlignment="1">
      <alignment horizontal="right"/>
    </xf>
    <xf numFmtId="41" fontId="6" fillId="0" borderId="37" xfId="24" applyFont="1" applyBorder="1"/>
    <xf numFmtId="0" fontId="0" fillId="31" borderId="24" xfId="0" applyFill="1" applyBorder="1"/>
    <xf numFmtId="0" fontId="0" fillId="31" borderId="23" xfId="0" applyFill="1" applyBorder="1"/>
    <xf numFmtId="0" fontId="0" fillId="31" borderId="25" xfId="0" applyFill="1" applyBorder="1"/>
    <xf numFmtId="0" fontId="0" fillId="31" borderId="21" xfId="0" applyFill="1" applyBorder="1"/>
    <xf numFmtId="0" fontId="0" fillId="31" borderId="0" xfId="0" applyFill="1" applyBorder="1"/>
    <xf numFmtId="0" fontId="0" fillId="31" borderId="22" xfId="0" applyFill="1" applyBorder="1"/>
    <xf numFmtId="10" fontId="0" fillId="31" borderId="23" xfId="0" applyNumberFormat="1" applyFill="1" applyBorder="1"/>
    <xf numFmtId="9" fontId="0" fillId="31" borderId="23" xfId="43" applyFont="1" applyFill="1" applyBorder="1"/>
    <xf numFmtId="0" fontId="0" fillId="39" borderId="17" xfId="0" applyFill="1" applyBorder="1"/>
    <xf numFmtId="41" fontId="0" fillId="31" borderId="25" xfId="24" applyFont="1" applyFill="1" applyBorder="1"/>
    <xf numFmtId="41" fontId="11" fillId="27" borderId="0" xfId="0" applyNumberFormat="1" applyFont="1" applyFill="1"/>
    <xf numFmtId="43" fontId="11" fillId="27" borderId="27" xfId="23" applyFont="1" applyFill="1" applyBorder="1"/>
    <xf numFmtId="41" fontId="11" fillId="27" borderId="27" xfId="24" applyFont="1" applyFill="1" applyBorder="1"/>
    <xf numFmtId="41" fontId="11" fillId="27" borderId="0" xfId="24" applyFont="1" applyFill="1" applyBorder="1"/>
    <xf numFmtId="43" fontId="7" fillId="0" borderId="26" xfId="23" applyFont="1" applyBorder="1"/>
    <xf numFmtId="43" fontId="7" fillId="0" borderId="27" xfId="23" applyFont="1" applyBorder="1"/>
    <xf numFmtId="43" fontId="7" fillId="0" borderId="30" xfId="23" applyFont="1" applyBorder="1"/>
    <xf numFmtId="43" fontId="7" fillId="0" borderId="21" xfId="23" applyFont="1" applyBorder="1"/>
    <xf numFmtId="43" fontId="7" fillId="0" borderId="24" xfId="23" applyFont="1" applyBorder="1"/>
    <xf numFmtId="43" fontId="7" fillId="0" borderId="25" xfId="23" applyFont="1" applyBorder="1"/>
    <xf numFmtId="43" fontId="7" fillId="0" borderId="32" xfId="23" applyFont="1" applyBorder="1"/>
    <xf numFmtId="43" fontId="7" fillId="0" borderId="33" xfId="23" applyFont="1" applyBorder="1"/>
    <xf numFmtId="43" fontId="11" fillId="27" borderId="0" xfId="23" applyFont="1" applyFill="1" applyBorder="1"/>
    <xf numFmtId="41" fontId="11" fillId="27" borderId="0" xfId="24" applyFont="1" applyFill="1"/>
    <xf numFmtId="0" fontId="11" fillId="27" borderId="26" xfId="0" applyFont="1" applyFill="1" applyBorder="1"/>
    <xf numFmtId="0" fontId="11" fillId="27" borderId="27" xfId="0" applyFont="1" applyFill="1" applyBorder="1"/>
    <xf numFmtId="41" fontId="11" fillId="27" borderId="18" xfId="24" applyFont="1" applyFill="1" applyBorder="1"/>
    <xf numFmtId="0" fontId="7" fillId="0" borderId="21" xfId="0" applyFont="1" applyFill="1" applyBorder="1"/>
    <xf numFmtId="43" fontId="7" fillId="39" borderId="17" xfId="23" applyFont="1" applyFill="1" applyBorder="1"/>
    <xf numFmtId="43" fontId="7" fillId="39" borderId="18" xfId="23" applyFont="1" applyFill="1" applyBorder="1"/>
    <xf numFmtId="9" fontId="7" fillId="39" borderId="17" xfId="43" applyFont="1" applyFill="1" applyBorder="1"/>
    <xf numFmtId="9" fontId="7" fillId="39" borderId="18" xfId="43" applyFont="1" applyFill="1" applyBorder="1"/>
    <xf numFmtId="0" fontId="12" fillId="40" borderId="0" xfId="0" applyFont="1" applyFill="1"/>
    <xf numFmtId="41" fontId="6" fillId="40" borderId="19" xfId="0" applyNumberFormat="1" applyFont="1" applyFill="1" applyBorder="1"/>
    <xf numFmtId="0" fontId="6" fillId="0" borderId="23" xfId="0" applyFont="1" applyBorder="1" applyAlignment="1">
      <alignment horizontal="right"/>
    </xf>
    <xf numFmtId="43" fontId="5" fillId="0" borderId="0" xfId="23"/>
    <xf numFmtId="9" fontId="5" fillId="31" borderId="23" xfId="43" applyFill="1" applyBorder="1"/>
    <xf numFmtId="41" fontId="5" fillId="31" borderId="25" xfId="24" applyFill="1" applyBorder="1"/>
    <xf numFmtId="9" fontId="5" fillId="0" borderId="0" xfId="43" applyBorder="1"/>
    <xf numFmtId="41" fontId="5" fillId="0" borderId="23" xfId="24" applyBorder="1"/>
    <xf numFmtId="9" fontId="5" fillId="0" borderId="27" xfId="43" applyBorder="1"/>
    <xf numFmtId="10" fontId="5" fillId="0" borderId="27" xfId="43" applyNumberFormat="1" applyBorder="1"/>
    <xf numFmtId="10" fontId="5" fillId="0" borderId="0" xfId="43" applyNumberFormat="1" applyBorder="1"/>
    <xf numFmtId="10" fontId="5" fillId="31" borderId="23" xfId="43" applyNumberFormat="1" applyFill="1" applyBorder="1"/>
    <xf numFmtId="9" fontId="5" fillId="0" borderId="30" xfId="43" applyBorder="1"/>
    <xf numFmtId="43" fontId="5" fillId="0" borderId="42" xfId="23" applyBorder="1"/>
    <xf numFmtId="9" fontId="5" fillId="0" borderId="22" xfId="43" applyBorder="1"/>
    <xf numFmtId="41" fontId="5" fillId="0" borderId="0" xfId="24" applyBorder="1"/>
    <xf numFmtId="41" fontId="5" fillId="0" borderId="22" xfId="24" applyBorder="1"/>
    <xf numFmtId="43" fontId="5" fillId="40" borderId="20" xfId="23" applyFill="1" applyBorder="1"/>
    <xf numFmtId="41" fontId="0" fillId="31" borderId="23" xfId="0" applyNumberFormat="1" applyFill="1" applyBorder="1"/>
    <xf numFmtId="41" fontId="0" fillId="31" borderId="23" xfId="24" applyFont="1" applyFill="1" applyBorder="1"/>
    <xf numFmtId="9" fontId="0" fillId="38" borderId="0" xfId="0" applyNumberFormat="1" applyFill="1"/>
    <xf numFmtId="41" fontId="0" fillId="0" borderId="0" xfId="0" applyNumberFormat="1" applyFill="1"/>
    <xf numFmtId="41" fontId="7" fillId="0" borderId="0" xfId="0" applyNumberFormat="1" applyFont="1" applyFill="1"/>
    <xf numFmtId="9" fontId="5" fillId="0" borderId="0" xfId="43"/>
    <xf numFmtId="9" fontId="0" fillId="0" borderId="0" xfId="0" applyNumberFormat="1" applyFill="1"/>
    <xf numFmtId="0" fontId="0" fillId="0" borderId="0" xfId="0" applyFill="1" applyAlignment="1">
      <alignment horizontal="right"/>
    </xf>
    <xf numFmtId="0" fontId="7" fillId="31" borderId="23" xfId="0" applyFont="1" applyFill="1" applyBorder="1"/>
    <xf numFmtId="0" fontId="13" fillId="31" borderId="23" xfId="0" applyFont="1" applyFill="1" applyBorder="1"/>
    <xf numFmtId="0" fontId="7" fillId="31" borderId="0" xfId="0" applyFont="1" applyFill="1"/>
    <xf numFmtId="0" fontId="13" fillId="31" borderId="0" xfId="0" applyFont="1" applyFill="1"/>
    <xf numFmtId="0" fontId="6" fillId="0" borderId="11" xfId="0" applyFont="1" applyBorder="1"/>
    <xf numFmtId="0" fontId="6" fillId="31" borderId="0" xfId="0" applyFont="1" applyFill="1"/>
    <xf numFmtId="41" fontId="7" fillId="0" borderId="13" xfId="24" applyFont="1" applyBorder="1"/>
    <xf numFmtId="41" fontId="7" fillId="31" borderId="0" xfId="24" applyFont="1" applyFill="1"/>
    <xf numFmtId="41" fontId="0" fillId="41" borderId="0" xfId="0" applyNumberFormat="1" applyFill="1"/>
    <xf numFmtId="0" fontId="7" fillId="41" borderId="0" xfId="0" applyFont="1" applyFill="1" applyBorder="1"/>
    <xf numFmtId="0" fontId="0" fillId="41" borderId="0" xfId="0" applyFill="1" applyBorder="1"/>
    <xf numFmtId="41" fontId="0" fillId="41" borderId="0" xfId="24" applyFont="1" applyFill="1"/>
    <xf numFmtId="0" fontId="7" fillId="41" borderId="0" xfId="0" applyFont="1" applyFill="1"/>
    <xf numFmtId="43" fontId="11" fillId="27" borderId="19" xfId="23" applyFont="1" applyFill="1" applyBorder="1"/>
    <xf numFmtId="164" fontId="14" fillId="40" borderId="13" xfId="25" applyFont="1" applyFill="1" applyBorder="1" applyAlignment="1" applyProtection="1">
      <alignment horizontal="center"/>
    </xf>
    <xf numFmtId="0" fontId="14" fillId="40" borderId="17" xfId="0" applyFont="1" applyFill="1" applyBorder="1" applyAlignment="1">
      <alignment horizontal="center"/>
    </xf>
    <xf numFmtId="0" fontId="24" fillId="40" borderId="0" xfId="0" applyFont="1" applyFill="1"/>
    <xf numFmtId="41" fontId="24" fillId="40" borderId="0" xfId="0" applyNumberFormat="1" applyFont="1" applyFill="1"/>
    <xf numFmtId="0" fontId="6" fillId="41" borderId="5" xfId="0" applyFont="1" applyFill="1" applyBorder="1"/>
    <xf numFmtId="0" fontId="6" fillId="41" borderId="14" xfId="0" applyFont="1" applyFill="1" applyBorder="1"/>
    <xf numFmtId="0" fontId="6" fillId="41" borderId="14" xfId="0" applyFont="1" applyFill="1" applyBorder="1" applyAlignment="1">
      <alignment horizontal="right"/>
    </xf>
    <xf numFmtId="0" fontId="7" fillId="41" borderId="14" xfId="0" applyFont="1" applyFill="1" applyBorder="1"/>
    <xf numFmtId="0" fontId="7" fillId="41" borderId="15" xfId="0" applyFont="1" applyFill="1" applyBorder="1"/>
    <xf numFmtId="43" fontId="7" fillId="41" borderId="14" xfId="23" applyFont="1" applyFill="1" applyBorder="1"/>
    <xf numFmtId="43" fontId="7" fillId="41" borderId="36" xfId="23" applyFont="1" applyFill="1" applyBorder="1"/>
    <xf numFmtId="0" fontId="6" fillId="41" borderId="35" xfId="0" applyFont="1" applyFill="1" applyBorder="1" applyAlignment="1">
      <alignment horizontal="right"/>
    </xf>
    <xf numFmtId="41" fontId="6" fillId="41" borderId="37" xfId="24" applyFont="1" applyFill="1" applyBorder="1"/>
    <xf numFmtId="0" fontId="6" fillId="41" borderId="38" xfId="0" applyFont="1" applyFill="1" applyBorder="1"/>
    <xf numFmtId="0" fontId="6" fillId="41" borderId="39" xfId="0" applyFont="1" applyFill="1" applyBorder="1"/>
    <xf numFmtId="0" fontId="7" fillId="41" borderId="0" xfId="0" applyFont="1" applyFill="1" applyBorder="1" applyAlignment="1">
      <alignment horizontal="right"/>
    </xf>
    <xf numFmtId="0" fontId="7" fillId="41" borderId="31" xfId="0" applyFont="1" applyFill="1" applyBorder="1"/>
    <xf numFmtId="0" fontId="7" fillId="41" borderId="29" xfId="0" applyFont="1" applyFill="1" applyBorder="1"/>
    <xf numFmtId="43" fontId="7" fillId="41" borderId="0" xfId="23" applyFont="1" applyFill="1" applyBorder="1"/>
    <xf numFmtId="43" fontId="7" fillId="41" borderId="26" xfId="23" applyFont="1" applyFill="1" applyBorder="1"/>
    <xf numFmtId="43" fontId="7" fillId="41" borderId="27" xfId="23" applyFont="1" applyFill="1" applyBorder="1"/>
    <xf numFmtId="43" fontId="7" fillId="41" borderId="30" xfId="23" applyFont="1" applyFill="1" applyBorder="1"/>
    <xf numFmtId="43" fontId="7" fillId="41" borderId="30" xfId="0" applyNumberFormat="1" applyFont="1" applyFill="1" applyBorder="1"/>
    <xf numFmtId="43" fontId="7" fillId="41" borderId="21" xfId="23" applyFont="1" applyFill="1" applyBorder="1"/>
    <xf numFmtId="43" fontId="7" fillId="41" borderId="22" xfId="23" applyFont="1" applyFill="1" applyBorder="1"/>
    <xf numFmtId="43" fontId="7" fillId="41" borderId="22" xfId="0" applyNumberFormat="1" applyFont="1" applyFill="1" applyBorder="1"/>
    <xf numFmtId="0" fontId="7" fillId="41" borderId="29" xfId="0" applyNumberFormat="1" applyFont="1" applyFill="1" applyBorder="1"/>
    <xf numFmtId="43" fontId="7" fillId="41" borderId="24" xfId="23" applyFont="1" applyFill="1" applyBorder="1"/>
    <xf numFmtId="43" fontId="7" fillId="41" borderId="23" xfId="23" applyFont="1" applyFill="1" applyBorder="1"/>
    <xf numFmtId="43" fontId="7" fillId="41" borderId="25" xfId="23" applyFont="1" applyFill="1" applyBorder="1"/>
    <xf numFmtId="43" fontId="7" fillId="41" borderId="32" xfId="23" applyFont="1" applyFill="1" applyBorder="1"/>
    <xf numFmtId="43" fontId="7" fillId="41" borderId="28" xfId="23" applyFont="1" applyFill="1" applyBorder="1"/>
    <xf numFmtId="43" fontId="7" fillId="41" borderId="33" xfId="23" applyFont="1" applyFill="1" applyBorder="1"/>
    <xf numFmtId="43" fontId="7" fillId="41" borderId="20" xfId="0" applyNumberFormat="1" applyFont="1" applyFill="1" applyBorder="1"/>
    <xf numFmtId="0" fontId="7" fillId="41" borderId="32" xfId="0" applyFont="1" applyFill="1" applyBorder="1"/>
    <xf numFmtId="0" fontId="7" fillId="41" borderId="28" xfId="0" applyFont="1" applyFill="1" applyBorder="1"/>
    <xf numFmtId="0" fontId="6" fillId="0" borderId="5" xfId="0" applyFont="1" applyFill="1" applyBorder="1"/>
    <xf numFmtId="0" fontId="6" fillId="0" borderId="14" xfId="0" applyFont="1" applyFill="1" applyBorder="1"/>
    <xf numFmtId="0" fontId="6" fillId="0" borderId="14" xfId="0" applyFont="1" applyFill="1" applyBorder="1" applyAlignment="1">
      <alignment horizontal="right"/>
    </xf>
    <xf numFmtId="0" fontId="7" fillId="0" borderId="14" xfId="0" applyFont="1" applyFill="1" applyBorder="1"/>
    <xf numFmtId="0" fontId="7" fillId="0" borderId="15" xfId="0" applyFont="1" applyFill="1" applyBorder="1"/>
    <xf numFmtId="43" fontId="7" fillId="0" borderId="14" xfId="23" applyFont="1" applyFill="1" applyBorder="1"/>
    <xf numFmtId="43" fontId="7" fillId="0" borderId="36" xfId="23" applyFont="1" applyFill="1" applyBorder="1"/>
    <xf numFmtId="0" fontId="6" fillId="0" borderId="35" xfId="0" applyFont="1" applyFill="1" applyBorder="1" applyAlignment="1">
      <alignment horizontal="right"/>
    </xf>
    <xf numFmtId="41" fontId="6" fillId="0" borderId="37" xfId="24" applyFont="1" applyFill="1" applyBorder="1"/>
    <xf numFmtId="0" fontId="6" fillId="0" borderId="38" xfId="0" applyFont="1" applyFill="1" applyBorder="1"/>
    <xf numFmtId="0" fontId="6" fillId="0" borderId="39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31" xfId="0" applyFont="1" applyFill="1" applyBorder="1"/>
    <xf numFmtId="0" fontId="7" fillId="0" borderId="29" xfId="0" applyFont="1" applyFill="1" applyBorder="1"/>
    <xf numFmtId="43" fontId="7" fillId="0" borderId="0" xfId="23" applyFont="1" applyFill="1" applyBorder="1"/>
    <xf numFmtId="43" fontId="7" fillId="0" borderId="26" xfId="23" applyFont="1" applyFill="1" applyBorder="1"/>
    <xf numFmtId="43" fontId="7" fillId="0" borderId="27" xfId="23" applyFont="1" applyFill="1" applyBorder="1"/>
    <xf numFmtId="43" fontId="7" fillId="0" borderId="30" xfId="0" applyNumberFormat="1" applyFont="1" applyFill="1" applyBorder="1"/>
    <xf numFmtId="43" fontId="7" fillId="0" borderId="21" xfId="23" applyFont="1" applyFill="1" applyBorder="1"/>
    <xf numFmtId="43" fontId="7" fillId="0" borderId="22" xfId="23" applyFont="1" applyFill="1" applyBorder="1"/>
    <xf numFmtId="43" fontId="7" fillId="0" borderId="22" xfId="0" applyNumberFormat="1" applyFont="1" applyFill="1" applyBorder="1"/>
    <xf numFmtId="0" fontId="7" fillId="0" borderId="29" xfId="0" applyNumberFormat="1" applyFont="1" applyFill="1" applyBorder="1"/>
    <xf numFmtId="43" fontId="7" fillId="0" borderId="24" xfId="23" applyFont="1" applyFill="1" applyBorder="1"/>
    <xf numFmtId="43" fontId="7" fillId="0" borderId="23" xfId="23" applyFont="1" applyFill="1" applyBorder="1"/>
    <xf numFmtId="43" fontId="7" fillId="0" borderId="25" xfId="23" applyFont="1" applyFill="1" applyBorder="1"/>
    <xf numFmtId="43" fontId="7" fillId="0" borderId="20" xfId="0" applyNumberFormat="1" applyFont="1" applyFill="1" applyBorder="1"/>
    <xf numFmtId="0" fontId="6" fillId="40" borderId="5" xfId="0" applyFont="1" applyFill="1" applyBorder="1"/>
    <xf numFmtId="9" fontId="0" fillId="31" borderId="0" xfId="43" applyFont="1" applyFill="1"/>
    <xf numFmtId="41" fontId="0" fillId="31" borderId="0" xfId="24" applyFont="1" applyFill="1"/>
    <xf numFmtId="43" fontId="7" fillId="31" borderId="0" xfId="23" applyFont="1" applyFill="1"/>
    <xf numFmtId="0" fontId="6" fillId="0" borderId="0" xfId="0" applyFont="1" applyFill="1"/>
    <xf numFmtId="41" fontId="0" fillId="31" borderId="0" xfId="23" applyNumberFormat="1" applyFont="1" applyFill="1"/>
    <xf numFmtId="41" fontId="0" fillId="31" borderId="0" xfId="0" applyNumberFormat="1" applyFill="1"/>
    <xf numFmtId="9" fontId="0" fillId="31" borderId="0" xfId="0" applyNumberFormat="1" applyFill="1"/>
    <xf numFmtId="0" fontId="0" fillId="31" borderId="27" xfId="0" applyFill="1" applyBorder="1"/>
    <xf numFmtId="0" fontId="11" fillId="27" borderId="21" xfId="0" applyFont="1" applyFill="1" applyBorder="1"/>
    <xf numFmtId="41" fontId="0" fillId="38" borderId="0" xfId="0" applyNumberFormat="1" applyFill="1"/>
    <xf numFmtId="41" fontId="11" fillId="38" borderId="0" xfId="24" applyFont="1" applyFill="1"/>
    <xf numFmtId="41" fontId="11" fillId="42" borderId="0" xfId="24" applyFont="1" applyFill="1"/>
    <xf numFmtId="41" fontId="7" fillId="39" borderId="17" xfId="24" applyFont="1" applyFill="1" applyBorder="1"/>
    <xf numFmtId="0" fontId="14" fillId="27" borderId="0" xfId="0" applyFont="1" applyFill="1"/>
    <xf numFmtId="41" fontId="6" fillId="0" borderId="35" xfId="24" applyFont="1" applyBorder="1"/>
    <xf numFmtId="0" fontId="0" fillId="24" borderId="0" xfId="0" applyFill="1"/>
    <xf numFmtId="0" fontId="11" fillId="42" borderId="0" xfId="0" applyFont="1" applyFill="1"/>
    <xf numFmtId="0" fontId="0" fillId="39" borderId="0" xfId="0" applyFill="1"/>
    <xf numFmtId="0" fontId="24" fillId="40" borderId="0" xfId="0" applyFont="1" applyFill="1" applyBorder="1"/>
    <xf numFmtId="9" fontId="11" fillId="40" borderId="0" xfId="43" applyFont="1" applyFill="1" applyBorder="1"/>
    <xf numFmtId="9" fontId="11" fillId="42" borderId="0" xfId="43" applyFont="1" applyFill="1" applyBorder="1"/>
    <xf numFmtId="41" fontId="11" fillId="42" borderId="22" xfId="24" applyFont="1" applyFill="1" applyBorder="1"/>
    <xf numFmtId="0" fontId="24" fillId="42" borderId="0" xfId="0" applyFont="1" applyFill="1"/>
    <xf numFmtId="0" fontId="11" fillId="0" borderId="0" xfId="0" applyFont="1" applyBorder="1"/>
    <xf numFmtId="0" fontId="11" fillId="0" borderId="0" xfId="0" applyFont="1"/>
    <xf numFmtId="10" fontId="11" fillId="40" borderId="28" xfId="43" applyNumberFormat="1" applyFont="1" applyFill="1" applyBorder="1"/>
    <xf numFmtId="43" fontId="11" fillId="40" borderId="28" xfId="23" applyFont="1" applyFill="1" applyBorder="1"/>
    <xf numFmtId="0" fontId="24" fillId="40" borderId="33" xfId="0" applyFont="1" applyFill="1" applyBorder="1"/>
    <xf numFmtId="0" fontId="0" fillId="39" borderId="0" xfId="0" applyFill="1" applyBorder="1"/>
    <xf numFmtId="0" fontId="0" fillId="39" borderId="31" xfId="0" applyFill="1" applyBorder="1"/>
    <xf numFmtId="0" fontId="0" fillId="39" borderId="28" xfId="0" applyFill="1" applyBorder="1"/>
    <xf numFmtId="0" fontId="0" fillId="39" borderId="33" xfId="0" applyFill="1" applyBorder="1"/>
    <xf numFmtId="0" fontId="0" fillId="24" borderId="0" xfId="0" applyFill="1" applyBorder="1"/>
    <xf numFmtId="0" fontId="0" fillId="0" borderId="43" xfId="0" applyBorder="1"/>
    <xf numFmtId="0" fontId="0" fillId="0" borderId="44" xfId="0" applyBorder="1"/>
    <xf numFmtId="0" fontId="0" fillId="0" borderId="17" xfId="0" applyBorder="1"/>
    <xf numFmtId="0" fontId="0" fillId="0" borderId="45" xfId="0" applyBorder="1"/>
    <xf numFmtId="0" fontId="7" fillId="0" borderId="11" xfId="0" applyFont="1" applyBorder="1"/>
    <xf numFmtId="0" fontId="26" fillId="29" borderId="0" xfId="0" applyFont="1" applyFill="1" applyBorder="1"/>
    <xf numFmtId="0" fontId="26" fillId="30" borderId="0" xfId="0" applyFont="1" applyFill="1" applyBorder="1"/>
    <xf numFmtId="0" fontId="28" fillId="0" borderId="0" xfId="0" applyFont="1" applyBorder="1"/>
    <xf numFmtId="0" fontId="27" fillId="0" borderId="0" xfId="0" applyFont="1" applyBorder="1"/>
    <xf numFmtId="0" fontId="29" fillId="38" borderId="0" xfId="0" applyFont="1" applyFill="1" applyBorder="1"/>
    <xf numFmtId="0" fontId="30" fillId="0" borderId="0" xfId="0" applyFont="1" applyBorder="1"/>
    <xf numFmtId="0" fontId="31" fillId="0" borderId="0" xfId="0" applyFont="1" applyBorder="1"/>
    <xf numFmtId="0" fontId="32" fillId="0" borderId="0" xfId="0" applyFont="1" applyBorder="1"/>
    <xf numFmtId="0" fontId="0" fillId="0" borderId="46" xfId="0" applyBorder="1"/>
    <xf numFmtId="0" fontId="0" fillId="0" borderId="47" xfId="0" applyBorder="1"/>
    <xf numFmtId="0" fontId="33" fillId="0" borderId="0" xfId="0" applyFont="1" applyBorder="1"/>
    <xf numFmtId="0" fontId="0" fillId="43" borderId="0" xfId="0" applyFill="1" applyBorder="1"/>
    <xf numFmtId="0" fontId="0" fillId="44" borderId="0" xfId="0" applyFill="1"/>
    <xf numFmtId="0" fontId="25" fillId="45" borderId="0" xfId="0" applyFont="1" applyFill="1"/>
    <xf numFmtId="0" fontId="25" fillId="27" borderId="0" xfId="0" applyFont="1" applyFill="1"/>
    <xf numFmtId="0" fontId="0" fillId="22" borderId="0" xfId="0" applyFill="1"/>
    <xf numFmtId="165" fontId="0" fillId="0" borderId="0" xfId="26" applyFont="1"/>
    <xf numFmtId="0" fontId="0" fillId="46" borderId="0" xfId="0" applyFill="1" applyBorder="1"/>
    <xf numFmtId="2" fontId="0" fillId="0" borderId="0" xfId="0" applyNumberFormat="1"/>
    <xf numFmtId="169" fontId="0" fillId="0" borderId="0" xfId="23" applyNumberFormat="1" applyFont="1"/>
    <xf numFmtId="169" fontId="0" fillId="0" borderId="0" xfId="0" applyNumberFormat="1"/>
    <xf numFmtId="0" fontId="26" fillId="34" borderId="0" xfId="0" applyFont="1" applyFill="1" applyBorder="1"/>
    <xf numFmtId="0" fontId="34" fillId="0" borderId="0" xfId="0" applyFont="1" applyBorder="1"/>
    <xf numFmtId="0" fontId="0" fillId="34" borderId="0" xfId="0" applyFill="1"/>
    <xf numFmtId="0" fontId="6" fillId="34" borderId="0" xfId="0" applyFont="1" applyFill="1" applyBorder="1"/>
    <xf numFmtId="0" fontId="32" fillId="39" borderId="48" xfId="0" applyFont="1" applyFill="1" applyBorder="1"/>
    <xf numFmtId="0" fontId="8" fillId="34" borderId="0" xfId="0" applyFont="1" applyFill="1" applyBorder="1" applyAlignment="1">
      <alignment horizontal="center" wrapText="1"/>
    </xf>
    <xf numFmtId="0" fontId="6" fillId="34" borderId="0" xfId="0" applyFont="1" applyFill="1" applyBorder="1" applyAlignment="1">
      <alignment horizontal="center" wrapText="1"/>
    </xf>
    <xf numFmtId="0" fontId="10" fillId="27" borderId="29" xfId="0" applyFont="1" applyFill="1" applyBorder="1"/>
    <xf numFmtId="3" fontId="9" fillId="39" borderId="48" xfId="24" applyNumberFormat="1" applyFont="1" applyFill="1" applyBorder="1" applyAlignment="1" applyProtection="1">
      <alignment horizontal="center" vertical="center"/>
      <protection locked="0"/>
    </xf>
    <xf numFmtId="3" fontId="9" fillId="34" borderId="0" xfId="0" applyNumberFormat="1" applyFont="1" applyFill="1" applyBorder="1" applyAlignment="1">
      <alignment horizontal="center" vertical="center"/>
    </xf>
    <xf numFmtId="9" fontId="9" fillId="39" borderId="13" xfId="43" applyFont="1" applyFill="1" applyBorder="1" applyAlignment="1" applyProtection="1">
      <alignment horizontal="center" vertical="center"/>
      <protection locked="0"/>
    </xf>
    <xf numFmtId="0" fontId="6" fillId="0" borderId="28" xfId="0" applyFont="1" applyBorder="1"/>
    <xf numFmtId="0" fontId="11" fillId="0" borderId="0" xfId="0" applyFont="1" applyFill="1"/>
    <xf numFmtId="3" fontId="0" fillId="0" borderId="0" xfId="43" applyNumberFormat="1" applyFont="1" applyFill="1"/>
    <xf numFmtId="3" fontId="0" fillId="33" borderId="0" xfId="43" applyNumberFormat="1" applyFont="1" applyFill="1"/>
    <xf numFmtId="5" fontId="9" fillId="39" borderId="48" xfId="24" applyNumberFormat="1" applyFont="1" applyFill="1" applyBorder="1" applyAlignment="1" applyProtection="1">
      <alignment horizontal="center" vertical="center"/>
      <protection locked="0"/>
    </xf>
    <xf numFmtId="37" fontId="8" fillId="39" borderId="48" xfId="24" applyNumberFormat="1" applyFont="1" applyFill="1" applyBorder="1" applyAlignment="1" applyProtection="1">
      <alignment horizontal="center" vertical="center"/>
      <protection locked="0"/>
    </xf>
    <xf numFmtId="169" fontId="6" fillId="0" borderId="0" xfId="23" applyNumberFormat="1" applyFont="1"/>
    <xf numFmtId="169" fontId="0" fillId="0" borderId="0" xfId="23" applyNumberFormat="1" applyFont="1" applyFill="1"/>
    <xf numFmtId="169" fontId="0" fillId="0" borderId="0" xfId="24" applyNumberFormat="1" applyFont="1"/>
    <xf numFmtId="43" fontId="0" fillId="0" borderId="0" xfId="24" applyNumberFormat="1" applyFont="1" applyFill="1"/>
    <xf numFmtId="43" fontId="0" fillId="0" borderId="0" xfId="23" applyNumberFormat="1" applyFont="1" applyFill="1"/>
    <xf numFmtId="37" fontId="0" fillId="0" borderId="0" xfId="24" applyNumberFormat="1" applyFont="1"/>
    <xf numFmtId="0" fontId="10" fillId="0" borderId="0" xfId="0" applyFont="1" applyFill="1"/>
    <xf numFmtId="0" fontId="6" fillId="27" borderId="0" xfId="0" applyFont="1" applyFill="1"/>
    <xf numFmtId="0" fontId="12" fillId="0" borderId="0" xfId="0" applyFont="1" applyFill="1"/>
    <xf numFmtId="9" fontId="6" fillId="0" borderId="0" xfId="43" applyFont="1"/>
    <xf numFmtId="9" fontId="6" fillId="27" borderId="0" xfId="43" applyFont="1" applyFill="1"/>
    <xf numFmtId="41" fontId="6" fillId="27" borderId="0" xfId="24" applyFont="1" applyFill="1"/>
    <xf numFmtId="169" fontId="6" fillId="0" borderId="0" xfId="0" applyNumberFormat="1" applyFont="1"/>
    <xf numFmtId="172" fontId="0" fillId="37" borderId="0" xfId="43" applyNumberFormat="1" applyFont="1" applyFill="1"/>
    <xf numFmtId="43" fontId="0" fillId="0" borderId="0" xfId="30" applyNumberFormat="1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left"/>
    </xf>
    <xf numFmtId="172" fontId="0" fillId="0" borderId="0" xfId="43" applyNumberFormat="1" applyFont="1"/>
    <xf numFmtId="0" fontId="0" fillId="31" borderId="13" xfId="0" applyFill="1" applyBorder="1"/>
    <xf numFmtId="0" fontId="55" fillId="31" borderId="13" xfId="0" applyFont="1" applyFill="1" applyBorder="1"/>
    <xf numFmtId="1" fontId="0" fillId="0" borderId="0" xfId="0" applyNumberFormat="1"/>
    <xf numFmtId="0" fontId="0" fillId="0" borderId="0" xfId="0" applyAlignment="1">
      <alignment horizontal="centerContinuous"/>
    </xf>
    <xf numFmtId="0" fontId="0" fillId="0" borderId="0" xfId="0" applyAlignment="1">
      <alignment horizontal="left" indent="1"/>
    </xf>
    <xf numFmtId="2" fontId="7" fillId="0" borderId="0" xfId="0" applyNumberFormat="1" applyFont="1" applyAlignment="1">
      <alignment horizontal="center"/>
    </xf>
    <xf numFmtId="172" fontId="0" fillId="0" borderId="0" xfId="0" applyNumberFormat="1"/>
    <xf numFmtId="0" fontId="6" fillId="0" borderId="0" xfId="0" applyFont="1" applyAlignment="1">
      <alignment horizontal="centerContinuous"/>
    </xf>
    <xf numFmtId="0" fontId="6" fillId="0" borderId="0" xfId="0" applyFont="1" applyBorder="1" applyAlignment="1">
      <alignment horizontal="center"/>
    </xf>
    <xf numFmtId="1" fontId="0" fillId="0" borderId="0" xfId="23" applyNumberFormat="1" applyFont="1"/>
    <xf numFmtId="0" fontId="0" fillId="0" borderId="49" xfId="0" applyBorder="1"/>
    <xf numFmtId="41" fontId="0" fillId="0" borderId="0" xfId="30" applyNumberFormat="1" applyFont="1"/>
    <xf numFmtId="172" fontId="0" fillId="37" borderId="0" xfId="0" applyNumberFormat="1" applyFill="1"/>
    <xf numFmtId="0" fontId="54" fillId="37" borderId="0" xfId="0" applyFont="1" applyFill="1"/>
    <xf numFmtId="0" fontId="14" fillId="0" borderId="0" xfId="0" applyFont="1" applyFill="1"/>
    <xf numFmtId="0" fontId="56" fillId="0" borderId="0" xfId="0" applyFont="1" applyFill="1"/>
    <xf numFmtId="0" fontId="6" fillId="0" borderId="0" xfId="0" applyFont="1" applyFill="1" applyBorder="1"/>
    <xf numFmtId="41" fontId="0" fillId="0" borderId="0" xfId="0" applyNumberFormat="1" applyFill="1" applyBorder="1"/>
    <xf numFmtId="43" fontId="7" fillId="0" borderId="0" xfId="0" applyNumberFormat="1" applyFont="1"/>
    <xf numFmtId="49" fontId="0" fillId="0" borderId="0" xfId="0" applyNumberFormat="1" applyAlignment="1"/>
    <xf numFmtId="9" fontId="0" fillId="0" borderId="0" xfId="23" applyNumberFormat="1" applyFont="1"/>
    <xf numFmtId="0" fontId="0" fillId="0" borderId="0" xfId="0" applyAlignment="1">
      <alignment horizontal="left" indent="2"/>
    </xf>
    <xf numFmtId="0" fontId="57" fillId="24" borderId="13" xfId="0" applyFont="1" applyFill="1" applyBorder="1"/>
    <xf numFmtId="167" fontId="0" fillId="0" borderId="0" xfId="0" applyNumberFormat="1"/>
    <xf numFmtId="9" fontId="0" fillId="0" borderId="0" xfId="43" applyNumberFormat="1" applyFont="1"/>
    <xf numFmtId="43" fontId="0" fillId="0" borderId="0" xfId="23" applyNumberFormat="1" applyFont="1"/>
    <xf numFmtId="9" fontId="0" fillId="0" borderId="0" xfId="43" applyFont="1" applyFill="1"/>
    <xf numFmtId="169" fontId="0" fillId="38" borderId="0" xfId="23" applyNumberFormat="1" applyFont="1" applyFill="1"/>
    <xf numFmtId="44" fontId="12" fillId="0" borderId="0" xfId="30" applyFont="1"/>
    <xf numFmtId="169" fontId="12" fillId="0" borderId="16" xfId="23" applyNumberFormat="1" applyFont="1" applyBorder="1"/>
    <xf numFmtId="41" fontId="6" fillId="0" borderId="16" xfId="0" applyNumberFormat="1" applyFont="1" applyFill="1" applyBorder="1"/>
    <xf numFmtId="9" fontId="6" fillId="38" borderId="0" xfId="43" applyFont="1" applyFill="1"/>
    <xf numFmtId="41" fontId="6" fillId="38" borderId="0" xfId="43" applyNumberFormat="1" applyFont="1" applyFill="1"/>
    <xf numFmtId="9" fontId="11" fillId="27" borderId="27" xfId="43" applyFont="1" applyFill="1" applyBorder="1"/>
    <xf numFmtId="0" fontId="7" fillId="0" borderId="0" xfId="0" applyFont="1" applyFill="1"/>
    <xf numFmtId="41" fontId="7" fillId="29" borderId="0" xfId="24" applyFont="1" applyFill="1"/>
    <xf numFmtId="0" fontId="7" fillId="29" borderId="0" xfId="0" applyFont="1" applyFill="1"/>
    <xf numFmtId="43" fontId="7" fillId="29" borderId="0" xfId="23" applyFont="1" applyFill="1"/>
    <xf numFmtId="169" fontId="7" fillId="29" borderId="0" xfId="23" applyNumberFormat="1" applyFont="1" applyFill="1"/>
    <xf numFmtId="9" fontId="7" fillId="29" borderId="0" xfId="43" applyFont="1" applyFill="1"/>
    <xf numFmtId="0" fontId="7" fillId="28" borderId="0" xfId="0" applyFont="1" applyFill="1"/>
    <xf numFmtId="0" fontId="11" fillId="0" borderId="21" xfId="0" applyFont="1" applyFill="1" applyBorder="1"/>
    <xf numFmtId="41" fontId="11" fillId="0" borderId="0" xfId="24" applyFont="1" applyFill="1" applyBorder="1"/>
    <xf numFmtId="41" fontId="11" fillId="0" borderId="0" xfId="24" applyFont="1" applyFill="1"/>
    <xf numFmtId="0" fontId="0" fillId="0" borderId="0" xfId="0" applyProtection="1"/>
    <xf numFmtId="0" fontId="6" fillId="34" borderId="0" xfId="0" applyFont="1" applyFill="1" applyBorder="1" applyProtection="1"/>
    <xf numFmtId="0" fontId="6" fillId="34" borderId="0" xfId="0" applyFont="1" applyFill="1" applyBorder="1" applyAlignment="1" applyProtection="1">
      <alignment horizontal="center"/>
    </xf>
    <xf numFmtId="0" fontId="8" fillId="24" borderId="0" xfId="0" applyFont="1" applyFill="1" applyBorder="1" applyProtection="1"/>
    <xf numFmtId="9" fontId="13" fillId="24" borderId="0" xfId="43" applyFont="1" applyFill="1" applyBorder="1" applyProtection="1"/>
    <xf numFmtId="5" fontId="9" fillId="39" borderId="13" xfId="0" applyNumberFormat="1" applyFont="1" applyFill="1" applyBorder="1" applyAlignment="1" applyProtection="1">
      <alignment horizontal="center" vertical="center"/>
      <protection locked="0"/>
    </xf>
    <xf numFmtId="0" fontId="0" fillId="24" borderId="0" xfId="0" applyFill="1" applyBorder="1" applyProtection="1"/>
    <xf numFmtId="0" fontId="0" fillId="24" borderId="0" xfId="0" applyFill="1" applyProtection="1"/>
    <xf numFmtId="0" fontId="6" fillId="34" borderId="0" xfId="0" applyFont="1" applyFill="1" applyBorder="1" applyAlignment="1">
      <alignment horizontal="left"/>
    </xf>
    <xf numFmtId="37" fontId="9" fillId="39" borderId="13" xfId="23" applyNumberFormat="1" applyFont="1" applyFill="1" applyBorder="1" applyAlignment="1" applyProtection="1">
      <alignment horizontal="center" vertical="center"/>
      <protection locked="0"/>
    </xf>
    <xf numFmtId="0" fontId="0" fillId="34" borderId="0" xfId="0" applyFill="1" applyBorder="1" applyProtection="1"/>
    <xf numFmtId="0" fontId="0" fillId="34" borderId="0" xfId="0" applyFill="1" applyBorder="1" applyAlignment="1" applyProtection="1">
      <alignment horizontal="center"/>
    </xf>
    <xf numFmtId="170" fontId="9" fillId="39" borderId="13" xfId="24" applyNumberFormat="1" applyFont="1" applyFill="1" applyBorder="1" applyAlignment="1" applyProtection="1">
      <alignment horizontal="center" vertical="center"/>
    </xf>
    <xf numFmtId="170" fontId="9" fillId="34" borderId="0" xfId="0" applyNumberFormat="1" applyFont="1" applyFill="1" applyBorder="1" applyAlignment="1" applyProtection="1">
      <alignment horizontal="center" vertical="top"/>
    </xf>
    <xf numFmtId="1" fontId="9" fillId="34" borderId="0" xfId="0" applyNumberFormat="1" applyFont="1" applyFill="1" applyBorder="1" applyAlignment="1" applyProtection="1">
      <alignment horizontal="center" vertical="top"/>
    </xf>
    <xf numFmtId="0" fontId="9" fillId="24" borderId="0" xfId="0" applyFont="1" applyFill="1" applyProtection="1"/>
    <xf numFmtId="0" fontId="17" fillId="34" borderId="0" xfId="0" applyFont="1" applyFill="1" applyBorder="1" applyProtection="1"/>
    <xf numFmtId="165" fontId="8" fillId="24" borderId="0" xfId="26" applyFont="1" applyFill="1" applyBorder="1" applyProtection="1"/>
    <xf numFmtId="0" fontId="32" fillId="39" borderId="48" xfId="0" applyFont="1" applyFill="1" applyBorder="1" applyProtection="1"/>
    <xf numFmtId="0" fontId="41" fillId="24" borderId="0" xfId="0" applyFont="1" applyFill="1" applyBorder="1" applyProtection="1"/>
    <xf numFmtId="165" fontId="5" fillId="24" borderId="0" xfId="26" applyFont="1" applyFill="1" applyBorder="1" applyProtection="1"/>
    <xf numFmtId="165" fontId="9" fillId="24" borderId="0" xfId="26" applyFont="1" applyFill="1" applyBorder="1" applyProtection="1"/>
    <xf numFmtId="0" fontId="43" fillId="24" borderId="0" xfId="0" applyFont="1" applyFill="1" applyBorder="1" applyProtection="1"/>
    <xf numFmtId="169" fontId="0" fillId="29" borderId="0" xfId="23" applyNumberFormat="1" applyFont="1" applyFill="1"/>
    <xf numFmtId="0" fontId="9" fillId="39" borderId="13" xfId="23" applyNumberFormat="1" applyFont="1" applyFill="1" applyBorder="1" applyAlignment="1" applyProtection="1">
      <alignment horizontal="center" vertical="center"/>
      <protection locked="0"/>
    </xf>
    <xf numFmtId="1" fontId="0" fillId="0" borderId="0" xfId="43" applyNumberFormat="1" applyFont="1"/>
    <xf numFmtId="2" fontId="0" fillId="0" borderId="0" xfId="23" applyNumberFormat="1" applyFont="1" applyAlignment="1">
      <alignment horizontal="center"/>
    </xf>
    <xf numFmtId="2" fontId="7" fillId="0" borderId="26" xfId="43" applyNumberFormat="1" applyFont="1" applyBorder="1"/>
    <xf numFmtId="2" fontId="7" fillId="0" borderId="27" xfId="43" applyNumberFormat="1" applyFont="1" applyBorder="1"/>
    <xf numFmtId="2" fontId="7" fillId="0" borderId="30" xfId="43" applyNumberFormat="1" applyFont="1" applyBorder="1"/>
    <xf numFmtId="2" fontId="7" fillId="0" borderId="21" xfId="43" applyNumberFormat="1" applyFont="1" applyBorder="1"/>
    <xf numFmtId="2" fontId="7" fillId="0" borderId="0" xfId="43" applyNumberFormat="1" applyFont="1" applyBorder="1"/>
    <xf numFmtId="2" fontId="7" fillId="0" borderId="22" xfId="43" applyNumberFormat="1" applyFont="1" applyBorder="1"/>
    <xf numFmtId="2" fontId="7" fillId="0" borderId="24" xfId="43" applyNumberFormat="1" applyFont="1" applyBorder="1"/>
    <xf numFmtId="2" fontId="7" fillId="0" borderId="23" xfId="43" applyNumberFormat="1" applyFont="1" applyBorder="1"/>
    <xf numFmtId="2" fontId="7" fillId="0" borderId="25" xfId="43" applyNumberFormat="1" applyFont="1" applyBorder="1"/>
    <xf numFmtId="3" fontId="0" fillId="0" borderId="0" xfId="43" applyNumberFormat="1" applyFont="1"/>
    <xf numFmtId="0" fontId="53" fillId="0" borderId="0" xfId="0" applyFont="1" applyFill="1"/>
    <xf numFmtId="1" fontId="0" fillId="0" borderId="0" xfId="43" applyNumberFormat="1" applyFont="1" applyFill="1"/>
    <xf numFmtId="43" fontId="0" fillId="0" borderId="0" xfId="23" applyFont="1" applyBorder="1"/>
    <xf numFmtId="169" fontId="0" fillId="0" borderId="0" xfId="23" applyNumberFormat="1" applyFont="1" applyBorder="1"/>
    <xf numFmtId="169" fontId="0" fillId="0" borderId="0" xfId="0" applyNumberFormat="1" applyBorder="1"/>
    <xf numFmtId="172" fontId="12" fillId="0" borderId="0" xfId="43" applyNumberFormat="1" applyFont="1" applyBorder="1"/>
    <xf numFmtId="3" fontId="0" fillId="0" borderId="0" xfId="0" applyNumberFormat="1" applyFill="1" applyBorder="1"/>
    <xf numFmtId="169" fontId="7" fillId="0" borderId="0" xfId="23" applyNumberFormat="1" applyFont="1" applyBorder="1"/>
    <xf numFmtId="44" fontId="0" fillId="0" borderId="0" xfId="30" applyFont="1" applyBorder="1"/>
    <xf numFmtId="173" fontId="0" fillId="0" borderId="0" xfId="30" applyNumberFormat="1" applyFont="1" applyBorder="1"/>
    <xf numFmtId="173" fontId="0" fillId="0" borderId="0" xfId="23" applyNumberFormat="1" applyFont="1" applyBorder="1"/>
    <xf numFmtId="173" fontId="6" fillId="0" borderId="0" xfId="30" applyNumberFormat="1" applyFont="1" applyBorder="1"/>
    <xf numFmtId="173" fontId="6" fillId="0" borderId="0" xfId="24" applyNumberFormat="1" applyFont="1" applyBorder="1"/>
    <xf numFmtId="173" fontId="6" fillId="0" borderId="0" xfId="0" applyNumberFormat="1" applyFont="1" applyBorder="1"/>
    <xf numFmtId="44" fontId="0" fillId="0" borderId="0" xfId="23" applyNumberFormat="1" applyFont="1" applyBorder="1"/>
    <xf numFmtId="44" fontId="7" fillId="0" borderId="0" xfId="30" applyFont="1" applyBorder="1"/>
    <xf numFmtId="41" fontId="0" fillId="0" borderId="0" xfId="43" applyNumberFormat="1" applyFont="1" applyBorder="1"/>
    <xf numFmtId="172" fontId="7" fillId="0" borderId="0" xfId="0" applyNumberFormat="1" applyFont="1" applyBorder="1"/>
    <xf numFmtId="43" fontId="7" fillId="0" borderId="0" xfId="0" applyNumberFormat="1" applyFont="1" applyBorder="1"/>
    <xf numFmtId="3" fontId="11" fillId="0" borderId="0" xfId="0" applyNumberFormat="1" applyFont="1" applyFill="1" applyBorder="1"/>
    <xf numFmtId="0" fontId="17" fillId="0" borderId="11" xfId="0" applyFont="1" applyBorder="1"/>
    <xf numFmtId="0" fontId="22" fillId="29" borderId="29" xfId="0" applyFont="1" applyFill="1" applyBorder="1"/>
    <xf numFmtId="0" fontId="22" fillId="29" borderId="0" xfId="0" applyFont="1" applyFill="1" applyBorder="1"/>
    <xf numFmtId="0" fontId="23" fillId="29" borderId="0" xfId="0" applyFont="1" applyFill="1" applyBorder="1"/>
    <xf numFmtId="0" fontId="17" fillId="0" borderId="0" xfId="0" applyFont="1" applyBorder="1"/>
    <xf numFmtId="0" fontId="8" fillId="0" borderId="0" xfId="0" applyFont="1" applyBorder="1" applyAlignment="1">
      <alignment horizontal="center"/>
    </xf>
    <xf numFmtId="0" fontId="10" fillId="0" borderId="29" xfId="0" applyFont="1" applyFill="1" applyBorder="1"/>
    <xf numFmtId="0" fontId="17" fillId="0" borderId="29" xfId="0" applyFont="1" applyBorder="1" applyAlignment="1">
      <alignment horizontal="left" indent="1"/>
    </xf>
    <xf numFmtId="0" fontId="8" fillId="0" borderId="0" xfId="0" applyFont="1" applyBorder="1"/>
    <xf numFmtId="0" fontId="9" fillId="0" borderId="0" xfId="0" applyFont="1" applyBorder="1"/>
    <xf numFmtId="0" fontId="0" fillId="0" borderId="0" xfId="0" applyBorder="1" applyAlignment="1">
      <alignment horizontal="left" indent="2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 indent="2"/>
    </xf>
    <xf numFmtId="0" fontId="12" fillId="0" borderId="0" xfId="0" applyFont="1" applyBorder="1" applyAlignment="1">
      <alignment horizontal="left" indent="2"/>
    </xf>
    <xf numFmtId="0" fontId="6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indent="2"/>
    </xf>
    <xf numFmtId="0" fontId="7" fillId="0" borderId="0" xfId="0" applyFont="1" applyBorder="1" applyAlignment="1">
      <alignment horizontal="left"/>
    </xf>
    <xf numFmtId="0" fontId="0" fillId="0" borderId="29" xfId="0" applyFill="1" applyBorder="1"/>
    <xf numFmtId="0" fontId="0" fillId="0" borderId="0" xfId="0" applyBorder="1" applyAlignment="1"/>
    <xf numFmtId="0" fontId="7" fillId="0" borderId="0" xfId="0" applyFont="1" applyBorder="1" applyAlignment="1"/>
    <xf numFmtId="0" fontId="6" fillId="0" borderId="0" xfId="0" applyFont="1" applyBorder="1" applyAlignment="1">
      <alignment horizontal="right"/>
    </xf>
    <xf numFmtId="0" fontId="0" fillId="27" borderId="0" xfId="0" applyFill="1" applyBorder="1"/>
    <xf numFmtId="0" fontId="12" fillId="0" borderId="0" xfId="0" applyFont="1" applyBorder="1"/>
    <xf numFmtId="0" fontId="12" fillId="0" borderId="0" xfId="0" applyFont="1" applyBorder="1" applyAlignment="1">
      <alignment horizontal="left"/>
    </xf>
    <xf numFmtId="0" fontId="8" fillId="0" borderId="28" xfId="0" applyFont="1" applyFill="1" applyBorder="1" applyProtection="1"/>
    <xf numFmtId="0" fontId="8" fillId="0" borderId="28" xfId="0" applyFont="1" applyBorder="1"/>
    <xf numFmtId="173" fontId="6" fillId="0" borderId="28" xfId="0" applyNumberFormat="1" applyFont="1" applyBorder="1"/>
    <xf numFmtId="0" fontId="12" fillId="0" borderId="28" xfId="0" applyFont="1" applyBorder="1" applyAlignment="1">
      <alignment horizontal="left" indent="2"/>
    </xf>
    <xf numFmtId="0" fontId="17" fillId="0" borderId="38" xfId="0" applyFont="1" applyBorder="1" applyAlignment="1">
      <alignment horizontal="left" indent="1"/>
    </xf>
    <xf numFmtId="0" fontId="17" fillId="0" borderId="50" xfId="0" applyFont="1" applyBorder="1"/>
    <xf numFmtId="0" fontId="6" fillId="0" borderId="0" xfId="0" applyFont="1" applyFill="1" applyBorder="1" applyProtection="1"/>
    <xf numFmtId="0" fontId="10" fillId="0" borderId="0" xfId="0" applyFont="1" applyFill="1" applyBorder="1"/>
    <xf numFmtId="0" fontId="11" fillId="0" borderId="31" xfId="0" applyFont="1" applyFill="1" applyBorder="1"/>
    <xf numFmtId="0" fontId="17" fillId="0" borderId="51" xfId="0" applyFont="1" applyBorder="1" applyAlignment="1">
      <alignment horizontal="left" indent="1"/>
    </xf>
    <xf numFmtId="0" fontId="17" fillId="0" borderId="19" xfId="0" applyFont="1" applyBorder="1"/>
    <xf numFmtId="0" fontId="7" fillId="0" borderId="19" xfId="0" applyFont="1" applyFill="1" applyBorder="1"/>
    <xf numFmtId="168" fontId="0" fillId="0" borderId="0" xfId="23" applyNumberFormat="1" applyFont="1" applyAlignment="1">
      <alignment horizontal="left"/>
    </xf>
    <xf numFmtId="168" fontId="10" fillId="36" borderId="0" xfId="23" applyNumberFormat="1" applyFont="1" applyFill="1" applyAlignment="1">
      <alignment horizontal="left"/>
    </xf>
    <xf numFmtId="168" fontId="6" fillId="0" borderId="0" xfId="23" applyNumberFormat="1" applyFont="1" applyAlignment="1">
      <alignment horizontal="center"/>
    </xf>
    <xf numFmtId="168" fontId="0" fillId="0" borderId="0" xfId="23" applyNumberFormat="1" applyFont="1" applyFill="1" applyAlignment="1">
      <alignment horizontal="left"/>
    </xf>
    <xf numFmtId="168" fontId="0" fillId="35" borderId="0" xfId="23" applyNumberFormat="1" applyFont="1" applyFill="1" applyAlignment="1">
      <alignment horizontal="left"/>
    </xf>
    <xf numFmtId="0" fontId="0" fillId="38" borderId="0" xfId="0" applyFill="1" applyAlignment="1">
      <alignment horizontal="left"/>
    </xf>
    <xf numFmtId="0" fontId="0" fillId="0" borderId="0" xfId="0" applyBorder="1" applyProtection="1"/>
    <xf numFmtId="175" fontId="0" fillId="0" borderId="0" xfId="23" applyNumberFormat="1" applyFont="1" applyAlignment="1">
      <alignment horizontal="center"/>
    </xf>
    <xf numFmtId="44" fontId="0" fillId="0" borderId="0" xfId="30" applyFont="1"/>
    <xf numFmtId="0" fontId="12" fillId="47" borderId="0" xfId="0" applyFont="1" applyFill="1"/>
    <xf numFmtId="172" fontId="0" fillId="38" borderId="0" xfId="43" applyNumberFormat="1" applyFont="1" applyFill="1"/>
    <xf numFmtId="169" fontId="0" fillId="32" borderId="0" xfId="23" applyNumberFormat="1" applyFont="1" applyFill="1"/>
    <xf numFmtId="169" fontId="0" fillId="32" borderId="0" xfId="0" applyNumberFormat="1" applyFill="1"/>
    <xf numFmtId="169" fontId="0" fillId="32" borderId="0" xfId="24" applyNumberFormat="1" applyFont="1" applyFill="1"/>
    <xf numFmtId="1" fontId="0" fillId="29" borderId="0" xfId="0" applyNumberFormat="1" applyFill="1"/>
    <xf numFmtId="1" fontId="0" fillId="32" borderId="0" xfId="0" applyNumberFormat="1" applyFill="1"/>
    <xf numFmtId="172" fontId="0" fillId="0" borderId="0" xfId="43" applyNumberFormat="1" applyFont="1" applyFill="1"/>
    <xf numFmtId="9" fontId="0" fillId="33" borderId="0" xfId="43" applyFont="1" applyFill="1"/>
    <xf numFmtId="0" fontId="32" fillId="0" borderId="0" xfId="0" applyFont="1" applyFill="1" applyBorder="1" applyProtection="1"/>
    <xf numFmtId="172" fontId="53" fillId="0" borderId="0" xfId="43" applyNumberFormat="1" applyFont="1"/>
    <xf numFmtId="2" fontId="0" fillId="0" borderId="0" xfId="0" applyNumberFormat="1" applyFill="1" applyAlignment="1">
      <alignment horizontal="center"/>
    </xf>
    <xf numFmtId="43" fontId="7" fillId="39" borderId="30" xfId="23" applyFont="1" applyFill="1" applyBorder="1"/>
    <xf numFmtId="43" fontId="7" fillId="39" borderId="22" xfId="23" applyFont="1" applyFill="1" applyBorder="1"/>
    <xf numFmtId="174" fontId="11" fillId="27" borderId="0" xfId="24" applyNumberFormat="1" applyFont="1" applyFill="1" applyBorder="1"/>
    <xf numFmtId="0" fontId="7" fillId="31" borderId="21" xfId="0" applyFont="1" applyFill="1" applyBorder="1"/>
    <xf numFmtId="0" fontId="7" fillId="31" borderId="0" xfId="0" applyFont="1" applyFill="1" applyBorder="1"/>
    <xf numFmtId="43" fontId="7" fillId="31" borderId="0" xfId="23" applyFont="1" applyFill="1" applyBorder="1"/>
    <xf numFmtId="0" fontId="11" fillId="31" borderId="21" xfId="0" applyFont="1" applyFill="1" applyBorder="1"/>
    <xf numFmtId="0" fontId="11" fillId="31" borderId="0" xfId="0" applyFont="1" applyFill="1" applyBorder="1"/>
    <xf numFmtId="174" fontId="11" fillId="31" borderId="0" xfId="24" applyNumberFormat="1" applyFont="1" applyFill="1" applyBorder="1"/>
    <xf numFmtId="2" fontId="7" fillId="47" borderId="25" xfId="0" applyNumberFormat="1" applyFont="1" applyFill="1" applyBorder="1"/>
    <xf numFmtId="0" fontId="7" fillId="0" borderId="0" xfId="0" applyFont="1" applyAlignment="1">
      <alignment horizontal="right"/>
    </xf>
    <xf numFmtId="174" fontId="7" fillId="47" borderId="25" xfId="0" applyNumberFormat="1" applyFont="1" applyFill="1" applyBorder="1"/>
    <xf numFmtId="0" fontId="0" fillId="0" borderId="0" xfId="0" applyAlignment="1">
      <alignment horizontal="left"/>
    </xf>
    <xf numFmtId="37" fontId="0" fillId="37" borderId="0" xfId="0" applyNumberFormat="1" applyFill="1"/>
    <xf numFmtId="37" fontId="0" fillId="0" borderId="0" xfId="43" applyNumberFormat="1" applyFont="1"/>
    <xf numFmtId="170" fontId="0" fillId="37" borderId="0" xfId="0" applyNumberFormat="1" applyFill="1"/>
    <xf numFmtId="3" fontId="0" fillId="37" borderId="0" xfId="0" applyNumberFormat="1" applyFill="1"/>
    <xf numFmtId="1" fontId="0" fillId="37" borderId="0" xfId="0" applyNumberFormat="1" applyFill="1"/>
    <xf numFmtId="169" fontId="11" fillId="40" borderId="28" xfId="23" applyNumberFormat="1" applyFont="1" applyFill="1" applyBorder="1"/>
    <xf numFmtId="9" fontId="0" fillId="29" borderId="0" xfId="43" applyFont="1" applyFill="1"/>
    <xf numFmtId="9" fontId="0" fillId="32" borderId="0" xfId="43" applyFont="1" applyFill="1"/>
    <xf numFmtId="37" fontId="0" fillId="37" borderId="0" xfId="43" applyNumberFormat="1" applyFont="1" applyFill="1"/>
    <xf numFmtId="172" fontId="7" fillId="0" borderId="0" xfId="43" applyNumberFormat="1" applyFont="1" applyBorder="1"/>
    <xf numFmtId="172" fontId="11" fillId="42" borderId="0" xfId="43" applyNumberFormat="1" applyFont="1" applyFill="1" applyBorder="1"/>
    <xf numFmtId="172" fontId="7" fillId="0" borderId="23" xfId="43" applyNumberFormat="1" applyFont="1" applyBorder="1"/>
    <xf numFmtId="43" fontId="11" fillId="27" borderId="27" xfId="0" applyNumberFormat="1" applyFont="1" applyFill="1" applyBorder="1"/>
    <xf numFmtId="172" fontId="7" fillId="41" borderId="0" xfId="43" applyNumberFormat="1" applyFont="1" applyFill="1" applyBorder="1"/>
    <xf numFmtId="10" fontId="7" fillId="41" borderId="0" xfId="43" applyNumberFormat="1" applyFont="1" applyFill="1" applyBorder="1"/>
    <xf numFmtId="9" fontId="7" fillId="39" borderId="0" xfId="0" applyNumberFormat="1" applyFont="1" applyFill="1" applyBorder="1"/>
    <xf numFmtId="0" fontId="7" fillId="39" borderId="0" xfId="0" applyFont="1" applyFill="1" applyBorder="1" applyAlignment="1">
      <alignment horizontal="center"/>
    </xf>
    <xf numFmtId="172" fontId="7" fillId="0" borderId="0" xfId="43" applyNumberFormat="1" applyFont="1" applyFill="1" applyBorder="1"/>
    <xf numFmtId="172" fontId="0" fillId="0" borderId="28" xfId="43" applyNumberFormat="1" applyFont="1" applyBorder="1"/>
    <xf numFmtId="10" fontId="0" fillId="0" borderId="28" xfId="43" applyNumberFormat="1" applyFont="1" applyBorder="1"/>
    <xf numFmtId="0" fontId="7" fillId="0" borderId="11" xfId="0" applyFont="1" applyFill="1" applyBorder="1"/>
    <xf numFmtId="0" fontId="7" fillId="0" borderId="40" xfId="0" applyFont="1" applyFill="1" applyBorder="1"/>
    <xf numFmtId="10" fontId="7" fillId="0" borderId="40" xfId="43" applyNumberFormat="1" applyFont="1" applyFill="1" applyBorder="1"/>
    <xf numFmtId="0" fontId="12" fillId="0" borderId="41" xfId="0" applyFont="1" applyFill="1" applyBorder="1"/>
    <xf numFmtId="0" fontId="0" fillId="39" borderId="32" xfId="0" applyFill="1" applyBorder="1"/>
    <xf numFmtId="10" fontId="0" fillId="39" borderId="28" xfId="43" applyNumberFormat="1" applyFont="1" applyFill="1" applyBorder="1"/>
    <xf numFmtId="169" fontId="0" fillId="39" borderId="28" xfId="23" applyNumberFormat="1" applyFont="1" applyFill="1" applyBorder="1"/>
    <xf numFmtId="172" fontId="7" fillId="0" borderId="26" xfId="43" applyNumberFormat="1" applyFont="1" applyFill="1" applyBorder="1"/>
    <xf numFmtId="172" fontId="7" fillId="0" borderId="27" xfId="43" applyNumberFormat="1" applyFont="1" applyFill="1" applyBorder="1"/>
    <xf numFmtId="172" fontId="7" fillId="0" borderId="30" xfId="43" applyNumberFormat="1" applyFont="1" applyFill="1" applyBorder="1"/>
    <xf numFmtId="172" fontId="7" fillId="0" borderId="21" xfId="43" applyNumberFormat="1" applyFont="1" applyFill="1" applyBorder="1"/>
    <xf numFmtId="172" fontId="7" fillId="0" borderId="22" xfId="43" applyNumberFormat="1" applyFont="1" applyFill="1" applyBorder="1"/>
    <xf numFmtId="172" fontId="7" fillId="0" borderId="24" xfId="43" applyNumberFormat="1" applyFont="1" applyFill="1" applyBorder="1"/>
    <xf numFmtId="172" fontId="7" fillId="0" borderId="23" xfId="43" applyNumberFormat="1" applyFont="1" applyFill="1" applyBorder="1"/>
    <xf numFmtId="172" fontId="7" fillId="0" borderId="25" xfId="43" applyNumberFormat="1" applyFont="1" applyFill="1" applyBorder="1"/>
    <xf numFmtId="43" fontId="7" fillId="0" borderId="18" xfId="23" applyFont="1" applyFill="1" applyBorder="1"/>
    <xf numFmtId="43" fontId="7" fillId="0" borderId="19" xfId="23" applyFont="1" applyFill="1" applyBorder="1"/>
    <xf numFmtId="43" fontId="7" fillId="0" borderId="20" xfId="23" applyFont="1" applyFill="1" applyBorder="1"/>
    <xf numFmtId="0" fontId="7" fillId="0" borderId="40" xfId="0" applyFont="1" applyBorder="1"/>
    <xf numFmtId="10" fontId="7" fillId="0" borderId="40" xfId="43" applyNumberFormat="1" applyFont="1" applyBorder="1"/>
    <xf numFmtId="0" fontId="7" fillId="0" borderId="41" xfId="0" applyFont="1" applyBorder="1"/>
    <xf numFmtId="172" fontId="7" fillId="39" borderId="40" xfId="43" applyNumberFormat="1" applyFont="1" applyFill="1" applyBorder="1"/>
    <xf numFmtId="172" fontId="0" fillId="39" borderId="0" xfId="43" applyNumberFormat="1" applyFont="1" applyFill="1" applyBorder="1"/>
    <xf numFmtId="9" fontId="7" fillId="39" borderId="0" xfId="43" applyFont="1" applyFill="1" applyBorder="1"/>
    <xf numFmtId="9" fontId="0" fillId="39" borderId="28" xfId="43" applyFont="1" applyFill="1" applyBorder="1"/>
    <xf numFmtId="0" fontId="7" fillId="39" borderId="52" xfId="0" applyFont="1" applyFill="1" applyBorder="1" applyAlignment="1">
      <alignment horizontal="center"/>
    </xf>
    <xf numFmtId="10" fontId="7" fillId="0" borderId="0" xfId="43" applyNumberFormat="1" applyFont="1" applyBorder="1"/>
    <xf numFmtId="172" fontId="7" fillId="39" borderId="0" xfId="43" applyNumberFormat="1" applyFont="1" applyFill="1" applyBorder="1"/>
    <xf numFmtId="0" fontId="0" fillId="39" borderId="5" xfId="0" applyFill="1" applyBorder="1"/>
    <xf numFmtId="0" fontId="0" fillId="39" borderId="14" xfId="0" applyFill="1" applyBorder="1"/>
    <xf numFmtId="10" fontId="0" fillId="39" borderId="14" xfId="0" applyNumberFormat="1" applyFill="1" applyBorder="1"/>
    <xf numFmtId="169" fontId="0" fillId="39" borderId="14" xfId="23" applyNumberFormat="1" applyFont="1" applyFill="1" applyBorder="1"/>
    <xf numFmtId="10" fontId="0" fillId="39" borderId="14" xfId="43" applyNumberFormat="1" applyFont="1" applyFill="1" applyBorder="1"/>
    <xf numFmtId="172" fontId="7" fillId="0" borderId="21" xfId="43" applyNumberFormat="1" applyFont="1" applyBorder="1"/>
    <xf numFmtId="172" fontId="7" fillId="0" borderId="22" xfId="43" applyNumberFormat="1" applyFont="1" applyBorder="1"/>
    <xf numFmtId="172" fontId="7" fillId="0" borderId="24" xfId="43" applyNumberFormat="1" applyFont="1" applyBorder="1"/>
    <xf numFmtId="172" fontId="7" fillId="0" borderId="25" xfId="43" applyNumberFormat="1" applyFont="1" applyBorder="1"/>
    <xf numFmtId="1" fontId="7" fillId="0" borderId="0" xfId="0" applyNumberFormat="1" applyFont="1" applyBorder="1"/>
    <xf numFmtId="172" fontId="0" fillId="39" borderId="28" xfId="43" applyNumberFormat="1" applyFont="1" applyFill="1" applyBorder="1"/>
    <xf numFmtId="172" fontId="7" fillId="0" borderId="40" xfId="43" applyNumberFormat="1" applyFont="1" applyFill="1" applyBorder="1"/>
    <xf numFmtId="172" fontId="7" fillId="0" borderId="26" xfId="43" applyNumberFormat="1" applyFont="1" applyBorder="1"/>
    <xf numFmtId="172" fontId="7" fillId="0" borderId="27" xfId="43" applyNumberFormat="1" applyFont="1" applyBorder="1"/>
    <xf numFmtId="172" fontId="7" fillId="0" borderId="30" xfId="43" applyNumberFormat="1" applyFont="1" applyBorder="1"/>
    <xf numFmtId="10" fontId="11" fillId="40" borderId="0" xfId="43" applyNumberFormat="1" applyFont="1" applyFill="1" applyBorder="1"/>
    <xf numFmtId="10" fontId="11" fillId="42" borderId="0" xfId="43" applyNumberFormat="1" applyFont="1" applyFill="1" applyBorder="1"/>
    <xf numFmtId="10" fontId="7" fillId="0" borderId="23" xfId="43" applyNumberFormat="1" applyFont="1" applyBorder="1"/>
    <xf numFmtId="0" fontId="7" fillId="0" borderId="38" xfId="0" applyFont="1" applyBorder="1" applyAlignment="1">
      <alignment horizontal="right"/>
    </xf>
    <xf numFmtId="0" fontId="7" fillId="0" borderId="50" xfId="0" applyFont="1" applyBorder="1" applyAlignment="1">
      <alignment horizontal="right"/>
    </xf>
    <xf numFmtId="0" fontId="7" fillId="0" borderId="53" xfId="0" applyFont="1" applyBorder="1" applyAlignment="1">
      <alignment horizontal="right"/>
    </xf>
    <xf numFmtId="41" fontId="0" fillId="39" borderId="14" xfId="43" applyNumberFormat="1" applyFont="1" applyFill="1" applyBorder="1"/>
    <xf numFmtId="41" fontId="0" fillId="39" borderId="14" xfId="0" applyNumberFormat="1" applyFill="1" applyBorder="1"/>
    <xf numFmtId="172" fontId="5" fillId="0" borderId="0" xfId="43" applyNumberFormat="1" applyBorder="1"/>
    <xf numFmtId="172" fontId="12" fillId="0" borderId="0" xfId="43" applyNumberFormat="1" applyFont="1"/>
    <xf numFmtId="0" fontId="0" fillId="29" borderId="0" xfId="23" applyNumberFormat="1" applyFont="1" applyFill="1"/>
    <xf numFmtId="0" fontId="0" fillId="29" borderId="0" xfId="0" applyNumberFormat="1" applyFill="1"/>
    <xf numFmtId="0" fontId="59" fillId="34" borderId="0" xfId="0" applyFont="1" applyFill="1" applyBorder="1"/>
    <xf numFmtId="0" fontId="7" fillId="0" borderId="0" xfId="0" applyFont="1" applyAlignment="1">
      <alignment horizontal="center"/>
    </xf>
    <xf numFmtId="43" fontId="7" fillId="39" borderId="52" xfId="0" applyNumberFormat="1" applyFont="1" applyFill="1" applyBorder="1" applyAlignment="1">
      <alignment horizontal="center"/>
    </xf>
    <xf numFmtId="169" fontId="6" fillId="41" borderId="35" xfId="23" applyNumberFormat="1" applyFont="1" applyFill="1" applyBorder="1"/>
    <xf numFmtId="2" fontId="7" fillId="0" borderId="18" xfId="43" applyNumberFormat="1" applyFont="1" applyBorder="1"/>
    <xf numFmtId="2" fontId="7" fillId="0" borderId="19" xfId="43" applyNumberFormat="1" applyFont="1" applyBorder="1"/>
    <xf numFmtId="2" fontId="7" fillId="0" borderId="20" xfId="43" applyNumberFormat="1" applyFont="1" applyBorder="1"/>
    <xf numFmtId="169" fontId="6" fillId="0" borderId="35" xfId="23" applyNumberFormat="1" applyFont="1" applyBorder="1"/>
    <xf numFmtId="10" fontId="7" fillId="0" borderId="26" xfId="43" applyNumberFormat="1" applyFont="1" applyBorder="1"/>
    <xf numFmtId="10" fontId="7" fillId="0" borderId="27" xfId="43" applyNumberFormat="1" applyFont="1" applyBorder="1"/>
    <xf numFmtId="10" fontId="7" fillId="0" borderId="30" xfId="43" applyNumberFormat="1" applyFont="1" applyBorder="1"/>
    <xf numFmtId="10" fontId="7" fillId="0" borderId="21" xfId="43" applyNumberFormat="1" applyFont="1" applyBorder="1"/>
    <xf numFmtId="10" fontId="7" fillId="0" borderId="22" xfId="43" applyNumberFormat="1" applyFont="1" applyBorder="1"/>
    <xf numFmtId="10" fontId="7" fillId="0" borderId="24" xfId="43" applyNumberFormat="1" applyFont="1" applyBorder="1"/>
    <xf numFmtId="10" fontId="7" fillId="0" borderId="25" xfId="43" applyNumberFormat="1" applyFont="1" applyBorder="1"/>
    <xf numFmtId="169" fontId="6" fillId="0" borderId="37" xfId="23" applyNumberFormat="1" applyFont="1" applyBorder="1"/>
    <xf numFmtId="169" fontId="6" fillId="0" borderId="37" xfId="0" applyNumberFormat="1" applyFont="1" applyBorder="1"/>
    <xf numFmtId="169" fontId="6" fillId="0" borderId="35" xfId="23" applyNumberFormat="1" applyFont="1" applyFill="1" applyBorder="1"/>
    <xf numFmtId="43" fontId="7" fillId="0" borderId="34" xfId="0" applyNumberFormat="1" applyFont="1" applyBorder="1"/>
    <xf numFmtId="43" fontId="7" fillId="0" borderId="42" xfId="0" applyNumberFormat="1" applyFont="1" applyBorder="1"/>
    <xf numFmtId="43" fontId="7" fillId="0" borderId="16" xfId="0" applyNumberFormat="1" applyFont="1" applyBorder="1"/>
    <xf numFmtId="0" fontId="53" fillId="34" borderId="0" xfId="0" applyFont="1" applyFill="1" applyBorder="1" applyAlignment="1">
      <alignment horizontal="center"/>
    </xf>
    <xf numFmtId="0" fontId="43" fillId="34" borderId="0" xfId="0" applyFont="1" applyFill="1" applyBorder="1" applyAlignment="1">
      <alignment horizontal="left" vertical="center"/>
    </xf>
    <xf numFmtId="169" fontId="7" fillId="0" borderId="0" xfId="0" applyNumberFormat="1" applyFont="1" applyFill="1" applyBorder="1"/>
    <xf numFmtId="0" fontId="0" fillId="39" borderId="13" xfId="0" applyFill="1" applyBorder="1" applyAlignment="1" applyProtection="1">
      <alignment horizontal="center"/>
    </xf>
    <xf numFmtId="0" fontId="6" fillId="0" borderId="29" xfId="0" applyFont="1" applyBorder="1"/>
    <xf numFmtId="0" fontId="13" fillId="0" borderId="0" xfId="0" applyFont="1" applyBorder="1"/>
    <xf numFmtId="0" fontId="0" fillId="0" borderId="34" xfId="0" applyBorder="1"/>
    <xf numFmtId="0" fontId="0" fillId="0" borderId="42" xfId="0" applyBorder="1"/>
    <xf numFmtId="0" fontId="13" fillId="0" borderId="0" xfId="0" applyFont="1" applyFill="1" applyBorder="1"/>
    <xf numFmtId="0" fontId="6" fillId="39" borderId="13" xfId="0" applyFont="1" applyFill="1" applyBorder="1" applyProtection="1"/>
    <xf numFmtId="39" fontId="0" fillId="0" borderId="0" xfId="43" applyNumberFormat="1" applyFont="1"/>
    <xf numFmtId="4" fontId="0" fillId="0" borderId="0" xfId="43" applyNumberFormat="1" applyFont="1"/>
    <xf numFmtId="173" fontId="0" fillId="0" borderId="0" xfId="24" applyNumberFormat="1" applyFont="1" applyBorder="1"/>
    <xf numFmtId="169" fontId="7" fillId="0" borderId="23" xfId="23" applyNumberFormat="1" applyFont="1" applyBorder="1"/>
    <xf numFmtId="0" fontId="53" fillId="0" borderId="0" xfId="0" applyFont="1"/>
    <xf numFmtId="0" fontId="6" fillId="34" borderId="0" xfId="0" applyFont="1" applyFill="1" applyBorder="1" applyAlignment="1">
      <alignment horizontal="right" vertical="center"/>
    </xf>
    <xf numFmtId="3" fontId="7" fillId="34" borderId="0" xfId="0" applyNumberFormat="1" applyFont="1" applyFill="1" applyBorder="1" applyAlignment="1">
      <alignment horizontal="center" vertical="center"/>
    </xf>
    <xf numFmtId="0" fontId="44" fillId="34" borderId="0" xfId="0" applyFont="1" applyFill="1" applyBorder="1"/>
    <xf numFmtId="3" fontId="6" fillId="0" borderId="0" xfId="24" applyNumberFormat="1" applyFont="1" applyFill="1" applyBorder="1" applyAlignment="1" applyProtection="1">
      <alignment horizontal="center" vertical="center"/>
    </xf>
    <xf numFmtId="3" fontId="7" fillId="34" borderId="0" xfId="0" applyNumberFormat="1" applyFont="1" applyFill="1" applyBorder="1" applyAlignment="1" applyProtection="1">
      <alignment horizontal="center" vertical="center"/>
    </xf>
    <xf numFmtId="3" fontId="7" fillId="0" borderId="0" xfId="0" applyNumberFormat="1" applyFont="1" applyFill="1" applyBorder="1" applyAlignment="1" applyProtection="1">
      <alignment horizontal="center" vertical="center"/>
    </xf>
    <xf numFmtId="3" fontId="6" fillId="0" borderId="0" xfId="0" applyNumberFormat="1" applyFont="1" applyFill="1" applyBorder="1" applyAlignment="1" applyProtection="1">
      <alignment horizontal="center" vertical="center"/>
    </xf>
    <xf numFmtId="0" fontId="7" fillId="0" borderId="25" xfId="0" applyFont="1" applyBorder="1" applyAlignment="1">
      <alignment horizontal="right"/>
    </xf>
    <xf numFmtId="172" fontId="7" fillId="0" borderId="28" xfId="43" applyNumberFormat="1" applyFont="1" applyBorder="1"/>
    <xf numFmtId="10" fontId="0" fillId="0" borderId="0" xfId="43" applyNumberFormat="1" applyFont="1" applyFill="1" applyBorder="1"/>
    <xf numFmtId="169" fontId="0" fillId="0" borderId="0" xfId="23" applyNumberFormat="1" applyFont="1" applyFill="1" applyBorder="1"/>
    <xf numFmtId="0" fontId="8" fillId="0" borderId="28" xfId="0" applyFont="1" applyFill="1" applyBorder="1"/>
    <xf numFmtId="0" fontId="0" fillId="0" borderId="0" xfId="0" applyBorder="1" applyAlignment="1">
      <alignment horizontal="center"/>
    </xf>
    <xf numFmtId="0" fontId="14" fillId="27" borderId="0" xfId="0" applyFont="1" applyFill="1" applyBorder="1" applyAlignment="1">
      <alignment horizontal="center"/>
    </xf>
    <xf numFmtId="0" fontId="6" fillId="0" borderId="50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7" fillId="0" borderId="51" xfId="0" applyFont="1" applyFill="1" applyBorder="1"/>
    <xf numFmtId="0" fontId="17" fillId="0" borderId="19" xfId="0" applyFont="1" applyFill="1" applyBorder="1"/>
    <xf numFmtId="0" fontId="8" fillId="0" borderId="19" xfId="0" applyFont="1" applyFill="1" applyBorder="1"/>
    <xf numFmtId="169" fontId="7" fillId="0" borderId="0" xfId="23" applyNumberFormat="1" applyFont="1" applyBorder="1" applyAlignment="1">
      <alignment horizontal="center"/>
    </xf>
    <xf numFmtId="10" fontId="7" fillId="0" borderId="0" xfId="30" applyNumberFormat="1" applyFont="1" applyBorder="1" applyAlignment="1">
      <alignment horizontal="center"/>
    </xf>
    <xf numFmtId="43" fontId="7" fillId="0" borderId="28" xfId="0" applyNumberFormat="1" applyFont="1" applyBorder="1"/>
    <xf numFmtId="0" fontId="50" fillId="29" borderId="0" xfId="0" applyFont="1" applyFill="1" applyBorder="1"/>
    <xf numFmtId="3" fontId="6" fillId="0" borderId="19" xfId="0" applyNumberFormat="1" applyFont="1" applyBorder="1" applyAlignment="1">
      <alignment horizontal="center"/>
    </xf>
    <xf numFmtId="3" fontId="14" fillId="27" borderId="0" xfId="0" applyNumberFormat="1" applyFont="1" applyFill="1" applyBorder="1" applyAlignment="1">
      <alignment horizontal="center"/>
    </xf>
    <xf numFmtId="3" fontId="6" fillId="0" borderId="19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right"/>
    </xf>
    <xf numFmtId="0" fontId="7" fillId="0" borderId="22" xfId="0" applyFont="1" applyFill="1" applyBorder="1" applyAlignment="1">
      <alignment horizontal="right"/>
    </xf>
    <xf numFmtId="0" fontId="7" fillId="0" borderId="21" xfId="0" applyNumberFormat="1" applyFont="1" applyFill="1" applyBorder="1"/>
    <xf numFmtId="43" fontId="7" fillId="39" borderId="54" xfId="0" applyNumberFormat="1" applyFont="1" applyFill="1" applyBorder="1" applyAlignment="1">
      <alignment horizontal="center"/>
    </xf>
    <xf numFmtId="0" fontId="7" fillId="0" borderId="55" xfId="0" applyFont="1" applyFill="1" applyBorder="1"/>
    <xf numFmtId="172" fontId="7" fillId="39" borderId="56" xfId="43" applyNumberFormat="1" applyFont="1" applyFill="1" applyBorder="1"/>
    <xf numFmtId="0" fontId="0" fillId="0" borderId="57" xfId="0" applyBorder="1"/>
    <xf numFmtId="172" fontId="0" fillId="39" borderId="58" xfId="43" applyNumberFormat="1" applyFont="1" applyFill="1" applyBorder="1"/>
    <xf numFmtId="0" fontId="0" fillId="39" borderId="24" xfId="0" applyFill="1" applyBorder="1"/>
    <xf numFmtId="0" fontId="0" fillId="39" borderId="23" xfId="0" applyFill="1" applyBorder="1"/>
    <xf numFmtId="172" fontId="0" fillId="39" borderId="23" xfId="43" applyNumberFormat="1" applyFont="1" applyFill="1" applyBorder="1"/>
    <xf numFmtId="169" fontId="0" fillId="39" borderId="25" xfId="23" applyNumberFormat="1" applyFont="1" applyFill="1" applyBorder="1"/>
    <xf numFmtId="0" fontId="6" fillId="0" borderId="24" xfId="0" applyFont="1" applyFill="1" applyBorder="1"/>
    <xf numFmtId="0" fontId="6" fillId="0" borderId="18" xfId="0" applyFont="1" applyFill="1" applyBorder="1"/>
    <xf numFmtId="169" fontId="6" fillId="0" borderId="18" xfId="23" applyNumberFormat="1" applyFont="1" applyFill="1" applyBorder="1"/>
    <xf numFmtId="0" fontId="6" fillId="0" borderId="19" xfId="0" applyFont="1" applyFill="1" applyBorder="1"/>
    <xf numFmtId="0" fontId="6" fillId="0" borderId="18" xfId="0" applyFont="1" applyFill="1" applyBorder="1" applyAlignment="1">
      <alignment horizontal="right"/>
    </xf>
    <xf numFmtId="169" fontId="6" fillId="0" borderId="17" xfId="23" applyNumberFormat="1" applyFont="1" applyFill="1" applyBorder="1" applyAlignment="1">
      <alignment horizontal="right"/>
    </xf>
    <xf numFmtId="0" fontId="6" fillId="0" borderId="20" xfId="0" applyFont="1" applyFill="1" applyBorder="1"/>
    <xf numFmtId="3" fontId="0" fillId="0" borderId="28" xfId="0" applyNumberFormat="1" applyBorder="1"/>
    <xf numFmtId="0" fontId="7" fillId="39" borderId="54" xfId="0" applyFont="1" applyFill="1" applyBorder="1" applyAlignment="1">
      <alignment horizontal="center"/>
    </xf>
    <xf numFmtId="0" fontId="7" fillId="0" borderId="55" xfId="0" applyFont="1" applyBorder="1"/>
    <xf numFmtId="172" fontId="7" fillId="39" borderId="22" xfId="43" applyNumberFormat="1" applyFont="1" applyFill="1" applyBorder="1"/>
    <xf numFmtId="172" fontId="0" fillId="39" borderId="22" xfId="43" applyNumberFormat="1" applyFont="1" applyFill="1" applyBorder="1"/>
    <xf numFmtId="0" fontId="0" fillId="39" borderId="59" xfId="0" applyFill="1" applyBorder="1"/>
    <xf numFmtId="0" fontId="0" fillId="39" borderId="50" xfId="0" applyFill="1" applyBorder="1"/>
    <xf numFmtId="10" fontId="0" fillId="39" borderId="50" xfId="43" applyNumberFormat="1" applyFont="1" applyFill="1" applyBorder="1"/>
    <xf numFmtId="41" fontId="0" fillId="39" borderId="60" xfId="43" applyNumberFormat="1" applyFont="1" applyFill="1" applyBorder="1"/>
    <xf numFmtId="0" fontId="7" fillId="0" borderId="16" xfId="0" applyFont="1" applyBorder="1" applyAlignment="1">
      <alignment horizontal="right"/>
    </xf>
    <xf numFmtId="169" fontId="6" fillId="0" borderId="18" xfId="23" applyNumberFormat="1" applyFont="1" applyBorder="1"/>
    <xf numFmtId="43" fontId="7" fillId="0" borderId="19" xfId="23" applyFont="1" applyBorder="1"/>
    <xf numFmtId="43" fontId="7" fillId="0" borderId="20" xfId="23" applyFont="1" applyBorder="1"/>
    <xf numFmtId="0" fontId="6" fillId="0" borderId="18" xfId="0" applyFont="1" applyBorder="1" applyAlignment="1">
      <alignment horizontal="right"/>
    </xf>
    <xf numFmtId="169" fontId="6" fillId="0" borderId="17" xfId="0" applyNumberFormat="1" applyFont="1" applyBorder="1"/>
    <xf numFmtId="0" fontId="6" fillId="0" borderId="20" xfId="0" applyFont="1" applyBorder="1"/>
    <xf numFmtId="0" fontId="7" fillId="0" borderId="22" xfId="0" applyFont="1" applyBorder="1" applyAlignment="1">
      <alignment horizontal="right"/>
    </xf>
    <xf numFmtId="0" fontId="7" fillId="0" borderId="21" xfId="0" applyNumberFormat="1" applyFont="1" applyBorder="1"/>
    <xf numFmtId="0" fontId="7" fillId="0" borderId="57" xfId="0" applyFont="1" applyBorder="1"/>
    <xf numFmtId="10" fontId="0" fillId="39" borderId="50" xfId="0" applyNumberFormat="1" applyFill="1" applyBorder="1"/>
    <xf numFmtId="41" fontId="0" fillId="39" borderId="60" xfId="0" applyNumberFormat="1" applyFill="1" applyBorder="1"/>
    <xf numFmtId="169" fontId="0" fillId="39" borderId="60" xfId="23" applyNumberFormat="1" applyFont="1" applyFill="1" applyBorder="1"/>
    <xf numFmtId="169" fontId="6" fillId="0" borderId="17" xfId="23" applyNumberFormat="1" applyFont="1" applyBorder="1"/>
    <xf numFmtId="0" fontId="61" fillId="0" borderId="0" xfId="0" applyFont="1" applyAlignment="1">
      <alignment vertical="top" wrapText="1"/>
    </xf>
    <xf numFmtId="41" fontId="0" fillId="0" borderId="0" xfId="24" applyFont="1" applyFill="1" applyBorder="1"/>
    <xf numFmtId="22" fontId="0" fillId="0" borderId="41" xfId="0" applyNumberFormat="1" applyBorder="1"/>
    <xf numFmtId="0" fontId="50" fillId="29" borderId="0" xfId="0" applyFont="1" applyFill="1" applyBorder="1" applyAlignment="1">
      <alignment horizontal="right"/>
    </xf>
    <xf numFmtId="0" fontId="0" fillId="27" borderId="31" xfId="0" applyFill="1" applyBorder="1"/>
    <xf numFmtId="0" fontId="0" fillId="0" borderId="31" xfId="0" applyFill="1" applyBorder="1"/>
    <xf numFmtId="3" fontId="6" fillId="0" borderId="31" xfId="0" applyNumberFormat="1" applyFont="1" applyBorder="1"/>
    <xf numFmtId="3" fontId="7" fillId="0" borderId="31" xfId="0" applyNumberFormat="1" applyFont="1" applyBorder="1"/>
    <xf numFmtId="41" fontId="0" fillId="0" borderId="31" xfId="24" applyFont="1" applyFill="1" applyBorder="1"/>
    <xf numFmtId="3" fontId="11" fillId="0" borderId="31" xfId="0" applyNumberFormat="1" applyFont="1" applyFill="1" applyBorder="1"/>
    <xf numFmtId="3" fontId="0" fillId="0" borderId="31" xfId="0" applyNumberFormat="1" applyBorder="1"/>
    <xf numFmtId="3" fontId="0" fillId="0" borderId="31" xfId="0" applyNumberFormat="1" applyFill="1" applyBorder="1"/>
    <xf numFmtId="3" fontId="0" fillId="27" borderId="31" xfId="0" applyNumberFormat="1" applyFill="1" applyBorder="1"/>
    <xf numFmtId="0" fontId="50" fillId="29" borderId="31" xfId="0" applyFont="1" applyFill="1" applyBorder="1"/>
    <xf numFmtId="0" fontId="14" fillId="27" borderId="31" xfId="0" applyFont="1" applyFill="1" applyBorder="1" applyAlignment="1">
      <alignment horizontal="center"/>
    </xf>
    <xf numFmtId="3" fontId="6" fillId="0" borderId="33" xfId="0" applyNumberFormat="1" applyFont="1" applyBorder="1"/>
    <xf numFmtId="3" fontId="6" fillId="0" borderId="50" xfId="0" applyNumberFormat="1" applyFont="1" applyBorder="1" applyAlignment="1">
      <alignment horizontal="center"/>
    </xf>
    <xf numFmtId="3" fontId="6" fillId="0" borderId="39" xfId="0" applyNumberFormat="1" applyFont="1" applyBorder="1" applyAlignment="1">
      <alignment horizontal="center"/>
    </xf>
    <xf numFmtId="3" fontId="6" fillId="0" borderId="61" xfId="0" applyNumberFormat="1" applyFont="1" applyBorder="1" applyAlignment="1">
      <alignment horizontal="center"/>
    </xf>
    <xf numFmtId="3" fontId="6" fillId="0" borderId="61" xfId="0" applyNumberFormat="1" applyFont="1" applyFill="1" applyBorder="1" applyAlignment="1">
      <alignment horizontal="center"/>
    </xf>
    <xf numFmtId="9" fontId="7" fillId="0" borderId="31" xfId="43" applyFont="1" applyBorder="1"/>
    <xf numFmtId="172" fontId="7" fillId="0" borderId="31" xfId="43" applyNumberFormat="1" applyFont="1" applyBorder="1"/>
    <xf numFmtId="4" fontId="7" fillId="0" borderId="31" xfId="0" applyNumberFormat="1" applyFont="1" applyBorder="1"/>
    <xf numFmtId="172" fontId="0" fillId="0" borderId="0" xfId="43" applyNumberFormat="1" applyFont="1" applyBorder="1"/>
    <xf numFmtId="43" fontId="7" fillId="0" borderId="31" xfId="23" applyFont="1" applyBorder="1"/>
    <xf numFmtId="169" fontId="7" fillId="0" borderId="31" xfId="23" applyNumberFormat="1" applyFont="1" applyBorder="1"/>
    <xf numFmtId="3" fontId="0" fillId="0" borderId="33" xfId="0" applyNumberFormat="1" applyBorder="1"/>
    <xf numFmtId="173" fontId="6" fillId="0" borderId="31" xfId="30" applyNumberFormat="1" applyFont="1" applyBorder="1"/>
    <xf numFmtId="173" fontId="6" fillId="0" borderId="31" xfId="0" applyNumberFormat="1" applyFont="1" applyBorder="1"/>
    <xf numFmtId="173" fontId="7" fillId="0" borderId="31" xfId="0" applyNumberFormat="1" applyFont="1" applyBorder="1"/>
    <xf numFmtId="169" fontId="6" fillId="0" borderId="31" xfId="0" applyNumberFormat="1" applyFont="1" applyBorder="1"/>
    <xf numFmtId="169" fontId="7" fillId="0" borderId="31" xfId="0" applyNumberFormat="1" applyFont="1" applyBorder="1"/>
    <xf numFmtId="44" fontId="7" fillId="0" borderId="31" xfId="30" applyFont="1" applyBorder="1"/>
    <xf numFmtId="43" fontId="0" fillId="0" borderId="31" xfId="23" applyFont="1" applyBorder="1"/>
    <xf numFmtId="173" fontId="7" fillId="0" borderId="31" xfId="30" applyNumberFormat="1" applyFont="1" applyBorder="1"/>
    <xf numFmtId="173" fontId="7" fillId="0" borderId="31" xfId="23" applyNumberFormat="1" applyFont="1" applyBorder="1"/>
    <xf numFmtId="44" fontId="7" fillId="0" borderId="31" xfId="23" applyNumberFormat="1" applyFont="1" applyBorder="1"/>
    <xf numFmtId="3" fontId="14" fillId="27" borderId="31" xfId="0" applyNumberFormat="1" applyFont="1" applyFill="1" applyBorder="1" applyAlignment="1">
      <alignment horizontal="center"/>
    </xf>
    <xf numFmtId="3" fontId="8" fillId="0" borderId="28" xfId="0" applyNumberFormat="1" applyFont="1" applyFill="1" applyBorder="1" applyAlignment="1">
      <alignment horizontal="center"/>
    </xf>
    <xf numFmtId="3" fontId="8" fillId="0" borderId="33" xfId="0" applyNumberFormat="1" applyFont="1" applyFill="1" applyBorder="1" applyAlignment="1">
      <alignment horizontal="center"/>
    </xf>
    <xf numFmtId="172" fontId="12" fillId="0" borderId="0" xfId="23" applyNumberFormat="1" applyFont="1" applyBorder="1"/>
    <xf numFmtId="172" fontId="12" fillId="0" borderId="31" xfId="43" applyNumberFormat="1" applyFont="1" applyBorder="1"/>
    <xf numFmtId="0" fontId="7" fillId="0" borderId="30" xfId="0" applyFont="1" applyBorder="1" applyAlignment="1">
      <alignment horizontal="right"/>
    </xf>
    <xf numFmtId="0" fontId="7" fillId="27" borderId="27" xfId="0" applyFont="1" applyFill="1" applyBorder="1" applyAlignment="1">
      <alignment horizontal="center"/>
    </xf>
    <xf numFmtId="169" fontId="11" fillId="27" borderId="27" xfId="23" applyNumberFormat="1" applyFont="1" applyFill="1" applyBorder="1"/>
    <xf numFmtId="0" fontId="7" fillId="0" borderId="30" xfId="0" applyFont="1" applyBorder="1"/>
    <xf numFmtId="43" fontId="7" fillId="27" borderId="27" xfId="23" applyFont="1" applyFill="1" applyBorder="1"/>
    <xf numFmtId="0" fontId="24" fillId="27" borderId="21" xfId="0" applyFont="1" applyFill="1" applyBorder="1"/>
    <xf numFmtId="3" fontId="11" fillId="27" borderId="0" xfId="43" applyNumberFormat="1" applyFont="1" applyFill="1" applyBorder="1"/>
    <xf numFmtId="3" fontId="7" fillId="0" borderId="0" xfId="43" applyNumberFormat="1" applyFont="1" applyFill="1" applyBorder="1"/>
    <xf numFmtId="169" fontId="11" fillId="27" borderId="27" xfId="23" applyNumberFormat="1" applyFont="1" applyFill="1" applyBorder="1" applyAlignment="1">
      <alignment horizontal="center"/>
    </xf>
    <xf numFmtId="0" fontId="7" fillId="27" borderId="0" xfId="0" applyFont="1" applyFill="1" applyBorder="1"/>
    <xf numFmtId="172" fontId="13" fillId="0" borderId="0" xfId="43" applyNumberFormat="1" applyFont="1" applyBorder="1"/>
    <xf numFmtId="169" fontId="6" fillId="0" borderId="0" xfId="0" applyNumberFormat="1" applyFont="1" applyBorder="1"/>
    <xf numFmtId="169" fontId="6" fillId="0" borderId="0" xfId="23" applyNumberFormat="1" applyFont="1" applyBorder="1"/>
    <xf numFmtId="4" fontId="0" fillId="0" borderId="0" xfId="0" applyNumberFormat="1" applyBorder="1"/>
    <xf numFmtId="172" fontId="12" fillId="0" borderId="0" xfId="0" applyNumberFormat="1" applyFont="1" applyBorder="1"/>
    <xf numFmtId="169" fontId="0" fillId="38" borderId="0" xfId="24" applyNumberFormat="1" applyFont="1" applyFill="1"/>
    <xf numFmtId="172" fontId="0" fillId="0" borderId="0" xfId="43" applyNumberFormat="1" applyFont="1" applyFill="1" applyBorder="1"/>
    <xf numFmtId="10" fontId="0" fillId="0" borderId="0" xfId="0" applyNumberFormat="1" applyFill="1" applyBorder="1"/>
    <xf numFmtId="172" fontId="61" fillId="0" borderId="0" xfId="43" applyNumberFormat="1" applyFont="1" applyAlignment="1">
      <alignment vertical="top" wrapText="1"/>
    </xf>
    <xf numFmtId="10" fontId="0" fillId="39" borderId="17" xfId="0" applyNumberFormat="1" applyFill="1" applyBorder="1"/>
    <xf numFmtId="169" fontId="0" fillId="37" borderId="0" xfId="23" applyNumberFormat="1" applyFont="1" applyFill="1"/>
    <xf numFmtId="41" fontId="0" fillId="38" borderId="0" xfId="43" applyNumberFormat="1" applyFont="1" applyFill="1"/>
    <xf numFmtId="1" fontId="0" fillId="38" borderId="0" xfId="0" applyNumberFormat="1" applyFill="1"/>
    <xf numFmtId="1" fontId="0" fillId="0" borderId="0" xfId="0" applyNumberFormat="1" applyFill="1"/>
    <xf numFmtId="41" fontId="6" fillId="0" borderId="0" xfId="43" applyNumberFormat="1" applyFont="1"/>
    <xf numFmtId="0" fontId="25" fillId="0" borderId="0" xfId="0" applyFont="1"/>
    <xf numFmtId="173" fontId="6" fillId="0" borderId="0" xfId="30" applyNumberFormat="1" applyFont="1"/>
    <xf numFmtId="0" fontId="62" fillId="0" borderId="0" xfId="0" applyFont="1" applyBorder="1"/>
    <xf numFmtId="44" fontId="6" fillId="0" borderId="0" xfId="30" applyFont="1" applyBorder="1"/>
    <xf numFmtId="172" fontId="12" fillId="0" borderId="28" xfId="43" applyNumberFormat="1" applyFont="1" applyBorder="1"/>
    <xf numFmtId="0" fontId="7" fillId="0" borderId="0" xfId="0" applyFont="1" applyFill="1" applyBorder="1" applyProtection="1"/>
    <xf numFmtId="169" fontId="7" fillId="0" borderId="0" xfId="0" applyNumberFormat="1" applyFont="1" applyBorder="1"/>
    <xf numFmtId="0" fontId="63" fillId="0" borderId="0" xfId="0" applyFont="1"/>
    <xf numFmtId="0" fontId="26" fillId="48" borderId="0" xfId="0" applyFont="1" applyFill="1" applyBorder="1"/>
    <xf numFmtId="0" fontId="29" fillId="48" borderId="0" xfId="0" applyFont="1" applyFill="1" applyBorder="1"/>
    <xf numFmtId="0" fontId="64" fillId="34" borderId="0" xfId="0" applyFont="1" applyFill="1" applyBorder="1"/>
    <xf numFmtId="0" fontId="64" fillId="34" borderId="31" xfId="0" applyFont="1" applyFill="1" applyBorder="1"/>
    <xf numFmtId="0" fontId="64" fillId="48" borderId="14" xfId="0" applyFont="1" applyFill="1" applyBorder="1"/>
    <xf numFmtId="0" fontId="64" fillId="48" borderId="15" xfId="0" applyFont="1" applyFill="1" applyBorder="1"/>
    <xf numFmtId="0" fontId="64" fillId="34" borderId="11" xfId="0" applyFont="1" applyFill="1" applyBorder="1"/>
    <xf numFmtId="0" fontId="67" fillId="34" borderId="40" xfId="0" applyFont="1" applyFill="1" applyBorder="1"/>
    <xf numFmtId="0" fontId="64" fillId="34" borderId="40" xfId="0" applyFont="1" applyFill="1" applyBorder="1"/>
    <xf numFmtId="0" fontId="64" fillId="34" borderId="41" xfId="0" applyFont="1" applyFill="1" applyBorder="1"/>
    <xf numFmtId="0" fontId="64" fillId="34" borderId="29" xfId="0" applyFont="1" applyFill="1" applyBorder="1"/>
    <xf numFmtId="0" fontId="67" fillId="34" borderId="0" xfId="0" applyFont="1" applyFill="1" applyBorder="1"/>
    <xf numFmtId="0" fontId="69" fillId="34" borderId="0" xfId="0" applyFont="1" applyFill="1" applyBorder="1" applyAlignment="1">
      <alignment horizontal="centerContinuous" vertical="center"/>
    </xf>
    <xf numFmtId="0" fontId="64" fillId="34" borderId="0" xfId="0" applyFont="1" applyFill="1" applyBorder="1" applyAlignment="1">
      <alignment horizontal="centerContinuous" vertical="center"/>
    </xf>
    <xf numFmtId="0" fontId="70" fillId="34" borderId="0" xfId="0" applyFont="1" applyFill="1" applyAlignment="1">
      <alignment horizontal="centerContinuous"/>
    </xf>
    <xf numFmtId="0" fontId="65" fillId="34" borderId="0" xfId="0" applyFont="1" applyFill="1" applyBorder="1" applyAlignment="1">
      <alignment horizontal="centerContinuous"/>
    </xf>
    <xf numFmtId="0" fontId="64" fillId="48" borderId="32" xfId="0" applyFont="1" applyFill="1" applyBorder="1"/>
    <xf numFmtId="0" fontId="64" fillId="48" borderId="28" xfId="0" applyFont="1" applyFill="1" applyBorder="1"/>
    <xf numFmtId="0" fontId="64" fillId="48" borderId="33" xfId="0" applyFont="1" applyFill="1" applyBorder="1"/>
    <xf numFmtId="0" fontId="64" fillId="0" borderId="29" xfId="0" applyFont="1" applyFill="1" applyBorder="1"/>
    <xf numFmtId="0" fontId="64" fillId="0" borderId="0" xfId="0" applyFont="1" applyFill="1" applyBorder="1"/>
    <xf numFmtId="0" fontId="64" fillId="0" borderId="0" xfId="0" applyFont="1" applyFill="1"/>
    <xf numFmtId="0" fontId="66" fillId="0" borderId="0" xfId="0" applyFont="1" applyFill="1" applyBorder="1" applyAlignment="1">
      <alignment horizontal="centerContinuous"/>
    </xf>
    <xf numFmtId="0" fontId="71" fillId="0" borderId="0" xfId="0" applyFont="1" applyFill="1" applyBorder="1"/>
    <xf numFmtId="0" fontId="64" fillId="0" borderId="31" xfId="0" applyFont="1" applyFill="1" applyBorder="1"/>
    <xf numFmtId="0" fontId="36" fillId="48" borderId="0" xfId="0" applyFont="1" applyFill="1" applyBorder="1" applyAlignment="1">
      <alignment horizontal="centerContinuous"/>
    </xf>
    <xf numFmtId="0" fontId="14" fillId="48" borderId="0" xfId="0" applyFont="1" applyFill="1" applyBorder="1" applyAlignment="1">
      <alignment horizontal="centerContinuous"/>
    </xf>
    <xf numFmtId="172" fontId="8" fillId="0" borderId="0" xfId="43" applyNumberFormat="1" applyFont="1" applyBorder="1"/>
    <xf numFmtId="172" fontId="8" fillId="0" borderId="31" xfId="43" applyNumberFormat="1" applyFont="1" applyBorder="1"/>
    <xf numFmtId="169" fontId="8" fillId="0" borderId="0" xfId="23" applyNumberFormat="1" applyFont="1" applyBorder="1"/>
    <xf numFmtId="169" fontId="8" fillId="0" borderId="0" xfId="0" applyNumberFormat="1" applyFont="1" applyBorder="1"/>
    <xf numFmtId="169" fontId="8" fillId="0" borderId="31" xfId="0" applyNumberFormat="1" applyFont="1" applyBorder="1"/>
    <xf numFmtId="0" fontId="60" fillId="0" borderId="0" xfId="0" applyFont="1" applyBorder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right" vertical="top" wrapText="1"/>
    </xf>
    <xf numFmtId="0" fontId="0" fillId="0" borderId="28" xfId="0" applyBorder="1" applyAlignment="1">
      <alignment vertical="top"/>
    </xf>
    <xf numFmtId="0" fontId="0" fillId="0" borderId="28" xfId="0" applyBorder="1" applyAlignment="1">
      <alignment horizontal="right" vertical="top" wrapText="1"/>
    </xf>
    <xf numFmtId="0" fontId="0" fillId="0" borderId="0" xfId="0" applyAlignment="1">
      <alignment vertical="top"/>
    </xf>
    <xf numFmtId="173" fontId="0" fillId="0" borderId="0" xfId="0" applyNumberFormat="1"/>
    <xf numFmtId="39" fontId="0" fillId="0" borderId="0" xfId="0" applyNumberFormat="1"/>
    <xf numFmtId="41" fontId="13" fillId="0" borderId="0" xfId="24" applyFont="1"/>
    <xf numFmtId="0" fontId="0" fillId="34" borderId="0" xfId="0" applyFill="1" applyAlignment="1">
      <alignment horizontal="center"/>
    </xf>
    <xf numFmtId="41" fontId="0" fillId="39" borderId="0" xfId="24" applyFont="1" applyFill="1"/>
    <xf numFmtId="0" fontId="0" fillId="0" borderId="17" xfId="0" applyFill="1" applyBorder="1"/>
    <xf numFmtId="0" fontId="5" fillId="0" borderId="0" xfId="0" applyFont="1"/>
    <xf numFmtId="0" fontId="73" fillId="27" borderId="0" xfId="0" applyFont="1" applyFill="1" applyBorder="1"/>
    <xf numFmtId="0" fontId="76" fillId="27" borderId="0" xfId="0" applyFont="1" applyFill="1" applyBorder="1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10" fontId="7" fillId="39" borderId="17" xfId="43" applyNumberFormat="1" applyFont="1" applyFill="1" applyBorder="1"/>
    <xf numFmtId="10" fontId="7" fillId="39" borderId="18" xfId="43" applyNumberFormat="1" applyFont="1" applyFill="1" applyBorder="1"/>
    <xf numFmtId="172" fontId="7" fillId="39" borderId="17" xfId="43" applyNumberFormat="1" applyFont="1" applyFill="1" applyBorder="1"/>
    <xf numFmtId="172" fontId="7" fillId="39" borderId="18" xfId="43" applyNumberFormat="1" applyFont="1" applyFill="1" applyBorder="1"/>
    <xf numFmtId="172" fontId="7" fillId="39" borderId="17" xfId="24" applyNumberFormat="1" applyFont="1" applyFill="1" applyBorder="1"/>
    <xf numFmtId="0" fontId="7" fillId="39" borderId="17" xfId="24" applyNumberFormat="1" applyFont="1" applyFill="1" applyBorder="1"/>
    <xf numFmtId="0" fontId="7" fillId="39" borderId="18" xfId="24" applyNumberFormat="1" applyFont="1" applyFill="1" applyBorder="1"/>
    <xf numFmtId="9" fontId="0" fillId="31" borderId="17" xfId="43" applyFont="1" applyFill="1" applyBorder="1"/>
    <xf numFmtId="172" fontId="0" fillId="39" borderId="17" xfId="43" applyNumberFormat="1" applyFont="1" applyFill="1" applyBorder="1"/>
    <xf numFmtId="9" fontId="0" fillId="31" borderId="17" xfId="0" applyNumberFormat="1" applyFill="1" applyBorder="1"/>
    <xf numFmtId="0" fontId="0" fillId="49" borderId="5" xfId="0" applyFill="1" applyBorder="1"/>
    <xf numFmtId="0" fontId="0" fillId="49" borderId="14" xfId="0" applyFill="1" applyBorder="1"/>
    <xf numFmtId="0" fontId="0" fillId="49" borderId="15" xfId="0" applyFill="1" applyBorder="1"/>
    <xf numFmtId="0" fontId="8" fillId="34" borderId="0" xfId="0" applyFont="1" applyFill="1" applyBorder="1"/>
    <xf numFmtId="0" fontId="34" fillId="34" borderId="0" xfId="0" applyFont="1" applyFill="1" applyBorder="1"/>
    <xf numFmtId="0" fontId="74" fillId="24" borderId="0" xfId="0" applyFont="1" applyFill="1"/>
    <xf numFmtId="0" fontId="77" fillId="34" borderId="11" xfId="0" applyFont="1" applyFill="1" applyBorder="1" applyAlignment="1" applyProtection="1">
      <alignment horizontal="centerContinuous"/>
    </xf>
    <xf numFmtId="0" fontId="77" fillId="34" borderId="40" xfId="0" applyFont="1" applyFill="1" applyBorder="1" applyAlignment="1" applyProtection="1">
      <alignment horizontal="centerContinuous"/>
    </xf>
    <xf numFmtId="0" fontId="77" fillId="34" borderId="41" xfId="0" applyFont="1" applyFill="1" applyBorder="1" applyAlignment="1" applyProtection="1">
      <alignment horizontal="centerContinuous"/>
    </xf>
    <xf numFmtId="0" fontId="74" fillId="34" borderId="29" xfId="0" applyFont="1" applyFill="1" applyBorder="1"/>
    <xf numFmtId="0" fontId="74" fillId="34" borderId="0" xfId="0" applyFont="1" applyFill="1" applyBorder="1"/>
    <xf numFmtId="0" fontId="74" fillId="34" borderId="31" xfId="0" applyFont="1" applyFill="1" applyBorder="1"/>
    <xf numFmtId="0" fontId="34" fillId="34" borderId="29" xfId="0" applyFont="1" applyFill="1" applyBorder="1"/>
    <xf numFmtId="0" fontId="50" fillId="34" borderId="31" xfId="0" applyFont="1" applyFill="1" applyBorder="1" applyAlignment="1" applyProtection="1">
      <alignment horizontal="right"/>
    </xf>
    <xf numFmtId="0" fontId="17" fillId="34" borderId="29" xfId="0" applyFont="1" applyFill="1" applyBorder="1"/>
    <xf numFmtId="0" fontId="17" fillId="34" borderId="0" xfId="0" applyFont="1" applyFill="1" applyBorder="1"/>
    <xf numFmtId="0" fontId="17" fillId="34" borderId="31" xfId="0" applyFont="1" applyFill="1" applyBorder="1"/>
    <xf numFmtId="0" fontId="78" fillId="34" borderId="29" xfId="0" applyFont="1" applyFill="1" applyBorder="1"/>
    <xf numFmtId="0" fontId="79" fillId="34" borderId="29" xfId="0" applyFont="1" applyFill="1" applyBorder="1"/>
    <xf numFmtId="0" fontId="17" fillId="34" borderId="64" xfId="0" applyFont="1" applyFill="1" applyBorder="1"/>
    <xf numFmtId="0" fontId="80" fillId="34" borderId="0" xfId="0" applyFont="1" applyFill="1" applyBorder="1"/>
    <xf numFmtId="0" fontId="17" fillId="34" borderId="0" xfId="0" applyFont="1" applyFill="1" applyBorder="1" applyAlignment="1">
      <alignment horizontal="center" wrapText="1"/>
    </xf>
    <xf numFmtId="0" fontId="17" fillId="34" borderId="65" xfId="0" applyFont="1" applyFill="1" applyBorder="1"/>
    <xf numFmtId="0" fontId="17" fillId="34" borderId="0" xfId="0" applyFont="1" applyFill="1" applyBorder="1" applyAlignment="1">
      <alignment horizontal="left" vertical="center"/>
    </xf>
    <xf numFmtId="3" fontId="20" fillId="34" borderId="0" xfId="0" applyNumberFormat="1" applyFont="1" applyFill="1" applyBorder="1" applyAlignment="1">
      <alignment horizontal="center" vertical="center"/>
    </xf>
    <xf numFmtId="0" fontId="17" fillId="34" borderId="0" xfId="0" applyFont="1" applyFill="1" applyBorder="1" applyAlignment="1">
      <alignment horizontal="right" vertical="center"/>
    </xf>
    <xf numFmtId="0" fontId="17" fillId="34" borderId="0" xfId="0" applyFont="1" applyFill="1" applyBorder="1" applyAlignment="1">
      <alignment horizontal="left"/>
    </xf>
    <xf numFmtId="0" fontId="74" fillId="34" borderId="0" xfId="0" applyFont="1" applyFill="1"/>
    <xf numFmtId="0" fontId="17" fillId="34" borderId="0" xfId="0" applyFont="1" applyFill="1" applyBorder="1" applyAlignment="1"/>
    <xf numFmtId="0" fontId="74" fillId="48" borderId="14" xfId="0" applyFont="1" applyFill="1" applyBorder="1"/>
    <xf numFmtId="0" fontId="81" fillId="24" borderId="0" xfId="0" applyFont="1" applyFill="1"/>
    <xf numFmtId="3" fontId="20" fillId="34" borderId="0" xfId="24" applyNumberFormat="1" applyFont="1" applyFill="1" applyBorder="1" applyAlignment="1" applyProtection="1">
      <alignment horizontal="center" vertical="center"/>
      <protection locked="0"/>
    </xf>
    <xf numFmtId="0" fontId="9" fillId="34" borderId="0" xfId="0" applyFont="1" applyFill="1" applyBorder="1"/>
    <xf numFmtId="0" fontId="17" fillId="34" borderId="64" xfId="0" applyFont="1" applyFill="1" applyBorder="1" applyAlignment="1"/>
    <xf numFmtId="0" fontId="74" fillId="24" borderId="0" xfId="0" applyFont="1" applyFill="1" applyAlignment="1"/>
    <xf numFmtId="0" fontId="9" fillId="34" borderId="0" xfId="0" applyFont="1" applyFill="1" applyBorder="1" applyAlignment="1">
      <alignment horizontal="center"/>
    </xf>
    <xf numFmtId="0" fontId="5" fillId="24" borderId="0" xfId="0" applyFont="1" applyFill="1"/>
    <xf numFmtId="0" fontId="0" fillId="33" borderId="27" xfId="0" applyFill="1" applyBorder="1"/>
    <xf numFmtId="41" fontId="0" fillId="0" borderId="27" xfId="24" applyFont="1" applyFill="1" applyBorder="1"/>
    <xf numFmtId="169" fontId="0" fillId="29" borderId="27" xfId="23" applyNumberFormat="1" applyFont="1" applyFill="1" applyBorder="1"/>
    <xf numFmtId="169" fontId="0" fillId="32" borderId="27" xfId="23" applyNumberFormat="1" applyFont="1" applyFill="1" applyBorder="1"/>
    <xf numFmtId="0" fontId="0" fillId="33" borderId="23" xfId="0" applyFill="1" applyBorder="1"/>
    <xf numFmtId="0" fontId="0" fillId="0" borderId="23" xfId="0" applyFill="1" applyBorder="1"/>
    <xf numFmtId="1" fontId="0" fillId="29" borderId="23" xfId="0" applyNumberFormat="1" applyFill="1" applyBorder="1"/>
    <xf numFmtId="1" fontId="0" fillId="32" borderId="23" xfId="0" applyNumberFormat="1" applyFill="1" applyBorder="1"/>
    <xf numFmtId="41" fontId="0" fillId="0" borderId="23" xfId="24" applyFont="1" applyFill="1" applyBorder="1"/>
    <xf numFmtId="169" fontId="0" fillId="29" borderId="23" xfId="23" applyNumberFormat="1" applyFont="1" applyFill="1" applyBorder="1"/>
    <xf numFmtId="169" fontId="0" fillId="32" borderId="23" xfId="23" applyNumberFormat="1" applyFont="1" applyFill="1" applyBorder="1"/>
    <xf numFmtId="0" fontId="7" fillId="50" borderId="0" xfId="0" applyFont="1" applyFill="1"/>
    <xf numFmtId="0" fontId="6" fillId="50" borderId="0" xfId="0" applyFont="1" applyFill="1"/>
    <xf numFmtId="37" fontId="6" fillId="50" borderId="0" xfId="0" applyNumberFormat="1" applyFont="1" applyFill="1" applyAlignment="1">
      <alignment horizontal="center"/>
    </xf>
    <xf numFmtId="0" fontId="0" fillId="50" borderId="0" xfId="0" applyFill="1"/>
    <xf numFmtId="0" fontId="7" fillId="50" borderId="0" xfId="0" applyFont="1" applyFill="1" applyBorder="1"/>
    <xf numFmtId="0" fontId="6" fillId="50" borderId="23" xfId="0" applyFont="1" applyFill="1" applyBorder="1"/>
    <xf numFmtId="0" fontId="7" fillId="27" borderId="0" xfId="0" applyFont="1" applyFill="1" applyBorder="1" applyAlignment="1">
      <alignment horizontal="center"/>
    </xf>
    <xf numFmtId="169" fontId="11" fillId="27" borderId="0" xfId="23" applyNumberFormat="1" applyFont="1" applyFill="1" applyBorder="1"/>
    <xf numFmtId="43" fontId="7" fillId="27" borderId="0" xfId="23" applyFont="1" applyFill="1" applyBorder="1"/>
    <xf numFmtId="0" fontId="7" fillId="0" borderId="22" xfId="0" applyFont="1" applyBorder="1"/>
    <xf numFmtId="169" fontId="11" fillId="27" borderId="0" xfId="23" applyNumberFormat="1" applyFont="1" applyFill="1" applyBorder="1" applyAlignment="1">
      <alignment horizontal="center"/>
    </xf>
    <xf numFmtId="3" fontId="20" fillId="34" borderId="0" xfId="24" applyNumberFormat="1" applyFont="1" applyFill="1" applyBorder="1" applyAlignment="1" applyProtection="1">
      <alignment horizontal="center" vertical="center"/>
    </xf>
    <xf numFmtId="0" fontId="74" fillId="24" borderId="0" xfId="0" applyFont="1" applyFill="1" applyProtection="1"/>
    <xf numFmtId="0" fontId="74" fillId="34" borderId="29" xfId="0" applyFont="1" applyFill="1" applyBorder="1" applyProtection="1"/>
    <xf numFmtId="0" fontId="74" fillId="34" borderId="0" xfId="0" applyFont="1" applyFill="1" applyBorder="1" applyProtection="1"/>
    <xf numFmtId="0" fontId="74" fillId="34" borderId="31" xfId="0" applyFont="1" applyFill="1" applyBorder="1" applyProtection="1"/>
    <xf numFmtId="0" fontId="34" fillId="34" borderId="29" xfId="0" applyFont="1" applyFill="1" applyBorder="1" applyProtection="1"/>
    <xf numFmtId="0" fontId="34" fillId="34" borderId="0" xfId="0" applyFont="1" applyFill="1" applyBorder="1" applyProtection="1"/>
    <xf numFmtId="0" fontId="17" fillId="34" borderId="29" xfId="0" applyFont="1" applyFill="1" applyBorder="1" applyProtection="1"/>
    <xf numFmtId="0" fontId="8" fillId="34" borderId="0" xfId="0" applyFont="1" applyFill="1" applyBorder="1" applyProtection="1"/>
    <xf numFmtId="0" fontId="17" fillId="34" borderId="31" xfId="0" applyFont="1" applyFill="1" applyBorder="1" applyProtection="1"/>
    <xf numFmtId="0" fontId="78" fillId="34" borderId="29" xfId="0" applyFont="1" applyFill="1" applyBorder="1" applyProtection="1"/>
    <xf numFmtId="0" fontId="79" fillId="34" borderId="29" xfId="0" applyFont="1" applyFill="1" applyBorder="1" applyProtection="1"/>
    <xf numFmtId="0" fontId="17" fillId="34" borderId="64" xfId="0" applyFont="1" applyFill="1" applyBorder="1" applyProtection="1"/>
    <xf numFmtId="0" fontId="80" fillId="34" borderId="0" xfId="0" applyFont="1" applyFill="1" applyBorder="1" applyProtection="1"/>
    <xf numFmtId="0" fontId="17" fillId="34" borderId="0" xfId="0" applyFont="1" applyFill="1" applyBorder="1" applyAlignment="1" applyProtection="1">
      <alignment horizontal="center" wrapText="1"/>
    </xf>
    <xf numFmtId="0" fontId="17" fillId="34" borderId="65" xfId="0" applyFont="1" applyFill="1" applyBorder="1" applyProtection="1"/>
    <xf numFmtId="0" fontId="17" fillId="34" borderId="0" xfId="0" applyFont="1" applyFill="1" applyBorder="1" applyAlignment="1" applyProtection="1">
      <alignment horizontal="left" vertical="center"/>
    </xf>
    <xf numFmtId="3" fontId="20" fillId="34" borderId="0" xfId="0" applyNumberFormat="1" applyFont="1" applyFill="1" applyBorder="1" applyAlignment="1" applyProtection="1">
      <alignment horizontal="center" vertical="center"/>
    </xf>
    <xf numFmtId="0" fontId="17" fillId="34" borderId="0" xfId="0" applyFont="1" applyFill="1" applyBorder="1" applyAlignment="1" applyProtection="1">
      <alignment horizontal="right" vertical="center"/>
    </xf>
    <xf numFmtId="0" fontId="74" fillId="34" borderId="0" xfId="0" applyFont="1" applyFill="1" applyProtection="1"/>
    <xf numFmtId="0" fontId="20" fillId="34" borderId="0" xfId="0" applyFont="1" applyFill="1" applyBorder="1" applyAlignment="1" applyProtection="1">
      <alignment horizontal="center"/>
    </xf>
    <xf numFmtId="0" fontId="5" fillId="24" borderId="0" xfId="0" applyFont="1" applyFill="1" applyProtection="1"/>
    <xf numFmtId="0" fontId="9" fillId="34" borderId="0" xfId="0" applyFont="1" applyFill="1" applyBorder="1" applyAlignment="1" applyProtection="1">
      <alignment horizontal="center"/>
    </xf>
    <xf numFmtId="0" fontId="17" fillId="34" borderId="64" xfId="0" applyFont="1" applyFill="1" applyBorder="1" applyAlignment="1" applyProtection="1"/>
    <xf numFmtId="0" fontId="17" fillId="34" borderId="0" xfId="0" applyFont="1" applyFill="1" applyBorder="1" applyAlignment="1" applyProtection="1">
      <alignment horizontal="left"/>
    </xf>
    <xf numFmtId="0" fontId="17" fillId="34" borderId="0" xfId="0" applyFont="1" applyFill="1" applyBorder="1" applyAlignment="1" applyProtection="1"/>
    <xf numFmtId="3" fontId="20" fillId="34" borderId="0" xfId="0" applyNumberFormat="1" applyFont="1" applyFill="1" applyBorder="1" applyAlignment="1" applyProtection="1">
      <alignment horizontal="center"/>
    </xf>
    <xf numFmtId="0" fontId="17" fillId="34" borderId="65" xfId="0" applyFont="1" applyFill="1" applyBorder="1" applyAlignment="1" applyProtection="1"/>
    <xf numFmtId="0" fontId="74" fillId="24" borderId="0" xfId="0" applyFont="1" applyFill="1" applyAlignment="1" applyProtection="1"/>
    <xf numFmtId="0" fontId="74" fillId="48" borderId="5" xfId="0" applyFont="1" applyFill="1" applyBorder="1" applyProtection="1"/>
    <xf numFmtId="0" fontId="74" fillId="48" borderId="14" xfId="0" applyFont="1" applyFill="1" applyBorder="1" applyProtection="1"/>
    <xf numFmtId="0" fontId="74" fillId="48" borderId="15" xfId="0" applyFont="1" applyFill="1" applyBorder="1" applyProtection="1"/>
    <xf numFmtId="2" fontId="0" fillId="0" borderId="27" xfId="0" applyNumberFormat="1" applyBorder="1" applyAlignment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 applyAlignment="1"/>
    <xf numFmtId="2" fontId="0" fillId="0" borderId="23" xfId="0" applyNumberFormat="1" applyBorder="1" applyAlignment="1">
      <alignment horizontal="center"/>
    </xf>
    <xf numFmtId="3" fontId="7" fillId="0" borderId="0" xfId="43" applyNumberFormat="1" applyFont="1" applyBorder="1"/>
    <xf numFmtId="3" fontId="11" fillId="27" borderId="27" xfId="43" applyNumberFormat="1" applyFont="1" applyFill="1" applyBorder="1"/>
    <xf numFmtId="0" fontId="0" fillId="0" borderId="0" xfId="0" applyAlignment="1"/>
    <xf numFmtId="0" fontId="0" fillId="47" borderId="0" xfId="0" applyFill="1" applyAlignment="1"/>
    <xf numFmtId="0" fontId="0" fillId="0" borderId="70" xfId="0" applyBorder="1"/>
    <xf numFmtId="0" fontId="0" fillId="0" borderId="71" xfId="0" applyBorder="1"/>
    <xf numFmtId="9" fontId="0" fillId="0" borderId="29" xfId="43" applyFont="1" applyFill="1" applyBorder="1"/>
    <xf numFmtId="9" fontId="0" fillId="0" borderId="32" xfId="43" applyFont="1" applyFill="1" applyBorder="1"/>
    <xf numFmtId="9" fontId="6" fillId="0" borderId="38" xfId="43" applyFont="1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29" xfId="0" applyNumberFormat="1" applyFill="1" applyBorder="1" applyProtection="1"/>
    <xf numFmtId="0" fontId="0" fillId="0" borderId="32" xfId="0" applyNumberFormat="1" applyFill="1" applyBorder="1" applyProtection="1"/>
    <xf numFmtId="0" fontId="6" fillId="0" borderId="72" xfId="0" applyFont="1" applyBorder="1"/>
    <xf numFmtId="2" fontId="0" fillId="0" borderId="40" xfId="0" applyNumberFormat="1" applyBorder="1" applyAlignment="1"/>
    <xf numFmtId="0" fontId="0" fillId="37" borderId="40" xfId="0" applyFill="1" applyBorder="1"/>
    <xf numFmtId="2" fontId="0" fillId="0" borderId="28" xfId="0" applyNumberFormat="1" applyBorder="1" applyAlignment="1">
      <alignment horizontal="center"/>
    </xf>
    <xf numFmtId="0" fontId="0" fillId="0" borderId="73" xfId="0" applyBorder="1"/>
    <xf numFmtId="0" fontId="0" fillId="0" borderId="74" xfId="0" applyBorder="1"/>
    <xf numFmtId="169" fontId="0" fillId="0" borderId="31" xfId="23" applyNumberFormat="1" applyFont="1" applyFill="1" applyBorder="1"/>
    <xf numFmtId="169" fontId="0" fillId="0" borderId="28" xfId="23" applyNumberFormat="1" applyFont="1" applyFill="1" applyBorder="1"/>
    <xf numFmtId="169" fontId="0" fillId="0" borderId="33" xfId="23" applyNumberFormat="1" applyFont="1" applyFill="1" applyBorder="1"/>
    <xf numFmtId="169" fontId="0" fillId="0" borderId="23" xfId="23" applyNumberFormat="1" applyFont="1" applyFill="1" applyBorder="1"/>
    <xf numFmtId="169" fontId="0" fillId="0" borderId="75" xfId="23" applyNumberFormat="1" applyFont="1" applyFill="1" applyBorder="1"/>
    <xf numFmtId="9" fontId="7" fillId="0" borderId="21" xfId="0" applyNumberFormat="1" applyFont="1" applyBorder="1"/>
    <xf numFmtId="0" fontId="11" fillId="27" borderId="24" xfId="0" applyFont="1" applyFill="1" applyBorder="1"/>
    <xf numFmtId="0" fontId="11" fillId="27" borderId="23" xfId="0" applyFont="1" applyFill="1" applyBorder="1"/>
    <xf numFmtId="0" fontId="11" fillId="27" borderId="30" xfId="0" applyFont="1" applyFill="1" applyBorder="1"/>
    <xf numFmtId="0" fontId="11" fillId="27" borderId="25" xfId="0" applyFont="1" applyFill="1" applyBorder="1"/>
    <xf numFmtId="37" fontId="9" fillId="33" borderId="13" xfId="23" applyNumberFormat="1" applyFont="1" applyFill="1" applyBorder="1" applyAlignment="1" applyProtection="1">
      <alignment horizontal="center" vertical="center"/>
      <protection locked="0"/>
    </xf>
    <xf numFmtId="9" fontId="0" fillId="0" borderId="21" xfId="43" applyFont="1" applyBorder="1"/>
    <xf numFmtId="9" fontId="0" fillId="0" borderId="22" xfId="43" applyFont="1" applyBorder="1"/>
    <xf numFmtId="9" fontId="0" fillId="0" borderId="24" xfId="43" applyFont="1" applyBorder="1"/>
    <xf numFmtId="9" fontId="0" fillId="0" borderId="23" xfId="43" applyFont="1" applyBorder="1"/>
    <xf numFmtId="9" fontId="0" fillId="0" borderId="25" xfId="43" applyFont="1" applyBorder="1"/>
    <xf numFmtId="0" fontId="7" fillId="0" borderId="26" xfId="0" applyFont="1" applyFill="1" applyBorder="1"/>
    <xf numFmtId="41" fontId="7" fillId="0" borderId="27" xfId="0" applyNumberFormat="1" applyFont="1" applyBorder="1"/>
    <xf numFmtId="41" fontId="7" fillId="0" borderId="30" xfId="0" applyNumberFormat="1" applyFont="1" applyBorder="1"/>
    <xf numFmtId="41" fontId="7" fillId="0" borderId="22" xfId="0" applyNumberFormat="1" applyFont="1" applyBorder="1"/>
    <xf numFmtId="0" fontId="7" fillId="0" borderId="24" xfId="0" applyFont="1" applyFill="1" applyBorder="1"/>
    <xf numFmtId="41" fontId="7" fillId="0" borderId="23" xfId="0" applyNumberFormat="1" applyFont="1" applyBorder="1"/>
    <xf numFmtId="41" fontId="7" fillId="0" borderId="25" xfId="0" applyNumberFormat="1" applyFont="1" applyBorder="1"/>
    <xf numFmtId="9" fontId="0" fillId="0" borderId="42" xfId="43" applyFont="1" applyFill="1" applyBorder="1"/>
    <xf numFmtId="9" fontId="0" fillId="0" borderId="16" xfId="43" applyFont="1" applyFill="1" applyBorder="1"/>
    <xf numFmtId="37" fontId="7" fillId="0" borderId="0" xfId="23" applyNumberFormat="1" applyFont="1" applyBorder="1"/>
    <xf numFmtId="0" fontId="5" fillId="24" borderId="0" xfId="0" applyFont="1" applyFill="1" applyAlignment="1"/>
    <xf numFmtId="0" fontId="84" fillId="24" borderId="0" xfId="0" applyFont="1" applyFill="1"/>
    <xf numFmtId="0" fontId="85" fillId="24" borderId="0" xfId="0" applyFont="1" applyFill="1"/>
    <xf numFmtId="9" fontId="0" fillId="29" borderId="0" xfId="24" applyNumberFormat="1" applyFont="1" applyFill="1"/>
    <xf numFmtId="10" fontId="0" fillId="37" borderId="0" xfId="43" applyNumberFormat="1" applyFont="1" applyFill="1"/>
    <xf numFmtId="0" fontId="17" fillId="34" borderId="0" xfId="0" applyFont="1" applyFill="1" applyBorder="1" applyAlignment="1" applyProtection="1">
      <alignment horizontal="center"/>
    </xf>
    <xf numFmtId="0" fontId="9" fillId="0" borderId="0" xfId="0" applyFont="1"/>
    <xf numFmtId="0" fontId="8" fillId="34" borderId="0" xfId="0" applyFont="1" applyFill="1" applyBorder="1" applyAlignment="1" applyProtection="1">
      <alignment horizontal="center"/>
    </xf>
    <xf numFmtId="0" fontId="32" fillId="39" borderId="0" xfId="0" applyFont="1" applyFill="1" applyBorder="1" applyProtection="1"/>
    <xf numFmtId="169" fontId="6" fillId="0" borderId="0" xfId="23" applyNumberFormat="1" applyFont="1" applyFill="1" applyBorder="1"/>
    <xf numFmtId="0" fontId="6" fillId="47" borderId="0" xfId="0" applyFont="1" applyFill="1"/>
    <xf numFmtId="0" fontId="64" fillId="24" borderId="0" xfId="0" applyFont="1" applyFill="1"/>
    <xf numFmtId="0" fontId="76" fillId="24" borderId="0" xfId="0" applyFont="1" applyFill="1" applyProtection="1"/>
    <xf numFmtId="0" fontId="10" fillId="24" borderId="0" xfId="0" applyFont="1" applyFill="1" applyBorder="1" applyProtection="1"/>
    <xf numFmtId="0" fontId="12" fillId="34" borderId="0" xfId="0" applyFont="1" applyFill="1" applyBorder="1" applyProtection="1"/>
    <xf numFmtId="0" fontId="7" fillId="34" borderId="0" xfId="0" applyFont="1" applyFill="1" applyBorder="1" applyProtection="1"/>
    <xf numFmtId="4" fontId="0" fillId="24" borderId="0" xfId="0" applyNumberFormat="1" applyFill="1" applyProtection="1"/>
    <xf numFmtId="165" fontId="0" fillId="24" borderId="0" xfId="0" applyNumberFormat="1" applyFill="1" applyProtection="1"/>
    <xf numFmtId="0" fontId="44" fillId="34" borderId="0" xfId="0" applyFont="1" applyFill="1" applyBorder="1" applyProtection="1"/>
    <xf numFmtId="0" fontId="7" fillId="24" borderId="0" xfId="0" applyFont="1" applyFill="1" applyProtection="1"/>
    <xf numFmtId="0" fontId="20" fillId="24" borderId="0" xfId="0" applyFont="1" applyFill="1" applyProtection="1"/>
    <xf numFmtId="43" fontId="7" fillId="24" borderId="0" xfId="0" applyNumberFormat="1" applyFont="1" applyFill="1" applyProtection="1"/>
    <xf numFmtId="0" fontId="21" fillId="24" borderId="0" xfId="0" applyFont="1" applyFill="1" applyProtection="1"/>
    <xf numFmtId="43" fontId="0" fillId="24" borderId="0" xfId="23" applyFont="1" applyFill="1" applyProtection="1"/>
    <xf numFmtId="9" fontId="0" fillId="24" borderId="0" xfId="43" applyFont="1" applyFill="1" applyProtection="1"/>
    <xf numFmtId="0" fontId="87" fillId="34" borderId="0" xfId="0" applyFont="1" applyFill="1" applyBorder="1" applyAlignment="1">
      <alignment horizontal="center" vertical="center"/>
    </xf>
    <xf numFmtId="37" fontId="9" fillId="34" borderId="0" xfId="23" applyNumberFormat="1" applyFont="1" applyFill="1" applyBorder="1" applyAlignment="1" applyProtection="1">
      <alignment horizontal="center" vertical="center"/>
    </xf>
    <xf numFmtId="0" fontId="21" fillId="34" borderId="0" xfId="0" applyFont="1" applyFill="1" applyBorder="1"/>
    <xf numFmtId="0" fontId="74" fillId="24" borderId="0" xfId="0" applyFont="1" applyFill="1" applyBorder="1"/>
    <xf numFmtId="0" fontId="74" fillId="24" borderId="0" xfId="0" applyFont="1" applyFill="1" applyBorder="1" applyProtection="1"/>
    <xf numFmtId="9" fontId="9" fillId="34" borderId="0" xfId="43" applyFont="1" applyFill="1" applyBorder="1" applyAlignment="1" applyProtection="1">
      <alignment horizontal="center"/>
    </xf>
    <xf numFmtId="0" fontId="74" fillId="34" borderId="0" xfId="0" applyFont="1" applyFill="1" applyAlignment="1" applyProtection="1"/>
    <xf numFmtId="0" fontId="6" fillId="0" borderId="30" xfId="0" applyFont="1" applyBorder="1"/>
    <xf numFmtId="3" fontId="8" fillId="34" borderId="0" xfId="24" applyNumberFormat="1" applyFont="1" applyFill="1" applyBorder="1" applyAlignment="1" applyProtection="1">
      <alignment horizontal="centerContinuous" vertical="center"/>
    </xf>
    <xf numFmtId="3" fontId="8" fillId="34" borderId="0" xfId="0" applyNumberFormat="1" applyFont="1" applyFill="1" applyBorder="1" applyAlignment="1" applyProtection="1">
      <alignment horizontal="left" vertical="center" indent="2"/>
    </xf>
    <xf numFmtId="3" fontId="0" fillId="38" borderId="0" xfId="0" applyNumberFormat="1" applyFill="1"/>
    <xf numFmtId="3" fontId="0" fillId="0" borderId="0" xfId="0" applyNumberFormat="1" applyFill="1"/>
    <xf numFmtId="0" fontId="45" fillId="34" borderId="0" xfId="0" applyFont="1" applyFill="1" applyBorder="1" applyProtection="1"/>
    <xf numFmtId="43" fontId="0" fillId="0" borderId="0" xfId="0" applyNumberFormat="1" applyFill="1"/>
    <xf numFmtId="0" fontId="0" fillId="22" borderId="11" xfId="0" applyFill="1" applyBorder="1"/>
    <xf numFmtId="0" fontId="0" fillId="22" borderId="32" xfId="0" applyFill="1" applyBorder="1"/>
    <xf numFmtId="188" fontId="0" fillId="0" borderId="0" xfId="0" applyNumberFormat="1"/>
    <xf numFmtId="183" fontId="9" fillId="34" borderId="31" xfId="0" applyNumberFormat="1" applyFont="1" applyFill="1" applyBorder="1" applyAlignment="1" applyProtection="1"/>
    <xf numFmtId="3" fontId="9" fillId="34" borderId="31" xfId="0" applyNumberFormat="1" applyFont="1" applyFill="1" applyBorder="1" applyAlignment="1" applyProtection="1">
      <alignment horizontal="center" vertical="center"/>
    </xf>
    <xf numFmtId="0" fontId="17" fillId="34" borderId="31" xfId="0" applyFont="1" applyFill="1" applyBorder="1" applyAlignment="1" applyProtection="1">
      <alignment horizontal="center"/>
    </xf>
    <xf numFmtId="0" fontId="20" fillId="34" borderId="31" xfId="0" applyFont="1" applyFill="1" applyBorder="1" applyAlignment="1" applyProtection="1">
      <alignment horizontal="right"/>
    </xf>
    <xf numFmtId="0" fontId="74" fillId="34" borderId="0" xfId="0" applyFont="1" applyFill="1" applyAlignment="1"/>
    <xf numFmtId="41" fontId="6" fillId="0" borderId="0" xfId="0" applyNumberFormat="1" applyFont="1" applyFill="1"/>
    <xf numFmtId="0" fontId="8" fillId="34" borderId="13" xfId="0" applyFont="1" applyFill="1" applyBorder="1" applyProtection="1">
      <protection locked="0"/>
    </xf>
    <xf numFmtId="9" fontId="43" fillId="32" borderId="13" xfId="24" applyNumberFormat="1" applyFont="1" applyFill="1" applyBorder="1" applyAlignment="1" applyProtection="1">
      <alignment horizontal="center" vertical="center"/>
      <protection locked="0"/>
    </xf>
    <xf numFmtId="9" fontId="0" fillId="22" borderId="41" xfId="43" applyFont="1" applyFill="1" applyBorder="1"/>
    <xf numFmtId="9" fontId="0" fillId="22" borderId="33" xfId="43" applyFont="1" applyFill="1" applyBorder="1"/>
    <xf numFmtId="0" fontId="0" fillId="22" borderId="77" xfId="0" applyFill="1" applyBorder="1"/>
    <xf numFmtId="0" fontId="0" fillId="22" borderId="78" xfId="0" applyFill="1" applyBorder="1"/>
    <xf numFmtId="0" fontId="0" fillId="22" borderId="79" xfId="0" applyFill="1" applyBorder="1"/>
    <xf numFmtId="9" fontId="0" fillId="22" borderId="31" xfId="43" applyFont="1" applyFill="1" applyBorder="1"/>
    <xf numFmtId="0" fontId="0" fillId="0" borderId="0" xfId="0" applyNumberFormat="1" applyFill="1" applyBorder="1" applyProtection="1"/>
    <xf numFmtId="12" fontId="0" fillId="0" borderId="0" xfId="23" applyNumberFormat="1" applyFont="1" applyFill="1" applyBorder="1"/>
    <xf numFmtId="12" fontId="0" fillId="0" borderId="28" xfId="23" applyNumberFormat="1" applyFont="1" applyFill="1" applyBorder="1"/>
    <xf numFmtId="169" fontId="6" fillId="0" borderId="0" xfId="0" applyNumberFormat="1" applyFont="1" applyFill="1"/>
    <xf numFmtId="169" fontId="6" fillId="38" borderId="0" xfId="24" applyNumberFormat="1" applyFont="1" applyFill="1"/>
    <xf numFmtId="0" fontId="0" fillId="22" borderId="29" xfId="0" applyFill="1" applyBorder="1"/>
    <xf numFmtId="7" fontId="9" fillId="39" borderId="48" xfId="24" applyNumberFormat="1" applyFont="1" applyFill="1" applyBorder="1" applyAlignment="1" applyProtection="1">
      <alignment horizontal="center" vertical="center"/>
      <protection locked="0"/>
    </xf>
    <xf numFmtId="7" fontId="9" fillId="39" borderId="13" xfId="0" applyNumberFormat="1" applyFont="1" applyFill="1" applyBorder="1" applyAlignment="1" applyProtection="1">
      <alignment horizontal="center" vertical="center"/>
      <protection locked="0"/>
    </xf>
    <xf numFmtId="191" fontId="0" fillId="33" borderId="0" xfId="24" applyNumberFormat="1" applyFont="1" applyFill="1"/>
    <xf numFmtId="174" fontId="0" fillId="33" borderId="0" xfId="24" applyNumberFormat="1" applyFont="1" applyFill="1"/>
    <xf numFmtId="191" fontId="0" fillId="0" borderId="0" xfId="24" applyNumberFormat="1" applyFont="1" applyFill="1"/>
    <xf numFmtId="174" fontId="0" fillId="0" borderId="0" xfId="24" applyNumberFormat="1" applyFont="1" applyFill="1"/>
    <xf numFmtId="2" fontId="7" fillId="0" borderId="0" xfId="0" applyNumberFormat="1" applyFont="1" applyFill="1" applyBorder="1"/>
    <xf numFmtId="0" fontId="17" fillId="0" borderId="29" xfId="0" applyFont="1" applyFill="1" applyBorder="1"/>
    <xf numFmtId="0" fontId="6" fillId="0" borderId="31" xfId="0" applyFont="1" applyFill="1" applyBorder="1"/>
    <xf numFmtId="0" fontId="0" fillId="0" borderId="0" xfId="26" applyNumberFormat="1" applyFont="1"/>
    <xf numFmtId="0" fontId="9" fillId="31" borderId="0" xfId="0" applyFont="1" applyFill="1" applyBorder="1"/>
    <xf numFmtId="173" fontId="0" fillId="31" borderId="0" xfId="30" applyNumberFormat="1" applyFont="1" applyFill="1" applyBorder="1"/>
    <xf numFmtId="0" fontId="7" fillId="0" borderId="0" xfId="0" applyFont="1" applyFill="1" applyBorder="1" applyAlignment="1">
      <alignment horizontal="left" indent="2"/>
    </xf>
    <xf numFmtId="0" fontId="14" fillId="27" borderId="0" xfId="0" applyFont="1" applyFill="1" applyBorder="1"/>
    <xf numFmtId="0" fontId="38" fillId="27" borderId="0" xfId="0" applyFont="1" applyFill="1" applyBorder="1"/>
    <xf numFmtId="173" fontId="11" fillId="27" borderId="0" xfId="30" applyNumberFormat="1" applyFont="1" applyFill="1" applyBorder="1"/>
    <xf numFmtId="0" fontId="6" fillId="0" borderId="0" xfId="0" applyFont="1" applyFill="1" applyBorder="1" applyAlignment="1">
      <alignment horizontal="left" indent="2"/>
    </xf>
    <xf numFmtId="0" fontId="6" fillId="0" borderId="29" xfId="0" applyFont="1" applyFill="1" applyBorder="1" applyAlignment="1" applyProtection="1">
      <alignment horizontal="left"/>
    </xf>
    <xf numFmtId="169" fontId="0" fillId="0" borderId="0" xfId="23" applyNumberFormat="1" applyFont="1" applyBorder="1" applyAlignment="1">
      <alignment horizontal="right"/>
    </xf>
    <xf numFmtId="0" fontId="16" fillId="27" borderId="0" xfId="0" applyFont="1" applyFill="1" applyBorder="1" applyAlignment="1">
      <alignment horizontal="center"/>
    </xf>
    <xf numFmtId="0" fontId="16" fillId="27" borderId="31" xfId="0" applyFont="1" applyFill="1" applyBorder="1" applyAlignment="1">
      <alignment horizontal="center"/>
    </xf>
    <xf numFmtId="41" fontId="13" fillId="41" borderId="0" xfId="0" applyNumberFormat="1" applyFont="1" applyFill="1"/>
    <xf numFmtId="41" fontId="13" fillId="41" borderId="0" xfId="24" applyFont="1" applyFill="1"/>
    <xf numFmtId="0" fontId="6" fillId="51" borderId="72" xfId="0" applyFont="1" applyFill="1" applyBorder="1"/>
    <xf numFmtId="0" fontId="0" fillId="51" borderId="40" xfId="0" applyFill="1" applyBorder="1"/>
    <xf numFmtId="0" fontId="0" fillId="51" borderId="41" xfId="0" applyFill="1" applyBorder="1"/>
    <xf numFmtId="0" fontId="0" fillId="51" borderId="29" xfId="0" applyFill="1" applyBorder="1"/>
    <xf numFmtId="0" fontId="0" fillId="51" borderId="0" xfId="0" applyFill="1" applyBorder="1"/>
    <xf numFmtId="0" fontId="0" fillId="51" borderId="31" xfId="0" applyFill="1" applyBorder="1"/>
    <xf numFmtId="9" fontId="0" fillId="51" borderId="0" xfId="43" applyFont="1" applyFill="1" applyBorder="1"/>
    <xf numFmtId="9" fontId="0" fillId="51" borderId="31" xfId="43" applyFont="1" applyFill="1" applyBorder="1"/>
    <xf numFmtId="0" fontId="0" fillId="51" borderId="29" xfId="0" applyNumberFormat="1" applyFill="1" applyBorder="1" applyProtection="1"/>
    <xf numFmtId="0" fontId="0" fillId="51" borderId="32" xfId="0" applyNumberFormat="1" applyFill="1" applyBorder="1" applyProtection="1"/>
    <xf numFmtId="9" fontId="0" fillId="51" borderId="28" xfId="43" applyFont="1" applyFill="1" applyBorder="1"/>
    <xf numFmtId="9" fontId="0" fillId="51" borderId="33" xfId="43" applyFont="1" applyFill="1" applyBorder="1"/>
    <xf numFmtId="0" fontId="7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192" fontId="0" fillId="0" borderId="0" xfId="0" applyNumberFormat="1"/>
    <xf numFmtId="0" fontId="7" fillId="0" borderId="0" xfId="23" applyNumberFormat="1" applyFont="1" applyFill="1" applyBorder="1"/>
    <xf numFmtId="0" fontId="0" fillId="0" borderId="0" xfId="23" applyNumberFormat="1" applyFont="1" applyFill="1" applyBorder="1"/>
    <xf numFmtId="169" fontId="0" fillId="22" borderId="55" xfId="23" applyNumberFormat="1" applyFont="1" applyFill="1" applyBorder="1"/>
    <xf numFmtId="169" fontId="0" fillId="22" borderId="21" xfId="23" applyNumberFormat="1" applyFont="1" applyFill="1" applyBorder="1"/>
    <xf numFmtId="169" fontId="0" fillId="22" borderId="57" xfId="23" applyNumberFormat="1" applyFont="1" applyFill="1" applyBorder="1"/>
    <xf numFmtId="37" fontId="8" fillId="34" borderId="13" xfId="23" applyNumberFormat="1" applyFont="1" applyFill="1" applyBorder="1" applyAlignment="1" applyProtection="1">
      <alignment vertical="top"/>
      <protection locked="0"/>
    </xf>
    <xf numFmtId="172" fontId="6" fillId="0" borderId="0" xfId="43" applyNumberFormat="1" applyFont="1" applyBorder="1"/>
    <xf numFmtId="172" fontId="0" fillId="0" borderId="0" xfId="30" applyNumberFormat="1" applyFont="1" applyBorder="1"/>
    <xf numFmtId="43" fontId="7" fillId="0" borderId="25" xfId="0" applyNumberFormat="1" applyFont="1" applyFill="1" applyBorder="1"/>
    <xf numFmtId="172" fontId="7" fillId="0" borderId="16" xfId="43" applyNumberFormat="1" applyFont="1" applyFill="1" applyBorder="1"/>
    <xf numFmtId="43" fontId="7" fillId="0" borderId="25" xfId="0" applyNumberFormat="1" applyFont="1" applyBorder="1"/>
    <xf numFmtId="0" fontId="8" fillId="0" borderId="23" xfId="0" applyFont="1" applyBorder="1" applyAlignment="1">
      <alignment horizontal="center"/>
    </xf>
    <xf numFmtId="39" fontId="7" fillId="0" borderId="0" xfId="23" applyNumberFormat="1" applyFont="1" applyBorder="1" applyAlignment="1">
      <alignment horizontal="center"/>
    </xf>
    <xf numFmtId="0" fontId="6" fillId="0" borderId="26" xfId="0" applyFont="1" applyFill="1" applyBorder="1"/>
    <xf numFmtId="0" fontId="6" fillId="0" borderId="27" xfId="0" applyFont="1" applyFill="1" applyBorder="1"/>
    <xf numFmtId="0" fontId="7" fillId="0" borderId="23" xfId="0" applyFont="1" applyFill="1" applyBorder="1"/>
    <xf numFmtId="193" fontId="0" fillId="0" borderId="0" xfId="0" applyNumberFormat="1"/>
    <xf numFmtId="194" fontId="0" fillId="0" borderId="0" xfId="0" applyNumberFormat="1"/>
    <xf numFmtId="0" fontId="7" fillId="0" borderId="28" xfId="0" applyFont="1" applyFill="1" applyBorder="1" applyProtection="1"/>
    <xf numFmtId="4" fontId="0" fillId="0" borderId="28" xfId="0" applyNumberFormat="1" applyBorder="1"/>
    <xf numFmtId="4" fontId="7" fillId="0" borderId="33" xfId="0" applyNumberFormat="1" applyFont="1" applyBorder="1"/>
    <xf numFmtId="195" fontId="6" fillId="0" borderId="0" xfId="30" applyNumberFormat="1" applyFont="1" applyBorder="1"/>
    <xf numFmtId="195" fontId="0" fillId="0" borderId="0" xfId="30" applyNumberFormat="1" applyFont="1" applyBorder="1"/>
    <xf numFmtId="0" fontId="8" fillId="22" borderId="18" xfId="0" applyFont="1" applyFill="1" applyBorder="1"/>
    <xf numFmtId="0" fontId="8" fillId="22" borderId="19" xfId="0" applyFont="1" applyFill="1" applyBorder="1"/>
    <xf numFmtId="172" fontId="8" fillId="22" borderId="19" xfId="43" applyNumberFormat="1" applyFont="1" applyFill="1" applyBorder="1"/>
    <xf numFmtId="172" fontId="8" fillId="22" borderId="20" xfId="43" applyNumberFormat="1" applyFont="1" applyFill="1" applyBorder="1"/>
    <xf numFmtId="2" fontId="7" fillId="0" borderId="0" xfId="0" applyNumberFormat="1" applyFont="1" applyFill="1" applyBorder="1" applyAlignment="1">
      <alignment horizontal="center"/>
    </xf>
    <xf numFmtId="195" fontId="0" fillId="0" borderId="31" xfId="30" applyNumberFormat="1" applyFont="1" applyBorder="1"/>
    <xf numFmtId="0" fontId="9" fillId="0" borderId="0" xfId="0" quotePrefix="1" applyFont="1"/>
    <xf numFmtId="0" fontId="0" fillId="37" borderId="0" xfId="23" applyNumberFormat="1" applyFont="1" applyFill="1"/>
    <xf numFmtId="169" fontId="0" fillId="37" borderId="0" xfId="23" applyNumberFormat="1" applyFont="1" applyFill="1" applyBorder="1"/>
    <xf numFmtId="169" fontId="0" fillId="37" borderId="23" xfId="23" applyNumberFormat="1" applyFont="1" applyFill="1" applyBorder="1"/>
    <xf numFmtId="169" fontId="0" fillId="37" borderId="27" xfId="23" applyNumberFormat="1" applyFont="1" applyFill="1" applyBorder="1"/>
    <xf numFmtId="169" fontId="0" fillId="37" borderId="40" xfId="23" applyNumberFormat="1" applyFont="1" applyFill="1" applyBorder="1"/>
    <xf numFmtId="9" fontId="0" fillId="0" borderId="40" xfId="43" applyFont="1" applyBorder="1"/>
    <xf numFmtId="9" fontId="0" fillId="0" borderId="27" xfId="43" applyFont="1" applyBorder="1"/>
    <xf numFmtId="9" fontId="0" fillId="0" borderId="28" xfId="43" applyFont="1" applyBorder="1"/>
    <xf numFmtId="0" fontId="6" fillId="0" borderId="40" xfId="0" applyFont="1" applyFill="1" applyBorder="1"/>
    <xf numFmtId="0" fontId="0" fillId="0" borderId="28" xfId="0" applyFill="1" applyBorder="1"/>
    <xf numFmtId="49" fontId="9" fillId="0" borderId="0" xfId="0" applyNumberFormat="1" applyFont="1"/>
    <xf numFmtId="49" fontId="9" fillId="0" borderId="0" xfId="0" applyNumberFormat="1" applyFont="1" applyFill="1"/>
    <xf numFmtId="0" fontId="9" fillId="0" borderId="0" xfId="0" applyFont="1" applyFill="1"/>
    <xf numFmtId="49" fontId="9" fillId="39" borderId="0" xfId="0" applyNumberFormat="1" applyFont="1" applyFill="1"/>
    <xf numFmtId="0" fontId="9" fillId="39" borderId="0" xfId="0" applyFont="1" applyFill="1"/>
    <xf numFmtId="172" fontId="9" fillId="39" borderId="48" xfId="43" applyNumberFormat="1" applyFont="1" applyFill="1" applyBorder="1" applyAlignment="1" applyProtection="1">
      <alignment horizontal="center" vertical="center"/>
      <protection locked="0"/>
    </xf>
    <xf numFmtId="43" fontId="91" fillId="24" borderId="0" xfId="23" applyNumberFormat="1" applyFont="1" applyFill="1"/>
    <xf numFmtId="169" fontId="7" fillId="22" borderId="55" xfId="23" applyNumberFormat="1" applyFont="1" applyFill="1" applyBorder="1"/>
    <xf numFmtId="169" fontId="7" fillId="22" borderId="21" xfId="23" applyNumberFormat="1" applyFont="1" applyFill="1" applyBorder="1"/>
    <xf numFmtId="169" fontId="7" fillId="22" borderId="57" xfId="23" applyNumberFormat="1" applyFont="1" applyFill="1" applyBorder="1"/>
    <xf numFmtId="7" fontId="7" fillId="22" borderId="41" xfId="30" applyNumberFormat="1" applyFont="1" applyFill="1" applyBorder="1"/>
    <xf numFmtId="7" fontId="7" fillId="22" borderId="31" xfId="30" applyNumberFormat="1" applyFont="1" applyFill="1" applyBorder="1"/>
    <xf numFmtId="7" fontId="7" fillId="22" borderId="33" xfId="30" applyNumberFormat="1" applyFont="1" applyFill="1" applyBorder="1"/>
    <xf numFmtId="4" fontId="7" fillId="0" borderId="0" xfId="0" applyNumberFormat="1" applyFont="1"/>
    <xf numFmtId="189" fontId="0" fillId="0" borderId="42" xfId="0" applyNumberFormat="1" applyBorder="1"/>
    <xf numFmtId="43" fontId="6" fillId="47" borderId="0" xfId="0" applyNumberFormat="1" applyFont="1" applyFill="1"/>
    <xf numFmtId="189" fontId="0" fillId="0" borderId="34" xfId="0" applyNumberFormat="1" applyBorder="1"/>
    <xf numFmtId="189" fontId="0" fillId="0" borderId="78" xfId="0" applyNumberFormat="1" applyBorder="1"/>
    <xf numFmtId="189" fontId="0" fillId="0" borderId="79" xfId="0" applyNumberFormat="1" applyBorder="1"/>
    <xf numFmtId="189" fontId="0" fillId="0" borderId="84" xfId="0" applyNumberFormat="1" applyBorder="1"/>
    <xf numFmtId="0" fontId="6" fillId="0" borderId="72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6" fillId="0" borderId="85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196" fontId="0" fillId="0" borderId="81" xfId="0" applyNumberFormat="1" applyBorder="1"/>
    <xf numFmtId="196" fontId="0" fillId="0" borderId="83" xfId="0" applyNumberFormat="1" applyBorder="1"/>
    <xf numFmtId="196" fontId="0" fillId="0" borderId="82" xfId="0" applyNumberFormat="1" applyBorder="1"/>
    <xf numFmtId="43" fontId="0" fillId="33" borderId="0" xfId="0" applyNumberFormat="1" applyFill="1"/>
    <xf numFmtId="0" fontId="11" fillId="31" borderId="0" xfId="0" applyFont="1" applyFill="1"/>
    <xf numFmtId="172" fontId="7" fillId="0" borderId="18" xfId="43" applyNumberFormat="1" applyFont="1" applyFill="1" applyBorder="1"/>
    <xf numFmtId="172" fontId="7" fillId="0" borderId="19" xfId="43" applyNumberFormat="1" applyFont="1" applyFill="1" applyBorder="1"/>
    <xf numFmtId="172" fontId="7" fillId="0" borderId="20" xfId="43" applyNumberFormat="1" applyFont="1" applyFill="1" applyBorder="1"/>
    <xf numFmtId="9" fontId="7" fillId="0" borderId="18" xfId="43" applyNumberFormat="1" applyFont="1" applyFill="1" applyBorder="1"/>
    <xf numFmtId="9" fontId="7" fillId="0" borderId="19" xfId="43" applyNumberFormat="1" applyFont="1" applyFill="1" applyBorder="1"/>
    <xf numFmtId="9" fontId="7" fillId="0" borderId="20" xfId="43" applyNumberFormat="1" applyFont="1" applyFill="1" applyBorder="1"/>
    <xf numFmtId="0" fontId="83" fillId="0" borderId="29" xfId="0" applyFont="1" applyBorder="1"/>
    <xf numFmtId="0" fontId="83" fillId="0" borderId="0" xfId="0" applyFont="1" applyBorder="1"/>
    <xf numFmtId="167" fontId="83" fillId="0" borderId="0" xfId="0" applyNumberFormat="1" applyFont="1" applyBorder="1"/>
    <xf numFmtId="0" fontId="83" fillId="0" borderId="0" xfId="0" applyFont="1"/>
    <xf numFmtId="167" fontId="83" fillId="0" borderId="31" xfId="0" applyNumberFormat="1" applyFont="1" applyBorder="1"/>
    <xf numFmtId="167" fontId="8" fillId="22" borderId="19" xfId="0" applyNumberFormat="1" applyFont="1" applyFill="1" applyBorder="1"/>
    <xf numFmtId="167" fontId="8" fillId="22" borderId="20" xfId="0" applyNumberFormat="1" applyFont="1" applyFill="1" applyBorder="1"/>
    <xf numFmtId="0" fontId="45" fillId="34" borderId="0" xfId="0" applyFont="1" applyFill="1" applyAlignment="1" applyProtection="1">
      <alignment horizontal="right"/>
    </xf>
    <xf numFmtId="0" fontId="45" fillId="34" borderId="0" xfId="0" applyFont="1" applyFill="1" applyBorder="1" applyAlignment="1" applyProtection="1">
      <alignment horizontal="right"/>
    </xf>
    <xf numFmtId="44" fontId="6" fillId="0" borderId="0" xfId="0" applyNumberFormat="1" applyFont="1" applyBorder="1"/>
    <xf numFmtId="0" fontId="0" fillId="51" borderId="0" xfId="0" applyFill="1"/>
    <xf numFmtId="0" fontId="6" fillId="51" borderId="0" xfId="0" applyFont="1" applyFill="1"/>
    <xf numFmtId="0" fontId="0" fillId="52" borderId="0" xfId="0" applyFill="1"/>
    <xf numFmtId="2" fontId="6" fillId="51" borderId="0" xfId="0" applyNumberFormat="1" applyFont="1" applyFill="1" applyAlignment="1">
      <alignment horizontal="left"/>
    </xf>
    <xf numFmtId="2" fontId="0" fillId="51" borderId="0" xfId="0" applyNumberFormat="1" applyFill="1" applyAlignment="1">
      <alignment horizontal="center"/>
    </xf>
    <xf numFmtId="172" fontId="0" fillId="52" borderId="0" xfId="0" applyNumberFormat="1" applyFill="1"/>
    <xf numFmtId="172" fontId="0" fillId="51" borderId="0" xfId="43" applyNumberFormat="1" applyFont="1" applyFill="1"/>
    <xf numFmtId="10" fontId="0" fillId="51" borderId="0" xfId="0" applyNumberFormat="1" applyFill="1"/>
    <xf numFmtId="2" fontId="0" fillId="52" borderId="0" xfId="0" applyNumberFormat="1" applyFill="1"/>
    <xf numFmtId="172" fontId="0" fillId="37" borderId="28" xfId="43" applyNumberFormat="1" applyFont="1" applyFill="1" applyBorder="1"/>
    <xf numFmtId="172" fontId="0" fillId="0" borderId="28" xfId="0" applyNumberFormat="1" applyBorder="1"/>
    <xf numFmtId="43" fontId="0" fillId="37" borderId="0" xfId="23" applyFont="1" applyFill="1" applyBorder="1"/>
    <xf numFmtId="9" fontId="0" fillId="37" borderId="0" xfId="43" applyFont="1" applyFill="1" applyBorder="1"/>
    <xf numFmtId="9" fontId="0" fillId="37" borderId="23" xfId="43" applyFont="1" applyFill="1" applyBorder="1"/>
    <xf numFmtId="172" fontId="0" fillId="37" borderId="0" xfId="43" applyNumberFormat="1" applyFont="1" applyFill="1" applyBorder="1"/>
    <xf numFmtId="172" fontId="0" fillId="0" borderId="0" xfId="0" applyNumberFormat="1" applyBorder="1"/>
    <xf numFmtId="0" fontId="0" fillId="37" borderId="0" xfId="0" applyFill="1" applyBorder="1"/>
    <xf numFmtId="0" fontId="0" fillId="37" borderId="27" xfId="0" applyFill="1" applyBorder="1"/>
    <xf numFmtId="0" fontId="74" fillId="34" borderId="13" xfId="0" applyFont="1" applyFill="1" applyBorder="1" applyProtection="1"/>
    <xf numFmtId="179" fontId="45" fillId="34" borderId="0" xfId="0" applyNumberFormat="1" applyFont="1" applyFill="1" applyBorder="1" applyAlignment="1" applyProtection="1">
      <alignment horizontal="center"/>
    </xf>
    <xf numFmtId="41" fontId="6" fillId="31" borderId="0" xfId="24" applyFont="1" applyFill="1"/>
    <xf numFmtId="0" fontId="0" fillId="0" borderId="23" xfId="0" applyBorder="1" applyAlignment="1">
      <alignment vertical="top"/>
    </xf>
    <xf numFmtId="0" fontId="0" fillId="0" borderId="23" xfId="0" applyBorder="1" applyAlignment="1">
      <alignment horizontal="right" vertical="top" wrapText="1"/>
    </xf>
    <xf numFmtId="3" fontId="0" fillId="0" borderId="23" xfId="0" applyNumberFormat="1" applyBorder="1"/>
    <xf numFmtId="0" fontId="92" fillId="24" borderId="0" xfId="0" applyFont="1" applyFill="1"/>
    <xf numFmtId="0" fontId="0" fillId="0" borderId="0" xfId="0" applyBorder="1" applyAlignment="1">
      <alignment horizontal="left" indent="1"/>
    </xf>
    <xf numFmtId="0" fontId="7" fillId="0" borderId="0" xfId="0" applyFont="1" applyBorder="1" applyAlignment="1">
      <alignment horizontal="left" indent="1"/>
    </xf>
    <xf numFmtId="0" fontId="6" fillId="0" borderId="0" xfId="0" applyFont="1" applyBorder="1" applyAlignment="1"/>
    <xf numFmtId="195" fontId="5" fillId="0" borderId="0" xfId="30" applyNumberFormat="1" applyBorder="1"/>
    <xf numFmtId="169" fontId="5" fillId="0" borderId="0" xfId="23" applyNumberFormat="1" applyBorder="1"/>
    <xf numFmtId="44" fontId="5" fillId="0" borderId="0" xfId="30" applyBorder="1"/>
    <xf numFmtId="195" fontId="5" fillId="0" borderId="31" xfId="30" applyNumberFormat="1" applyBorder="1"/>
    <xf numFmtId="169" fontId="5" fillId="0" borderId="0" xfId="23" applyNumberFormat="1" applyBorder="1" applyAlignment="1">
      <alignment horizontal="right"/>
    </xf>
    <xf numFmtId="41" fontId="5" fillId="0" borderId="0" xfId="43" applyNumberFormat="1" applyBorder="1"/>
    <xf numFmtId="49" fontId="12" fillId="0" borderId="0" xfId="43" applyNumberFormat="1" applyFont="1" applyBorder="1" applyAlignment="1">
      <alignment horizontal="left" indent="2"/>
    </xf>
    <xf numFmtId="0" fontId="17" fillId="0" borderId="29" xfId="0" applyFont="1" applyBorder="1"/>
    <xf numFmtId="172" fontId="6" fillId="0" borderId="31" xfId="43" applyNumberFormat="1" applyFont="1" applyBorder="1"/>
    <xf numFmtId="0" fontId="0" fillId="0" borderId="11" xfId="0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29" xfId="0" applyBorder="1" applyProtection="1"/>
    <xf numFmtId="0" fontId="0" fillId="0" borderId="31" xfId="0" applyBorder="1" applyProtection="1"/>
    <xf numFmtId="0" fontId="0" fillId="0" borderId="32" xfId="0" applyBorder="1" applyProtection="1"/>
    <xf numFmtId="0" fontId="0" fillId="0" borderId="28" xfId="0" applyBorder="1" applyProtection="1"/>
    <xf numFmtId="0" fontId="0" fillId="0" borderId="33" xfId="0" applyBorder="1" applyProtection="1"/>
    <xf numFmtId="169" fontId="6" fillId="37" borderId="0" xfId="23" applyNumberFormat="1" applyFont="1" applyFill="1" applyBorder="1"/>
    <xf numFmtId="9" fontId="6" fillId="0" borderId="0" xfId="43" applyFont="1" applyBorder="1"/>
    <xf numFmtId="2" fontId="7" fillId="0" borderId="0" xfId="0" applyNumberFormat="1" applyFont="1" applyBorder="1" applyAlignment="1"/>
    <xf numFmtId="169" fontId="0" fillId="37" borderId="28" xfId="23" applyNumberFormat="1" applyFont="1" applyFill="1" applyBorder="1"/>
    <xf numFmtId="3" fontId="45" fillId="34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Protection="1"/>
    <xf numFmtId="0" fontId="0" fillId="0" borderId="0" xfId="30" applyNumberFormat="1" applyFont="1" applyBorder="1"/>
    <xf numFmtId="169" fontId="76" fillId="0" borderId="0" xfId="23" applyNumberFormat="1" applyFont="1" applyFill="1"/>
    <xf numFmtId="49" fontId="12" fillId="0" borderId="0" xfId="43" applyNumberFormat="1" applyFont="1" applyBorder="1"/>
    <xf numFmtId="168" fontId="0" fillId="29" borderId="0" xfId="23" applyNumberFormat="1" applyFont="1" applyFill="1"/>
    <xf numFmtId="169" fontId="0" fillId="33" borderId="27" xfId="23" applyNumberFormat="1" applyFont="1" applyFill="1" applyBorder="1"/>
    <xf numFmtId="169" fontId="0" fillId="33" borderId="23" xfId="23" applyNumberFormat="1" applyFont="1" applyFill="1" applyBorder="1"/>
    <xf numFmtId="169" fontId="0" fillId="0" borderId="27" xfId="23" applyNumberFormat="1" applyFont="1" applyFill="1" applyBorder="1"/>
    <xf numFmtId="41" fontId="0" fillId="33" borderId="23" xfId="24" applyFont="1" applyFill="1" applyBorder="1"/>
    <xf numFmtId="172" fontId="7" fillId="0" borderId="0" xfId="43" applyNumberFormat="1" applyFont="1" applyBorder="1" applyAlignment="1">
      <alignment horizontal="center"/>
    </xf>
    <xf numFmtId="37" fontId="0" fillId="0" borderId="0" xfId="0" applyNumberFormat="1"/>
    <xf numFmtId="37" fontId="0" fillId="0" borderId="0" xfId="23" applyNumberFormat="1" applyFont="1"/>
    <xf numFmtId="37" fontId="0" fillId="0" borderId="0" xfId="24" applyNumberFormat="1" applyFont="1" applyBorder="1"/>
    <xf numFmtId="197" fontId="0" fillId="0" borderId="0" xfId="0" applyNumberFormat="1"/>
    <xf numFmtId="195" fontId="0" fillId="0" borderId="0" xfId="24" applyNumberFormat="1" applyFont="1"/>
    <xf numFmtId="172" fontId="7" fillId="0" borderId="0" xfId="43" applyNumberFormat="1" applyFont="1"/>
    <xf numFmtId="173" fontId="12" fillId="0" borderId="0" xfId="30" applyNumberFormat="1" applyFont="1" applyBorder="1"/>
    <xf numFmtId="173" fontId="0" fillId="0" borderId="0" xfId="30" applyNumberFormat="1" applyFont="1"/>
    <xf numFmtId="37" fontId="6" fillId="0" borderId="0" xfId="23" applyNumberFormat="1" applyFont="1"/>
    <xf numFmtId="172" fontId="7" fillId="0" borderId="18" xfId="43" applyNumberFormat="1" applyFont="1" applyBorder="1"/>
    <xf numFmtId="172" fontId="7" fillId="0" borderId="19" xfId="43" applyNumberFormat="1" applyFont="1" applyBorder="1"/>
    <xf numFmtId="172" fontId="7" fillId="0" borderId="20" xfId="43" applyNumberFormat="1" applyFont="1" applyBorder="1"/>
    <xf numFmtId="0" fontId="6" fillId="0" borderId="27" xfId="0" applyFont="1" applyBorder="1" applyAlignment="1"/>
    <xf numFmtId="169" fontId="6" fillId="0" borderId="27" xfId="23" applyNumberFormat="1" applyFont="1" applyBorder="1"/>
    <xf numFmtId="3" fontId="0" fillId="0" borderId="27" xfId="0" applyNumberFormat="1" applyBorder="1"/>
    <xf numFmtId="169" fontId="7" fillId="0" borderId="86" xfId="23" applyNumberFormat="1" applyFont="1" applyBorder="1"/>
    <xf numFmtId="0" fontId="0" fillId="0" borderId="23" xfId="0" applyBorder="1" applyAlignment="1">
      <alignment horizontal="left"/>
    </xf>
    <xf numFmtId="0" fontId="6" fillId="0" borderId="27" xfId="0" applyFont="1" applyBorder="1" applyAlignment="1">
      <alignment horizontal="left"/>
    </xf>
    <xf numFmtId="169" fontId="0" fillId="0" borderId="27" xfId="0" applyNumberFormat="1" applyBorder="1"/>
    <xf numFmtId="49" fontId="9" fillId="0" borderId="0" xfId="0" quotePrefix="1" applyNumberFormat="1" applyFont="1"/>
    <xf numFmtId="0" fontId="0" fillId="39" borderId="15" xfId="0" applyFill="1" applyBorder="1"/>
    <xf numFmtId="0" fontId="17" fillId="34" borderId="40" xfId="0" applyFont="1" applyFill="1" applyBorder="1" applyProtection="1"/>
    <xf numFmtId="0" fontId="17" fillId="34" borderId="41" xfId="0" applyFont="1" applyFill="1" applyBorder="1" applyProtection="1"/>
    <xf numFmtId="0" fontId="17" fillId="34" borderId="32" xfId="0" applyFont="1" applyFill="1" applyBorder="1" applyAlignment="1" applyProtection="1"/>
    <xf numFmtId="0" fontId="51" fillId="34" borderId="28" xfId="0" applyFont="1" applyFill="1" applyBorder="1" applyAlignment="1" applyProtection="1">
      <alignment horizontal="center"/>
    </xf>
    <xf numFmtId="0" fontId="17" fillId="34" borderId="28" xfId="0" applyFont="1" applyFill="1" applyBorder="1" applyProtection="1"/>
    <xf numFmtId="9" fontId="51" fillId="34" borderId="28" xfId="43" applyFont="1" applyFill="1" applyBorder="1" applyProtection="1"/>
    <xf numFmtId="0" fontId="17" fillId="34" borderId="33" xfId="0" applyFont="1" applyFill="1" applyBorder="1" applyProtection="1"/>
    <xf numFmtId="2" fontId="7" fillId="0" borderId="22" xfId="0" applyNumberFormat="1" applyFont="1" applyFill="1" applyBorder="1"/>
    <xf numFmtId="2" fontId="7" fillId="0" borderId="23" xfId="0" applyNumberFormat="1" applyFont="1" applyFill="1" applyBorder="1"/>
    <xf numFmtId="2" fontId="7" fillId="0" borderId="25" xfId="0" applyNumberFormat="1" applyFont="1" applyFill="1" applyBorder="1"/>
    <xf numFmtId="191" fontId="0" fillId="29" borderId="0" xfId="24" applyNumberFormat="1" applyFont="1" applyFill="1"/>
    <xf numFmtId="0" fontId="17" fillId="48" borderId="5" xfId="0" applyFont="1" applyFill="1" applyBorder="1" applyProtection="1"/>
    <xf numFmtId="0" fontId="17" fillId="48" borderId="14" xfId="0" applyFont="1" applyFill="1" applyBorder="1" applyProtection="1"/>
    <xf numFmtId="0" fontId="17" fillId="48" borderId="15" xfId="0" applyFont="1" applyFill="1" applyBorder="1" applyProtection="1"/>
    <xf numFmtId="0" fontId="17" fillId="24" borderId="0" xfId="0" applyFont="1" applyFill="1" applyBorder="1"/>
    <xf numFmtId="0" fontId="17" fillId="48" borderId="5" xfId="0" applyFont="1" applyFill="1" applyBorder="1"/>
    <xf numFmtId="0" fontId="17" fillId="48" borderId="14" xfId="0" applyFont="1" applyFill="1" applyBorder="1"/>
    <xf numFmtId="0" fontId="17" fillId="48" borderId="15" xfId="0" applyFont="1" applyFill="1" applyBorder="1"/>
    <xf numFmtId="0" fontId="17" fillId="24" borderId="0" xfId="0" applyFont="1" applyFill="1" applyBorder="1" applyProtection="1"/>
    <xf numFmtId="0" fontId="8" fillId="1" borderId="11" xfId="0" applyFont="1" applyFill="1" applyBorder="1"/>
    <xf numFmtId="0" fontId="6" fillId="1" borderId="40" xfId="0" applyFont="1" applyFill="1" applyBorder="1"/>
    <xf numFmtId="0" fontId="7" fillId="1" borderId="40" xfId="0" applyFont="1" applyFill="1" applyBorder="1"/>
    <xf numFmtId="0" fontId="0" fillId="1" borderId="40" xfId="0" applyFill="1" applyBorder="1"/>
    <xf numFmtId="0" fontId="0" fillId="1" borderId="41" xfId="0" applyFill="1" applyBorder="1"/>
    <xf numFmtId="0" fontId="0" fillId="1" borderId="29" xfId="0" applyFill="1" applyBorder="1"/>
    <xf numFmtId="0" fontId="0" fillId="1" borderId="0" xfId="0" applyFill="1" applyBorder="1"/>
    <xf numFmtId="41" fontId="0" fillId="1" borderId="0" xfId="24" applyFont="1" applyFill="1" applyBorder="1"/>
    <xf numFmtId="0" fontId="0" fillId="1" borderId="31" xfId="0" applyFill="1" applyBorder="1"/>
    <xf numFmtId="41" fontId="0" fillId="1" borderId="0" xfId="43" applyNumberFormat="1" applyFont="1" applyFill="1" applyBorder="1"/>
    <xf numFmtId="0" fontId="8" fillId="1" borderId="29" xfId="0" applyFont="1" applyFill="1" applyBorder="1"/>
    <xf numFmtId="0" fontId="6" fillId="1" borderId="0" xfId="0" applyFont="1" applyFill="1" applyBorder="1"/>
    <xf numFmtId="0" fontId="0" fillId="53" borderId="23" xfId="0" applyFill="1" applyBorder="1"/>
    <xf numFmtId="0" fontId="0" fillId="1" borderId="32" xfId="0" applyFill="1" applyBorder="1"/>
    <xf numFmtId="0" fontId="0" fillId="1" borderId="28" xfId="0" applyFill="1" applyBorder="1"/>
    <xf numFmtId="0" fontId="6" fillId="1" borderId="28" xfId="0" applyFont="1" applyFill="1" applyBorder="1"/>
    <xf numFmtId="41" fontId="6" fillId="1" borderId="28" xfId="24" applyFont="1" applyFill="1" applyBorder="1"/>
    <xf numFmtId="0" fontId="0" fillId="1" borderId="33" xfId="0" applyFill="1" applyBorder="1"/>
    <xf numFmtId="41" fontId="0" fillId="1" borderId="0" xfId="0" applyNumberFormat="1" applyFill="1" applyBorder="1"/>
    <xf numFmtId="173" fontId="7" fillId="0" borderId="0" xfId="30" applyNumberFormat="1" applyFont="1" applyBorder="1"/>
    <xf numFmtId="0" fontId="6" fillId="0" borderId="19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173" fontId="7" fillId="0" borderId="0" xfId="24" applyNumberFormat="1" applyFont="1" applyBorder="1"/>
    <xf numFmtId="169" fontId="7" fillId="0" borderId="0" xfId="24" applyNumberFormat="1" applyFont="1" applyBorder="1"/>
    <xf numFmtId="173" fontId="7" fillId="0" borderId="31" xfId="24" applyNumberFormat="1" applyFont="1" applyBorder="1"/>
    <xf numFmtId="178" fontId="0" fillId="0" borderId="0" xfId="23" applyNumberFormat="1" applyFont="1"/>
    <xf numFmtId="0" fontId="14" fillId="31" borderId="0" xfId="0" applyFont="1" applyFill="1"/>
    <xf numFmtId="174" fontId="0" fillId="0" borderId="0" xfId="0" applyNumberFormat="1"/>
    <xf numFmtId="191" fontId="0" fillId="32" borderId="0" xfId="24" applyNumberFormat="1" applyFont="1" applyFill="1"/>
    <xf numFmtId="0" fontId="0" fillId="0" borderId="0" xfId="0" applyNumberFormat="1" applyFill="1"/>
    <xf numFmtId="0" fontId="8" fillId="0" borderId="0" xfId="0" applyFont="1" applyBorder="1" applyAlignment="1">
      <alignment vertical="center" textRotation="180"/>
    </xf>
    <xf numFmtId="0" fontId="8" fillId="0" borderId="28" xfId="0" applyFont="1" applyBorder="1" applyAlignment="1">
      <alignment vertical="center" textRotation="180"/>
    </xf>
    <xf numFmtId="43" fontId="0" fillId="0" borderId="0" xfId="23" applyNumberFormat="1" applyFont="1" applyBorder="1"/>
    <xf numFmtId="0" fontId="9" fillId="0" borderId="40" xfId="0" applyFont="1" applyBorder="1" applyAlignment="1">
      <alignment vertical="center"/>
    </xf>
    <xf numFmtId="0" fontId="9" fillId="0" borderId="0" xfId="0" applyFont="1" applyBorder="1" applyAlignment="1">
      <alignment vertical="center" textRotation="180"/>
    </xf>
    <xf numFmtId="0" fontId="9" fillId="0" borderId="0" xfId="0" applyFont="1" applyBorder="1" applyAlignment="1">
      <alignment vertical="center"/>
    </xf>
    <xf numFmtId="0" fontId="9" fillId="0" borderId="23" xfId="0" applyFont="1" applyBorder="1" applyAlignment="1">
      <alignment vertical="center" textRotation="180"/>
    </xf>
    <xf numFmtId="0" fontId="9" fillId="0" borderId="27" xfId="0" applyFont="1" applyBorder="1" applyAlignment="1">
      <alignment vertical="center"/>
    </xf>
    <xf numFmtId="0" fontId="9" fillId="0" borderId="28" xfId="0" applyFont="1" applyBorder="1" applyAlignment="1">
      <alignment vertical="center" textRotation="180"/>
    </xf>
    <xf numFmtId="0" fontId="7" fillId="0" borderId="27" xfId="0" applyFont="1" applyFill="1" applyBorder="1"/>
    <xf numFmtId="0" fontId="7" fillId="0" borderId="24" xfId="0" applyFont="1" applyFill="1" applyBorder="1" applyAlignment="1">
      <alignment horizontal="left" indent="5"/>
    </xf>
    <xf numFmtId="0" fontId="7" fillId="0" borderId="26" xfId="0" applyFont="1" applyFill="1" applyBorder="1" applyAlignment="1">
      <alignment horizontal="left" indent="5"/>
    </xf>
    <xf numFmtId="0" fontId="12" fillId="0" borderId="23" xfId="0" applyFont="1" applyFill="1" applyBorder="1" applyAlignment="1">
      <alignment horizontal="left" indent="3"/>
    </xf>
    <xf numFmtId="195" fontId="0" fillId="0" borderId="23" xfId="30" applyNumberFormat="1" applyFont="1" applyBorder="1"/>
    <xf numFmtId="0" fontId="44" fillId="0" borderId="0" xfId="0" applyFont="1" applyBorder="1" applyAlignment="1">
      <alignment horizontal="left" indent="1"/>
    </xf>
    <xf numFmtId="0" fontId="12" fillId="0" borderId="28" xfId="0" applyFont="1" applyBorder="1" applyAlignment="1">
      <alignment horizontal="left"/>
    </xf>
    <xf numFmtId="172" fontId="12" fillId="0" borderId="28" xfId="0" applyNumberFormat="1" applyFont="1" applyBorder="1"/>
    <xf numFmtId="172" fontId="12" fillId="0" borderId="33" xfId="43" applyNumberFormat="1" applyFont="1" applyBorder="1"/>
    <xf numFmtId="169" fontId="0" fillId="0" borderId="28" xfId="23" applyNumberFormat="1" applyFont="1" applyBorder="1"/>
    <xf numFmtId="10" fontId="0" fillId="0" borderId="28" xfId="0" applyNumberFormat="1" applyFill="1" applyBorder="1"/>
    <xf numFmtId="41" fontId="0" fillId="0" borderId="28" xfId="0" applyNumberFormat="1" applyFill="1" applyBorder="1"/>
    <xf numFmtId="0" fontId="59" fillId="0" borderId="0" xfId="0" applyFont="1" applyFill="1" applyBorder="1"/>
    <xf numFmtId="0" fontId="0" fillId="0" borderId="50" xfId="0" applyBorder="1"/>
    <xf numFmtId="0" fontId="7" fillId="0" borderId="50" xfId="0" applyFont="1" applyBorder="1"/>
    <xf numFmtId="0" fontId="7" fillId="0" borderId="50" xfId="0" applyFont="1" applyFill="1" applyBorder="1"/>
    <xf numFmtId="0" fontId="8" fillId="0" borderId="0" xfId="0" applyFont="1" applyBorder="1" applyAlignment="1">
      <alignment horizontal="left"/>
    </xf>
    <xf numFmtId="0" fontId="5" fillId="0" borderId="27" xfId="30" applyNumberFormat="1" applyFont="1" applyBorder="1" applyAlignment="1">
      <alignment horizontal="center"/>
    </xf>
    <xf numFmtId="0" fontId="0" fillId="0" borderId="27" xfId="30" applyNumberFormat="1" applyFont="1" applyBorder="1" applyAlignment="1">
      <alignment horizontal="center"/>
    </xf>
    <xf numFmtId="0" fontId="0" fillId="0" borderId="30" xfId="30" applyNumberFormat="1" applyFont="1" applyBorder="1" applyAlignment="1">
      <alignment horizontal="center"/>
    </xf>
    <xf numFmtId="0" fontId="0" fillId="0" borderId="23" xfId="30" applyNumberFormat="1" applyFont="1" applyBorder="1" applyAlignment="1">
      <alignment horizontal="center"/>
    </xf>
    <xf numFmtId="0" fontId="0" fillId="0" borderId="25" xfId="30" applyNumberFormat="1" applyFont="1" applyBorder="1" applyAlignment="1">
      <alignment horizontal="center"/>
    </xf>
    <xf numFmtId="2" fontId="7" fillId="0" borderId="0" xfId="23" applyNumberFormat="1" applyFont="1" applyBorder="1" applyAlignment="1">
      <alignment horizontal="center"/>
    </xf>
    <xf numFmtId="43" fontId="7" fillId="39" borderId="30" xfId="0" applyNumberFormat="1" applyFont="1" applyFill="1" applyBorder="1" applyAlignment="1">
      <alignment horizontal="center"/>
    </xf>
    <xf numFmtId="0" fontId="0" fillId="39" borderId="18" xfId="0" applyFill="1" applyBorder="1"/>
    <xf numFmtId="0" fontId="0" fillId="39" borderId="19" xfId="0" applyFill="1" applyBorder="1"/>
    <xf numFmtId="172" fontId="0" fillId="39" borderId="19" xfId="43" applyNumberFormat="1" applyFont="1" applyFill="1" applyBorder="1"/>
    <xf numFmtId="169" fontId="0" fillId="39" borderId="20" xfId="23" applyNumberFormat="1" applyFont="1" applyFill="1" applyBorder="1"/>
    <xf numFmtId="0" fontId="14" fillId="31" borderId="0" xfId="0" applyFont="1" applyFill="1" applyBorder="1" applyAlignment="1">
      <alignment horizontal="left" indent="1"/>
    </xf>
    <xf numFmtId="3" fontId="11" fillId="31" borderId="0" xfId="0" applyNumberFormat="1" applyFont="1" applyFill="1" applyBorder="1"/>
    <xf numFmtId="195" fontId="0" fillId="0" borderId="0" xfId="0" applyNumberFormat="1" applyBorder="1"/>
    <xf numFmtId="204" fontId="12" fillId="0" borderId="0" xfId="43" applyNumberFormat="1" applyFont="1" applyBorder="1"/>
    <xf numFmtId="204" fontId="12" fillId="0" borderId="31" xfId="43" applyNumberFormat="1" applyFont="1" applyBorder="1"/>
    <xf numFmtId="195" fontId="6" fillId="0" borderId="31" xfId="30" applyNumberFormat="1" applyFont="1" applyBorder="1"/>
    <xf numFmtId="172" fontId="8" fillId="22" borderId="87" xfId="43" applyNumberFormat="1" applyFont="1" applyFill="1" applyBorder="1"/>
    <xf numFmtId="168" fontId="8" fillId="22" borderId="87" xfId="23" applyNumberFormat="1" applyFont="1" applyFill="1" applyBorder="1"/>
    <xf numFmtId="178" fontId="0" fillId="0" borderId="0" xfId="23" applyNumberFormat="1" applyFont="1" applyFill="1"/>
    <xf numFmtId="168" fontId="0" fillId="54" borderId="0" xfId="23" applyNumberFormat="1" applyFont="1" applyFill="1" applyAlignment="1">
      <alignment horizontal="left"/>
    </xf>
    <xf numFmtId="0" fontId="0" fillId="54" borderId="0" xfId="0" applyFill="1"/>
    <xf numFmtId="44" fontId="0" fillId="54" borderId="0" xfId="30" applyFont="1" applyFill="1"/>
    <xf numFmtId="43" fontId="0" fillId="54" borderId="0" xfId="23" applyFont="1" applyFill="1"/>
    <xf numFmtId="0" fontId="0" fillId="55" borderId="17" xfId="0" applyFill="1" applyBorder="1"/>
    <xf numFmtId="9" fontId="0" fillId="54" borderId="0" xfId="43" applyFont="1" applyFill="1"/>
    <xf numFmtId="188" fontId="0" fillId="0" borderId="0" xfId="23" applyNumberFormat="1" applyFont="1"/>
    <xf numFmtId="188" fontId="0" fillId="0" borderId="0" xfId="23" applyNumberFormat="1" applyFont="1" applyFill="1"/>
    <xf numFmtId="207" fontId="0" fillId="0" borderId="0" xfId="23" applyNumberFormat="1" applyFont="1"/>
    <xf numFmtId="0" fontId="14" fillId="27" borderId="0" xfId="0" applyFont="1" applyFill="1" applyBorder="1" applyAlignment="1">
      <alignment horizontal="left" indent="1"/>
    </xf>
    <xf numFmtId="3" fontId="11" fillId="27" borderId="0" xfId="0" applyNumberFormat="1" applyFont="1" applyFill="1" applyBorder="1"/>
    <xf numFmtId="0" fontId="17" fillId="0" borderId="32" xfId="0" applyFont="1" applyFill="1" applyBorder="1"/>
    <xf numFmtId="0" fontId="7" fillId="0" borderId="28" xfId="0" applyFont="1" applyFill="1" applyBorder="1"/>
    <xf numFmtId="195" fontId="8" fillId="0" borderId="28" xfId="30" applyNumberFormat="1" applyFont="1" applyFill="1" applyBorder="1"/>
    <xf numFmtId="0" fontId="7" fillId="0" borderId="33" xfId="0" applyFont="1" applyFill="1" applyBorder="1"/>
    <xf numFmtId="0" fontId="17" fillId="0" borderId="11" xfId="0" applyFont="1" applyFill="1" applyBorder="1"/>
    <xf numFmtId="0" fontId="8" fillId="0" borderId="40" xfId="0" applyFont="1" applyFill="1" applyBorder="1"/>
    <xf numFmtId="195" fontId="8" fillId="0" borderId="40" xfId="30" applyNumberFormat="1" applyFont="1" applyFill="1" applyBorder="1"/>
    <xf numFmtId="0" fontId="7" fillId="0" borderId="41" xfId="0" applyFont="1" applyFill="1" applyBorder="1"/>
    <xf numFmtId="2" fontId="7" fillId="0" borderId="27" xfId="0" applyNumberFormat="1" applyFont="1" applyFill="1" applyBorder="1"/>
    <xf numFmtId="2" fontId="7" fillId="0" borderId="30" xfId="0" applyNumberFormat="1" applyFont="1" applyFill="1" applyBorder="1"/>
    <xf numFmtId="2" fontId="6" fillId="0" borderId="27" xfId="0" applyNumberFormat="1" applyFont="1" applyFill="1" applyBorder="1" applyAlignment="1">
      <alignment horizontal="center"/>
    </xf>
    <xf numFmtId="2" fontId="6" fillId="0" borderId="30" xfId="0" applyNumberFormat="1" applyFont="1" applyFill="1" applyBorder="1" applyAlignment="1">
      <alignment horizontal="center"/>
    </xf>
    <xf numFmtId="0" fontId="13" fillId="0" borderId="24" xfId="0" applyFont="1" applyFill="1" applyBorder="1"/>
    <xf numFmtId="0" fontId="12" fillId="0" borderId="23" xfId="0" applyFont="1" applyFill="1" applyBorder="1"/>
    <xf numFmtId="1" fontId="13" fillId="0" borderId="23" xfId="0" applyNumberFormat="1" applyFont="1" applyFill="1" applyBorder="1" applyAlignment="1">
      <alignment horizontal="center"/>
    </xf>
    <xf numFmtId="1" fontId="13" fillId="0" borderId="25" xfId="0" applyNumberFormat="1" applyFont="1" applyFill="1" applyBorder="1" applyAlignment="1">
      <alignment horizontal="center"/>
    </xf>
    <xf numFmtId="2" fontId="0" fillId="0" borderId="0" xfId="0" applyNumberFormat="1" applyFill="1"/>
    <xf numFmtId="0" fontId="6" fillId="0" borderId="31" xfId="0" applyFont="1" applyFill="1" applyBorder="1" applyAlignment="1">
      <alignment horizontal="center"/>
    </xf>
    <xf numFmtId="0" fontId="7" fillId="39" borderId="87" xfId="0" applyFont="1" applyFill="1" applyBorder="1" applyAlignment="1">
      <alignment horizontal="center"/>
    </xf>
    <xf numFmtId="172" fontId="0" fillId="0" borderId="31" xfId="43" applyNumberFormat="1" applyFont="1" applyBorder="1"/>
    <xf numFmtId="169" fontId="0" fillId="0" borderId="31" xfId="23" applyNumberFormat="1" applyFont="1" applyBorder="1"/>
    <xf numFmtId="0" fontId="12" fillId="0" borderId="0" xfId="0" applyFont="1" applyBorder="1" applyAlignment="1">
      <alignment horizontal="left" indent="3"/>
    </xf>
    <xf numFmtId="208" fontId="5" fillId="0" borderId="0" xfId="30" applyNumberFormat="1" applyBorder="1"/>
    <xf numFmtId="208" fontId="5" fillId="0" borderId="31" xfId="30" applyNumberFormat="1" applyBorder="1"/>
    <xf numFmtId="209" fontId="5" fillId="0" borderId="0" xfId="30" applyNumberFormat="1" applyBorder="1"/>
    <xf numFmtId="209" fontId="5" fillId="0" borderId="31" xfId="30" applyNumberFormat="1" applyBorder="1"/>
    <xf numFmtId="208" fontId="6" fillId="0" borderId="0" xfId="30" applyNumberFormat="1" applyFont="1" applyBorder="1"/>
    <xf numFmtId="208" fontId="6" fillId="0" borderId="31" xfId="30" applyNumberFormat="1" applyFont="1" applyBorder="1"/>
    <xf numFmtId="210" fontId="5" fillId="0" borderId="0" xfId="30" applyNumberFormat="1" applyBorder="1"/>
    <xf numFmtId="210" fontId="5" fillId="0" borderId="31" xfId="30" applyNumberFormat="1" applyBorder="1"/>
    <xf numFmtId="208" fontId="5" fillId="0" borderId="23" xfId="30" applyNumberFormat="1" applyBorder="1"/>
    <xf numFmtId="208" fontId="5" fillId="0" borderId="75" xfId="30" applyNumberFormat="1" applyBorder="1"/>
    <xf numFmtId="0" fontId="0" fillId="0" borderId="32" xfId="0" applyFill="1" applyBorder="1"/>
    <xf numFmtId="0" fontId="13" fillId="24" borderId="0" xfId="0" applyFont="1" applyFill="1" applyProtection="1"/>
    <xf numFmtId="0" fontId="12" fillId="34" borderId="64" xfId="0" applyFont="1" applyFill="1" applyBorder="1" applyProtection="1"/>
    <xf numFmtId="0" fontId="12" fillId="34" borderId="65" xfId="0" applyFont="1" applyFill="1" applyBorder="1" applyProtection="1"/>
    <xf numFmtId="168" fontId="0" fillId="32" borderId="0" xfId="23" applyNumberFormat="1" applyFont="1" applyFill="1"/>
    <xf numFmtId="0" fontId="0" fillId="51" borderId="11" xfId="0" applyFill="1" applyBorder="1"/>
    <xf numFmtId="9" fontId="0" fillId="51" borderId="41" xfId="43" applyFont="1" applyFill="1" applyBorder="1"/>
    <xf numFmtId="9" fontId="0" fillId="51" borderId="0" xfId="43" applyFont="1" applyFill="1"/>
    <xf numFmtId="0" fontId="0" fillId="51" borderId="32" xfId="0" applyFill="1" applyBorder="1"/>
    <xf numFmtId="43" fontId="0" fillId="33" borderId="0" xfId="23" applyFont="1" applyFill="1"/>
    <xf numFmtId="191" fontId="0" fillId="29" borderId="0" xfId="23" applyNumberFormat="1" applyFont="1" applyFill="1"/>
    <xf numFmtId="191" fontId="0" fillId="32" borderId="0" xfId="23" applyNumberFormat="1" applyFont="1" applyFill="1"/>
    <xf numFmtId="0" fontId="22" fillId="29" borderId="11" xfId="0" applyFont="1" applyFill="1" applyBorder="1"/>
    <xf numFmtId="0" fontId="22" fillId="29" borderId="40" xfId="0" applyFont="1" applyFill="1" applyBorder="1" applyAlignment="1">
      <alignment horizontal="centerContinuous"/>
    </xf>
    <xf numFmtId="0" fontId="23" fillId="29" borderId="40" xfId="0" applyFont="1" applyFill="1" applyBorder="1" applyAlignment="1">
      <alignment horizontal="centerContinuous"/>
    </xf>
    <xf numFmtId="0" fontId="50" fillId="29" borderId="40" xfId="0" applyFont="1" applyFill="1" applyBorder="1" applyAlignment="1">
      <alignment horizontal="centerContinuous"/>
    </xf>
    <xf numFmtId="0" fontId="50" fillId="29" borderId="41" xfId="0" applyFont="1" applyFill="1" applyBorder="1"/>
    <xf numFmtId="214" fontId="0" fillId="0" borderId="0" xfId="43" applyNumberFormat="1" applyFont="1"/>
    <xf numFmtId="172" fontId="0" fillId="39" borderId="50" xfId="43" applyNumberFormat="1" applyFont="1" applyFill="1" applyBorder="1"/>
    <xf numFmtId="172" fontId="0" fillId="39" borderId="50" xfId="0" applyNumberFormat="1" applyFill="1" applyBorder="1"/>
    <xf numFmtId="172" fontId="7" fillId="0" borderId="40" xfId="43" applyNumberFormat="1" applyFont="1" applyBorder="1"/>
    <xf numFmtId="0" fontId="49" fillId="0" borderId="0" xfId="41" applyFont="1"/>
    <xf numFmtId="0" fontId="83" fillId="0" borderId="0" xfId="41"/>
    <xf numFmtId="0" fontId="51" fillId="0" borderId="0" xfId="41" applyFont="1"/>
    <xf numFmtId="0" fontId="83" fillId="0" borderId="0" xfId="41" applyBorder="1"/>
    <xf numFmtId="0" fontId="17" fillId="0" borderId="25" xfId="41" applyFont="1" applyBorder="1"/>
    <xf numFmtId="0" fontId="17" fillId="0" borderId="17" xfId="41" applyFont="1" applyBorder="1" applyAlignment="1" applyProtection="1">
      <alignment horizontal="center" vertical="center"/>
      <protection locked="0"/>
    </xf>
    <xf numFmtId="0" fontId="17" fillId="0" borderId="26" xfId="41" applyFont="1" applyBorder="1" applyAlignment="1">
      <alignment horizontal="center" vertical="center"/>
    </xf>
    <xf numFmtId="0" fontId="10" fillId="43" borderId="17" xfId="41" applyFont="1" applyFill="1" applyBorder="1" applyAlignment="1">
      <alignment horizontal="center" vertical="center"/>
    </xf>
    <xf numFmtId="0" fontId="54" fillId="0" borderId="0" xfId="41" applyFont="1" applyBorder="1" applyAlignment="1">
      <alignment horizontal="center" vertical="top" wrapText="1"/>
    </xf>
    <xf numFmtId="0" fontId="115" fillId="0" borderId="0" xfId="41" applyFont="1" applyBorder="1" applyAlignment="1">
      <alignment horizontal="center" vertical="top" wrapText="1"/>
    </xf>
    <xf numFmtId="0" fontId="83" fillId="0" borderId="0" xfId="41" applyProtection="1"/>
    <xf numFmtId="0" fontId="8" fillId="0" borderId="0" xfId="41" applyFont="1" applyProtection="1"/>
    <xf numFmtId="0" fontId="83" fillId="0" borderId="0" xfId="41" applyAlignment="1" applyProtection="1">
      <alignment horizontal="center"/>
    </xf>
    <xf numFmtId="0" fontId="112" fillId="31" borderId="30" xfId="41" applyFont="1" applyFill="1" applyBorder="1" applyProtection="1"/>
    <xf numFmtId="0" fontId="112" fillId="31" borderId="25" xfId="41" applyFont="1" applyFill="1" applyBorder="1" applyProtection="1"/>
    <xf numFmtId="9" fontId="83" fillId="0" borderId="0" xfId="41" applyNumberFormat="1" applyAlignment="1" applyProtection="1">
      <alignment horizontal="center"/>
    </xf>
    <xf numFmtId="0" fontId="83" fillId="0" borderId="0" xfId="41" applyBorder="1" applyAlignment="1" applyProtection="1">
      <alignment horizontal="center"/>
    </xf>
    <xf numFmtId="0" fontId="83" fillId="0" borderId="30" xfId="41" applyBorder="1" applyProtection="1"/>
    <xf numFmtId="0" fontId="8" fillId="0" borderId="21" xfId="41" applyFont="1" applyBorder="1" applyProtection="1"/>
    <xf numFmtId="0" fontId="8" fillId="0" borderId="0" xfId="41" applyFont="1" applyBorder="1" applyAlignment="1" applyProtection="1">
      <alignment horizontal="center"/>
    </xf>
    <xf numFmtId="0" fontId="83" fillId="0" borderId="22" xfId="41" applyBorder="1" applyProtection="1"/>
    <xf numFmtId="0" fontId="8" fillId="0" borderId="24" xfId="41" applyFont="1" applyBorder="1" applyProtection="1"/>
    <xf numFmtId="0" fontId="8" fillId="0" borderId="23" xfId="41" applyFont="1" applyBorder="1" applyAlignment="1" applyProtection="1">
      <alignment horizontal="center"/>
    </xf>
    <xf numFmtId="0" fontId="83" fillId="0" borderId="23" xfId="41" applyBorder="1" applyAlignment="1" applyProtection="1">
      <alignment horizontal="center"/>
    </xf>
    <xf numFmtId="0" fontId="83" fillId="0" borderId="25" xfId="41" applyBorder="1" applyProtection="1"/>
    <xf numFmtId="0" fontId="8" fillId="0" borderId="0" xfId="41" applyFont="1" applyAlignment="1" applyProtection="1">
      <alignment horizontal="center"/>
    </xf>
    <xf numFmtId="0" fontId="83" fillId="0" borderId="24" xfId="41" applyBorder="1" applyProtection="1"/>
    <xf numFmtId="0" fontId="17" fillId="0" borderId="0" xfId="41" applyFont="1" applyAlignment="1">
      <alignment horizontal="left" vertical="center" wrapText="1"/>
    </xf>
    <xf numFmtId="0" fontId="54" fillId="0" borderId="0" xfId="41" applyFont="1" applyBorder="1" applyAlignment="1">
      <alignment vertical="top" wrapText="1"/>
    </xf>
    <xf numFmtId="0" fontId="83" fillId="0" borderId="0" xfId="41" applyBorder="1" applyAlignment="1" applyProtection="1">
      <alignment horizontal="center"/>
      <protection locked="0"/>
    </xf>
    <xf numFmtId="0" fontId="83" fillId="0" borderId="23" xfId="41" applyBorder="1" applyAlignment="1" applyProtection="1">
      <alignment horizontal="center"/>
      <protection locked="0"/>
    </xf>
    <xf numFmtId="0" fontId="92" fillId="24" borderId="0" xfId="0" applyFont="1" applyFill="1" applyProtection="1"/>
    <xf numFmtId="188" fontId="0" fillId="0" borderId="0" xfId="43" applyNumberFormat="1" applyFont="1"/>
    <xf numFmtId="215" fontId="0" fillId="24" borderId="0" xfId="0" applyNumberFormat="1" applyFill="1" applyProtection="1"/>
    <xf numFmtId="172" fontId="6" fillId="0" borderId="0" xfId="43" applyNumberFormat="1" applyFont="1"/>
    <xf numFmtId="0" fontId="6" fillId="0" borderId="34" xfId="0" applyFont="1" applyBorder="1" applyAlignment="1">
      <alignment horizontal="center"/>
    </xf>
    <xf numFmtId="168" fontId="6" fillId="0" borderId="60" xfId="23" applyNumberFormat="1" applyFont="1" applyBorder="1" applyAlignment="1">
      <alignment horizontal="left"/>
    </xf>
    <xf numFmtId="0" fontId="6" fillId="0" borderId="53" xfId="0" applyFont="1" applyBorder="1"/>
    <xf numFmtId="0" fontId="6" fillId="0" borderId="53" xfId="0" applyFont="1" applyBorder="1" applyAlignment="1">
      <alignment horizontal="left"/>
    </xf>
    <xf numFmtId="168" fontId="6" fillId="0" borderId="20" xfId="23" applyNumberFormat="1" applyFont="1" applyBorder="1" applyAlignment="1">
      <alignment horizontal="left"/>
    </xf>
    <xf numFmtId="0" fontId="6" fillId="0" borderId="17" xfId="0" applyFont="1" applyBorder="1"/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4" fontId="6" fillId="0" borderId="17" xfId="0" applyNumberFormat="1" applyFont="1" applyBorder="1" applyAlignment="1">
      <alignment horizontal="center"/>
    </xf>
    <xf numFmtId="0" fontId="6" fillId="0" borderId="88" xfId="0" applyFont="1" applyBorder="1"/>
    <xf numFmtId="0" fontId="0" fillId="0" borderId="88" xfId="0" applyBorder="1"/>
    <xf numFmtId="168" fontId="6" fillId="0" borderId="53" xfId="23" applyNumberFormat="1" applyFont="1" applyBorder="1" applyAlignment="1">
      <alignment horizontal="left"/>
    </xf>
    <xf numFmtId="168" fontId="6" fillId="0" borderId="17" xfId="23" applyNumberFormat="1" applyFont="1" applyBorder="1" applyAlignment="1">
      <alignment horizontal="left"/>
    </xf>
    <xf numFmtId="4" fontId="6" fillId="0" borderId="53" xfId="0" applyNumberFormat="1" applyFont="1" applyBorder="1" applyAlignment="1">
      <alignment horizontal="center"/>
    </xf>
    <xf numFmtId="168" fontId="6" fillId="0" borderId="88" xfId="23" applyNumberFormat="1" applyFont="1" applyBorder="1" applyAlignment="1">
      <alignment horizontal="left"/>
    </xf>
    <xf numFmtId="0" fontId="6" fillId="0" borderId="88" xfId="0" applyFont="1" applyBorder="1" applyAlignment="1">
      <alignment horizontal="center"/>
    </xf>
    <xf numFmtId="0" fontId="0" fillId="0" borderId="0" xfId="0" applyFill="1" applyAlignment="1">
      <alignment horizontal="left" indent="2"/>
    </xf>
    <xf numFmtId="0" fontId="1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6" fillId="32" borderId="28" xfId="0" applyFont="1" applyFill="1" applyBorder="1"/>
    <xf numFmtId="0" fontId="0" fillId="0" borderId="25" xfId="0" applyBorder="1" applyAlignment="1">
      <alignment horizontal="left"/>
    </xf>
    <xf numFmtId="0" fontId="0" fillId="0" borderId="20" xfId="0" applyBorder="1" applyAlignment="1">
      <alignment horizontal="left"/>
    </xf>
    <xf numFmtId="168" fontId="6" fillId="32" borderId="88" xfId="23" applyNumberFormat="1" applyFont="1" applyFill="1" applyBorder="1" applyAlignment="1">
      <alignment horizontal="left"/>
    </xf>
    <xf numFmtId="0" fontId="6" fillId="32" borderId="88" xfId="0" applyFont="1" applyFill="1" applyBorder="1"/>
    <xf numFmtId="0" fontId="123" fillId="0" borderId="0" xfId="0" applyFont="1"/>
    <xf numFmtId="10" fontId="0" fillId="0" borderId="0" xfId="0" applyNumberFormat="1" applyFill="1"/>
    <xf numFmtId="4" fontId="0" fillId="0" borderId="0" xfId="0" applyNumberFormat="1"/>
    <xf numFmtId="4" fontId="7" fillId="0" borderId="0" xfId="43" applyNumberFormat="1" applyFont="1" applyFill="1" applyBorder="1"/>
    <xf numFmtId="3" fontId="124" fillId="24" borderId="48" xfId="24" applyNumberFormat="1" applyFont="1" applyFill="1" applyBorder="1" applyAlignment="1" applyProtection="1">
      <alignment horizontal="center" vertical="center"/>
    </xf>
    <xf numFmtId="0" fontId="124" fillId="39" borderId="13" xfId="0" applyFont="1" applyFill="1" applyBorder="1" applyAlignment="1" applyProtection="1">
      <alignment horizontal="center" vertical="center"/>
      <protection locked="0"/>
    </xf>
    <xf numFmtId="0" fontId="68" fillId="34" borderId="0" xfId="0" applyFont="1" applyFill="1" applyBorder="1" applyAlignment="1">
      <alignment horizontal="left" vertical="center"/>
    </xf>
    <xf numFmtId="0" fontId="95" fillId="0" borderId="0" xfId="0" applyFont="1"/>
    <xf numFmtId="0" fontId="122" fillId="0" borderId="0" xfId="0" applyFont="1"/>
    <xf numFmtId="0" fontId="125" fillId="39" borderId="0" xfId="0" applyFont="1" applyFill="1" applyBorder="1" applyAlignment="1">
      <alignment horizontal="left" indent="2"/>
    </xf>
    <xf numFmtId="0" fontId="126" fillId="39" borderId="0" xfId="0" applyFont="1" applyFill="1"/>
    <xf numFmtId="14" fontId="126" fillId="39" borderId="0" xfId="0" applyNumberFormat="1" applyFont="1" applyFill="1"/>
    <xf numFmtId="0" fontId="127" fillId="0" borderId="0" xfId="0" applyFont="1"/>
    <xf numFmtId="0" fontId="17" fillId="0" borderId="0" xfId="41" applyFont="1" applyAlignment="1">
      <alignment horizontal="left" vertical="top" wrapText="1"/>
    </xf>
    <xf numFmtId="0" fontId="10" fillId="56" borderId="17" xfId="41" applyFont="1" applyFill="1" applyBorder="1" applyAlignment="1">
      <alignment vertical="center"/>
    </xf>
    <xf numFmtId="0" fontId="16" fillId="56" borderId="26" xfId="41" applyFont="1" applyFill="1" applyBorder="1" applyProtection="1"/>
    <xf numFmtId="0" fontId="16" fillId="56" borderId="30" xfId="41" applyFont="1" applyFill="1" applyBorder="1" applyProtection="1"/>
    <xf numFmtId="0" fontId="16" fillId="56" borderId="21" xfId="41" applyFont="1" applyFill="1" applyBorder="1" applyProtection="1"/>
    <xf numFmtId="0" fontId="16" fillId="56" borderId="22" xfId="41" applyFont="1" applyFill="1" applyBorder="1" applyProtection="1"/>
    <xf numFmtId="0" fontId="83" fillId="56" borderId="21" xfId="41" applyFill="1" applyBorder="1" applyProtection="1"/>
    <xf numFmtId="0" fontId="8" fillId="56" borderId="22" xfId="41" applyFont="1" applyFill="1" applyBorder="1" applyProtection="1"/>
    <xf numFmtId="0" fontId="83" fillId="56" borderId="24" xfId="41" applyFill="1" applyBorder="1" applyProtection="1"/>
    <xf numFmtId="0" fontId="8" fillId="56" borderId="25" xfId="41" applyFont="1" applyFill="1" applyBorder="1" applyProtection="1"/>
    <xf numFmtId="0" fontId="17" fillId="0" borderId="0" xfId="41" applyFont="1" applyBorder="1" applyAlignment="1">
      <alignment horizontal="left" vertical="top" wrapText="1"/>
    </xf>
    <xf numFmtId="0" fontId="5" fillId="0" borderId="0" xfId="54"/>
    <xf numFmtId="0" fontId="121" fillId="0" borderId="27" xfId="41" applyFont="1" applyBorder="1" applyAlignment="1">
      <alignment vertical="top" wrapText="1"/>
    </xf>
    <xf numFmtId="169" fontId="0" fillId="24" borderId="0" xfId="23" applyNumberFormat="1" applyFont="1" applyFill="1" applyProtection="1"/>
    <xf numFmtId="0" fontId="5" fillId="0" borderId="0" xfId="0" applyFont="1" applyBorder="1"/>
    <xf numFmtId="0" fontId="9" fillId="0" borderId="0" xfId="41" applyFont="1" applyProtection="1"/>
    <xf numFmtId="0" fontId="16" fillId="56" borderId="21" xfId="41" applyFont="1" applyFill="1" applyBorder="1" applyAlignment="1" applyProtection="1">
      <alignment wrapText="1"/>
    </xf>
    <xf numFmtId="0" fontId="5" fillId="0" borderId="29" xfId="0" applyFont="1" applyBorder="1"/>
    <xf numFmtId="0" fontId="0" fillId="0" borderId="0" xfId="0" applyFont="1" applyFill="1" applyBorder="1"/>
    <xf numFmtId="0" fontId="5" fillId="0" borderId="31" xfId="0" applyFont="1" applyBorder="1"/>
    <xf numFmtId="0" fontId="0" fillId="57" borderId="0" xfId="0" applyFill="1"/>
    <xf numFmtId="172" fontId="0" fillId="58" borderId="0" xfId="23" applyNumberFormat="1" applyFont="1" applyFill="1"/>
    <xf numFmtId="9" fontId="0" fillId="58" borderId="0" xfId="23" applyNumberFormat="1" applyFont="1" applyFill="1"/>
    <xf numFmtId="169" fontId="0" fillId="58" borderId="0" xfId="23" applyNumberFormat="1" applyFont="1" applyFill="1"/>
    <xf numFmtId="0" fontId="0" fillId="58" borderId="0" xfId="0" applyFill="1"/>
    <xf numFmtId="169" fontId="0" fillId="58" borderId="0" xfId="0" applyNumberFormat="1" applyFill="1"/>
    <xf numFmtId="43" fontId="0" fillId="58" borderId="0" xfId="23" applyFont="1" applyFill="1"/>
    <xf numFmtId="172" fontId="0" fillId="58" borderId="0" xfId="43" applyNumberFormat="1" applyFont="1" applyFill="1"/>
    <xf numFmtId="9" fontId="0" fillId="58" borderId="0" xfId="43" applyFont="1" applyFill="1"/>
    <xf numFmtId="10" fontId="0" fillId="58" borderId="0" xfId="43" applyNumberFormat="1" applyFont="1" applyFill="1"/>
    <xf numFmtId="37" fontId="0" fillId="58" borderId="0" xfId="43" applyNumberFormat="1" applyFont="1" applyFill="1"/>
    <xf numFmtId="41" fontId="0" fillId="58" borderId="0" xfId="23" applyNumberFormat="1" applyFont="1" applyFill="1"/>
    <xf numFmtId="10" fontId="0" fillId="58" borderId="0" xfId="23" applyNumberFormat="1" applyFont="1" applyFill="1"/>
    <xf numFmtId="41" fontId="0" fillId="58" borderId="0" xfId="43" applyNumberFormat="1" applyFont="1" applyFill="1"/>
    <xf numFmtId="9" fontId="0" fillId="58" borderId="0" xfId="43" applyNumberFormat="1" applyFont="1" applyFill="1"/>
    <xf numFmtId="179" fontId="0" fillId="58" borderId="0" xfId="23" applyNumberFormat="1" applyFont="1" applyFill="1"/>
    <xf numFmtId="1" fontId="0" fillId="58" borderId="0" xfId="23" applyNumberFormat="1" applyFont="1" applyFill="1"/>
    <xf numFmtId="0" fontId="5" fillId="0" borderId="0" xfId="0" applyFont="1" applyFill="1" applyBorder="1"/>
    <xf numFmtId="2" fontId="0" fillId="58" borderId="0" xfId="0" applyNumberFormat="1" applyFill="1" applyAlignment="1">
      <alignment horizontal="center"/>
    </xf>
    <xf numFmtId="0" fontId="5" fillId="0" borderId="81" xfId="0" applyFont="1" applyBorder="1"/>
    <xf numFmtId="0" fontId="9" fillId="0" borderId="0" xfId="41" applyFont="1"/>
    <xf numFmtId="0" fontId="5" fillId="0" borderId="73" xfId="0" applyFont="1" applyBorder="1"/>
    <xf numFmtId="0" fontId="6" fillId="0" borderId="71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70" xfId="0" applyBorder="1" applyAlignment="1">
      <alignment horizontal="center"/>
    </xf>
    <xf numFmtId="0" fontId="17" fillId="0" borderId="5" xfId="0" applyFont="1" applyFill="1" applyBorder="1"/>
    <xf numFmtId="0" fontId="8" fillId="0" borderId="14" xfId="0" applyFont="1" applyFill="1" applyBorder="1"/>
    <xf numFmtId="0" fontId="5" fillId="0" borderId="14" xfId="0" applyFont="1" applyFill="1" applyBorder="1"/>
    <xf numFmtId="0" fontId="134" fillId="0" borderId="14" xfId="30" applyNumberFormat="1" applyFont="1" applyFill="1" applyBorder="1" applyAlignment="1">
      <alignment horizontal="center"/>
    </xf>
    <xf numFmtId="0" fontId="5" fillId="0" borderId="15" xfId="0" applyFont="1" applyFill="1" applyBorder="1"/>
    <xf numFmtId="0" fontId="134" fillId="0" borderId="0" xfId="30" applyNumberFormat="1" applyFont="1" applyFill="1" applyBorder="1" applyAlignment="1">
      <alignment horizontal="center"/>
    </xf>
    <xf numFmtId="0" fontId="5" fillId="0" borderId="31" xfId="0" applyFont="1" applyFill="1" applyBorder="1"/>
    <xf numFmtId="172" fontId="5" fillId="0" borderId="0" xfId="43" applyNumberFormat="1" applyFont="1" applyFill="1" applyBorder="1"/>
    <xf numFmtId="172" fontId="5" fillId="0" borderId="31" xfId="43" applyNumberFormat="1" applyFont="1" applyFill="1" applyBorder="1"/>
    <xf numFmtId="0" fontId="43" fillId="0" borderId="41" xfId="0" applyFont="1" applyBorder="1" applyAlignment="1">
      <alignment horizontal="center" vertical="center" textRotation="180"/>
    </xf>
    <xf numFmtId="0" fontId="43" fillId="0" borderId="31" xfId="0" applyFont="1" applyBorder="1" applyAlignment="1">
      <alignment horizontal="center" vertical="center" textRotation="180"/>
    </xf>
    <xf numFmtId="0" fontId="43" fillId="0" borderId="33" xfId="0" applyFont="1" applyBorder="1" applyAlignment="1">
      <alignment horizontal="center" vertical="center" textRotation="180"/>
    </xf>
    <xf numFmtId="43" fontId="0" fillId="58" borderId="0" xfId="23" applyNumberFormat="1" applyFont="1" applyFill="1"/>
    <xf numFmtId="0" fontId="5" fillId="0" borderId="29" xfId="0" applyNumberFormat="1" applyFont="1" applyFill="1" applyBorder="1" applyProtection="1"/>
    <xf numFmtId="169" fontId="5" fillId="0" borderId="0" xfId="23" applyNumberFormat="1" applyFont="1" applyFill="1" applyBorder="1"/>
    <xf numFmtId="169" fontId="5" fillId="0" borderId="28" xfId="23" applyNumberFormat="1" applyFont="1" applyFill="1" applyBorder="1"/>
    <xf numFmtId="0" fontId="5" fillId="0" borderId="83" xfId="0" applyFont="1" applyBorder="1"/>
    <xf numFmtId="0" fontId="5" fillId="0" borderId="0" xfId="0" applyNumberFormat="1" applyFont="1" applyFill="1" applyBorder="1" applyProtection="1"/>
    <xf numFmtId="0" fontId="5" fillId="0" borderId="74" xfId="0" applyFont="1" applyBorder="1"/>
    <xf numFmtId="0" fontId="43" fillId="0" borderId="0" xfId="0" applyFont="1" applyBorder="1" applyAlignment="1">
      <alignment horizontal="center" vertical="center" textRotation="180"/>
    </xf>
    <xf numFmtId="0" fontId="5" fillId="0" borderId="11" xfId="0" applyFont="1" applyBorder="1"/>
    <xf numFmtId="0" fontId="5" fillId="0" borderId="32" xfId="0" applyFont="1" applyBorder="1"/>
    <xf numFmtId="0" fontId="5" fillId="0" borderId="0" xfId="0" applyFont="1" applyFill="1"/>
    <xf numFmtId="0" fontId="0" fillId="0" borderId="27" xfId="0" applyBorder="1" applyAlignment="1">
      <alignment horizontal="right" vertical="top" wrapText="1"/>
    </xf>
    <xf numFmtId="172" fontId="0" fillId="24" borderId="0" xfId="43" applyNumberFormat="1" applyFont="1" applyFill="1" applyProtection="1"/>
    <xf numFmtId="169" fontId="7" fillId="0" borderId="0" xfId="23" applyNumberFormat="1" applyFont="1"/>
    <xf numFmtId="0" fontId="5" fillId="0" borderId="80" xfId="0" applyFont="1" applyBorder="1"/>
    <xf numFmtId="0" fontId="74" fillId="59" borderId="0" xfId="0" applyFont="1" applyFill="1" applyProtection="1"/>
    <xf numFmtId="0" fontId="135" fillId="0" borderId="0" xfId="55"/>
    <xf numFmtId="0" fontId="135" fillId="60" borderId="0" xfId="55" applyFill="1"/>
    <xf numFmtId="0" fontId="135" fillId="0" borderId="0" xfId="55" applyAlignment="1">
      <alignment horizontal="center"/>
    </xf>
    <xf numFmtId="0" fontId="135" fillId="60" borderId="0" xfId="55" applyFill="1" applyAlignment="1">
      <alignment horizontal="center"/>
    </xf>
    <xf numFmtId="0" fontId="136" fillId="61" borderId="0" xfId="55" applyFont="1" applyFill="1"/>
    <xf numFmtId="0" fontId="136" fillId="61" borderId="0" xfId="55" applyFont="1" applyFill="1" applyAlignment="1">
      <alignment horizontal="center"/>
    </xf>
    <xf numFmtId="0" fontId="136" fillId="61" borderId="0" xfId="55" applyFont="1" applyFill="1" applyAlignment="1">
      <alignment horizontal="left"/>
    </xf>
    <xf numFmtId="0" fontId="135" fillId="0" borderId="0" xfId="55" applyFont="1"/>
    <xf numFmtId="0" fontId="137" fillId="0" borderId="0" xfId="55" quotePrefix="1" applyFont="1"/>
    <xf numFmtId="0" fontId="136" fillId="62" borderId="0" xfId="55" applyFont="1" applyFill="1"/>
    <xf numFmtId="0" fontId="136" fillId="63" borderId="0" xfId="55" applyFont="1" applyFill="1"/>
    <xf numFmtId="0" fontId="135" fillId="64" borderId="0" xfId="55" applyFont="1" applyFill="1"/>
    <xf numFmtId="0" fontId="135" fillId="60" borderId="0" xfId="55" applyFont="1" applyFill="1"/>
    <xf numFmtId="0" fontId="138" fillId="0" borderId="0" xfId="55" applyFont="1"/>
    <xf numFmtId="0" fontId="139" fillId="0" borderId="0" xfId="55" applyFont="1"/>
    <xf numFmtId="0" fontId="135" fillId="0" borderId="0" xfId="56" applyFont="1"/>
    <xf numFmtId="0" fontId="141" fillId="0" borderId="0" xfId="57" applyFont="1" applyAlignment="1">
      <alignment horizontal="center" vertical="center"/>
    </xf>
    <xf numFmtId="0" fontId="141" fillId="0" borderId="0" xfId="57" applyFont="1" applyAlignment="1">
      <alignment horizontal="left" vertical="center"/>
    </xf>
    <xf numFmtId="0" fontId="135" fillId="0" borderId="0" xfId="56" applyFont="1" applyFill="1" applyBorder="1"/>
    <xf numFmtId="0" fontId="136" fillId="65" borderId="0" xfId="55" applyFont="1" applyFill="1"/>
    <xf numFmtId="0" fontId="142" fillId="65" borderId="0" xfId="55" applyFont="1" applyFill="1"/>
    <xf numFmtId="0" fontId="3" fillId="0" borderId="0" xfId="58"/>
    <xf numFmtId="0" fontId="135" fillId="0" borderId="0" xfId="59" applyFont="1"/>
    <xf numFmtId="0" fontId="137" fillId="0" borderId="0" xfId="59" quotePrefix="1" applyFont="1"/>
    <xf numFmtId="0" fontId="3" fillId="56" borderId="0" xfId="58" applyFill="1"/>
    <xf numFmtId="0" fontId="144" fillId="0" borderId="0" xfId="59" applyFont="1"/>
    <xf numFmtId="0" fontId="135" fillId="60" borderId="0" xfId="59" applyFont="1" applyFill="1" applyAlignment="1">
      <alignment horizontal="center"/>
    </xf>
    <xf numFmtId="0" fontId="136" fillId="61" borderId="0" xfId="59" applyFont="1" applyFill="1"/>
    <xf numFmtId="0" fontId="136" fillId="61" borderId="0" xfId="59" applyFont="1" applyFill="1" applyAlignment="1">
      <alignment vertical="center"/>
    </xf>
    <xf numFmtId="0" fontId="142" fillId="61" borderId="0" xfId="59" applyFont="1" applyFill="1" applyAlignment="1">
      <alignment vertical="center"/>
    </xf>
    <xf numFmtId="0" fontId="136" fillId="62" borderId="0" xfId="59" applyFont="1" applyFill="1"/>
    <xf numFmtId="0" fontId="136" fillId="63" borderId="0" xfId="59" applyFont="1" applyFill="1"/>
    <xf numFmtId="0" fontId="135" fillId="64" borderId="0" xfId="59" applyFont="1" applyFill="1"/>
    <xf numFmtId="0" fontId="135" fillId="60" borderId="0" xfId="59" applyFont="1" applyFill="1"/>
    <xf numFmtId="0" fontId="138" fillId="0" borderId="0" xfId="59" applyFont="1"/>
    <xf numFmtId="0" fontId="139" fillId="0" borderId="0" xfId="59" applyFont="1"/>
    <xf numFmtId="0" fontId="136" fillId="61" borderId="0" xfId="59" applyFont="1" applyFill="1" applyAlignment="1">
      <alignment horizontal="center"/>
    </xf>
    <xf numFmtId="0" fontId="136" fillId="61" borderId="0" xfId="59" applyFont="1" applyFill="1" applyAlignment="1">
      <alignment horizontal="left"/>
    </xf>
    <xf numFmtId="0" fontId="135" fillId="0" borderId="0" xfId="60" applyFont="1"/>
    <xf numFmtId="0" fontId="135" fillId="0" borderId="0" xfId="60" applyFont="1" applyFill="1" applyBorder="1"/>
    <xf numFmtId="0" fontId="136" fillId="65" borderId="0" xfId="59" applyFont="1" applyFill="1"/>
    <xf numFmtId="0" fontId="142" fillId="65" borderId="0" xfId="59" applyFont="1" applyFill="1"/>
    <xf numFmtId="0" fontId="18" fillId="56" borderId="5" xfId="0" applyFont="1" applyFill="1" applyBorder="1" applyProtection="1"/>
    <xf numFmtId="41" fontId="8" fillId="56" borderId="28" xfId="24" applyFont="1" applyFill="1" applyBorder="1" applyAlignment="1" applyProtection="1">
      <alignment horizontal="center" wrapText="1"/>
    </xf>
    <xf numFmtId="0" fontId="42" fillId="56" borderId="28" xfId="0" applyFont="1" applyFill="1" applyBorder="1" applyAlignment="1" applyProtection="1">
      <alignment horizontal="center"/>
    </xf>
    <xf numFmtId="171" fontId="8" fillId="56" borderId="0" xfId="26" applyNumberFormat="1" applyFont="1" applyFill="1" applyBorder="1" applyProtection="1"/>
    <xf numFmtId="0" fontId="8" fillId="56" borderId="0" xfId="0" applyFont="1" applyFill="1" applyBorder="1" applyProtection="1"/>
    <xf numFmtId="0" fontId="40" fillId="56" borderId="11" xfId="0" applyFont="1" applyFill="1" applyBorder="1" applyProtection="1"/>
    <xf numFmtId="0" fontId="40" fillId="56" borderId="29" xfId="0" applyFont="1" applyFill="1" applyBorder="1" applyProtection="1"/>
    <xf numFmtId="0" fontId="8" fillId="56" borderId="0" xfId="0" applyFont="1" applyFill="1" applyBorder="1" applyAlignment="1" applyProtection="1">
      <alignment vertical="top"/>
    </xf>
    <xf numFmtId="0" fontId="13" fillId="56" borderId="0" xfId="0" applyFont="1" applyFill="1" applyBorder="1" applyProtection="1"/>
    <xf numFmtId="0" fontId="6" fillId="56" borderId="0" xfId="0" applyFont="1" applyFill="1" applyBorder="1" applyProtection="1"/>
    <xf numFmtId="9" fontId="13" fillId="56" borderId="0" xfId="43" applyFont="1" applyFill="1" applyBorder="1" applyProtection="1"/>
    <xf numFmtId="0" fontId="6" fillId="56" borderId="0" xfId="0" applyFont="1" applyFill="1" applyBorder="1" applyAlignment="1" applyProtection="1"/>
    <xf numFmtId="0" fontId="7" fillId="56" borderId="0" xfId="0" applyFont="1" applyFill="1"/>
    <xf numFmtId="0" fontId="0" fillId="56" borderId="0" xfId="0" applyFill="1"/>
    <xf numFmtId="0" fontId="6" fillId="56" borderId="26" xfId="0" applyFont="1" applyFill="1" applyBorder="1"/>
    <xf numFmtId="0" fontId="6" fillId="56" borderId="27" xfId="0" applyFont="1" applyFill="1" applyBorder="1"/>
    <xf numFmtId="0" fontId="6" fillId="56" borderId="30" xfId="0" applyFont="1" applyFill="1" applyBorder="1"/>
    <xf numFmtId="0" fontId="0" fillId="56" borderId="34" xfId="0" applyFill="1" applyBorder="1"/>
    <xf numFmtId="0" fontId="0" fillId="56" borderId="26" xfId="0" applyFill="1" applyBorder="1"/>
    <xf numFmtId="0" fontId="0" fillId="56" borderId="27" xfId="0" applyFill="1" applyBorder="1"/>
    <xf numFmtId="0" fontId="0" fillId="56" borderId="30" xfId="0" applyFill="1" applyBorder="1"/>
    <xf numFmtId="0" fontId="0" fillId="56" borderId="16" xfId="0" applyFill="1" applyBorder="1"/>
    <xf numFmtId="0" fontId="0" fillId="56" borderId="24" xfId="0" applyFill="1" applyBorder="1"/>
    <xf numFmtId="0" fontId="0" fillId="56" borderId="23" xfId="0" applyFill="1" applyBorder="1"/>
    <xf numFmtId="0" fontId="0" fillId="56" borderId="25" xfId="0" applyFill="1" applyBorder="1"/>
    <xf numFmtId="0" fontId="6" fillId="56" borderId="21" xfId="0" applyFont="1" applyFill="1" applyBorder="1"/>
    <xf numFmtId="0" fontId="0" fillId="56" borderId="11" xfId="0" applyFill="1" applyBorder="1"/>
    <xf numFmtId="0" fontId="6" fillId="56" borderId="40" xfId="0" applyFont="1" applyFill="1" applyBorder="1"/>
    <xf numFmtId="0" fontId="6" fillId="56" borderId="41" xfId="0" applyFont="1" applyFill="1" applyBorder="1" applyAlignment="1">
      <alignment horizontal="right"/>
    </xf>
    <xf numFmtId="0" fontId="6" fillId="56" borderId="29" xfId="0" applyFont="1" applyFill="1" applyBorder="1" applyAlignment="1">
      <alignment horizontal="right"/>
    </xf>
    <xf numFmtId="3" fontId="7" fillId="56" borderId="0" xfId="0" applyNumberFormat="1" applyFont="1" applyFill="1" applyBorder="1"/>
    <xf numFmtId="9" fontId="0" fillId="56" borderId="31" xfId="0" applyNumberFormat="1" applyFill="1" applyBorder="1" applyAlignment="1">
      <alignment horizontal="center"/>
    </xf>
    <xf numFmtId="0" fontId="6" fillId="56" borderId="32" xfId="0" applyFont="1" applyFill="1" applyBorder="1" applyAlignment="1">
      <alignment horizontal="right"/>
    </xf>
    <xf numFmtId="3" fontId="7" fillId="56" borderId="28" xfId="0" applyNumberFormat="1" applyFont="1" applyFill="1" applyBorder="1"/>
    <xf numFmtId="9" fontId="0" fillId="56" borderId="33" xfId="0" applyNumberFormat="1" applyFill="1" applyBorder="1" applyAlignment="1">
      <alignment horizontal="center"/>
    </xf>
    <xf numFmtId="0" fontId="6" fillId="56" borderId="0" xfId="0" applyFont="1" applyFill="1"/>
    <xf numFmtId="0" fontId="0" fillId="56" borderId="41" xfId="0" applyFill="1" applyBorder="1"/>
    <xf numFmtId="0" fontId="0" fillId="56" borderId="29" xfId="0" applyFill="1" applyBorder="1"/>
    <xf numFmtId="0" fontId="0" fillId="56" borderId="31" xfId="0" applyFill="1" applyBorder="1"/>
    <xf numFmtId="0" fontId="0" fillId="56" borderId="32" xfId="0" applyFill="1" applyBorder="1"/>
    <xf numFmtId="0" fontId="0" fillId="56" borderId="33" xfId="0" applyFill="1" applyBorder="1"/>
    <xf numFmtId="0" fontId="0" fillId="56" borderId="21" xfId="0" applyFill="1" applyBorder="1"/>
    <xf numFmtId="2" fontId="0" fillId="56" borderId="0" xfId="0" applyNumberFormat="1" applyFill="1" applyBorder="1"/>
    <xf numFmtId="43" fontId="0" fillId="56" borderId="22" xfId="23" applyFont="1" applyFill="1" applyBorder="1"/>
    <xf numFmtId="2" fontId="0" fillId="56" borderId="23" xfId="0" applyNumberFormat="1" applyFill="1" applyBorder="1"/>
    <xf numFmtId="43" fontId="0" fillId="56" borderId="25" xfId="23" applyFont="1" applyFill="1" applyBorder="1"/>
    <xf numFmtId="0" fontId="6" fillId="56" borderId="11" xfId="0" applyFont="1" applyFill="1" applyBorder="1"/>
    <xf numFmtId="41" fontId="6" fillId="56" borderId="40" xfId="24" applyFont="1" applyFill="1" applyBorder="1"/>
    <xf numFmtId="41" fontId="6" fillId="56" borderId="41" xfId="24" applyFont="1" applyFill="1" applyBorder="1"/>
    <xf numFmtId="0" fontId="7" fillId="56" borderId="0" xfId="0" applyFont="1" applyFill="1" applyBorder="1"/>
    <xf numFmtId="41" fontId="7" fillId="56" borderId="0" xfId="24" applyFont="1" applyFill="1" applyBorder="1"/>
    <xf numFmtId="41" fontId="7" fillId="56" borderId="31" xfId="24" applyFont="1" applyFill="1" applyBorder="1"/>
    <xf numFmtId="0" fontId="6" fillId="56" borderId="29" xfId="0" applyFont="1" applyFill="1" applyBorder="1"/>
    <xf numFmtId="0" fontId="6" fillId="56" borderId="0" xfId="0" applyFont="1" applyFill="1" applyBorder="1"/>
    <xf numFmtId="0" fontId="0" fillId="56" borderId="0" xfId="0" applyFill="1" applyBorder="1"/>
    <xf numFmtId="0" fontId="6" fillId="56" borderId="32" xfId="0" applyFont="1" applyFill="1" applyBorder="1"/>
    <xf numFmtId="0" fontId="7" fillId="56" borderId="28" xfId="0" applyFont="1" applyFill="1" applyBorder="1"/>
    <xf numFmtId="41" fontId="7" fillId="56" borderId="28" xfId="24" applyFont="1" applyFill="1" applyBorder="1"/>
    <xf numFmtId="41" fontId="7" fillId="56" borderId="33" xfId="24" applyFont="1" applyFill="1" applyBorder="1"/>
    <xf numFmtId="41" fontId="7" fillId="56" borderId="0" xfId="24" applyFont="1" applyFill="1"/>
    <xf numFmtId="0" fontId="77" fillId="56" borderId="11" xfId="0" applyFont="1" applyFill="1" applyBorder="1" applyAlignment="1" applyProtection="1">
      <alignment horizontal="centerContinuous"/>
    </xf>
    <xf numFmtId="0" fontId="77" fillId="56" borderId="40" xfId="0" applyFont="1" applyFill="1" applyBorder="1" applyAlignment="1" applyProtection="1">
      <alignment horizontal="centerContinuous"/>
    </xf>
    <xf numFmtId="0" fontId="77" fillId="56" borderId="41" xfId="0" applyFont="1" applyFill="1" applyBorder="1" applyAlignment="1" applyProtection="1">
      <alignment horizontal="centerContinuous"/>
    </xf>
    <xf numFmtId="0" fontId="74" fillId="56" borderId="29" xfId="0" applyFont="1" applyFill="1" applyBorder="1"/>
    <xf numFmtId="0" fontId="74" fillId="56" borderId="0" xfId="0" applyFont="1" applyFill="1" applyBorder="1"/>
    <xf numFmtId="0" fontId="82" fillId="56" borderId="0" xfId="0" applyFont="1" applyFill="1" applyBorder="1" applyAlignment="1">
      <alignment horizontal="center"/>
    </xf>
    <xf numFmtId="0" fontId="82" fillId="56" borderId="0" xfId="0" applyFont="1" applyFill="1" applyBorder="1" applyAlignment="1">
      <alignment horizontal="right"/>
    </xf>
    <xf numFmtId="0" fontId="74" fillId="56" borderId="31" xfId="0" applyFont="1" applyFill="1" applyBorder="1"/>
    <xf numFmtId="0" fontId="34" fillId="56" borderId="29" xfId="0" applyFont="1" applyFill="1" applyBorder="1"/>
    <xf numFmtId="0" fontId="34" fillId="56" borderId="0" xfId="0" applyFont="1" applyFill="1" applyBorder="1"/>
    <xf numFmtId="0" fontId="50" fillId="56" borderId="31" xfId="0" applyFont="1" applyFill="1" applyBorder="1" applyAlignment="1" applyProtection="1">
      <alignment horizontal="right"/>
    </xf>
    <xf numFmtId="0" fontId="17" fillId="56" borderId="29" xfId="0" applyFont="1" applyFill="1" applyBorder="1"/>
    <xf numFmtId="0" fontId="17" fillId="56" borderId="0" xfId="0" applyFont="1" applyFill="1" applyBorder="1"/>
    <xf numFmtId="0" fontId="8" fillId="56" borderId="0" xfId="0" applyFont="1" applyFill="1" applyBorder="1"/>
    <xf numFmtId="0" fontId="17" fillId="56" borderId="31" xfId="0" applyFont="1" applyFill="1" applyBorder="1"/>
    <xf numFmtId="0" fontId="78" fillId="56" borderId="29" xfId="0" applyFont="1" applyFill="1" applyBorder="1"/>
    <xf numFmtId="0" fontId="10" fillId="56" borderId="0" xfId="0" applyFont="1" applyFill="1" applyBorder="1" applyAlignment="1">
      <alignment horizontal="centerContinuous"/>
    </xf>
    <xf numFmtId="0" fontId="79" fillId="56" borderId="29" xfId="0" applyFont="1" applyFill="1" applyBorder="1"/>
    <xf numFmtId="0" fontId="17" fillId="56" borderId="64" xfId="0" applyFont="1" applyFill="1" applyBorder="1"/>
    <xf numFmtId="0" fontId="80" fillId="56" borderId="0" xfId="0" applyFont="1" applyFill="1" applyBorder="1"/>
    <xf numFmtId="0" fontId="17" fillId="56" borderId="0" xfId="0" applyFont="1" applyFill="1" applyBorder="1" applyAlignment="1">
      <alignment horizontal="center" wrapText="1"/>
    </xf>
    <xf numFmtId="0" fontId="17" fillId="56" borderId="65" xfId="0" applyFont="1" applyFill="1" applyBorder="1"/>
    <xf numFmtId="0" fontId="17" fillId="56" borderId="0" xfId="0" applyFont="1" applyFill="1" applyBorder="1" applyAlignment="1">
      <alignment horizontal="left" vertical="center"/>
    </xf>
    <xf numFmtId="3" fontId="20" fillId="56" borderId="0" xfId="24" applyNumberFormat="1" applyFont="1" applyFill="1" applyBorder="1" applyAlignment="1" applyProtection="1">
      <alignment horizontal="center" vertical="center"/>
      <protection locked="0"/>
    </xf>
    <xf numFmtId="3" fontId="20" fillId="56" borderId="0" xfId="0" applyNumberFormat="1" applyFont="1" applyFill="1" applyBorder="1" applyAlignment="1">
      <alignment horizontal="center" vertical="center"/>
    </xf>
    <xf numFmtId="0" fontId="17" fillId="56" borderId="0" xfId="0" applyFont="1" applyFill="1" applyBorder="1" applyAlignment="1">
      <alignment horizontal="right" vertical="center"/>
    </xf>
    <xf numFmtId="0" fontId="74" fillId="56" borderId="0" xfId="0" applyFont="1" applyFill="1"/>
    <xf numFmtId="0" fontId="20" fillId="56" borderId="0" xfId="0" applyFont="1" applyFill="1" applyBorder="1" applyAlignment="1">
      <alignment horizontal="center"/>
    </xf>
    <xf numFmtId="0" fontId="9" fillId="56" borderId="0" xfId="0" applyFont="1" applyFill="1" applyBorder="1"/>
    <xf numFmtId="0" fontId="17" fillId="56" borderId="64" xfId="0" applyFont="1" applyFill="1" applyBorder="1" applyAlignment="1"/>
    <xf numFmtId="0" fontId="17" fillId="56" borderId="0" xfId="0" applyFont="1" applyFill="1" applyBorder="1" applyAlignment="1">
      <alignment horizontal="left"/>
    </xf>
    <xf numFmtId="0" fontId="8" fillId="56" borderId="0" xfId="0" applyFont="1" applyFill="1" applyBorder="1" applyAlignment="1"/>
    <xf numFmtId="0" fontId="17" fillId="56" borderId="0" xfId="0" applyFont="1" applyFill="1" applyBorder="1" applyAlignment="1"/>
    <xf numFmtId="3" fontId="20" fillId="56" borderId="0" xfId="0" applyNumberFormat="1" applyFont="1" applyFill="1" applyBorder="1" applyAlignment="1">
      <alignment horizontal="center"/>
    </xf>
    <xf numFmtId="0" fontId="17" fillId="56" borderId="65" xfId="0" applyFont="1" applyFill="1" applyBorder="1" applyAlignment="1"/>
    <xf numFmtId="0" fontId="17" fillId="56" borderId="66" xfId="0" applyFont="1" applyFill="1" applyBorder="1"/>
    <xf numFmtId="0" fontId="17" fillId="56" borderId="67" xfId="0" applyFont="1" applyFill="1" applyBorder="1"/>
    <xf numFmtId="0" fontId="74" fillId="56" borderId="67" xfId="0" applyFont="1" applyFill="1" applyBorder="1"/>
    <xf numFmtId="0" fontId="17" fillId="56" borderId="68" xfId="0" applyFont="1" applyFill="1" applyBorder="1"/>
    <xf numFmtId="0" fontId="17" fillId="56" borderId="69" xfId="0" applyFont="1" applyFill="1" applyBorder="1"/>
    <xf numFmtId="0" fontId="74" fillId="56" borderId="69" xfId="0" applyFont="1" applyFill="1" applyBorder="1"/>
    <xf numFmtId="0" fontId="50" fillId="56" borderId="5" xfId="0" applyFont="1" applyFill="1" applyBorder="1"/>
    <xf numFmtId="0" fontId="50" fillId="56" borderId="14" xfId="0" applyFont="1" applyFill="1" applyBorder="1"/>
    <xf numFmtId="0" fontId="50" fillId="56" borderId="15" xfId="0" applyFont="1" applyFill="1" applyBorder="1" applyAlignment="1" applyProtection="1">
      <alignment horizontal="right"/>
    </xf>
    <xf numFmtId="0" fontId="10" fillId="56" borderId="5" xfId="0" applyFont="1" applyFill="1" applyBorder="1"/>
    <xf numFmtId="0" fontId="19" fillId="56" borderId="14" xfId="0" applyFont="1" applyFill="1" applyBorder="1"/>
    <xf numFmtId="0" fontId="10" fillId="56" borderId="14" xfId="0" applyFont="1" applyFill="1" applyBorder="1" applyAlignment="1">
      <alignment horizontal="center"/>
    </xf>
    <xf numFmtId="0" fontId="19" fillId="56" borderId="14" xfId="0" applyFont="1" applyFill="1" applyBorder="1" applyAlignment="1">
      <alignment horizontal="center"/>
    </xf>
    <xf numFmtId="0" fontId="19" fillId="56" borderId="15" xfId="0" applyFont="1" applyFill="1" applyBorder="1"/>
    <xf numFmtId="0" fontId="10" fillId="56" borderId="29" xfId="0" applyFont="1" applyFill="1" applyBorder="1" applyAlignment="1"/>
    <xf numFmtId="0" fontId="10" fillId="56" borderId="0" xfId="0" applyFont="1" applyFill="1" applyBorder="1"/>
    <xf numFmtId="0" fontId="10" fillId="56" borderId="31" xfId="0" applyFont="1" applyFill="1" applyBorder="1"/>
    <xf numFmtId="49" fontId="17" fillId="56" borderId="23" xfId="24" applyNumberFormat="1" applyFont="1" applyFill="1" applyBorder="1" applyAlignment="1">
      <alignment horizontal="center" wrapText="1"/>
    </xf>
    <xf numFmtId="41" fontId="17" fillId="56" borderId="0" xfId="24" applyFont="1" applyFill="1" applyBorder="1"/>
    <xf numFmtId="0" fontId="17" fillId="56" borderId="0" xfId="0" applyFont="1" applyFill="1" applyAlignment="1">
      <alignment horizontal="left"/>
    </xf>
    <xf numFmtId="176" fontId="17" fillId="56" borderId="0" xfId="24" applyNumberFormat="1" applyFont="1" applyFill="1" applyBorder="1"/>
    <xf numFmtId="9" fontId="17" fillId="56" borderId="0" xfId="43" applyFont="1" applyFill="1" applyBorder="1"/>
    <xf numFmtId="176" fontId="17" fillId="56" borderId="0" xfId="0" applyNumberFormat="1" applyFont="1" applyFill="1" applyBorder="1"/>
    <xf numFmtId="0" fontId="17" fillId="56" borderId="0" xfId="0" applyFont="1" applyFill="1" applyAlignment="1">
      <alignment horizontal="left" indent="1"/>
    </xf>
    <xf numFmtId="43" fontId="17" fillId="56" borderId="0" xfId="30" applyNumberFormat="1" applyFont="1" applyFill="1" applyBorder="1"/>
    <xf numFmtId="0" fontId="51" fillId="56" borderId="0" xfId="0" applyFont="1" applyFill="1" applyAlignment="1">
      <alignment horizontal="left" indent="2"/>
    </xf>
    <xf numFmtId="43" fontId="17" fillId="56" borderId="0" xfId="0" applyNumberFormat="1" applyFont="1" applyFill="1" applyBorder="1"/>
    <xf numFmtId="43" fontId="17" fillId="56" borderId="31" xfId="30" applyNumberFormat="1" applyFont="1" applyFill="1" applyBorder="1"/>
    <xf numFmtId="176" fontId="17" fillId="56" borderId="27" xfId="24" applyNumberFormat="1" applyFont="1" applyFill="1" applyBorder="1"/>
    <xf numFmtId="0" fontId="51" fillId="56" borderId="0" xfId="0" applyFont="1" applyFill="1" applyAlignment="1">
      <alignment horizontal="center"/>
    </xf>
    <xf numFmtId="10" fontId="51" fillId="56" borderId="0" xfId="43" applyNumberFormat="1" applyFont="1" applyFill="1" applyBorder="1"/>
    <xf numFmtId="10" fontId="17" fillId="56" borderId="0" xfId="0" applyNumberFormat="1" applyFont="1" applyFill="1" applyBorder="1"/>
    <xf numFmtId="172" fontId="51" fillId="56" borderId="0" xfId="43" applyNumberFormat="1" applyFont="1" applyFill="1" applyBorder="1"/>
    <xf numFmtId="172" fontId="17" fillId="56" borderId="0" xfId="43" applyNumberFormat="1" applyFont="1" applyFill="1" applyBorder="1"/>
    <xf numFmtId="44" fontId="17" fillId="56" borderId="27" xfId="30" applyFont="1" applyFill="1" applyBorder="1"/>
    <xf numFmtId="0" fontId="17" fillId="56" borderId="0" xfId="0" applyFont="1" applyFill="1" applyAlignment="1">
      <alignment horizontal="right"/>
    </xf>
    <xf numFmtId="43" fontId="17" fillId="56" borderId="0" xfId="24" applyNumberFormat="1" applyFont="1" applyFill="1" applyBorder="1"/>
    <xf numFmtId="0" fontId="17" fillId="56" borderId="0" xfId="0" applyFont="1" applyFill="1" applyAlignment="1">
      <alignment horizontal="left" wrapText="1"/>
    </xf>
    <xf numFmtId="43" fontId="17" fillId="56" borderId="0" xfId="24" applyNumberFormat="1" applyFont="1" applyFill="1" applyBorder="1" applyAlignment="1">
      <alignment vertical="top"/>
    </xf>
    <xf numFmtId="43" fontId="17" fillId="56" borderId="0" xfId="0" applyNumberFormat="1" applyFont="1" applyFill="1" applyBorder="1" applyAlignment="1">
      <alignment vertical="top"/>
    </xf>
    <xf numFmtId="0" fontId="17" fillId="56" borderId="29" xfId="0" applyFont="1" applyFill="1" applyBorder="1" applyAlignment="1"/>
    <xf numFmtId="9" fontId="51" fillId="56" borderId="0" xfId="43" applyFont="1" applyFill="1" applyBorder="1"/>
    <xf numFmtId="0" fontId="50" fillId="56" borderId="0" xfId="0" applyFont="1" applyFill="1" applyAlignment="1">
      <alignment horizontal="left" indent="1"/>
    </xf>
    <xf numFmtId="41" fontId="10" fillId="56" borderId="0" xfId="24" applyFont="1" applyFill="1" applyBorder="1"/>
    <xf numFmtId="9" fontId="17" fillId="56" borderId="0" xfId="43" applyFont="1" applyFill="1" applyBorder="1" applyAlignment="1">
      <alignment horizontal="left" indent="2"/>
    </xf>
    <xf numFmtId="41" fontId="17" fillId="56" borderId="0" xfId="43" applyNumberFormat="1" applyFont="1" applyFill="1" applyBorder="1"/>
    <xf numFmtId="41" fontId="17" fillId="56" borderId="0" xfId="0" applyNumberFormat="1" applyFont="1" applyFill="1" applyBorder="1"/>
    <xf numFmtId="9" fontId="51" fillId="56" borderId="0" xfId="43" applyFont="1" applyFill="1" applyBorder="1" applyAlignment="1">
      <alignment horizontal="left" indent="2"/>
    </xf>
    <xf numFmtId="0" fontId="74" fillId="56" borderId="5" xfId="0" applyFont="1" applyFill="1" applyBorder="1"/>
    <xf numFmtId="0" fontId="74" fillId="56" borderId="14" xfId="0" applyFont="1" applyFill="1" applyBorder="1"/>
    <xf numFmtId="0" fontId="74" fillId="56" borderId="15" xfId="0" applyFont="1" applyFill="1" applyBorder="1"/>
    <xf numFmtId="0" fontId="6" fillId="56" borderId="0" xfId="0" applyFont="1" applyFill="1" applyBorder="1" applyProtection="1">
      <protection locked="0"/>
    </xf>
    <xf numFmtId="0" fontId="17" fillId="56" borderId="64" xfId="0" applyFont="1" applyFill="1" applyBorder="1" applyProtection="1"/>
    <xf numFmtId="0" fontId="17" fillId="56" borderId="0" xfId="0" applyFont="1" applyFill="1" applyBorder="1" applyProtection="1"/>
    <xf numFmtId="0" fontId="17" fillId="56" borderId="65" xfId="0" applyFont="1" applyFill="1" applyBorder="1" applyProtection="1"/>
    <xf numFmtId="0" fontId="6" fillId="56" borderId="18" xfId="0" applyFont="1" applyFill="1" applyBorder="1" applyProtection="1"/>
    <xf numFmtId="0" fontId="17" fillId="56" borderId="20" xfId="0" applyFont="1" applyFill="1" applyBorder="1" applyProtection="1"/>
    <xf numFmtId="0" fontId="43" fillId="56" borderId="0" xfId="0" applyFont="1" applyFill="1" applyBorder="1" applyAlignment="1" applyProtection="1">
      <alignment horizontal="right"/>
    </xf>
    <xf numFmtId="200" fontId="43" fillId="56" borderId="27" xfId="0" applyNumberFormat="1" applyFont="1" applyFill="1" applyBorder="1" applyAlignment="1" applyProtection="1"/>
    <xf numFmtId="201" fontId="43" fillId="56" borderId="27" xfId="0" applyNumberFormat="1" applyFont="1" applyFill="1" applyBorder="1" applyAlignment="1">
      <alignment horizontal="center"/>
    </xf>
    <xf numFmtId="202" fontId="43" fillId="56" borderId="27" xfId="0" applyNumberFormat="1" applyFont="1" applyFill="1" applyBorder="1" applyAlignment="1">
      <alignment horizontal="center"/>
    </xf>
    <xf numFmtId="0" fontId="43" fillId="56" borderId="27" xfId="0" applyFont="1" applyFill="1" applyBorder="1" applyAlignment="1" applyProtection="1">
      <alignment horizontal="center"/>
    </xf>
    <xf numFmtId="182" fontId="43" fillId="56" borderId="27" xfId="0" applyNumberFormat="1" applyFont="1" applyFill="1" applyBorder="1" applyAlignment="1" applyProtection="1">
      <alignment horizontal="center"/>
    </xf>
    <xf numFmtId="0" fontId="0" fillId="56" borderId="29" xfId="0" applyFill="1" applyBorder="1" applyProtection="1"/>
    <xf numFmtId="0" fontId="0" fillId="56" borderId="0" xfId="0" applyFill="1" applyBorder="1" applyProtection="1"/>
    <xf numFmtId="0" fontId="7" fillId="56" borderId="0" xfId="0" applyFont="1" applyFill="1" applyBorder="1" applyProtection="1"/>
    <xf numFmtId="0" fontId="20" fillId="56" borderId="0" xfId="0" applyFont="1" applyFill="1" applyProtection="1"/>
    <xf numFmtId="185" fontId="7" fillId="56" borderId="0" xfId="23" applyNumberFormat="1" applyFont="1" applyFill="1" applyBorder="1" applyAlignment="1" applyProtection="1">
      <alignment horizontal="left"/>
    </xf>
    <xf numFmtId="0" fontId="0" fillId="56" borderId="31" xfId="0" applyFill="1" applyBorder="1" applyProtection="1"/>
    <xf numFmtId="0" fontId="17" fillId="56" borderId="5" xfId="0" applyFont="1" applyFill="1" applyBorder="1" applyProtection="1"/>
    <xf numFmtId="0" fontId="17" fillId="56" borderId="14" xfId="0" applyFont="1" applyFill="1" applyBorder="1" applyProtection="1"/>
    <xf numFmtId="0" fontId="74" fillId="56" borderId="14" xfId="0" applyFont="1" applyFill="1" applyBorder="1" applyProtection="1"/>
    <xf numFmtId="0" fontId="17" fillId="56" borderId="15" xfId="0" applyFont="1" applyFill="1" applyBorder="1" applyProtection="1"/>
    <xf numFmtId="0" fontId="74" fillId="56" borderId="0" xfId="0" applyFont="1" applyFill="1" applyProtection="1"/>
    <xf numFmtId="0" fontId="16" fillId="56" borderId="5" xfId="0" applyFont="1" applyFill="1" applyBorder="1" applyProtection="1"/>
    <xf numFmtId="0" fontId="14" fillId="56" borderId="14" xfId="0" applyFont="1" applyFill="1" applyBorder="1" applyProtection="1"/>
    <xf numFmtId="0" fontId="11" fillId="56" borderId="14" xfId="0" applyFont="1" applyFill="1" applyBorder="1" applyProtection="1"/>
    <xf numFmtId="0" fontId="11" fillId="56" borderId="15" xfId="0" applyFont="1" applyFill="1" applyBorder="1" applyProtection="1"/>
    <xf numFmtId="0" fontId="0" fillId="56" borderId="11" xfId="0" applyFill="1" applyBorder="1" applyProtection="1"/>
    <xf numFmtId="0" fontId="0" fillId="56" borderId="40" xfId="0" applyFill="1" applyBorder="1" applyProtection="1"/>
    <xf numFmtId="0" fontId="0" fillId="56" borderId="41" xfId="0" applyFill="1" applyBorder="1" applyProtection="1"/>
    <xf numFmtId="0" fontId="74" fillId="56" borderId="0" xfId="0" applyFont="1" applyFill="1" applyBorder="1" applyProtection="1"/>
    <xf numFmtId="0" fontId="6" fillId="56" borderId="28" xfId="0" applyFont="1" applyFill="1" applyBorder="1" applyProtection="1"/>
    <xf numFmtId="0" fontId="0" fillId="56" borderId="28" xfId="0" applyFill="1" applyBorder="1" applyProtection="1"/>
    <xf numFmtId="0" fontId="6" fillId="56" borderId="29" xfId="0" applyFont="1" applyFill="1" applyBorder="1" applyProtection="1"/>
    <xf numFmtId="0" fontId="20" fillId="56" borderId="0" xfId="0" applyFont="1" applyFill="1" applyBorder="1" applyProtection="1"/>
    <xf numFmtId="185" fontId="5" fillId="56" borderId="0" xfId="23" applyNumberFormat="1" applyFill="1" applyBorder="1" applyAlignment="1" applyProtection="1">
      <alignment horizontal="left"/>
    </xf>
    <xf numFmtId="0" fontId="0" fillId="56" borderId="32" xfId="0" applyFill="1" applyBorder="1" applyProtection="1"/>
    <xf numFmtId="0" fontId="74" fillId="56" borderId="28" xfId="0" applyFont="1" applyFill="1" applyBorder="1" applyProtection="1"/>
    <xf numFmtId="0" fontId="0" fillId="56" borderId="33" xfId="0" applyFill="1" applyBorder="1" applyProtection="1"/>
    <xf numFmtId="0" fontId="0" fillId="56" borderId="5" xfId="0" applyFill="1" applyBorder="1" applyProtection="1"/>
    <xf numFmtId="0" fontId="0" fillId="56" borderId="14" xfId="0" applyFill="1" applyBorder="1" applyProtection="1"/>
    <xf numFmtId="0" fontId="0" fillId="56" borderId="15" xfId="0" applyFill="1" applyBorder="1" applyProtection="1"/>
    <xf numFmtId="0" fontId="74" fillId="56" borderId="0" xfId="0" applyFont="1" applyFill="1" applyAlignment="1">
      <alignment horizontal="left" indent="1"/>
    </xf>
    <xf numFmtId="0" fontId="82" fillId="56" borderId="0" xfId="0" applyFont="1" applyFill="1" applyBorder="1" applyAlignment="1">
      <alignment horizontal="left" indent="4"/>
    </xf>
    <xf numFmtId="0" fontId="82" fillId="56" borderId="0" xfId="0" applyFont="1" applyFill="1" applyBorder="1" applyAlignment="1"/>
    <xf numFmtId="0" fontId="8" fillId="56" borderId="0" xfId="0" applyFont="1" applyFill="1" applyBorder="1" applyAlignment="1" applyProtection="1">
      <alignment horizontal="right"/>
    </xf>
    <xf numFmtId="0" fontId="17" fillId="56" borderId="0" xfId="0" applyFont="1" applyFill="1" applyBorder="1" applyAlignment="1" applyProtection="1">
      <alignment horizontal="center" wrapText="1"/>
    </xf>
    <xf numFmtId="3" fontId="20" fillId="56" borderId="0" xfId="24" applyNumberFormat="1" applyFont="1" applyFill="1" applyBorder="1" applyAlignment="1" applyProtection="1">
      <alignment horizontal="center" vertical="center"/>
    </xf>
    <xf numFmtId="3" fontId="20" fillId="56" borderId="0" xfId="0" applyNumberFormat="1" applyFont="1" applyFill="1" applyBorder="1" applyAlignment="1" applyProtection="1">
      <alignment horizontal="center" vertical="center"/>
    </xf>
    <xf numFmtId="0" fontId="8" fillId="56" borderId="23" xfId="0" applyFont="1" applyFill="1" applyBorder="1" applyProtection="1"/>
    <xf numFmtId="0" fontId="6" fillId="56" borderId="23" xfId="0" applyFont="1" applyFill="1" applyBorder="1" applyProtection="1"/>
    <xf numFmtId="0" fontId="8" fillId="56" borderId="23" xfId="0" applyFont="1" applyFill="1" applyBorder="1" applyAlignment="1" applyProtection="1">
      <alignment horizontal="center"/>
    </xf>
    <xf numFmtId="0" fontId="17" fillId="56" borderId="0" xfId="0" applyFont="1" applyFill="1" applyBorder="1" applyAlignment="1" applyProtection="1">
      <alignment horizontal="center"/>
    </xf>
    <xf numFmtId="0" fontId="17" fillId="56" borderId="20" xfId="0" applyFont="1" applyFill="1" applyBorder="1"/>
    <xf numFmtId="181" fontId="9" fillId="56" borderId="0" xfId="0" applyNumberFormat="1" applyFont="1" applyFill="1" applyBorder="1" applyAlignment="1">
      <alignment horizontal="center"/>
    </xf>
    <xf numFmtId="184" fontId="9" fillId="56" borderId="0" xfId="0" applyNumberFormat="1" applyFont="1" applyFill="1" applyBorder="1" applyAlignment="1">
      <alignment horizontal="center"/>
    </xf>
    <xf numFmtId="0" fontId="80" fillId="56" borderId="0" xfId="0" applyFont="1" applyFill="1" applyBorder="1" applyProtection="1"/>
    <xf numFmtId="0" fontId="17" fillId="56" borderId="0" xfId="0" applyFont="1" applyFill="1" applyBorder="1" applyAlignment="1" applyProtection="1">
      <alignment horizontal="left" vertical="center"/>
    </xf>
    <xf numFmtId="0" fontId="8" fillId="56" borderId="23" xfId="0" applyFont="1" applyFill="1" applyBorder="1" applyAlignment="1" applyProtection="1"/>
    <xf numFmtId="0" fontId="17" fillId="56" borderId="11" xfId="0" applyFont="1" applyFill="1" applyBorder="1" applyProtection="1"/>
    <xf numFmtId="0" fontId="9" fillId="56" borderId="40" xfId="0" applyFont="1" applyFill="1" applyBorder="1" applyProtection="1"/>
    <xf numFmtId="41" fontId="8" fillId="56" borderId="40" xfId="24" applyFont="1" applyFill="1" applyBorder="1" applyAlignment="1" applyProtection="1">
      <alignment horizontal="center"/>
    </xf>
    <xf numFmtId="0" fontId="8" fillId="56" borderId="40" xfId="0" applyFont="1" applyFill="1" applyBorder="1" applyAlignment="1" applyProtection="1">
      <alignment horizontal="center"/>
    </xf>
    <xf numFmtId="0" fontId="9" fillId="56" borderId="40" xfId="0" applyFont="1" applyFill="1" applyBorder="1" applyAlignment="1" applyProtection="1">
      <alignment horizontal="center"/>
    </xf>
    <xf numFmtId="0" fontId="20" fillId="56" borderId="40" xfId="0" applyFont="1" applyFill="1" applyBorder="1" applyAlignment="1">
      <alignment horizontal="center"/>
    </xf>
    <xf numFmtId="0" fontId="17" fillId="56" borderId="40" xfId="0" applyFont="1" applyFill="1" applyBorder="1" applyAlignment="1">
      <alignment horizontal="center"/>
    </xf>
    <xf numFmtId="0" fontId="20" fillId="56" borderId="41" xfId="0" applyFont="1" applyFill="1" applyBorder="1"/>
    <xf numFmtId="0" fontId="17" fillId="56" borderId="29" xfId="0" applyFont="1" applyFill="1" applyBorder="1" applyProtection="1"/>
    <xf numFmtId="0" fontId="9" fillId="56" borderId="0" xfId="0" applyFont="1" applyFill="1" applyBorder="1" applyProtection="1"/>
    <xf numFmtId="41" fontId="8" fillId="56" borderId="0" xfId="24" applyFont="1" applyFill="1" applyBorder="1" applyAlignment="1" applyProtection="1">
      <alignment horizontal="center"/>
    </xf>
    <xf numFmtId="0" fontId="8" fillId="56" borderId="0" xfId="0" applyFont="1" applyFill="1" applyBorder="1" applyAlignment="1" applyProtection="1">
      <alignment horizontal="center"/>
    </xf>
    <xf numFmtId="0" fontId="9" fillId="56" borderId="0" xfId="0" applyFont="1" applyFill="1" applyBorder="1" applyAlignment="1" applyProtection="1">
      <alignment horizontal="center"/>
    </xf>
    <xf numFmtId="0" fontId="17" fillId="56" borderId="0" xfId="0" applyFont="1" applyFill="1" applyBorder="1" applyAlignment="1" applyProtection="1">
      <alignment horizontal="left" indent="6"/>
    </xf>
    <xf numFmtId="0" fontId="17" fillId="56" borderId="0" xfId="0" applyFont="1" applyFill="1" applyBorder="1" applyAlignment="1">
      <alignment horizontal="center"/>
    </xf>
    <xf numFmtId="0" fontId="20" fillId="56" borderId="31" xfId="0" applyFont="1" applyFill="1" applyBorder="1"/>
    <xf numFmtId="167" fontId="43" fillId="56" borderId="13" xfId="0" applyNumberFormat="1" applyFont="1" applyFill="1" applyBorder="1" applyAlignment="1" applyProtection="1">
      <alignment horizontal="center"/>
    </xf>
    <xf numFmtId="41" fontId="45" fillId="56" borderId="0" xfId="24" applyFont="1" applyFill="1" applyBorder="1" applyAlignment="1" applyProtection="1">
      <alignment horizontal="center"/>
    </xf>
    <xf numFmtId="4" fontId="43" fillId="56" borderId="13" xfId="0" applyNumberFormat="1" applyFont="1" applyFill="1" applyBorder="1" applyAlignment="1" applyProtection="1">
      <alignment horizontal="center"/>
    </xf>
    <xf numFmtId="167" fontId="10" fillId="56" borderId="13" xfId="0" applyNumberFormat="1" applyFont="1" applyFill="1" applyBorder="1" applyAlignment="1" applyProtection="1">
      <alignment horizontal="center"/>
    </xf>
    <xf numFmtId="41" fontId="44" fillId="56" borderId="0" xfId="24" applyFont="1" applyFill="1" applyBorder="1" applyAlignment="1" applyProtection="1">
      <alignment horizontal="center"/>
    </xf>
    <xf numFmtId="0" fontId="16" fillId="56" borderId="29" xfId="0" applyFont="1" applyFill="1" applyBorder="1" applyProtection="1"/>
    <xf numFmtId="0" fontId="16" fillId="56" borderId="0" xfId="0" applyFont="1" applyFill="1" applyBorder="1" applyProtection="1"/>
    <xf numFmtId="0" fontId="38" fillId="56" borderId="0" xfId="0" applyFont="1" applyFill="1" applyBorder="1" applyProtection="1"/>
    <xf numFmtId="0" fontId="20" fillId="56" borderId="0" xfId="0" applyFont="1" applyFill="1" applyBorder="1"/>
    <xf numFmtId="175" fontId="9" fillId="56" borderId="0" xfId="23" quotePrefix="1" applyNumberFormat="1" applyFont="1" applyFill="1" applyBorder="1" applyAlignment="1" applyProtection="1">
      <alignment horizontal="right"/>
    </xf>
    <xf numFmtId="0" fontId="8" fillId="56" borderId="29" xfId="0" applyFont="1" applyFill="1" applyBorder="1" applyProtection="1"/>
    <xf numFmtId="172" fontId="9" fillId="56" borderId="0" xfId="43" applyNumberFormat="1" applyFont="1" applyFill="1" applyBorder="1" applyAlignment="1" applyProtection="1">
      <alignment horizontal="right"/>
    </xf>
    <xf numFmtId="2" fontId="9" fillId="56" borderId="0" xfId="28" applyNumberFormat="1" applyFont="1" applyFill="1" applyBorder="1" applyAlignment="1" applyProtection="1">
      <alignment horizontal="right"/>
    </xf>
    <xf numFmtId="0" fontId="9" fillId="56" borderId="0" xfId="0" applyFont="1" applyFill="1" applyBorder="1" applyAlignment="1" applyProtection="1"/>
    <xf numFmtId="0" fontId="9" fillId="56" borderId="0" xfId="0" quotePrefix="1" applyFont="1" applyFill="1" applyBorder="1" applyAlignment="1" applyProtection="1"/>
    <xf numFmtId="9" fontId="8" fillId="56" borderId="0" xfId="43" applyFont="1" applyFill="1" applyBorder="1" applyProtection="1"/>
    <xf numFmtId="41" fontId="16" fillId="56" borderId="0" xfId="24" applyFont="1" applyFill="1" applyBorder="1" applyAlignment="1" applyProtection="1">
      <alignment horizontal="center"/>
    </xf>
    <xf numFmtId="0" fontId="16" fillId="56" borderId="0" xfId="0" applyFont="1" applyFill="1" applyBorder="1" applyAlignment="1" applyProtection="1">
      <alignment horizontal="center"/>
    </xf>
    <xf numFmtId="0" fontId="38" fillId="56" borderId="0" xfId="0" applyFont="1" applyFill="1" applyBorder="1" applyAlignment="1" applyProtection="1">
      <alignment horizontal="center"/>
    </xf>
    <xf numFmtId="165" fontId="9" fillId="56" borderId="0" xfId="26" applyFont="1" applyFill="1" applyBorder="1" applyProtection="1"/>
    <xf numFmtId="10" fontId="20" fillId="56" borderId="0" xfId="0" applyNumberFormat="1" applyFont="1" applyFill="1" applyBorder="1"/>
    <xf numFmtId="172" fontId="20" fillId="56" borderId="0" xfId="43" applyNumberFormat="1" applyFont="1" applyFill="1" applyBorder="1"/>
    <xf numFmtId="43" fontId="20" fillId="56" borderId="0" xfId="0" applyNumberFormat="1" applyFont="1" applyFill="1" applyBorder="1"/>
    <xf numFmtId="0" fontId="19" fillId="56" borderId="0" xfId="0" applyFont="1" applyFill="1" applyBorder="1" applyAlignment="1">
      <alignment horizontal="center"/>
    </xf>
    <xf numFmtId="0" fontId="19" fillId="56" borderId="31" xfId="0" applyFont="1" applyFill="1" applyBorder="1"/>
    <xf numFmtId="0" fontId="8" fillId="56" borderId="32" xfId="0" applyFont="1" applyFill="1" applyBorder="1" applyProtection="1"/>
    <xf numFmtId="0" fontId="8" fillId="56" borderId="28" xfId="0" applyFont="1" applyFill="1" applyBorder="1" applyProtection="1"/>
    <xf numFmtId="9" fontId="8" fillId="56" borderId="28" xfId="43" applyFont="1" applyFill="1" applyBorder="1" applyProtection="1"/>
    <xf numFmtId="0" fontId="17" fillId="56" borderId="28" xfId="0" applyFont="1" applyFill="1" applyBorder="1"/>
    <xf numFmtId="0" fontId="17" fillId="56" borderId="33" xfId="0" applyFont="1" applyFill="1" applyBorder="1"/>
    <xf numFmtId="0" fontId="17" fillId="56" borderId="0" xfId="0" applyFont="1" applyFill="1" applyBorder="1" applyAlignment="1" applyProtection="1"/>
    <xf numFmtId="3" fontId="9" fillId="56" borderId="48" xfId="24" applyNumberFormat="1" applyFont="1" applyFill="1" applyBorder="1" applyAlignment="1" applyProtection="1">
      <alignment horizontal="center" vertical="center"/>
      <protection locked="0"/>
    </xf>
    <xf numFmtId="0" fontId="43" fillId="56" borderId="0" xfId="0" applyFont="1" applyFill="1" applyBorder="1" applyProtection="1"/>
    <xf numFmtId="0" fontId="21" fillId="56" borderId="0" xfId="0" applyFont="1" applyFill="1" applyProtection="1"/>
    <xf numFmtId="0" fontId="43" fillId="56" borderId="0" xfId="0" applyFont="1" applyFill="1" applyBorder="1" applyAlignment="1"/>
    <xf numFmtId="0" fontId="8" fillId="56" borderId="0" xfId="0" applyFont="1" applyFill="1" applyBorder="1" applyAlignment="1" applyProtection="1">
      <alignment wrapText="1"/>
    </xf>
    <xf numFmtId="3" fontId="8" fillId="56" borderId="0" xfId="0" applyNumberFormat="1" applyFont="1" applyFill="1" applyBorder="1" applyAlignment="1" applyProtection="1">
      <alignment horizontal="center" vertical="center"/>
    </xf>
    <xf numFmtId="179" fontId="83" fillId="56" borderId="0" xfId="0" applyNumberFormat="1" applyFont="1" applyFill="1" applyBorder="1" applyAlignment="1" applyProtection="1">
      <alignment horizontal="center"/>
    </xf>
    <xf numFmtId="0" fontId="83" fillId="56" borderId="0" xfId="0" applyFont="1" applyFill="1" applyBorder="1" applyProtection="1"/>
    <xf numFmtId="0" fontId="83" fillId="56" borderId="0" xfId="0" applyFont="1" applyFill="1" applyBorder="1" applyAlignment="1" applyProtection="1">
      <alignment horizontal="center"/>
    </xf>
    <xf numFmtId="3" fontId="83" fillId="56" borderId="0" xfId="24" applyNumberFormat="1" applyFont="1" applyFill="1" applyBorder="1" applyAlignment="1" applyProtection="1">
      <alignment horizontal="center" vertical="center"/>
    </xf>
    <xf numFmtId="0" fontId="17" fillId="56" borderId="0" xfId="0" applyFont="1" applyFill="1" applyBorder="1" applyAlignment="1" applyProtection="1">
      <alignment horizontal="right" vertical="center"/>
    </xf>
    <xf numFmtId="0" fontId="17" fillId="56" borderId="0" xfId="0" applyFont="1" applyFill="1" applyBorder="1" applyAlignment="1" applyProtection="1">
      <alignment horizontal="left"/>
    </xf>
    <xf numFmtId="0" fontId="8" fillId="56" borderId="0" xfId="0" applyFont="1" applyFill="1" applyBorder="1" applyAlignment="1" applyProtection="1"/>
    <xf numFmtId="0" fontId="20" fillId="56" borderId="0" xfId="0" applyFont="1" applyFill="1" applyBorder="1" applyAlignment="1" applyProtection="1">
      <alignment horizontal="center"/>
    </xf>
    <xf numFmtId="0" fontId="5" fillId="56" borderId="0" xfId="0" applyFont="1" applyFill="1"/>
    <xf numFmtId="37" fontId="52" fillId="56" borderId="48" xfId="24" applyNumberFormat="1" applyFont="1" applyFill="1" applyBorder="1" applyAlignment="1" applyProtection="1">
      <alignment horizontal="center" vertical="center"/>
      <protection locked="0"/>
    </xf>
    <xf numFmtId="0" fontId="7" fillId="56" borderId="0" xfId="0" applyFont="1" applyFill="1" applyBorder="1" applyAlignment="1">
      <alignment vertical="top"/>
    </xf>
    <xf numFmtId="0" fontId="45" fillId="56" borderId="0" xfId="0" applyFont="1" applyFill="1" applyBorder="1" applyProtection="1"/>
    <xf numFmtId="0" fontId="44" fillId="56" borderId="0" xfId="0" applyFont="1" applyFill="1" applyBorder="1" applyAlignment="1" applyProtection="1">
      <alignment horizontal="center"/>
    </xf>
    <xf numFmtId="0" fontId="44" fillId="56" borderId="0" xfId="0" applyFont="1" applyFill="1" applyBorder="1" applyProtection="1"/>
    <xf numFmtId="195" fontId="9" fillId="56" borderId="0" xfId="24" applyNumberFormat="1" applyFont="1" applyFill="1" applyBorder="1" applyAlignment="1" applyProtection="1">
      <alignment horizontal="center" vertical="center"/>
    </xf>
    <xf numFmtId="3" fontId="20" fillId="56" borderId="0" xfId="0" applyNumberFormat="1" applyFont="1" applyFill="1" applyBorder="1" applyAlignment="1" applyProtection="1">
      <alignment horizontal="center"/>
    </xf>
    <xf numFmtId="0" fontId="17" fillId="56" borderId="40" xfId="0" applyFont="1" applyFill="1" applyBorder="1" applyProtection="1"/>
    <xf numFmtId="49" fontId="17" fillId="56" borderId="40" xfId="24" applyNumberFormat="1" applyFont="1" applyFill="1" applyBorder="1" applyAlignment="1" applyProtection="1">
      <alignment horizontal="center" wrapText="1"/>
    </xf>
    <xf numFmtId="0" fontId="74" fillId="56" borderId="40" xfId="0" applyFont="1" applyFill="1" applyBorder="1" applyProtection="1"/>
    <xf numFmtId="43" fontId="17" fillId="56" borderId="41" xfId="30" applyNumberFormat="1" applyFont="1" applyFill="1" applyBorder="1" applyProtection="1"/>
    <xf numFmtId="49" fontId="17" fillId="56" borderId="0" xfId="24" applyNumberFormat="1" applyFont="1" applyFill="1" applyBorder="1" applyAlignment="1" applyProtection="1">
      <alignment horizontal="center" wrapText="1"/>
    </xf>
    <xf numFmtId="41" fontId="8" fillId="56" borderId="23" xfId="24" applyFont="1" applyFill="1" applyBorder="1" applyAlignment="1" applyProtection="1">
      <alignment horizontal="center" wrapText="1"/>
    </xf>
    <xf numFmtId="49" fontId="17" fillId="56" borderId="0" xfId="24" applyNumberFormat="1" applyFont="1" applyFill="1" applyBorder="1" applyAlignment="1">
      <alignment horizontal="center" wrapText="1"/>
    </xf>
    <xf numFmtId="41" fontId="8" fillId="56" borderId="0" xfId="24" applyFont="1" applyFill="1" applyBorder="1" applyAlignment="1" applyProtection="1">
      <alignment horizontal="center" wrapText="1"/>
    </xf>
    <xf numFmtId="190" fontId="9" fillId="56" borderId="0" xfId="24" applyNumberFormat="1" applyFont="1" applyFill="1" applyBorder="1" applyProtection="1"/>
    <xf numFmtId="171" fontId="9" fillId="56" borderId="0" xfId="24" applyNumberFormat="1" applyFont="1" applyFill="1" applyBorder="1" applyProtection="1"/>
    <xf numFmtId="41" fontId="9" fillId="56" borderId="0" xfId="24" applyFont="1" applyFill="1" applyBorder="1" applyAlignment="1" applyProtection="1">
      <alignment vertical="top"/>
    </xf>
    <xf numFmtId="0" fontId="9" fillId="56" borderId="0" xfId="0" applyFont="1" applyFill="1" applyBorder="1" applyAlignment="1" applyProtection="1">
      <alignment vertical="top"/>
    </xf>
    <xf numFmtId="0" fontId="17" fillId="56" borderId="0" xfId="0" applyFont="1" applyFill="1" applyBorder="1" applyAlignment="1">
      <alignment horizontal="left" indent="1"/>
    </xf>
    <xf numFmtId="0" fontId="8" fillId="56" borderId="0" xfId="0" applyFont="1" applyFill="1" applyBorder="1" applyAlignment="1">
      <alignment horizontal="left"/>
    </xf>
    <xf numFmtId="169" fontId="9" fillId="56" borderId="0" xfId="23" applyNumberFormat="1" applyFont="1" applyFill="1" applyBorder="1" applyProtection="1"/>
    <xf numFmtId="0" fontId="9" fillId="56" borderId="0" xfId="0" applyFont="1" applyFill="1" applyBorder="1" applyAlignment="1">
      <alignment horizontal="left" indent="2"/>
    </xf>
    <xf numFmtId="0" fontId="8" fillId="56" borderId="0" xfId="0" applyFont="1" applyFill="1" applyBorder="1" applyAlignment="1" applyProtection="1">
      <alignment horizontal="left"/>
    </xf>
    <xf numFmtId="171" fontId="8" fillId="56" borderId="27" xfId="24" applyNumberFormat="1" applyFont="1" applyFill="1" applyBorder="1" applyProtection="1"/>
    <xf numFmtId="169" fontId="8" fillId="56" borderId="0" xfId="23" applyNumberFormat="1" applyFont="1" applyFill="1" applyBorder="1" applyProtection="1"/>
    <xf numFmtId="0" fontId="9" fillId="56" borderId="0" xfId="0" applyFont="1" applyFill="1" applyBorder="1" applyAlignment="1" applyProtection="1">
      <alignment horizontal="left"/>
    </xf>
    <xf numFmtId="0" fontId="9" fillId="56" borderId="0" xfId="0" applyFont="1" applyFill="1" applyBorder="1" applyAlignment="1" applyProtection="1">
      <alignment horizontal="left" indent="2"/>
    </xf>
    <xf numFmtId="205" fontId="9" fillId="56" borderId="0" xfId="30" applyNumberFormat="1" applyFont="1" applyFill="1" applyBorder="1" applyProtection="1"/>
    <xf numFmtId="206" fontId="8" fillId="56" borderId="27" xfId="30" applyNumberFormat="1" applyFont="1" applyFill="1" applyBorder="1" applyProtection="1"/>
    <xf numFmtId="171" fontId="8" fillId="56" borderId="0" xfId="24" applyNumberFormat="1" applyFont="1" applyFill="1" applyBorder="1" applyProtection="1"/>
    <xf numFmtId="0" fontId="9" fillId="56" borderId="0" xfId="0" applyFont="1" applyFill="1" applyBorder="1" applyAlignment="1">
      <alignment horizontal="left"/>
    </xf>
    <xf numFmtId="176" fontId="9" fillId="56" borderId="0" xfId="23" applyNumberFormat="1" applyFont="1" applyFill="1" applyBorder="1" applyProtection="1"/>
    <xf numFmtId="43" fontId="9" fillId="56" borderId="0" xfId="30" applyNumberFormat="1" applyFont="1" applyFill="1" applyBorder="1" applyProtection="1"/>
    <xf numFmtId="176" fontId="8" fillId="56" borderId="0" xfId="0" applyNumberFormat="1" applyFont="1" applyFill="1" applyBorder="1" applyProtection="1"/>
    <xf numFmtId="41" fontId="8" fillId="56" borderId="0" xfId="0" applyNumberFormat="1" applyFont="1" applyFill="1" applyBorder="1" applyProtection="1"/>
    <xf numFmtId="0" fontId="13" fillId="56" borderId="0" xfId="0" applyFont="1" applyFill="1" applyBorder="1" applyAlignment="1" applyProtection="1">
      <alignment horizontal="left" indent="2"/>
    </xf>
    <xf numFmtId="172" fontId="13" fillId="56" borderId="0" xfId="43" applyNumberFormat="1" applyFont="1" applyFill="1" applyBorder="1" applyProtection="1"/>
    <xf numFmtId="0" fontId="12" fillId="56" borderId="0" xfId="0" applyFont="1" applyFill="1" applyBorder="1" applyAlignment="1" applyProtection="1">
      <alignment horizontal="center"/>
    </xf>
    <xf numFmtId="172" fontId="12" fillId="56" borderId="0" xfId="43" applyNumberFormat="1" applyFont="1" applyFill="1" applyBorder="1" applyProtection="1"/>
    <xf numFmtId="0" fontId="45" fillId="56" borderId="0" xfId="0" applyFont="1" applyFill="1" applyBorder="1" applyAlignment="1">
      <alignment horizontal="left"/>
    </xf>
    <xf numFmtId="0" fontId="45" fillId="56" borderId="0" xfId="0" applyFont="1" applyFill="1" applyBorder="1"/>
    <xf numFmtId="176" fontId="45" fillId="56" borderId="0" xfId="24" applyNumberFormat="1" applyFont="1" applyFill="1" applyBorder="1"/>
    <xf numFmtId="172" fontId="93" fillId="56" borderId="0" xfId="43" applyNumberFormat="1" applyFont="1" applyFill="1" applyBorder="1"/>
    <xf numFmtId="172" fontId="45" fillId="56" borderId="0" xfId="43" applyNumberFormat="1" applyFont="1" applyFill="1" applyBorder="1"/>
    <xf numFmtId="0" fontId="38" fillId="56" borderId="14" xfId="0" applyFont="1" applyFill="1" applyBorder="1" applyProtection="1"/>
    <xf numFmtId="41" fontId="16" fillId="56" borderId="14" xfId="24" applyFont="1" applyFill="1" applyBorder="1" applyAlignment="1" applyProtection="1">
      <alignment horizontal="center"/>
    </xf>
    <xf numFmtId="0" fontId="10" fillId="56" borderId="14" xfId="0" applyFont="1" applyFill="1" applyBorder="1" applyAlignment="1" applyProtection="1">
      <alignment horizontal="left" indent="2"/>
    </xf>
    <xf numFmtId="0" fontId="16" fillId="56" borderId="14" xfId="0" applyFont="1" applyFill="1" applyBorder="1" applyAlignment="1" applyProtection="1">
      <alignment horizontal="center"/>
    </xf>
    <xf numFmtId="0" fontId="38" fillId="56" borderId="14" xfId="0" applyFont="1" applyFill="1" applyBorder="1" applyAlignment="1" applyProtection="1">
      <alignment horizontal="center"/>
    </xf>
    <xf numFmtId="0" fontId="17" fillId="56" borderId="0" xfId="0" applyFont="1" applyFill="1" applyBorder="1" applyAlignment="1" applyProtection="1">
      <alignment horizontal="left" indent="3"/>
    </xf>
    <xf numFmtId="0" fontId="51" fillId="56" borderId="0" xfId="0" applyFont="1" applyFill="1" applyBorder="1" applyAlignment="1">
      <alignment horizontal="left" indent="2"/>
    </xf>
    <xf numFmtId="0" fontId="9" fillId="56" borderId="0" xfId="0" applyFont="1" applyFill="1" applyBorder="1" applyAlignment="1" applyProtection="1">
      <alignment horizontal="right"/>
    </xf>
    <xf numFmtId="37" fontId="9" fillId="56" borderId="0" xfId="0" applyNumberFormat="1" applyFont="1" applyFill="1" applyBorder="1" applyAlignment="1" applyProtection="1">
      <alignment horizontal="right"/>
    </xf>
    <xf numFmtId="37" fontId="9" fillId="56" borderId="0" xfId="23" applyNumberFormat="1" applyFont="1" applyFill="1" applyBorder="1" applyAlignment="1" applyProtection="1">
      <alignment horizontal="right"/>
    </xf>
    <xf numFmtId="0" fontId="51" fillId="56" borderId="0" xfId="0" applyFont="1" applyFill="1" applyBorder="1" applyAlignment="1">
      <alignment horizontal="center"/>
    </xf>
    <xf numFmtId="172" fontId="62" fillId="56" borderId="0" xfId="43" applyNumberFormat="1" applyFont="1" applyFill="1" applyBorder="1" applyAlignment="1" applyProtection="1"/>
    <xf numFmtId="41" fontId="9" fillId="56" borderId="0" xfId="0" applyNumberFormat="1" applyFont="1" applyFill="1" applyBorder="1" applyAlignment="1" applyProtection="1">
      <alignment horizontal="right"/>
    </xf>
    <xf numFmtId="213" fontId="9" fillId="56" borderId="0" xfId="43" applyNumberFormat="1" applyFont="1" applyFill="1" applyBorder="1" applyAlignment="1" applyProtection="1"/>
    <xf numFmtId="212" fontId="9" fillId="56" borderId="0" xfId="43" applyNumberFormat="1" applyFont="1" applyFill="1" applyBorder="1" applyAlignment="1" applyProtection="1"/>
    <xf numFmtId="211" fontId="9" fillId="56" borderId="0" xfId="43" applyNumberFormat="1" applyFont="1" applyFill="1" applyBorder="1" applyAlignment="1" applyProtection="1"/>
    <xf numFmtId="42" fontId="9" fillId="56" borderId="0" xfId="43" applyNumberFormat="1" applyFont="1" applyFill="1" applyBorder="1" applyAlignment="1" applyProtection="1">
      <alignment horizontal="right"/>
    </xf>
    <xf numFmtId="0" fontId="17" fillId="56" borderId="28" xfId="0" applyFont="1" applyFill="1" applyBorder="1" applyAlignment="1">
      <alignment horizontal="left"/>
    </xf>
    <xf numFmtId="0" fontId="20" fillId="56" borderId="28" xfId="0" applyFont="1" applyFill="1" applyBorder="1"/>
    <xf numFmtId="0" fontId="9" fillId="56" borderId="28" xfId="0" applyFont="1" applyFill="1" applyBorder="1" applyProtection="1"/>
    <xf numFmtId="0" fontId="9" fillId="56" borderId="28" xfId="0" applyFont="1" applyFill="1" applyBorder="1" applyAlignment="1" applyProtection="1">
      <alignment horizontal="right"/>
    </xf>
    <xf numFmtId="41" fontId="9" fillId="56" borderId="28" xfId="0" applyNumberFormat="1" applyFont="1" applyFill="1" applyBorder="1" applyAlignment="1" applyProtection="1">
      <alignment horizontal="right"/>
    </xf>
    <xf numFmtId="42" fontId="9" fillId="56" borderId="28" xfId="43" applyNumberFormat="1" applyFont="1" applyFill="1" applyBorder="1" applyAlignment="1" applyProtection="1">
      <alignment horizontal="right"/>
    </xf>
    <xf numFmtId="43" fontId="17" fillId="56" borderId="33" xfId="30" applyNumberFormat="1" applyFont="1" applyFill="1" applyBorder="1"/>
    <xf numFmtId="0" fontId="38" fillId="56" borderId="15" xfId="0" applyFont="1" applyFill="1" applyBorder="1" applyProtection="1"/>
    <xf numFmtId="0" fontId="8" fillId="56" borderId="29" xfId="0" applyFont="1" applyFill="1" applyBorder="1"/>
    <xf numFmtId="0" fontId="37" fillId="56" borderId="29" xfId="0" applyFont="1" applyFill="1" applyBorder="1" applyProtection="1"/>
    <xf numFmtId="0" fontId="10" fillId="56" borderId="5" xfId="0" applyFont="1" applyFill="1" applyBorder="1" applyProtection="1"/>
    <xf numFmtId="0" fontId="17" fillId="56" borderId="32" xfId="0" applyFont="1" applyFill="1" applyBorder="1"/>
    <xf numFmtId="0" fontId="85" fillId="56" borderId="0" xfId="0" applyFont="1" applyFill="1"/>
    <xf numFmtId="0" fontId="5" fillId="56" borderId="0" xfId="0" applyFont="1" applyFill="1" applyAlignment="1">
      <alignment horizontal="left"/>
    </xf>
    <xf numFmtId="0" fontId="20" fillId="56" borderId="0" xfId="0" applyFont="1" applyFill="1" applyBorder="1" applyAlignment="1" applyProtection="1">
      <alignment horizontal="centerContinuous"/>
    </xf>
    <xf numFmtId="0" fontId="74" fillId="56" borderId="0" xfId="0" applyFont="1" applyFill="1" applyAlignment="1">
      <alignment horizontal="centerContinuous"/>
    </xf>
    <xf numFmtId="0" fontId="20" fillId="56" borderId="0" xfId="0" applyFont="1" applyFill="1" applyBorder="1" applyAlignment="1" applyProtection="1"/>
    <xf numFmtId="183" fontId="9" fillId="56" borderId="0" xfId="0" applyNumberFormat="1" applyFont="1" applyFill="1" applyBorder="1" applyAlignment="1" applyProtection="1">
      <alignment horizontal="center"/>
    </xf>
    <xf numFmtId="180" fontId="9" fillId="56" borderId="0" xfId="0" applyNumberFormat="1" applyFont="1" applyFill="1" applyBorder="1" applyAlignment="1" applyProtection="1">
      <alignment horizontal="center"/>
    </xf>
    <xf numFmtId="3" fontId="9" fillId="56" borderId="0" xfId="0" applyNumberFormat="1" applyFont="1" applyFill="1" applyBorder="1" applyAlignment="1" applyProtection="1">
      <alignment horizontal="center" vertical="center"/>
    </xf>
    <xf numFmtId="182" fontId="9" fillId="56" borderId="0" xfId="0" applyNumberFormat="1" applyFont="1" applyFill="1" applyBorder="1" applyAlignment="1" applyProtection="1">
      <alignment horizontal="center" vertical="center" shrinkToFit="1"/>
    </xf>
    <xf numFmtId="179" fontId="17" fillId="56" borderId="23" xfId="0" applyNumberFormat="1" applyFont="1" applyFill="1" applyBorder="1" applyAlignment="1" applyProtection="1">
      <alignment horizontal="center"/>
    </xf>
    <xf numFmtId="0" fontId="17" fillId="56" borderId="23" xfId="0" applyFont="1" applyFill="1" applyBorder="1" applyAlignment="1" applyProtection="1">
      <alignment horizontal="center"/>
    </xf>
    <xf numFmtId="182" fontId="17" fillId="56" borderId="23" xfId="0" applyNumberFormat="1" applyFont="1" applyFill="1" applyBorder="1" applyAlignment="1" applyProtection="1">
      <alignment horizontal="center"/>
    </xf>
    <xf numFmtId="200" fontId="43" fillId="56" borderId="0" xfId="0" applyNumberFormat="1" applyFont="1" applyFill="1" applyBorder="1" applyAlignment="1" applyProtection="1"/>
    <xf numFmtId="0" fontId="43" fillId="56" borderId="0" xfId="0" applyFont="1" applyFill="1" applyBorder="1" applyAlignment="1">
      <alignment horizontal="right"/>
    </xf>
    <xf numFmtId="0" fontId="8" fillId="56" borderId="0" xfId="0" applyFont="1" applyFill="1" applyBorder="1" applyAlignment="1">
      <alignment horizontal="center" wrapText="1" shrinkToFit="1"/>
    </xf>
    <xf numFmtId="0" fontId="50" fillId="56" borderId="11" xfId="0" applyFont="1" applyFill="1" applyBorder="1"/>
    <xf numFmtId="0" fontId="50" fillId="56" borderId="40" xfId="0" applyFont="1" applyFill="1" applyBorder="1"/>
    <xf numFmtId="0" fontId="50" fillId="56" borderId="41" xfId="0" applyFont="1" applyFill="1" applyBorder="1" applyAlignment="1" applyProtection="1">
      <alignment horizontal="right"/>
    </xf>
    <xf numFmtId="0" fontId="50" fillId="56" borderId="29" xfId="0" applyFont="1" applyFill="1" applyBorder="1"/>
    <xf numFmtId="0" fontId="51" fillId="56" borderId="0" xfId="0" applyFont="1" applyFill="1" applyBorder="1" applyAlignment="1">
      <alignment horizontal="centerContinuous" vertical="top"/>
    </xf>
    <xf numFmtId="0" fontId="50" fillId="56" borderId="0" xfId="0" applyFont="1" applyFill="1" applyBorder="1" applyAlignment="1">
      <alignment horizontal="centerContinuous"/>
    </xf>
    <xf numFmtId="0" fontId="51" fillId="56" borderId="0" xfId="0" applyFont="1" applyFill="1" applyBorder="1" applyAlignment="1">
      <alignment horizontal="centerContinuous"/>
    </xf>
    <xf numFmtId="0" fontId="50" fillId="56" borderId="0" xfId="0" applyFont="1" applyFill="1" applyBorder="1"/>
    <xf numFmtId="0" fontId="51" fillId="56" borderId="0" xfId="0" applyFont="1" applyFill="1" applyBorder="1"/>
    <xf numFmtId="0" fontId="50" fillId="56" borderId="32" xfId="0" applyFont="1" applyFill="1" applyBorder="1"/>
    <xf numFmtId="0" fontId="50" fillId="56" borderId="28" xfId="0" applyFont="1" applyFill="1" applyBorder="1"/>
    <xf numFmtId="0" fontId="50" fillId="56" borderId="33" xfId="0" applyFont="1" applyFill="1" applyBorder="1" applyAlignment="1" applyProtection="1">
      <alignment horizontal="right"/>
    </xf>
    <xf numFmtId="0" fontId="90" fillId="56" borderId="5" xfId="0" applyFont="1" applyFill="1" applyBorder="1" applyProtection="1"/>
    <xf numFmtId="0" fontId="50" fillId="56" borderId="14" xfId="0" applyFont="1" applyFill="1" applyBorder="1" applyProtection="1"/>
    <xf numFmtId="0" fontId="51" fillId="56" borderId="0" xfId="0" applyFont="1" applyFill="1" applyBorder="1" applyAlignment="1" applyProtection="1">
      <alignment horizontal="center"/>
    </xf>
    <xf numFmtId="41" fontId="17" fillId="56" borderId="0" xfId="24" applyFont="1" applyFill="1" applyBorder="1" applyProtection="1"/>
    <xf numFmtId="43" fontId="9" fillId="56" borderId="0" xfId="24" applyNumberFormat="1" applyFont="1" applyFill="1" applyBorder="1" applyProtection="1"/>
    <xf numFmtId="41" fontId="9" fillId="56" borderId="0" xfId="24" applyNumberFormat="1" applyFont="1" applyFill="1" applyBorder="1" applyAlignment="1" applyProtection="1">
      <alignment horizontal="centerContinuous"/>
    </xf>
    <xf numFmtId="43" fontId="20" fillId="56" borderId="0" xfId="0" applyNumberFormat="1" applyFont="1" applyFill="1" applyBorder="1" applyAlignment="1" applyProtection="1">
      <alignment horizontal="centerContinuous"/>
    </xf>
    <xf numFmtId="44" fontId="9" fillId="56" borderId="0" xfId="30" applyFont="1" applyFill="1" applyBorder="1" applyAlignment="1" applyProtection="1">
      <alignment horizontal="centerContinuous"/>
    </xf>
    <xf numFmtId="0" fontId="62" fillId="56" borderId="0" xfId="0" applyFont="1" applyFill="1" applyBorder="1" applyAlignment="1" applyProtection="1">
      <alignment horizontal="left" indent="2"/>
    </xf>
    <xf numFmtId="0" fontId="17" fillId="56" borderId="0" xfId="0" applyFont="1" applyFill="1" applyBorder="1" applyAlignment="1" applyProtection="1">
      <alignment horizontal="left" indent="1"/>
    </xf>
    <xf numFmtId="41" fontId="9" fillId="56" borderId="0" xfId="24" applyFont="1" applyFill="1" applyBorder="1" applyProtection="1"/>
    <xf numFmtId="0" fontId="9" fillId="56" borderId="23" xfId="0" applyFont="1" applyFill="1" applyBorder="1" applyAlignment="1" applyProtection="1">
      <alignment horizontal="centerContinuous"/>
    </xf>
    <xf numFmtId="0" fontId="20" fillId="56" borderId="23" xfId="0" applyFont="1" applyFill="1" applyBorder="1" applyAlignment="1" applyProtection="1">
      <alignment horizontal="centerContinuous"/>
    </xf>
    <xf numFmtId="0" fontId="17" fillId="56" borderId="29" xfId="0" applyFont="1" applyFill="1" applyBorder="1" applyAlignment="1" applyProtection="1"/>
    <xf numFmtId="0" fontId="8" fillId="56" borderId="0" xfId="0" applyFont="1" applyFill="1" applyBorder="1" applyAlignment="1" applyProtection="1">
      <alignment horizontal="left" indent="1"/>
    </xf>
    <xf numFmtId="176" fontId="9" fillId="56" borderId="0" xfId="24" applyNumberFormat="1" applyFont="1" applyFill="1" applyBorder="1" applyProtection="1"/>
    <xf numFmtId="42" fontId="8" fillId="56" borderId="0" xfId="24" applyNumberFormat="1" applyFont="1" applyFill="1" applyBorder="1" applyAlignment="1" applyProtection="1">
      <alignment horizontal="centerContinuous"/>
    </xf>
    <xf numFmtId="176" fontId="17" fillId="56" borderId="0" xfId="0" applyNumberFormat="1" applyFont="1" applyFill="1" applyBorder="1" applyAlignment="1" applyProtection="1">
      <alignment horizontal="centerContinuous"/>
    </xf>
    <xf numFmtId="172" fontId="62" fillId="56" borderId="0" xfId="43" applyNumberFormat="1" applyFont="1" applyFill="1" applyBorder="1" applyAlignment="1" applyProtection="1">
      <alignment horizontal="centerContinuous"/>
    </xf>
    <xf numFmtId="176" fontId="8" fillId="56" borderId="0" xfId="24" applyNumberFormat="1" applyFont="1" applyFill="1" applyBorder="1" applyAlignment="1" applyProtection="1">
      <alignment horizontal="centerContinuous"/>
    </xf>
    <xf numFmtId="10" fontId="62" fillId="56" borderId="0" xfId="43" applyNumberFormat="1" applyFont="1" applyFill="1" applyBorder="1" applyProtection="1"/>
    <xf numFmtId="172" fontId="9" fillId="56" borderId="0" xfId="0" applyNumberFormat="1" applyFont="1" applyFill="1" applyBorder="1" applyAlignment="1" applyProtection="1">
      <alignment horizontal="centerContinuous"/>
    </xf>
    <xf numFmtId="172" fontId="8" fillId="56" borderId="0" xfId="30" applyNumberFormat="1" applyFont="1" applyFill="1" applyBorder="1"/>
    <xf numFmtId="172" fontId="9" fillId="56" borderId="0" xfId="0" applyNumberFormat="1" applyFont="1" applyFill="1" applyBorder="1"/>
    <xf numFmtId="43" fontId="6" fillId="56" borderId="0" xfId="30" applyNumberFormat="1" applyFont="1" applyFill="1" applyBorder="1"/>
    <xf numFmtId="9" fontId="51" fillId="56" borderId="0" xfId="43" applyFont="1" applyFill="1" applyBorder="1" applyProtection="1"/>
    <xf numFmtId="49" fontId="17" fillId="56" borderId="0" xfId="24" applyNumberFormat="1" applyFont="1" applyFill="1" applyBorder="1" applyAlignment="1" applyProtection="1">
      <alignment horizontal="centerContinuous" wrapText="1"/>
    </xf>
    <xf numFmtId="0" fontId="17" fillId="56" borderId="0" xfId="0" applyFont="1" applyFill="1" applyBorder="1" applyAlignment="1" applyProtection="1">
      <alignment horizontal="centerContinuous"/>
    </xf>
    <xf numFmtId="176" fontId="9" fillId="56" borderId="0" xfId="24" applyNumberFormat="1" applyFont="1" applyFill="1" applyBorder="1" applyAlignment="1" applyProtection="1">
      <alignment horizontal="centerContinuous"/>
    </xf>
    <xf numFmtId="174" fontId="9" fillId="56" borderId="0" xfId="30" applyNumberFormat="1" applyFont="1" applyFill="1" applyBorder="1" applyAlignment="1" applyProtection="1">
      <alignment horizontal="centerContinuous"/>
    </xf>
    <xf numFmtId="43" fontId="9" fillId="56" borderId="0" xfId="30" applyNumberFormat="1" applyFont="1" applyFill="1" applyBorder="1" applyAlignment="1" applyProtection="1">
      <alignment horizontal="centerContinuous"/>
    </xf>
    <xf numFmtId="43" fontId="9" fillId="56" borderId="23" xfId="30" applyNumberFormat="1" applyFont="1" applyFill="1" applyBorder="1" applyAlignment="1" applyProtection="1">
      <alignment horizontal="centerContinuous"/>
    </xf>
    <xf numFmtId="176" fontId="8" fillId="56" borderId="27" xfId="24" applyNumberFormat="1" applyFont="1" applyFill="1" applyBorder="1" applyAlignment="1" applyProtection="1">
      <alignment horizontal="centerContinuous"/>
    </xf>
    <xf numFmtId="41" fontId="20" fillId="56" borderId="0" xfId="24" applyFont="1" applyFill="1" applyBorder="1" applyProtection="1"/>
    <xf numFmtId="10" fontId="62" fillId="56" borderId="0" xfId="43" applyNumberFormat="1" applyFont="1" applyFill="1" applyBorder="1" applyAlignment="1" applyProtection="1">
      <alignment horizontal="left" indent="2"/>
    </xf>
    <xf numFmtId="172" fontId="8" fillId="56" borderId="0" xfId="0" applyNumberFormat="1" applyFont="1" applyFill="1" applyBorder="1"/>
    <xf numFmtId="172" fontId="17" fillId="56" borderId="0" xfId="0" applyNumberFormat="1" applyFont="1" applyFill="1" applyBorder="1"/>
    <xf numFmtId="172" fontId="74" fillId="56" borderId="0" xfId="0" applyNumberFormat="1" applyFont="1" applyFill="1" applyBorder="1"/>
    <xf numFmtId="172" fontId="62" fillId="56" borderId="0" xfId="43" applyNumberFormat="1" applyFont="1" applyFill="1" applyBorder="1" applyAlignment="1" applyProtection="1">
      <alignment horizontal="left" indent="2"/>
    </xf>
    <xf numFmtId="9" fontId="62" fillId="56" borderId="0" xfId="43" applyFont="1" applyFill="1" applyBorder="1" applyAlignment="1" applyProtection="1">
      <alignment horizontal="centerContinuous"/>
    </xf>
    <xf numFmtId="176" fontId="20" fillId="56" borderId="0" xfId="24" applyNumberFormat="1" applyFont="1" applyFill="1" applyBorder="1" applyAlignment="1" applyProtection="1">
      <alignment horizontal="centerContinuous"/>
    </xf>
    <xf numFmtId="43" fontId="9" fillId="56" borderId="0" xfId="24" applyNumberFormat="1" applyFont="1" applyFill="1" applyBorder="1" applyAlignment="1" applyProtection="1">
      <alignment horizontal="centerContinuous"/>
    </xf>
    <xf numFmtId="41" fontId="9" fillId="56" borderId="0" xfId="24" applyFont="1" applyFill="1" applyBorder="1" applyAlignment="1" applyProtection="1">
      <alignment horizontal="centerContinuous"/>
    </xf>
    <xf numFmtId="0" fontId="62" fillId="56" borderId="0" xfId="43" applyNumberFormat="1" applyFont="1" applyFill="1" applyBorder="1" applyAlignment="1" applyProtection="1">
      <alignment horizontal="centerContinuous"/>
    </xf>
    <xf numFmtId="172" fontId="20" fillId="56" borderId="0" xfId="43" applyNumberFormat="1" applyFont="1" applyFill="1" applyBorder="1" applyAlignment="1" applyProtection="1">
      <alignment horizontal="centerContinuous"/>
    </xf>
    <xf numFmtId="172" fontId="74" fillId="56" borderId="0" xfId="43" applyNumberFormat="1" applyFont="1" applyFill="1" applyBorder="1"/>
    <xf numFmtId="0" fontId="9" fillId="56" borderId="28" xfId="0" applyFont="1" applyFill="1" applyBorder="1"/>
    <xf numFmtId="0" fontId="6" fillId="56" borderId="0" xfId="0" applyFont="1" applyFill="1" applyBorder="1" applyAlignment="1" applyProtection="1">
      <alignment vertical="top"/>
    </xf>
    <xf numFmtId="0" fontId="20" fillId="56" borderId="0" xfId="0" applyFont="1" applyFill="1" applyBorder="1" applyAlignment="1" applyProtection="1">
      <alignment vertical="top"/>
    </xf>
    <xf numFmtId="0" fontId="7" fillId="56" borderId="0" xfId="0" applyFont="1" applyFill="1" applyBorder="1" applyAlignment="1" applyProtection="1">
      <alignment vertical="top" wrapText="1"/>
    </xf>
    <xf numFmtId="0" fontId="7" fillId="56" borderId="0" xfId="0" applyFont="1" applyFill="1" applyBorder="1" applyAlignment="1" applyProtection="1">
      <alignment vertical="top"/>
    </xf>
    <xf numFmtId="0" fontId="7" fillId="56" borderId="0" xfId="0" applyFont="1" applyFill="1" applyBorder="1" applyAlignment="1" applyProtection="1">
      <alignment horizontal="left" vertical="top" wrapText="1"/>
    </xf>
    <xf numFmtId="185" fontId="5" fillId="56" borderId="28" xfId="23" applyNumberFormat="1" applyFill="1" applyBorder="1" applyAlignment="1" applyProtection="1">
      <alignment horizontal="left"/>
    </xf>
    <xf numFmtId="0" fontId="74" fillId="56" borderId="5" xfId="0" applyFont="1" applyFill="1" applyBorder="1" applyProtection="1"/>
    <xf numFmtId="172" fontId="45" fillId="56" borderId="0" xfId="43" applyNumberFormat="1" applyFont="1" applyFill="1" applyBorder="1" applyAlignment="1" applyProtection="1">
      <alignment horizontal="center"/>
    </xf>
    <xf numFmtId="172" fontId="45" fillId="56" borderId="0" xfId="0" applyNumberFormat="1" applyFont="1" applyFill="1" applyBorder="1" applyAlignment="1" applyProtection="1">
      <alignment horizontal="center" vertical="center"/>
    </xf>
    <xf numFmtId="3" fontId="45" fillId="56" borderId="0" xfId="0" applyNumberFormat="1" applyFont="1" applyFill="1" applyBorder="1" applyAlignment="1" applyProtection="1">
      <alignment horizontal="center" vertical="center"/>
    </xf>
    <xf numFmtId="187" fontId="45" fillId="56" borderId="0" xfId="0" applyNumberFormat="1" applyFont="1" applyFill="1" applyBorder="1" applyAlignment="1" applyProtection="1">
      <alignment horizontal="center" vertical="center"/>
    </xf>
    <xf numFmtId="3" fontId="8" fillId="56" borderId="0" xfId="0" applyNumberFormat="1" applyFont="1" applyFill="1" applyBorder="1" applyAlignment="1" applyProtection="1">
      <alignment horizontal="left" vertical="center" indent="4"/>
    </xf>
    <xf numFmtId="171" fontId="45" fillId="56" borderId="0" xfId="0" applyNumberFormat="1" applyFont="1" applyFill="1" applyBorder="1" applyAlignment="1" applyProtection="1">
      <alignment horizontal="center" vertical="center"/>
    </xf>
    <xf numFmtId="172" fontId="45" fillId="56" borderId="0" xfId="0" applyNumberFormat="1" applyFont="1" applyFill="1" applyBorder="1" applyAlignment="1" applyProtection="1">
      <alignment horizontal="center"/>
    </xf>
    <xf numFmtId="0" fontId="82" fillId="56" borderId="0" xfId="0" applyFont="1" applyFill="1" applyBorder="1" applyAlignment="1" applyProtection="1">
      <alignment horizontal="center"/>
    </xf>
    <xf numFmtId="0" fontId="82" fillId="56" borderId="0" xfId="0" applyFont="1" applyFill="1" applyBorder="1" applyAlignment="1" applyProtection="1">
      <alignment horizontal="right"/>
    </xf>
    <xf numFmtId="0" fontId="34" fillId="56" borderId="0" xfId="0" applyFont="1" applyFill="1" applyBorder="1" applyProtection="1"/>
    <xf numFmtId="0" fontId="10" fillId="56" borderId="0" xfId="0" applyFont="1" applyFill="1" applyBorder="1" applyAlignment="1" applyProtection="1">
      <alignment horizontal="centerContinuous"/>
    </xf>
    <xf numFmtId="0" fontId="45" fillId="56" borderId="0" xfId="0" applyFont="1" applyFill="1" applyBorder="1" applyAlignment="1" applyProtection="1">
      <alignment horizontal="left"/>
    </xf>
    <xf numFmtId="0" fontId="8" fillId="56" borderId="0" xfId="0" applyFont="1" applyFill="1" applyBorder="1" applyAlignment="1" applyProtection="1">
      <alignment horizontal="left" indent="2"/>
    </xf>
    <xf numFmtId="0" fontId="8" fillId="56" borderId="0" xfId="0" applyFont="1" applyFill="1" applyBorder="1" applyAlignment="1" applyProtection="1">
      <alignment horizontal="centerContinuous"/>
    </xf>
    <xf numFmtId="0" fontId="45" fillId="56" borderId="0" xfId="0" applyFont="1" applyFill="1" applyAlignment="1" applyProtection="1">
      <alignment horizontal="left" indent="2"/>
    </xf>
    <xf numFmtId="0" fontId="74" fillId="56" borderId="0" xfId="0" applyFont="1" applyFill="1" applyAlignment="1" applyProtection="1"/>
    <xf numFmtId="0" fontId="13" fillId="56" borderId="0" xfId="0" applyFont="1" applyFill="1" applyAlignment="1" applyProtection="1">
      <alignment horizontal="left" indent="4"/>
    </xf>
    <xf numFmtId="0" fontId="12" fillId="56" borderId="0" xfId="0" applyFont="1" applyFill="1" applyBorder="1" applyAlignment="1" applyProtection="1"/>
    <xf numFmtId="7" fontId="45" fillId="56" borderId="0" xfId="30" applyNumberFormat="1" applyFont="1" applyFill="1" applyAlignment="1" applyProtection="1">
      <alignment horizontal="center"/>
    </xf>
    <xf numFmtId="0" fontId="8" fillId="56" borderId="0" xfId="0" applyFont="1" applyFill="1" applyAlignment="1" applyProtection="1">
      <alignment horizontal="center" vertical="top"/>
    </xf>
    <xf numFmtId="37" fontId="9" fillId="56" borderId="0" xfId="23" applyNumberFormat="1" applyFont="1" applyFill="1" applyBorder="1" applyAlignment="1" applyProtection="1">
      <alignment vertical="center"/>
      <protection locked="0"/>
    </xf>
    <xf numFmtId="0" fontId="45" fillId="56" borderId="0" xfId="0" applyFont="1" applyFill="1" applyAlignment="1" applyProtection="1">
      <alignment horizontal="left"/>
    </xf>
    <xf numFmtId="0" fontId="45" fillId="56" borderId="0" xfId="0" applyFont="1" applyFill="1" applyAlignment="1" applyProtection="1">
      <alignment horizontal="right"/>
    </xf>
    <xf numFmtId="189" fontId="45" fillId="56" borderId="0" xfId="0" applyNumberFormat="1" applyFont="1" applyFill="1" applyBorder="1" applyProtection="1"/>
    <xf numFmtId="203" fontId="45" fillId="56" borderId="0" xfId="0" applyNumberFormat="1" applyFont="1" applyFill="1" applyBorder="1" applyAlignment="1" applyProtection="1"/>
    <xf numFmtId="179" fontId="45" fillId="56" borderId="0" xfId="0" applyNumberFormat="1" applyFont="1" applyFill="1" applyBorder="1" applyAlignment="1" applyProtection="1"/>
    <xf numFmtId="0" fontId="45" fillId="56" borderId="0" xfId="0" applyFont="1" applyFill="1" applyBorder="1" applyAlignment="1" applyProtection="1">
      <alignment horizontal="right"/>
    </xf>
    <xf numFmtId="3" fontId="8" fillId="56" borderId="0" xfId="0" applyNumberFormat="1" applyFont="1" applyFill="1" applyBorder="1" applyAlignment="1" applyProtection="1">
      <alignment horizontal="left" vertical="center"/>
    </xf>
    <xf numFmtId="0" fontId="50" fillId="56" borderId="5" xfId="0" applyFont="1" applyFill="1" applyBorder="1" applyProtection="1"/>
    <xf numFmtId="0" fontId="51" fillId="56" borderId="40" xfId="0" applyFont="1" applyFill="1" applyBorder="1" applyAlignment="1" applyProtection="1">
      <alignment horizontal="center"/>
    </xf>
    <xf numFmtId="41" fontId="17" fillId="56" borderId="40" xfId="24" applyFont="1" applyFill="1" applyBorder="1" applyProtection="1"/>
    <xf numFmtId="49" fontId="17" fillId="56" borderId="23" xfId="24" applyNumberFormat="1" applyFont="1" applyFill="1" applyBorder="1" applyAlignment="1" applyProtection="1">
      <alignment horizontal="centerContinuous" wrapText="1"/>
    </xf>
    <xf numFmtId="199" fontId="9" fillId="56" borderId="0" xfId="24" applyNumberFormat="1" applyFont="1" applyFill="1" applyBorder="1" applyAlignment="1" applyProtection="1">
      <alignment horizontal="centerContinuous"/>
    </xf>
    <xf numFmtId="199" fontId="20" fillId="56" borderId="0" xfId="24" applyNumberFormat="1" applyFont="1" applyFill="1" applyBorder="1" applyAlignment="1" applyProtection="1">
      <alignment horizontal="centerContinuous"/>
    </xf>
    <xf numFmtId="199" fontId="74" fillId="56" borderId="0" xfId="0" applyNumberFormat="1" applyFont="1" applyFill="1" applyBorder="1" applyProtection="1"/>
    <xf numFmtId="9" fontId="13" fillId="56" borderId="0" xfId="43" applyFont="1" applyFill="1" applyBorder="1" applyAlignment="1" applyProtection="1">
      <alignment horizontal="left" indent="1"/>
    </xf>
    <xf numFmtId="0" fontId="62" fillId="56" borderId="0" xfId="0" applyFont="1" applyFill="1" applyBorder="1" applyProtection="1"/>
    <xf numFmtId="43" fontId="62" fillId="56" borderId="0" xfId="24" applyNumberFormat="1" applyFont="1" applyFill="1" applyBorder="1" applyProtection="1"/>
    <xf numFmtId="9" fontId="13" fillId="56" borderId="0" xfId="43" applyFont="1" applyFill="1" applyBorder="1" applyAlignment="1" applyProtection="1">
      <alignment horizontal="centerContinuous"/>
    </xf>
    <xf numFmtId="9" fontId="74" fillId="56" borderId="0" xfId="43" applyFont="1" applyFill="1" applyBorder="1" applyProtection="1"/>
    <xf numFmtId="198" fontId="8" fillId="56" borderId="0" xfId="24" applyNumberFormat="1" applyFont="1" applyFill="1" applyBorder="1" applyAlignment="1" applyProtection="1">
      <alignment horizontal="centerContinuous"/>
    </xf>
    <xf numFmtId="198" fontId="17" fillId="56" borderId="0" xfId="0" applyNumberFormat="1" applyFont="1" applyFill="1" applyBorder="1" applyAlignment="1" applyProtection="1">
      <alignment horizontal="centerContinuous"/>
    </xf>
    <xf numFmtId="198" fontId="74" fillId="56" borderId="0" xfId="0" applyNumberFormat="1" applyFont="1" applyFill="1" applyBorder="1" applyProtection="1"/>
    <xf numFmtId="172" fontId="20" fillId="56" borderId="0" xfId="0" applyNumberFormat="1" applyFont="1" applyFill="1" applyBorder="1" applyAlignment="1" applyProtection="1">
      <alignment horizontal="centerContinuous"/>
    </xf>
    <xf numFmtId="172" fontId="74" fillId="56" borderId="0" xfId="0" applyNumberFormat="1" applyFont="1" applyFill="1" applyBorder="1" applyProtection="1"/>
    <xf numFmtId="10" fontId="13" fillId="56" borderId="0" xfId="43" applyNumberFormat="1" applyFont="1" applyFill="1" applyBorder="1" applyProtection="1"/>
    <xf numFmtId="172" fontId="13" fillId="56" borderId="0" xfId="43" applyNumberFormat="1" applyFont="1" applyFill="1" applyBorder="1" applyAlignment="1" applyProtection="1">
      <alignment horizontal="centerContinuous"/>
    </xf>
    <xf numFmtId="172" fontId="7" fillId="56" borderId="0" xfId="0" applyNumberFormat="1" applyFont="1" applyFill="1" applyBorder="1" applyProtection="1"/>
    <xf numFmtId="172" fontId="62" fillId="56" borderId="0" xfId="43" applyNumberFormat="1" applyFont="1" applyFill="1" applyBorder="1" applyProtection="1"/>
    <xf numFmtId="0" fontId="17" fillId="56" borderId="0" xfId="0" applyFont="1" applyFill="1" applyBorder="1" applyAlignment="1" applyProtection="1">
      <alignment horizontal="left" wrapText="1"/>
    </xf>
    <xf numFmtId="43" fontId="9" fillId="56" borderId="0" xfId="24" applyNumberFormat="1" applyFont="1" applyFill="1" applyBorder="1" applyAlignment="1" applyProtection="1">
      <alignment vertical="top"/>
    </xf>
    <xf numFmtId="43" fontId="9" fillId="56" borderId="0" xfId="24" applyNumberFormat="1" applyFont="1" applyFill="1" applyBorder="1" applyAlignment="1" applyProtection="1">
      <alignment horizontal="centerContinuous" vertical="top"/>
    </xf>
    <xf numFmtId="43" fontId="20" fillId="56" borderId="0" xfId="0" applyNumberFormat="1" applyFont="1" applyFill="1" applyBorder="1" applyAlignment="1" applyProtection="1">
      <alignment horizontal="centerContinuous" vertical="top"/>
    </xf>
    <xf numFmtId="0" fontId="12" fillId="56" borderId="0" xfId="0" applyFont="1" applyFill="1" applyBorder="1" applyProtection="1"/>
    <xf numFmtId="37" fontId="9" fillId="56" borderId="0" xfId="23" applyNumberFormat="1" applyFont="1" applyFill="1" applyBorder="1" applyAlignment="1" applyProtection="1">
      <alignment vertical="center"/>
    </xf>
    <xf numFmtId="0" fontId="74" fillId="56" borderId="0" xfId="0" applyFont="1" applyFill="1" applyAlignment="1" applyProtection="1">
      <alignment horizontal="centerContinuous"/>
    </xf>
    <xf numFmtId="0" fontId="13" fillId="56" borderId="0" xfId="0" applyFont="1" applyFill="1" applyProtection="1"/>
    <xf numFmtId="0" fontId="45" fillId="56" borderId="0" xfId="0" applyNumberFormat="1" applyFont="1" applyFill="1" applyBorder="1" applyAlignment="1" applyProtection="1">
      <alignment horizontal="right"/>
    </xf>
    <xf numFmtId="0" fontId="17" fillId="56" borderId="41" xfId="0" applyFont="1" applyFill="1" applyBorder="1" applyProtection="1"/>
    <xf numFmtId="0" fontId="17" fillId="56" borderId="31" xfId="0" applyFont="1" applyFill="1" applyBorder="1" applyProtection="1"/>
    <xf numFmtId="0" fontId="17" fillId="56" borderId="32" xfId="0" applyFont="1" applyFill="1" applyBorder="1" applyAlignment="1" applyProtection="1"/>
    <xf numFmtId="0" fontId="51" fillId="56" borderId="28" xfId="0" applyFont="1" applyFill="1" applyBorder="1" applyAlignment="1" applyProtection="1">
      <alignment horizontal="center"/>
    </xf>
    <xf numFmtId="0" fontId="17" fillId="56" borderId="28" xfId="0" applyFont="1" applyFill="1" applyBorder="1" applyProtection="1"/>
    <xf numFmtId="9" fontId="51" fillId="56" borderId="28" xfId="43" applyFont="1" applyFill="1" applyBorder="1" applyProtection="1"/>
    <xf numFmtId="0" fontId="17" fillId="56" borderId="33" xfId="0" applyFont="1" applyFill="1" applyBorder="1" applyProtection="1"/>
    <xf numFmtId="0" fontId="74" fillId="56" borderId="15" xfId="0" applyFont="1" applyFill="1" applyBorder="1" applyProtection="1"/>
    <xf numFmtId="0" fontId="18" fillId="56" borderId="5" xfId="0" applyFont="1" applyFill="1" applyBorder="1" applyAlignment="1" applyProtection="1">
      <alignment horizontal="left"/>
    </xf>
    <xf numFmtId="0" fontId="18" fillId="56" borderId="14" xfId="0" applyFont="1" applyFill="1" applyBorder="1" applyAlignment="1" applyProtection="1">
      <alignment horizontal="centerContinuous"/>
    </xf>
    <xf numFmtId="0" fontId="11" fillId="56" borderId="14" xfId="0" applyFont="1" applyFill="1" applyBorder="1" applyAlignment="1" applyProtection="1">
      <alignment horizontal="centerContinuous"/>
    </xf>
    <xf numFmtId="0" fontId="35" fillId="56" borderId="15" xfId="0" applyFont="1" applyFill="1" applyBorder="1" applyAlignment="1" applyProtection="1">
      <alignment horizontal="right"/>
    </xf>
    <xf numFmtId="0" fontId="9" fillId="56" borderId="29" xfId="0" applyFont="1" applyFill="1" applyBorder="1" applyProtection="1"/>
    <xf numFmtId="0" fontId="8" fillId="56" borderId="5" xfId="0" applyFont="1" applyFill="1" applyBorder="1" applyAlignment="1" applyProtection="1">
      <alignment horizontal="centerContinuous"/>
    </xf>
    <xf numFmtId="0" fontId="0" fillId="56" borderId="14" xfId="0" applyFill="1" applyBorder="1" applyAlignment="1" applyProtection="1">
      <alignment horizontal="centerContinuous"/>
    </xf>
    <xf numFmtId="0" fontId="8" fillId="56" borderId="14" xfId="0" applyFont="1" applyFill="1" applyBorder="1" applyAlignment="1" applyProtection="1">
      <alignment horizontal="centerContinuous"/>
    </xf>
    <xf numFmtId="0" fontId="6" fillId="56" borderId="14" xfId="0" applyFont="1" applyFill="1" applyBorder="1" applyAlignment="1" applyProtection="1">
      <alignment horizontal="centerContinuous"/>
    </xf>
    <xf numFmtId="0" fontId="0" fillId="56" borderId="15" xfId="0" applyFill="1" applyBorder="1" applyAlignment="1" applyProtection="1">
      <alignment horizontal="centerContinuous"/>
    </xf>
    <xf numFmtId="0" fontId="8" fillId="56" borderId="13" xfId="0" applyFont="1" applyFill="1" applyBorder="1" applyAlignment="1" applyProtection="1">
      <alignment horizontal="center"/>
    </xf>
    <xf numFmtId="0" fontId="51" fillId="56" borderId="29" xfId="0" applyFont="1" applyFill="1" applyBorder="1" applyProtection="1"/>
    <xf numFmtId="0" fontId="7" fillId="56" borderId="40" xfId="0" applyFont="1" applyFill="1" applyBorder="1" applyProtection="1"/>
    <xf numFmtId="0" fontId="7" fillId="56" borderId="29" xfId="0" applyFont="1" applyFill="1" applyBorder="1" applyProtection="1"/>
    <xf numFmtId="41" fontId="43" fillId="56" borderId="0" xfId="24" applyFont="1" applyFill="1" applyBorder="1" applyAlignment="1" applyProtection="1">
      <alignment horizontal="center" wrapText="1"/>
    </xf>
    <xf numFmtId="0" fontId="21" fillId="56" borderId="0" xfId="0" applyFont="1" applyFill="1" applyBorder="1" applyAlignment="1" applyProtection="1">
      <alignment horizontal="center"/>
    </xf>
    <xf numFmtId="41" fontId="43" fillId="56" borderId="0" xfId="24" applyFont="1" applyFill="1" applyBorder="1" applyAlignment="1" applyProtection="1">
      <alignment horizontal="center"/>
    </xf>
    <xf numFmtId="0" fontId="59" fillId="56" borderId="0" xfId="0" applyFont="1" applyFill="1" applyBorder="1" applyProtection="1"/>
    <xf numFmtId="0" fontId="7" fillId="56" borderId="0" xfId="0" applyFont="1" applyFill="1" applyBorder="1" applyAlignment="1" applyProtection="1">
      <alignment horizontal="center"/>
    </xf>
    <xf numFmtId="0" fontId="9" fillId="56" borderId="0" xfId="0" applyFont="1" applyFill="1" applyBorder="1" applyAlignment="1" applyProtection="1">
      <alignment horizontal="left" vertical="top" wrapText="1" indent="2"/>
    </xf>
    <xf numFmtId="0" fontId="8" fillId="56" borderId="0" xfId="0" applyFont="1" applyFill="1" applyBorder="1" applyAlignment="1" applyProtection="1">
      <alignment horizontal="center" vertical="top" wrapText="1"/>
    </xf>
    <xf numFmtId="0" fontId="9" fillId="56" borderId="0" xfId="0" applyFont="1" applyFill="1" applyBorder="1" applyAlignment="1" applyProtection="1">
      <alignment horizontal="center" vertical="top"/>
    </xf>
    <xf numFmtId="172" fontId="9" fillId="56" borderId="13" xfId="43" applyNumberFormat="1" applyFont="1" applyFill="1" applyBorder="1" applyAlignment="1" applyProtection="1">
      <alignment horizontal="center" vertical="top"/>
    </xf>
    <xf numFmtId="0" fontId="8" fillId="56" borderId="0" xfId="0" applyFont="1" applyFill="1" applyBorder="1" applyAlignment="1" applyProtection="1">
      <alignment horizontal="left" vertical="top" wrapText="1"/>
    </xf>
    <xf numFmtId="41" fontId="9" fillId="56" borderId="0" xfId="24" applyFont="1" applyFill="1" applyBorder="1" applyAlignment="1" applyProtection="1">
      <alignment horizontal="center" vertical="top"/>
    </xf>
    <xf numFmtId="0" fontId="59" fillId="56" borderId="0" xfId="0" applyFont="1" applyFill="1" applyBorder="1" applyAlignment="1" applyProtection="1">
      <alignment horizontal="left" vertical="top" wrapText="1"/>
    </xf>
    <xf numFmtId="0" fontId="8" fillId="56" borderId="0" xfId="0" applyFont="1" applyFill="1" applyBorder="1" applyAlignment="1" applyProtection="1">
      <alignment horizontal="left" vertical="top" wrapText="1" indent="2"/>
    </xf>
    <xf numFmtId="9" fontId="9" fillId="56" borderId="0" xfId="43" applyFont="1" applyFill="1" applyBorder="1" applyAlignment="1" applyProtection="1">
      <alignment horizontal="center" vertical="top"/>
    </xf>
    <xf numFmtId="173" fontId="9" fillId="56" borderId="13" xfId="30" applyNumberFormat="1" applyFont="1" applyFill="1" applyBorder="1" applyAlignment="1" applyProtection="1">
      <alignment horizontal="center" vertical="top"/>
    </xf>
    <xf numFmtId="173" fontId="9" fillId="56" borderId="13" xfId="24" applyNumberFormat="1" applyFont="1" applyFill="1" applyBorder="1" applyAlignment="1" applyProtection="1">
      <alignment horizontal="center" vertical="top"/>
    </xf>
    <xf numFmtId="173" fontId="9" fillId="56" borderId="0" xfId="0" applyNumberFormat="1" applyFont="1" applyFill="1" applyBorder="1" applyAlignment="1" applyProtection="1">
      <alignment horizontal="center" vertical="top"/>
    </xf>
    <xf numFmtId="171" fontId="9" fillId="56" borderId="13" xfId="23" applyNumberFormat="1" applyFont="1" applyFill="1" applyBorder="1" applyAlignment="1" applyProtection="1">
      <alignment horizontal="center" vertical="top"/>
    </xf>
    <xf numFmtId="169" fontId="9" fillId="56" borderId="0" xfId="23" applyNumberFormat="1" applyFont="1" applyFill="1" applyBorder="1" applyAlignment="1" applyProtection="1">
      <alignment horizontal="center" vertical="top"/>
    </xf>
    <xf numFmtId="1" fontId="9" fillId="56" borderId="13" xfId="24" applyNumberFormat="1" applyFont="1" applyFill="1" applyBorder="1" applyAlignment="1" applyProtection="1">
      <alignment horizontal="center" vertical="top"/>
    </xf>
    <xf numFmtId="1" fontId="9" fillId="56" borderId="0" xfId="0" applyNumberFormat="1" applyFont="1" applyFill="1" applyBorder="1" applyAlignment="1" applyProtection="1">
      <alignment horizontal="center" vertical="top"/>
    </xf>
    <xf numFmtId="0" fontId="8" fillId="56" borderId="0" xfId="0" applyFont="1" applyFill="1" applyBorder="1" applyAlignment="1" applyProtection="1">
      <alignment vertical="top" wrapText="1"/>
    </xf>
    <xf numFmtId="1" fontId="9" fillId="56" borderId="0" xfId="24" applyNumberFormat="1" applyFont="1" applyFill="1" applyBorder="1" applyAlignment="1" applyProtection="1">
      <alignment horizontal="center" vertical="top"/>
    </xf>
    <xf numFmtId="37" fontId="9" fillId="56" borderId="0" xfId="0" applyNumberFormat="1" applyFont="1" applyFill="1" applyBorder="1" applyAlignment="1" applyProtection="1">
      <alignment horizontal="center" vertical="top"/>
    </xf>
    <xf numFmtId="37" fontId="9" fillId="56" borderId="0" xfId="24" applyNumberFormat="1" applyFont="1" applyFill="1" applyBorder="1" applyAlignment="1" applyProtection="1">
      <alignment horizontal="center" vertical="top"/>
    </xf>
    <xf numFmtId="172" fontId="9" fillId="56" borderId="0" xfId="43" applyNumberFormat="1" applyFont="1" applyFill="1" applyBorder="1" applyAlignment="1" applyProtection="1">
      <alignment horizontal="center" vertical="top"/>
    </xf>
    <xf numFmtId="173" fontId="9" fillId="56" borderId="0" xfId="24" applyNumberFormat="1" applyFont="1" applyFill="1" applyBorder="1" applyAlignment="1" applyProtection="1">
      <alignment horizontal="center" vertical="top"/>
    </xf>
    <xf numFmtId="0" fontId="60" fillId="56" borderId="0" xfId="0" applyFont="1" applyFill="1" applyBorder="1" applyAlignment="1" applyProtection="1">
      <alignment horizontal="left" vertical="top" wrapText="1"/>
    </xf>
    <xf numFmtId="0" fontId="0" fillId="56" borderId="0" xfId="0" applyFill="1" applyProtection="1"/>
    <xf numFmtId="0" fontId="9" fillId="56" borderId="0" xfId="0" applyFont="1" applyFill="1" applyBorder="1" applyAlignment="1" applyProtection="1">
      <alignment horizontal="center" vertical="top" wrapText="1"/>
    </xf>
    <xf numFmtId="0" fontId="8" fillId="56" borderId="0" xfId="0" applyFont="1" applyFill="1" applyBorder="1" applyAlignment="1" applyProtection="1">
      <alignment horizontal="left" vertical="top"/>
    </xf>
    <xf numFmtId="0" fontId="8" fillId="56" borderId="0" xfId="0" applyFont="1" applyFill="1" applyBorder="1" applyAlignment="1" applyProtection="1">
      <alignment horizontal="left" vertical="top" indent="2"/>
    </xf>
    <xf numFmtId="41" fontId="9" fillId="56" borderId="13" xfId="24" applyFont="1" applyFill="1" applyBorder="1" applyAlignment="1" applyProtection="1">
      <alignment horizontal="center" vertical="top"/>
    </xf>
    <xf numFmtId="0" fontId="9" fillId="56" borderId="13" xfId="0" quotePrefix="1" applyFont="1" applyFill="1" applyBorder="1" applyAlignment="1" applyProtection="1">
      <alignment horizontal="center" vertical="top"/>
    </xf>
    <xf numFmtId="0" fontId="9" fillId="56" borderId="13" xfId="0" applyFont="1" applyFill="1" applyBorder="1" applyAlignment="1" applyProtection="1">
      <alignment horizontal="center" vertical="top"/>
    </xf>
    <xf numFmtId="0" fontId="9" fillId="56" borderId="0" xfId="0" quotePrefix="1" applyFont="1" applyFill="1" applyBorder="1" applyAlignment="1" applyProtection="1">
      <alignment horizontal="center" vertical="top"/>
    </xf>
    <xf numFmtId="0" fontId="0" fillId="56" borderId="29" xfId="0" applyFill="1" applyBorder="1" applyAlignment="1" applyProtection="1">
      <alignment vertical="top"/>
    </xf>
    <xf numFmtId="0" fontId="0" fillId="56" borderId="0" xfId="0" applyFill="1" applyBorder="1" applyAlignment="1" applyProtection="1">
      <alignment vertical="top"/>
    </xf>
    <xf numFmtId="170" fontId="9" fillId="56" borderId="0" xfId="0" applyNumberFormat="1" applyFont="1" applyFill="1" applyBorder="1" applyAlignment="1" applyProtection="1">
      <alignment horizontal="center" vertical="top"/>
    </xf>
    <xf numFmtId="170" fontId="9" fillId="56" borderId="13" xfId="24" applyNumberFormat="1" applyFont="1" applyFill="1" applyBorder="1" applyAlignment="1" applyProtection="1">
      <alignment horizontal="center" vertical="center"/>
    </xf>
    <xf numFmtId="170" fontId="9" fillId="56" borderId="0" xfId="0" applyNumberFormat="1" applyFont="1" applyFill="1" applyBorder="1" applyAlignment="1" applyProtection="1">
      <alignment horizontal="center" vertical="center"/>
    </xf>
    <xf numFmtId="170" fontId="9" fillId="56" borderId="0" xfId="24" applyNumberFormat="1" applyFont="1" applyFill="1" applyBorder="1" applyAlignment="1" applyProtection="1">
      <alignment horizontal="center" vertical="center"/>
    </xf>
    <xf numFmtId="165" fontId="9" fillId="56" borderId="13" xfId="23" applyNumberFormat="1" applyFont="1" applyFill="1" applyBorder="1" applyProtection="1"/>
    <xf numFmtId="0" fontId="6" fillId="56" borderId="0" xfId="0" applyFont="1" applyFill="1" applyBorder="1" applyAlignment="1" applyProtection="1">
      <alignment horizontal="right"/>
    </xf>
    <xf numFmtId="170" fontId="9" fillId="56" borderId="13" xfId="0" applyNumberFormat="1" applyFont="1" applyFill="1" applyBorder="1" applyProtection="1"/>
    <xf numFmtId="0" fontId="9" fillId="56" borderId="5" xfId="0" applyFont="1" applyFill="1" applyBorder="1" applyProtection="1"/>
    <xf numFmtId="0" fontId="9" fillId="56" borderId="14" xfId="0" applyFont="1" applyFill="1" applyBorder="1" applyProtection="1"/>
    <xf numFmtId="0" fontId="0" fillId="56" borderId="0" xfId="0" applyFill="1" applyBorder="1" applyAlignment="1" applyProtection="1">
      <alignment horizontal="right"/>
    </xf>
    <xf numFmtId="170" fontId="9" fillId="56" borderId="0" xfId="0" applyNumberFormat="1" applyFont="1" applyFill="1" applyBorder="1" applyProtection="1"/>
    <xf numFmtId="0" fontId="6" fillId="56" borderId="28" xfId="0" applyFont="1" applyFill="1" applyBorder="1" applyAlignment="1" applyProtection="1">
      <alignment horizontal="right"/>
    </xf>
    <xf numFmtId="170" fontId="9" fillId="56" borderId="28" xfId="0" applyNumberFormat="1" applyFont="1" applyFill="1" applyBorder="1" applyProtection="1"/>
    <xf numFmtId="0" fontId="7" fillId="56" borderId="28" xfId="0" applyFont="1" applyFill="1" applyBorder="1" applyProtection="1"/>
    <xf numFmtId="170" fontId="9" fillId="56" borderId="70" xfId="0" applyNumberFormat="1" applyFont="1" applyFill="1" applyBorder="1" applyProtection="1"/>
    <xf numFmtId="0" fontId="9" fillId="56" borderId="32" xfId="0" applyFont="1" applyFill="1" applyBorder="1" applyProtection="1"/>
    <xf numFmtId="0" fontId="10" fillId="56" borderId="14" xfId="0" applyFont="1" applyFill="1" applyBorder="1" applyProtection="1"/>
    <xf numFmtId="0" fontId="17" fillId="56" borderId="31" xfId="0" applyFont="1" applyFill="1" applyBorder="1" applyAlignment="1" applyProtection="1">
      <alignment horizontal="centerContinuous"/>
    </xf>
    <xf numFmtId="0" fontId="0" fillId="56" borderId="0" xfId="0" applyFill="1" applyBorder="1" applyAlignment="1" applyProtection="1">
      <alignment horizontal="center"/>
    </xf>
    <xf numFmtId="165" fontId="15" fillId="56" borderId="13" xfId="26" applyFont="1" applyFill="1" applyBorder="1" applyAlignment="1" applyProtection="1">
      <alignment horizontal="centerContinuous"/>
    </xf>
    <xf numFmtId="165" fontId="0" fillId="56" borderId="15" xfId="26" applyFont="1" applyFill="1" applyBorder="1" applyAlignment="1" applyProtection="1">
      <alignment horizontal="centerContinuous"/>
    </xf>
    <xf numFmtId="0" fontId="0" fillId="56" borderId="11" xfId="0" applyFill="1" applyBorder="1" applyAlignment="1" applyProtection="1">
      <alignment horizontal="centerContinuous"/>
    </xf>
    <xf numFmtId="0" fontId="0" fillId="56" borderId="40" xfId="0" applyFill="1" applyBorder="1" applyAlignment="1" applyProtection="1">
      <alignment horizontal="centerContinuous"/>
    </xf>
    <xf numFmtId="0" fontId="0" fillId="56" borderId="29" xfId="0" applyFill="1" applyBorder="1" applyAlignment="1" applyProtection="1">
      <alignment horizontal="centerContinuous"/>
    </xf>
    <xf numFmtId="0" fontId="0" fillId="56" borderId="0" xfId="0" applyFill="1" applyBorder="1" applyAlignment="1" applyProtection="1">
      <alignment horizontal="centerContinuous"/>
    </xf>
    <xf numFmtId="171" fontId="0" fillId="56" borderId="0" xfId="0" applyNumberFormat="1" applyFill="1" applyProtection="1"/>
    <xf numFmtId="0" fontId="17" fillId="56" borderId="31" xfId="0" applyFont="1" applyFill="1" applyBorder="1" applyAlignment="1" applyProtection="1">
      <alignment horizontal="right"/>
    </xf>
    <xf numFmtId="171" fontId="17" fillId="56" borderId="5" xfId="0" applyNumberFormat="1" applyFont="1" applyFill="1" applyBorder="1" applyAlignment="1" applyProtection="1">
      <alignment horizontal="centerContinuous"/>
    </xf>
    <xf numFmtId="171" fontId="17" fillId="56" borderId="15" xfId="0" applyNumberFormat="1" applyFont="1" applyFill="1" applyBorder="1" applyAlignment="1" applyProtection="1">
      <alignment horizontal="centerContinuous"/>
    </xf>
    <xf numFmtId="0" fontId="58" fillId="56" borderId="0" xfId="0" applyFont="1" applyFill="1" applyBorder="1" applyAlignment="1" applyProtection="1">
      <alignment horizontal="centerContinuous"/>
    </xf>
    <xf numFmtId="0" fontId="49" fillId="56" borderId="0" xfId="0" applyFont="1" applyFill="1" applyBorder="1" applyAlignment="1" applyProtection="1">
      <alignment horizontal="center"/>
    </xf>
    <xf numFmtId="0" fontId="0" fillId="56" borderId="0" xfId="0" applyFill="1" applyBorder="1" applyAlignment="1" applyProtection="1"/>
    <xf numFmtId="0" fontId="17" fillId="56" borderId="0" xfId="0" quotePrefix="1" applyFont="1" applyFill="1" applyBorder="1" applyAlignment="1" applyProtection="1">
      <alignment horizontal="center"/>
    </xf>
    <xf numFmtId="4" fontId="6" fillId="56" borderId="28" xfId="0" applyNumberFormat="1" applyFont="1" applyFill="1" applyBorder="1" applyAlignment="1" applyProtection="1">
      <alignment horizontal="centerContinuous" vertical="center"/>
    </xf>
    <xf numFmtId="4" fontId="0" fillId="56" borderId="0" xfId="0" applyNumberFormat="1" applyFill="1" applyBorder="1" applyAlignment="1" applyProtection="1">
      <alignment horizontal="centerContinuous"/>
    </xf>
    <xf numFmtId="0" fontId="8" fillId="56" borderId="29" xfId="0" applyFont="1" applyFill="1" applyBorder="1" applyAlignment="1" applyProtection="1">
      <alignment horizontal="centerContinuous"/>
    </xf>
    <xf numFmtId="171" fontId="10" fillId="56" borderId="13" xfId="0" applyNumberFormat="1" applyFont="1" applyFill="1" applyBorder="1" applyAlignment="1" applyProtection="1">
      <alignment horizontal="centerContinuous"/>
    </xf>
    <xf numFmtId="171" fontId="0" fillId="56" borderId="13" xfId="0" applyNumberFormat="1" applyFill="1" applyBorder="1" applyAlignment="1" applyProtection="1">
      <alignment horizontal="centerContinuous"/>
    </xf>
    <xf numFmtId="171" fontId="10" fillId="56" borderId="5" xfId="0" applyNumberFormat="1" applyFont="1" applyFill="1" applyBorder="1" applyAlignment="1" applyProtection="1">
      <alignment horizontal="centerContinuous"/>
    </xf>
    <xf numFmtId="0" fontId="11" fillId="56" borderId="15" xfId="0" applyFont="1" applyFill="1" applyBorder="1" applyAlignment="1" applyProtection="1">
      <alignment horizontal="centerContinuous"/>
    </xf>
    <xf numFmtId="171" fontId="16" fillId="56" borderId="5" xfId="29" applyFont="1" applyFill="1" applyBorder="1" applyAlignment="1" applyProtection="1">
      <alignment horizontal="centerContinuous" vertical="center"/>
    </xf>
    <xf numFmtId="171" fontId="16" fillId="56" borderId="15" xfId="29" applyFont="1" applyFill="1" applyBorder="1" applyAlignment="1" applyProtection="1">
      <alignment horizontal="centerContinuous" vertical="center"/>
    </xf>
    <xf numFmtId="0" fontId="6" fillId="56" borderId="14" xfId="0" applyFont="1" applyFill="1" applyBorder="1" applyAlignment="1" applyProtection="1">
      <alignment horizontal="centerContinuous" vertical="center"/>
    </xf>
    <xf numFmtId="0" fontId="74" fillId="56" borderId="14" xfId="0" applyFont="1" applyFill="1" applyBorder="1" applyAlignment="1" applyProtection="1">
      <alignment horizontal="centerContinuous"/>
    </xf>
    <xf numFmtId="4" fontId="6" fillId="56" borderId="14" xfId="0" applyNumberFormat="1" applyFont="1" applyFill="1" applyBorder="1" applyAlignment="1" applyProtection="1">
      <alignment horizontal="centerContinuous" vertical="center"/>
    </xf>
    <xf numFmtId="0" fontId="0" fillId="56" borderId="0" xfId="0" applyFill="1" applyBorder="1" applyAlignment="1" applyProtection="1">
      <alignment horizontal="centerContinuous" vertical="center"/>
    </xf>
    <xf numFmtId="0" fontId="6" fillId="56" borderId="29" xfId="0" applyFont="1" applyFill="1" applyBorder="1" applyAlignment="1" applyProtection="1">
      <alignment horizontal="right" vertical="center"/>
    </xf>
    <xf numFmtId="171" fontId="8" fillId="56" borderId="13" xfId="0" applyNumberFormat="1" applyFont="1" applyFill="1" applyBorder="1" applyAlignment="1" applyProtection="1">
      <alignment horizontal="centerContinuous" vertical="center"/>
    </xf>
    <xf numFmtId="171" fontId="47" fillId="56" borderId="15" xfId="0" applyNumberFormat="1" applyFont="1" applyFill="1" applyBorder="1" applyAlignment="1" applyProtection="1">
      <alignment horizontal="centerContinuous"/>
    </xf>
    <xf numFmtId="171" fontId="47" fillId="56" borderId="0" xfId="0" applyNumberFormat="1" applyFont="1" applyFill="1" applyBorder="1" applyAlignment="1" applyProtection="1"/>
    <xf numFmtId="171" fontId="8" fillId="56" borderId="5" xfId="29" applyFont="1" applyFill="1" applyBorder="1" applyAlignment="1" applyProtection="1">
      <alignment horizontal="centerContinuous" vertical="center"/>
    </xf>
    <xf numFmtId="0" fontId="7" fillId="56" borderId="15" xfId="0" applyFont="1" applyFill="1" applyBorder="1" applyAlignment="1" applyProtection="1">
      <alignment horizontal="centerContinuous"/>
    </xf>
    <xf numFmtId="0" fontId="17" fillId="56" borderId="29" xfId="0" quotePrefix="1" applyFont="1" applyFill="1" applyBorder="1" applyAlignment="1" applyProtection="1">
      <alignment horizontal="right"/>
    </xf>
    <xf numFmtId="0" fontId="17" fillId="56" borderId="0" xfId="0" quotePrefix="1" applyFont="1" applyFill="1" applyBorder="1" applyAlignment="1" applyProtection="1">
      <alignment horizontal="centerContinuous" vertical="center"/>
    </xf>
    <xf numFmtId="0" fontId="17" fillId="56" borderId="29" xfId="0" quotePrefix="1" applyFont="1" applyFill="1" applyBorder="1" applyAlignment="1" applyProtection="1">
      <alignment horizontal="right" vertical="center"/>
    </xf>
    <xf numFmtId="171" fontId="8" fillId="56" borderId="4" xfId="23" applyNumberFormat="1" applyFont="1" applyFill="1" applyBorder="1" applyAlignment="1" applyProtection="1">
      <alignment horizontal="center"/>
    </xf>
    <xf numFmtId="0" fontId="6" fillId="56" borderId="0" xfId="0" applyFont="1" applyFill="1" applyBorder="1" applyAlignment="1" applyProtection="1">
      <alignment horizontal="centerContinuous" vertical="center"/>
    </xf>
    <xf numFmtId="171" fontId="8" fillId="56" borderId="49" xfId="23" applyNumberFormat="1" applyFont="1" applyFill="1" applyBorder="1" applyAlignment="1" applyProtection="1">
      <alignment horizontal="center" vertical="center"/>
    </xf>
    <xf numFmtId="0" fontId="6" fillId="56" borderId="40" xfId="0" applyFont="1" applyFill="1" applyBorder="1" applyAlignment="1" applyProtection="1">
      <alignment horizontal="centerContinuous" vertical="center"/>
    </xf>
    <xf numFmtId="0" fontId="74" fillId="56" borderId="40" xfId="0" applyFont="1" applyFill="1" applyBorder="1" applyAlignment="1" applyProtection="1">
      <alignment horizontal="centerContinuous"/>
    </xf>
    <xf numFmtId="171" fontId="8" fillId="56" borderId="70" xfId="23" applyNumberFormat="1" applyFont="1" applyFill="1" applyBorder="1" applyAlignment="1" applyProtection="1">
      <alignment horizontal="center"/>
    </xf>
    <xf numFmtId="0" fontId="17" fillId="56" borderId="0" xfId="0" quotePrefix="1" applyFont="1" applyFill="1" applyBorder="1" applyAlignment="1" applyProtection="1">
      <alignment horizontal="left"/>
    </xf>
    <xf numFmtId="0" fontId="6" fillId="56" borderId="0" xfId="0" applyFont="1" applyFill="1" applyBorder="1" applyAlignment="1" applyProtection="1">
      <alignment horizontal="left" vertical="center"/>
    </xf>
    <xf numFmtId="0" fontId="0" fillId="56" borderId="26" xfId="0" applyFill="1" applyBorder="1" applyProtection="1"/>
    <xf numFmtId="0" fontId="46" fillId="56" borderId="27" xfId="0" applyFont="1" applyFill="1" applyBorder="1" applyProtection="1"/>
    <xf numFmtId="0" fontId="9" fillId="56" borderId="27" xfId="0" applyFont="1" applyFill="1" applyBorder="1" applyProtection="1"/>
    <xf numFmtId="0" fontId="21" fillId="56" borderId="27" xfId="0" applyFont="1" applyFill="1" applyBorder="1" applyProtection="1"/>
    <xf numFmtId="0" fontId="9" fillId="56" borderId="30" xfId="0" applyFont="1" applyFill="1" applyBorder="1" applyProtection="1"/>
    <xf numFmtId="0" fontId="0" fillId="56" borderId="21" xfId="0" applyFill="1" applyBorder="1" applyProtection="1"/>
    <xf numFmtId="0" fontId="43" fillId="56" borderId="0" xfId="0" applyFont="1" applyFill="1" applyBorder="1" applyAlignment="1" applyProtection="1">
      <alignment horizontal="centerContinuous"/>
    </xf>
    <xf numFmtId="0" fontId="43" fillId="56" borderId="0" xfId="0" applyFont="1" applyFill="1" applyBorder="1" applyAlignment="1" applyProtection="1">
      <alignment horizontal="center"/>
    </xf>
    <xf numFmtId="0" fontId="43" fillId="56" borderId="22" xfId="0" applyFont="1" applyFill="1" applyBorder="1" applyAlignment="1" applyProtection="1">
      <alignment horizontal="center"/>
    </xf>
    <xf numFmtId="0" fontId="46" fillId="56" borderId="0" xfId="0" applyFont="1" applyFill="1" applyBorder="1" applyAlignment="1" applyProtection="1">
      <alignment horizontal="right"/>
    </xf>
    <xf numFmtId="0" fontId="46" fillId="56" borderId="0" xfId="0" applyFont="1" applyFill="1" applyBorder="1" applyProtection="1"/>
    <xf numFmtId="0" fontId="46" fillId="56" borderId="0" xfId="0" applyFont="1" applyFill="1" applyBorder="1" applyAlignment="1" applyProtection="1">
      <alignment horizontal="center"/>
    </xf>
    <xf numFmtId="171" fontId="17" fillId="56" borderId="22" xfId="29" applyFont="1" applyFill="1" applyBorder="1" applyAlignment="1" applyProtection="1">
      <alignment horizontal="right"/>
    </xf>
    <xf numFmtId="171" fontId="16" fillId="56" borderId="5" xfId="0" applyNumberFormat="1" applyFont="1" applyFill="1" applyBorder="1" applyAlignment="1" applyProtection="1">
      <alignment horizontal="centerContinuous" vertical="center"/>
    </xf>
    <xf numFmtId="3" fontId="16" fillId="56" borderId="14" xfId="0" applyNumberFormat="1" applyFont="1" applyFill="1" applyBorder="1" applyAlignment="1" applyProtection="1">
      <alignment horizontal="centerContinuous" vertical="center"/>
    </xf>
    <xf numFmtId="3" fontId="19" fillId="56" borderId="14" xfId="24" applyNumberFormat="1" applyFont="1" applyFill="1" applyBorder="1" applyAlignment="1" applyProtection="1">
      <alignment horizontal="centerContinuous" vertical="center"/>
    </xf>
    <xf numFmtId="3" fontId="10" fillId="56" borderId="15" xfId="24" applyNumberFormat="1" applyFont="1" applyFill="1" applyBorder="1" applyAlignment="1" applyProtection="1">
      <alignment horizontal="centerContinuous" vertical="center"/>
    </xf>
    <xf numFmtId="41" fontId="48" fillId="56" borderId="5" xfId="0" applyNumberFormat="1" applyFont="1" applyFill="1" applyBorder="1" applyAlignment="1" applyProtection="1">
      <alignment vertical="center"/>
    </xf>
    <xf numFmtId="0" fontId="46" fillId="56" borderId="29" xfId="0" applyFont="1" applyFill="1" applyBorder="1" applyProtection="1"/>
    <xf numFmtId="171" fontId="8" fillId="56" borderId="0" xfId="0" applyNumberFormat="1" applyFont="1" applyFill="1" applyBorder="1" applyAlignment="1" applyProtection="1">
      <alignment horizontal="right"/>
    </xf>
    <xf numFmtId="0" fontId="9" fillId="56" borderId="31" xfId="0" applyFont="1" applyFill="1" applyBorder="1" applyProtection="1"/>
    <xf numFmtId="0" fontId="9" fillId="56" borderId="22" xfId="0" applyFont="1" applyFill="1" applyBorder="1" applyProtection="1"/>
    <xf numFmtId="0" fontId="21" fillId="56" borderId="22" xfId="0" applyFont="1" applyFill="1" applyBorder="1" applyAlignment="1" applyProtection="1">
      <alignment horizontal="centerContinuous"/>
    </xf>
    <xf numFmtId="0" fontId="21" fillId="56" borderId="21" xfId="0" applyFont="1" applyFill="1" applyBorder="1" applyAlignment="1" applyProtection="1">
      <alignment horizontal="centerContinuous"/>
    </xf>
    <xf numFmtId="171" fontId="9" fillId="56" borderId="0" xfId="0" applyNumberFormat="1" applyFont="1" applyFill="1" applyBorder="1" applyAlignment="1" applyProtection="1">
      <alignment horizontal="centerContinuous"/>
    </xf>
    <xf numFmtId="0" fontId="21" fillId="56" borderId="0" xfId="0" applyFont="1" applyFill="1" applyBorder="1" applyProtection="1"/>
    <xf numFmtId="0" fontId="9" fillId="56" borderId="22" xfId="0" applyFont="1" applyFill="1" applyBorder="1" applyAlignment="1" applyProtection="1">
      <alignment horizontal="centerContinuous"/>
    </xf>
    <xf numFmtId="0" fontId="9" fillId="56" borderId="21" xfId="0" applyFont="1" applyFill="1" applyBorder="1" applyAlignment="1" applyProtection="1">
      <alignment horizontal="centerContinuous"/>
    </xf>
    <xf numFmtId="0" fontId="9" fillId="56" borderId="0" xfId="0" applyFont="1" applyFill="1" applyBorder="1" applyAlignment="1" applyProtection="1">
      <alignment horizontal="centerContinuous"/>
    </xf>
    <xf numFmtId="0" fontId="15" fillId="56" borderId="0" xfId="0" applyFont="1" applyFill="1" applyBorder="1" applyAlignment="1" applyProtection="1">
      <alignment horizontal="center"/>
    </xf>
    <xf numFmtId="171" fontId="10" fillId="56" borderId="5" xfId="29" applyFont="1" applyFill="1" applyBorder="1" applyAlignment="1" applyProtection="1">
      <alignment horizontal="centerContinuous" vertical="center"/>
    </xf>
    <xf numFmtId="41" fontId="10" fillId="56" borderId="14" xfId="24" applyNumberFormat="1" applyFont="1" applyFill="1" applyBorder="1" applyAlignment="1" applyProtection="1">
      <alignment horizontal="centerContinuous" vertical="center"/>
    </xf>
    <xf numFmtId="41" fontId="10" fillId="56" borderId="15" xfId="24" applyNumberFormat="1" applyFont="1" applyFill="1" applyBorder="1" applyAlignment="1" applyProtection="1">
      <alignment horizontal="centerContinuous" vertical="center"/>
    </xf>
    <xf numFmtId="41" fontId="43" fillId="56" borderId="22" xfId="24" applyNumberFormat="1" applyFont="1" applyFill="1" applyBorder="1" applyAlignment="1" applyProtection="1">
      <alignment vertical="center"/>
    </xf>
    <xf numFmtId="3" fontId="9" fillId="56" borderId="0" xfId="0" applyNumberFormat="1" applyFont="1" applyFill="1" applyBorder="1" applyProtection="1"/>
    <xf numFmtId="3" fontId="10" fillId="56" borderId="14" xfId="24" applyNumberFormat="1" applyFont="1" applyFill="1" applyBorder="1" applyAlignment="1" applyProtection="1">
      <alignment horizontal="centerContinuous" vertical="center"/>
    </xf>
    <xf numFmtId="3" fontId="9" fillId="56" borderId="22" xfId="0" applyNumberFormat="1" applyFont="1" applyFill="1" applyBorder="1" applyProtection="1"/>
    <xf numFmtId="3" fontId="9" fillId="56" borderId="41" xfId="0" applyNumberFormat="1" applyFont="1" applyFill="1" applyBorder="1" applyProtection="1"/>
    <xf numFmtId="3" fontId="8" fillId="56" borderId="0" xfId="0" applyNumberFormat="1" applyFont="1" applyFill="1" applyBorder="1" applyAlignment="1" applyProtection="1">
      <alignment horizontal="center"/>
    </xf>
    <xf numFmtId="3" fontId="43" fillId="56" borderId="28" xfId="0" applyNumberFormat="1" applyFont="1" applyFill="1" applyBorder="1" applyProtection="1"/>
    <xf numFmtId="3" fontId="43" fillId="56" borderId="33" xfId="0" applyNumberFormat="1" applyFont="1" applyFill="1" applyBorder="1" applyProtection="1"/>
    <xf numFmtId="3" fontId="43" fillId="56" borderId="22" xfId="0" applyNumberFormat="1" applyFont="1" applyFill="1" applyBorder="1" applyProtection="1"/>
    <xf numFmtId="171" fontId="16" fillId="56" borderId="13" xfId="29" applyFont="1" applyFill="1" applyBorder="1" applyAlignment="1" applyProtection="1">
      <alignment horizontal="center" vertical="center"/>
    </xf>
    <xf numFmtId="3" fontId="49" fillId="56" borderId="11" xfId="0" applyNumberFormat="1" applyFont="1" applyFill="1" applyBorder="1" applyAlignment="1" applyProtection="1">
      <alignment horizontal="left" vertical="center"/>
    </xf>
    <xf numFmtId="41" fontId="9" fillId="56" borderId="41" xfId="24" applyFont="1" applyFill="1" applyBorder="1" applyAlignment="1" applyProtection="1">
      <alignment vertical="center"/>
    </xf>
    <xf numFmtId="3" fontId="49" fillId="56" borderId="0" xfId="0" applyNumberFormat="1" applyFont="1" applyFill="1" applyBorder="1" applyAlignment="1" applyProtection="1">
      <alignment horizontal="centerContinuous" vertical="center"/>
    </xf>
    <xf numFmtId="3" fontId="9" fillId="56" borderId="0" xfId="24" applyNumberFormat="1" applyFont="1" applyFill="1" applyBorder="1" applyAlignment="1" applyProtection="1">
      <alignment horizontal="centerContinuous" vertical="center"/>
    </xf>
    <xf numFmtId="3" fontId="8" fillId="56" borderId="0" xfId="24" applyNumberFormat="1" applyFont="1" applyFill="1" applyBorder="1" applyAlignment="1" applyProtection="1">
      <alignment horizontal="centerContinuous" vertical="center"/>
    </xf>
    <xf numFmtId="3" fontId="47" fillId="56" borderId="0" xfId="0" applyNumberFormat="1" applyFont="1" applyFill="1" applyBorder="1" applyAlignment="1" applyProtection="1">
      <alignment horizontal="centerContinuous" vertical="center"/>
    </xf>
    <xf numFmtId="171" fontId="17" fillId="56" borderId="22" xfId="29" applyFont="1" applyFill="1" applyBorder="1" applyAlignment="1" applyProtection="1">
      <alignment horizontal="center"/>
    </xf>
    <xf numFmtId="171" fontId="8" fillId="56" borderId="4" xfId="23" applyNumberFormat="1" applyFont="1" applyFill="1" applyBorder="1" applyAlignment="1" applyProtection="1">
      <alignment horizontal="center" vertical="center"/>
    </xf>
    <xf numFmtId="0" fontId="9" fillId="56" borderId="0" xfId="0" applyFont="1" applyFill="1" applyBorder="1" applyAlignment="1" applyProtection="1">
      <alignment vertical="center"/>
    </xf>
    <xf numFmtId="0" fontId="8" fillId="56" borderId="0" xfId="0" applyFont="1" applyFill="1" applyBorder="1" applyAlignment="1" applyProtection="1">
      <alignment horizontal="left" vertical="center"/>
    </xf>
    <xf numFmtId="171" fontId="8" fillId="56" borderId="70" xfId="23" applyNumberFormat="1" applyFont="1" applyFill="1" applyBorder="1" applyAlignment="1" applyProtection="1">
      <alignment horizontal="center" vertical="center"/>
    </xf>
    <xf numFmtId="0" fontId="8" fillId="56" borderId="0" xfId="0" applyFont="1" applyFill="1" applyBorder="1" applyAlignment="1" applyProtection="1">
      <alignment horizontal="right" vertical="center"/>
    </xf>
    <xf numFmtId="0" fontId="0" fillId="56" borderId="24" xfId="0" applyFill="1" applyBorder="1" applyProtection="1"/>
    <xf numFmtId="0" fontId="0" fillId="56" borderId="23" xfId="0" applyFill="1" applyBorder="1" applyProtection="1"/>
    <xf numFmtId="0" fontId="0" fillId="56" borderId="25" xfId="0" applyFill="1" applyBorder="1" applyProtection="1"/>
    <xf numFmtId="0" fontId="72" fillId="56" borderId="5" xfId="0" applyFont="1" applyFill="1" applyBorder="1" applyProtection="1"/>
    <xf numFmtId="0" fontId="72" fillId="56" borderId="14" xfId="0" applyFont="1" applyFill="1" applyBorder="1" applyProtection="1"/>
    <xf numFmtId="0" fontId="72" fillId="56" borderId="15" xfId="0" applyFont="1" applyFill="1" applyBorder="1" applyProtection="1"/>
    <xf numFmtId="0" fontId="18" fillId="56" borderId="62" xfId="0" applyFont="1" applyFill="1" applyBorder="1" applyProtection="1"/>
    <xf numFmtId="0" fontId="17" fillId="56" borderId="63" xfId="0" applyFont="1" applyFill="1" applyBorder="1" applyProtection="1"/>
    <xf numFmtId="0" fontId="12" fillId="56" borderId="11" xfId="0" applyFont="1" applyFill="1" applyBorder="1" applyProtection="1"/>
    <xf numFmtId="0" fontId="6" fillId="56" borderId="40" xfId="0" applyFont="1" applyFill="1" applyBorder="1" applyProtection="1"/>
    <xf numFmtId="0" fontId="6" fillId="56" borderId="41" xfId="0" applyFont="1" applyFill="1" applyBorder="1" applyProtection="1"/>
    <xf numFmtId="0" fontId="6" fillId="56" borderId="31" xfId="0" applyFont="1" applyFill="1" applyBorder="1" applyProtection="1"/>
    <xf numFmtId="0" fontId="17" fillId="56" borderId="76" xfId="0" applyFont="1" applyFill="1" applyBorder="1" applyProtection="1"/>
    <xf numFmtId="165" fontId="17" fillId="56" borderId="76" xfId="26" applyFont="1" applyFill="1" applyBorder="1" applyProtection="1"/>
    <xf numFmtId="43" fontId="17" fillId="56" borderId="76" xfId="23" applyFont="1" applyFill="1" applyBorder="1" applyProtection="1"/>
    <xf numFmtId="43" fontId="6" fillId="56" borderId="0" xfId="23" applyFont="1" applyFill="1" applyBorder="1" applyProtection="1"/>
    <xf numFmtId="165" fontId="6" fillId="56" borderId="0" xfId="26" applyFont="1" applyFill="1" applyBorder="1" applyProtection="1"/>
    <xf numFmtId="165" fontId="44" fillId="56" borderId="0" xfId="26" applyFont="1" applyFill="1" applyBorder="1" applyProtection="1"/>
    <xf numFmtId="165" fontId="45" fillId="56" borderId="0" xfId="26" applyFont="1" applyFill="1" applyBorder="1" applyProtection="1"/>
    <xf numFmtId="0" fontId="7" fillId="56" borderId="23" xfId="0" applyFont="1" applyFill="1" applyBorder="1" applyProtection="1"/>
    <xf numFmtId="165" fontId="45" fillId="56" borderId="23" xfId="26" applyFont="1" applyFill="1" applyBorder="1" applyProtection="1"/>
    <xf numFmtId="165" fontId="6" fillId="56" borderId="28" xfId="26" applyFont="1" applyFill="1" applyBorder="1" applyProtection="1"/>
    <xf numFmtId="165" fontId="8" fillId="56" borderId="0" xfId="26" applyFont="1" applyFill="1" applyBorder="1" applyProtection="1"/>
    <xf numFmtId="0" fontId="8" fillId="56" borderId="31" xfId="0" applyFont="1" applyFill="1" applyBorder="1" applyProtection="1"/>
    <xf numFmtId="165" fontId="6" fillId="56" borderId="23" xfId="26" applyFont="1" applyFill="1" applyBorder="1" applyProtection="1"/>
    <xf numFmtId="165" fontId="8" fillId="56" borderId="40" xfId="26" applyFont="1" applyFill="1" applyBorder="1" applyProtection="1"/>
    <xf numFmtId="165" fontId="17" fillId="56" borderId="0" xfId="26" applyFont="1" applyFill="1" applyBorder="1" applyProtection="1"/>
    <xf numFmtId="165" fontId="7" fillId="56" borderId="0" xfId="26" applyFont="1" applyFill="1" applyBorder="1" applyProtection="1"/>
    <xf numFmtId="165" fontId="7" fillId="56" borderId="23" xfId="26" applyFont="1" applyFill="1" applyBorder="1" applyProtection="1"/>
    <xf numFmtId="0" fontId="8" fillId="56" borderId="76" xfId="0" applyFont="1" applyFill="1" applyBorder="1" applyProtection="1"/>
    <xf numFmtId="165" fontId="8" fillId="56" borderId="76" xfId="26" applyFont="1" applyFill="1" applyBorder="1" applyProtection="1"/>
    <xf numFmtId="0" fontId="6" fillId="56" borderId="32" xfId="0" applyFont="1" applyFill="1" applyBorder="1" applyProtection="1"/>
    <xf numFmtId="0" fontId="6" fillId="56" borderId="33" xfId="0" applyFont="1" applyFill="1" applyBorder="1" applyProtection="1"/>
    <xf numFmtId="0" fontId="6" fillId="56" borderId="66" xfId="0" applyFont="1" applyFill="1" applyBorder="1" applyProtection="1"/>
    <xf numFmtId="0" fontId="6" fillId="56" borderId="67" xfId="0" applyFont="1" applyFill="1" applyBorder="1" applyProtection="1"/>
    <xf numFmtId="0" fontId="6" fillId="56" borderId="68" xfId="0" applyFont="1" applyFill="1" applyBorder="1" applyProtection="1"/>
    <xf numFmtId="0" fontId="43" fillId="56" borderId="29" xfId="0" applyFont="1" applyFill="1" applyBorder="1" applyProtection="1"/>
    <xf numFmtId="0" fontId="43" fillId="56" borderId="28" xfId="0" applyFont="1" applyFill="1" applyBorder="1" applyProtection="1"/>
    <xf numFmtId="0" fontId="43" fillId="56" borderId="28" xfId="0" applyFont="1" applyFill="1" applyBorder="1" applyAlignment="1" applyProtection="1">
      <alignment horizontal="center"/>
    </xf>
    <xf numFmtId="0" fontId="43" fillId="56" borderId="31" xfId="0" applyFont="1" applyFill="1" applyBorder="1" applyProtection="1"/>
    <xf numFmtId="9" fontId="6" fillId="56" borderId="0" xfId="43" applyFont="1" applyFill="1" applyBorder="1" applyProtection="1"/>
    <xf numFmtId="0" fontId="6" fillId="56" borderId="0" xfId="0" applyFont="1" applyFill="1" applyBorder="1" applyAlignment="1" applyProtection="1">
      <alignment horizontal="left" indent="2"/>
    </xf>
    <xf numFmtId="165" fontId="6" fillId="56" borderId="40" xfId="26" applyFont="1" applyFill="1" applyBorder="1" applyProtection="1"/>
    <xf numFmtId="0" fontId="0" fillId="56" borderId="66" xfId="0" applyFill="1" applyBorder="1" applyProtection="1"/>
    <xf numFmtId="0" fontId="0" fillId="56" borderId="67" xfId="0" applyFill="1" applyBorder="1" applyProtection="1"/>
    <xf numFmtId="0" fontId="0" fillId="56" borderId="68" xfId="0" applyFill="1" applyBorder="1" applyProtection="1"/>
    <xf numFmtId="0" fontId="14" fillId="56" borderId="40" xfId="0" applyFont="1" applyFill="1" applyBorder="1" applyProtection="1"/>
    <xf numFmtId="0" fontId="41" fillId="56" borderId="40" xfId="0" applyFont="1" applyFill="1" applyBorder="1" applyProtection="1"/>
    <xf numFmtId="0" fontId="41" fillId="56" borderId="41" xfId="0" applyFont="1" applyFill="1" applyBorder="1" applyProtection="1"/>
    <xf numFmtId="0" fontId="42" fillId="56" borderId="0" xfId="0" applyFont="1" applyFill="1" applyBorder="1" applyAlignment="1" applyProtection="1">
      <alignment horizontal="center"/>
    </xf>
    <xf numFmtId="169" fontId="8" fillId="56" borderId="0" xfId="0" applyNumberFormat="1" applyFont="1" applyFill="1" applyBorder="1" applyAlignment="1" applyProtection="1">
      <alignment horizontal="center"/>
    </xf>
    <xf numFmtId="171" fontId="8" fillId="56" borderId="0" xfId="30" applyNumberFormat="1" applyFont="1" applyFill="1" applyBorder="1" applyProtection="1"/>
    <xf numFmtId="165" fontId="8" fillId="56" borderId="31" xfId="26" applyFont="1" applyFill="1" applyBorder="1" applyProtection="1"/>
    <xf numFmtId="43" fontId="12" fillId="56" borderId="0" xfId="23" applyFont="1" applyFill="1" applyBorder="1" applyProtection="1"/>
    <xf numFmtId="165" fontId="13" fillId="56" borderId="0" xfId="26" applyFont="1" applyFill="1" applyBorder="1" applyProtection="1"/>
    <xf numFmtId="165" fontId="39" fillId="56" borderId="0" xfId="26" applyFont="1" applyFill="1" applyBorder="1" applyProtection="1"/>
    <xf numFmtId="43" fontId="13" fillId="56" borderId="0" xfId="23" applyFont="1" applyFill="1" applyBorder="1" applyProtection="1"/>
    <xf numFmtId="165" fontId="5" fillId="56" borderId="31" xfId="26" applyFont="1" applyFill="1" applyBorder="1" applyProtection="1"/>
    <xf numFmtId="9" fontId="0" fillId="56" borderId="0" xfId="43" applyFont="1" applyFill="1" applyBorder="1" applyProtection="1"/>
    <xf numFmtId="165" fontId="0" fillId="56" borderId="0" xfId="23" applyNumberFormat="1" applyFont="1" applyFill="1" applyBorder="1" applyProtection="1"/>
    <xf numFmtId="9" fontId="5" fillId="56" borderId="0" xfId="43" applyFill="1" applyBorder="1" applyProtection="1"/>
    <xf numFmtId="165" fontId="0" fillId="56" borderId="0" xfId="0" applyNumberFormat="1" applyFill="1" applyBorder="1" applyProtection="1"/>
    <xf numFmtId="165" fontId="5" fillId="56" borderId="23" xfId="26" applyFont="1" applyFill="1" applyBorder="1" applyProtection="1"/>
    <xf numFmtId="165" fontId="5" fillId="56" borderId="0" xfId="26" applyFont="1" applyFill="1" applyBorder="1" applyProtection="1"/>
    <xf numFmtId="0" fontId="5" fillId="56" borderId="0" xfId="26" applyNumberFormat="1" applyFont="1" applyFill="1" applyBorder="1" applyProtection="1"/>
    <xf numFmtId="165" fontId="6" fillId="56" borderId="27" xfId="26" applyFont="1" applyFill="1" applyBorder="1" applyProtection="1"/>
    <xf numFmtId="165" fontId="9" fillId="56" borderId="31" xfId="26" applyFont="1" applyFill="1" applyBorder="1" applyProtection="1"/>
    <xf numFmtId="172" fontId="0" fillId="56" borderId="0" xfId="0" applyNumberFormat="1" applyFill="1" applyBorder="1" applyProtection="1"/>
    <xf numFmtId="165" fontId="5" fillId="56" borderId="0" xfId="23" applyNumberFormat="1" applyFill="1" applyBorder="1" applyProtection="1"/>
    <xf numFmtId="165" fontId="8" fillId="56" borderId="27" xfId="26" applyFont="1" applyFill="1" applyBorder="1" applyProtection="1"/>
    <xf numFmtId="165" fontId="5" fillId="56" borderId="0" xfId="26" applyNumberFormat="1" applyFont="1" applyFill="1" applyBorder="1" applyProtection="1"/>
    <xf numFmtId="165" fontId="8" fillId="56" borderId="0" xfId="0" applyNumberFormat="1" applyFont="1" applyFill="1" applyBorder="1" applyProtection="1"/>
    <xf numFmtId="9" fontId="13" fillId="56" borderId="31" xfId="43" applyFont="1" applyFill="1" applyBorder="1" applyProtection="1"/>
    <xf numFmtId="9" fontId="12" fillId="56" borderId="0" xfId="43" applyFont="1" applyFill="1" applyBorder="1" applyProtection="1"/>
    <xf numFmtId="43" fontId="5" fillId="56" borderId="28" xfId="23" applyFill="1" applyBorder="1" applyProtection="1"/>
    <xf numFmtId="169" fontId="8" fillId="56" borderId="0" xfId="0" applyNumberFormat="1" applyFont="1" applyFill="1" applyBorder="1" applyProtection="1"/>
    <xf numFmtId="10" fontId="0" fillId="56" borderId="0" xfId="43" applyNumberFormat="1" applyFont="1" applyFill="1" applyBorder="1" applyProtection="1"/>
    <xf numFmtId="165" fontId="25" fillId="56" borderId="0" xfId="26" applyFont="1" applyFill="1" applyBorder="1" applyProtection="1"/>
    <xf numFmtId="43" fontId="5" fillId="56" borderId="0" xfId="23" applyFill="1" applyBorder="1" applyProtection="1"/>
    <xf numFmtId="165" fontId="12" fillId="56" borderId="0" xfId="26" applyFont="1" applyFill="1" applyBorder="1" applyProtection="1"/>
    <xf numFmtId="165" fontId="8" fillId="56" borderId="19" xfId="0" applyNumberFormat="1" applyFont="1" applyFill="1" applyBorder="1" applyProtection="1"/>
    <xf numFmtId="165" fontId="6" fillId="56" borderId="0" xfId="0" applyNumberFormat="1" applyFont="1" applyFill="1" applyBorder="1" applyProtection="1"/>
    <xf numFmtId="165" fontId="6" fillId="56" borderId="0" xfId="23" applyNumberFormat="1" applyFont="1" applyFill="1" applyBorder="1" applyProtection="1"/>
    <xf numFmtId="165" fontId="8" fillId="56" borderId="52" xfId="0" applyNumberFormat="1" applyFont="1" applyFill="1" applyBorder="1" applyProtection="1"/>
    <xf numFmtId="0" fontId="120" fillId="56" borderId="0" xfId="0" applyFont="1" applyFill="1" applyBorder="1" applyAlignment="1">
      <alignment horizontal="centerContinuous"/>
    </xf>
    <xf numFmtId="0" fontId="124" fillId="56" borderId="0" xfId="0" applyFont="1" applyFill="1" applyBorder="1" applyAlignment="1">
      <alignment horizontal="centerContinuous"/>
    </xf>
    <xf numFmtId="0" fontId="49" fillId="56" borderId="0" xfId="41" applyFont="1" applyFill="1"/>
    <xf numFmtId="0" fontId="116" fillId="56" borderId="0" xfId="41" applyFont="1" applyFill="1"/>
    <xf numFmtId="0" fontId="51" fillId="56" borderId="0" xfId="41" applyFont="1" applyFill="1"/>
    <xf numFmtId="0" fontId="10" fillId="56" borderId="17" xfId="41" applyFont="1" applyFill="1" applyBorder="1" applyAlignment="1">
      <alignment horizontal="center" vertical="center"/>
    </xf>
    <xf numFmtId="0" fontId="74" fillId="56" borderId="0" xfId="41" applyFont="1" applyFill="1"/>
    <xf numFmtId="0" fontId="114" fillId="56" borderId="17" xfId="41" applyFont="1" applyFill="1" applyBorder="1" applyAlignment="1">
      <alignment horizontal="center" vertical="center"/>
    </xf>
    <xf numFmtId="0" fontId="74" fillId="56" borderId="20" xfId="41" applyFont="1" applyFill="1" applyBorder="1" applyAlignment="1" applyProtection="1">
      <alignment horizontal="center" vertical="center"/>
      <protection locked="0"/>
    </xf>
    <xf numFmtId="0" fontId="74" fillId="56" borderId="17" xfId="41" applyFont="1" applyFill="1" applyBorder="1" applyAlignment="1" applyProtection="1">
      <alignment horizontal="center" vertical="center"/>
      <protection locked="0"/>
    </xf>
    <xf numFmtId="0" fontId="74" fillId="56" borderId="17" xfId="41" applyFont="1" applyFill="1" applyBorder="1" applyAlignment="1">
      <alignment horizontal="center" vertical="center"/>
    </xf>
    <xf numFmtId="0" fontId="83" fillId="56" borderId="0" xfId="41" applyFill="1"/>
    <xf numFmtId="0" fontId="16" fillId="56" borderId="17" xfId="41" applyFont="1" applyFill="1" applyBorder="1" applyAlignment="1">
      <alignment horizontal="center" vertical="center"/>
    </xf>
    <xf numFmtId="0" fontId="116" fillId="56" borderId="34" xfId="41" applyFont="1" applyFill="1" applyBorder="1" applyAlignment="1">
      <alignment vertical="center"/>
    </xf>
    <xf numFmtId="0" fontId="17" fillId="56" borderId="16" xfId="41" applyFont="1" applyFill="1" applyBorder="1" applyAlignment="1">
      <alignment vertical="center"/>
    </xf>
    <xf numFmtId="0" fontId="117" fillId="56" borderId="34" xfId="41" applyFont="1" applyFill="1" applyBorder="1" applyAlignment="1">
      <alignment vertical="center"/>
    </xf>
    <xf numFmtId="0" fontId="118" fillId="56" borderId="34" xfId="41" applyFont="1" applyFill="1" applyBorder="1" applyAlignment="1">
      <alignment vertical="center"/>
    </xf>
    <xf numFmtId="0" fontId="8" fillId="56" borderId="21" xfId="41" applyFont="1" applyFill="1" applyBorder="1" applyProtection="1"/>
    <xf numFmtId="0" fontId="8" fillId="56" borderId="0" xfId="41" applyFont="1" applyFill="1" applyBorder="1" applyAlignment="1" applyProtection="1">
      <alignment horizontal="center"/>
    </xf>
    <xf numFmtId="9" fontId="83" fillId="56" borderId="0" xfId="41" applyNumberFormat="1" applyFill="1" applyBorder="1" applyAlignment="1" applyProtection="1">
      <alignment horizontal="center"/>
    </xf>
    <xf numFmtId="0" fontId="8" fillId="56" borderId="26" xfId="41" applyFont="1" applyFill="1" applyBorder="1" applyProtection="1"/>
    <xf numFmtId="0" fontId="8" fillId="56" borderId="27" xfId="41" applyFont="1" applyFill="1" applyBorder="1" applyAlignment="1" applyProtection="1">
      <alignment horizontal="center"/>
    </xf>
    <xf numFmtId="1" fontId="83" fillId="56" borderId="27" xfId="23" applyNumberFormat="1" applyFont="1" applyFill="1" applyBorder="1" applyAlignment="1" applyProtection="1">
      <alignment horizontal="center"/>
    </xf>
    <xf numFmtId="9" fontId="8" fillId="56" borderId="0" xfId="41" applyNumberFormat="1" applyFont="1" applyFill="1" applyBorder="1" applyAlignment="1" applyProtection="1">
      <alignment horizontal="center"/>
    </xf>
    <xf numFmtId="9" fontId="83" fillId="56" borderId="0" xfId="43" applyFont="1" applyFill="1" applyBorder="1" applyAlignment="1" applyProtection="1">
      <alignment horizontal="center"/>
    </xf>
    <xf numFmtId="172" fontId="8" fillId="56" borderId="27" xfId="41" applyNumberFormat="1" applyFont="1" applyFill="1" applyBorder="1" applyAlignment="1" applyProtection="1">
      <alignment horizontal="center"/>
    </xf>
    <xf numFmtId="9" fontId="83" fillId="56" borderId="27" xfId="41" applyNumberFormat="1" applyFill="1" applyBorder="1" applyAlignment="1" applyProtection="1">
      <alignment horizontal="center"/>
    </xf>
    <xf numFmtId="9" fontId="8" fillId="56" borderId="27" xfId="41" applyNumberFormat="1" applyFont="1" applyFill="1" applyBorder="1" applyAlignment="1" applyProtection="1">
      <alignment horizontal="center"/>
    </xf>
    <xf numFmtId="1" fontId="83" fillId="56" borderId="0" xfId="23" applyNumberFormat="1" applyFont="1" applyFill="1" applyBorder="1" applyAlignment="1" applyProtection="1">
      <alignment horizontal="center"/>
    </xf>
    <xf numFmtId="0" fontId="83" fillId="56" borderId="0" xfId="41" applyFill="1" applyProtection="1"/>
    <xf numFmtId="0" fontId="60" fillId="56" borderId="0" xfId="41" applyFont="1" applyFill="1" applyAlignment="1" applyProtection="1">
      <alignment horizontal="center"/>
    </xf>
    <xf numFmtId="0" fontId="83" fillId="56" borderId="0" xfId="41" applyFill="1" applyAlignment="1" applyProtection="1">
      <alignment horizontal="center"/>
    </xf>
    <xf numFmtId="0" fontId="83" fillId="59" borderId="0" xfId="41" applyFill="1"/>
    <xf numFmtId="174" fontId="0" fillId="58" borderId="0" xfId="24" applyNumberFormat="1" applyFont="1" applyFill="1"/>
    <xf numFmtId="0" fontId="137" fillId="0" borderId="0" xfId="59" applyFont="1"/>
    <xf numFmtId="0" fontId="137" fillId="60" borderId="0" xfId="59" applyFont="1" applyFill="1"/>
    <xf numFmtId="1" fontId="138" fillId="0" borderId="0" xfId="59" applyNumberFormat="1" applyFont="1" applyFill="1"/>
    <xf numFmtId="0" fontId="138" fillId="0" borderId="0" xfId="59" applyFont="1" applyFill="1" applyAlignment="1">
      <alignment horizontal="right"/>
    </xf>
    <xf numFmtId="1" fontId="145" fillId="0" borderId="0" xfId="59" applyNumberFormat="1" applyFont="1" applyFill="1"/>
    <xf numFmtId="0" fontId="137" fillId="0" borderId="0" xfId="59" applyFont="1" applyFill="1" applyAlignment="1">
      <alignment horizontal="left"/>
    </xf>
    <xf numFmtId="0" fontId="136" fillId="62" borderId="0" xfId="59" applyFont="1" applyFill="1" applyAlignment="1">
      <alignment horizontal="center"/>
    </xf>
    <xf numFmtId="0" fontId="137" fillId="0" borderId="0" xfId="59" applyFont="1" applyFill="1"/>
    <xf numFmtId="0" fontId="135" fillId="0" borderId="0" xfId="61" applyFont="1"/>
    <xf numFmtId="0" fontId="135" fillId="0" borderId="0" xfId="61" applyFont="1" applyFill="1" applyBorder="1"/>
    <xf numFmtId="0" fontId="135" fillId="0" borderId="0" xfId="62" applyFont="1"/>
    <xf numFmtId="0" fontId="135" fillId="0" borderId="0" xfId="62" applyFont="1" applyFill="1" applyBorder="1"/>
    <xf numFmtId="0" fontId="146" fillId="0" borderId="0" xfId="62" applyFont="1" applyFill="1" applyBorder="1"/>
    <xf numFmtId="0" fontId="148" fillId="0" borderId="0" xfId="0" applyFont="1"/>
    <xf numFmtId="175" fontId="9" fillId="39" borderId="13" xfId="23" applyNumberFormat="1" applyFont="1" applyFill="1" applyBorder="1" applyAlignment="1" applyProtection="1">
      <alignment horizontal="center" vertical="center"/>
      <protection locked="0"/>
    </xf>
    <xf numFmtId="169" fontId="5" fillId="58" borderId="0" xfId="23" applyNumberFormat="1" applyFont="1" applyFill="1"/>
    <xf numFmtId="0" fontId="5" fillId="41" borderId="0" xfId="0" applyFont="1" applyFill="1" applyBorder="1"/>
    <xf numFmtId="0" fontId="13" fillId="0" borderId="0" xfId="0" applyFont="1" applyAlignment="1">
      <alignment horizontal="right"/>
    </xf>
    <xf numFmtId="0" fontId="5" fillId="0" borderId="17" xfId="0" applyFont="1" applyBorder="1"/>
    <xf numFmtId="0" fontId="5" fillId="0" borderId="34" xfId="0" applyFont="1" applyBorder="1"/>
    <xf numFmtId="0" fontId="5" fillId="0" borderId="16" xfId="0" applyFont="1" applyBorder="1"/>
    <xf numFmtId="0" fontId="5" fillId="0" borderId="82" xfId="0" applyFont="1" applyBorder="1"/>
    <xf numFmtId="179" fontId="45" fillId="56" borderId="0" xfId="0" applyNumberFormat="1" applyFont="1" applyFill="1" applyBorder="1" applyProtection="1"/>
    <xf numFmtId="216" fontId="0" fillId="0" borderId="0" xfId="23" applyNumberFormat="1" applyFont="1"/>
    <xf numFmtId="0" fontId="5" fillId="0" borderId="71" xfId="0" applyFont="1" applyBorder="1"/>
    <xf numFmtId="0" fontId="0" fillId="0" borderId="70" xfId="0" applyFill="1" applyBorder="1"/>
    <xf numFmtId="0" fontId="9" fillId="56" borderId="0" xfId="0" applyNumberFormat="1" applyFont="1" applyFill="1" applyBorder="1" applyAlignment="1" applyProtection="1">
      <alignment horizontal="center"/>
    </xf>
    <xf numFmtId="0" fontId="9" fillId="56" borderId="0" xfId="23" applyNumberFormat="1" applyFont="1" applyFill="1" applyBorder="1" applyAlignment="1" applyProtection="1">
      <alignment horizontal="center"/>
    </xf>
    <xf numFmtId="0" fontId="9" fillId="56" borderId="0" xfId="0" applyNumberFormat="1" applyFont="1" applyFill="1" applyBorder="1" applyAlignment="1" applyProtection="1">
      <alignment horizontal="center" vertical="center"/>
    </xf>
    <xf numFmtId="0" fontId="9" fillId="56" borderId="0" xfId="0" applyNumberFormat="1" applyFont="1" applyFill="1" applyBorder="1" applyAlignment="1" applyProtection="1">
      <alignment horizontal="center" vertical="center" shrinkToFit="1"/>
    </xf>
    <xf numFmtId="0" fontId="9" fillId="56" borderId="0" xfId="24" applyNumberFormat="1" applyFont="1" applyFill="1" applyBorder="1" applyAlignment="1" applyProtection="1">
      <alignment horizontal="center" vertical="center"/>
    </xf>
    <xf numFmtId="0" fontId="43" fillId="56" borderId="27" xfId="0" applyNumberFormat="1" applyFont="1" applyFill="1" applyBorder="1" applyAlignment="1">
      <alignment horizontal="center"/>
    </xf>
    <xf numFmtId="0" fontId="43" fillId="56" borderId="0" xfId="0" applyNumberFormat="1" applyFont="1" applyFill="1" applyBorder="1" applyAlignment="1" applyProtection="1">
      <alignment horizontal="center"/>
    </xf>
    <xf numFmtId="0" fontId="17" fillId="0" borderId="26" xfId="41" applyFont="1" applyBorder="1" applyAlignment="1" applyProtection="1">
      <alignment vertical="center" wrapText="1"/>
      <protection locked="0"/>
    </xf>
    <xf numFmtId="0" fontId="17" fillId="0" borderId="30" xfId="41" applyFont="1" applyBorder="1" applyAlignment="1" applyProtection="1">
      <alignment vertical="center" wrapText="1"/>
      <protection locked="0"/>
    </xf>
    <xf numFmtId="0" fontId="17" fillId="0" borderId="24" xfId="41" applyFont="1" applyBorder="1" applyAlignment="1" applyProtection="1">
      <alignment vertical="center" wrapText="1"/>
      <protection locked="0"/>
    </xf>
    <xf numFmtId="0" fontId="17" fillId="0" borderId="25" xfId="41" applyFont="1" applyBorder="1" applyAlignment="1" applyProtection="1">
      <alignment vertical="center" wrapText="1"/>
      <protection locked="0"/>
    </xf>
    <xf numFmtId="0" fontId="8" fillId="39" borderId="13" xfId="24" applyNumberFormat="1" applyFont="1" applyFill="1" applyBorder="1" applyAlignment="1" applyProtection="1">
      <alignment horizontal="center"/>
      <protection locked="0"/>
    </xf>
    <xf numFmtId="0" fontId="32" fillId="56" borderId="13" xfId="24" applyNumberFormat="1" applyFont="1" applyFill="1" applyBorder="1" applyAlignment="1" applyProtection="1">
      <protection locked="0"/>
    </xf>
    <xf numFmtId="0" fontId="5" fillId="56" borderId="11" xfId="0" applyFont="1" applyFill="1" applyBorder="1"/>
    <xf numFmtId="217" fontId="0" fillId="37" borderId="0" xfId="0" applyNumberFormat="1" applyFill="1"/>
    <xf numFmtId="0" fontId="5" fillId="0" borderId="0" xfId="0" applyFont="1" applyFill="1" applyAlignment="1">
      <alignment horizontal="right"/>
    </xf>
    <xf numFmtId="0" fontId="5" fillId="33" borderId="0" xfId="0" applyFont="1" applyFill="1" applyAlignment="1">
      <alignment horizontal="right"/>
    </xf>
    <xf numFmtId="172" fontId="0" fillId="33" borderId="0" xfId="43" applyNumberFormat="1" applyFont="1" applyFill="1"/>
    <xf numFmtId="9" fontId="5" fillId="24" borderId="0" xfId="0" applyNumberFormat="1" applyFont="1" applyFill="1" applyProtection="1"/>
    <xf numFmtId="0" fontId="20" fillId="24" borderId="0" xfId="0" applyFont="1" applyFill="1" applyAlignment="1" applyProtection="1"/>
    <xf numFmtId="172" fontId="20" fillId="24" borderId="0" xfId="43" applyNumberFormat="1" applyFont="1" applyFill="1" applyProtection="1"/>
    <xf numFmtId="9" fontId="20" fillId="24" borderId="0" xfId="0" applyNumberFormat="1" applyFont="1" applyFill="1" applyProtection="1"/>
    <xf numFmtId="0" fontId="0" fillId="66" borderId="0" xfId="0" applyFill="1"/>
    <xf numFmtId="0" fontId="5" fillId="38" borderId="0" xfId="0" applyFont="1" applyFill="1"/>
    <xf numFmtId="0" fontId="5" fillId="58" borderId="17" xfId="0" applyFont="1" applyFill="1" applyBorder="1"/>
    <xf numFmtId="0" fontId="0" fillId="58" borderId="17" xfId="0" applyFill="1" applyBorder="1"/>
    <xf numFmtId="0" fontId="43" fillId="39" borderId="13" xfId="24" applyNumberFormat="1" applyFont="1" applyFill="1" applyBorder="1" applyAlignment="1" applyProtection="1">
      <alignment vertical="center"/>
      <protection locked="0"/>
    </xf>
    <xf numFmtId="0" fontId="0" fillId="0" borderId="11" xfId="23" applyNumberFormat="1" applyFont="1" applyFill="1" applyBorder="1"/>
    <xf numFmtId="0" fontId="0" fillId="0" borderId="40" xfId="23" applyNumberFormat="1" applyFont="1" applyFill="1" applyBorder="1"/>
    <xf numFmtId="0" fontId="0" fillId="0" borderId="41" xfId="0" applyNumberFormat="1" applyBorder="1"/>
    <xf numFmtId="0" fontId="0" fillId="0" borderId="4" xfId="23" applyNumberFormat="1" applyFont="1" applyFill="1" applyBorder="1"/>
    <xf numFmtId="0" fontId="20" fillId="24" borderId="0" xfId="0" applyFont="1" applyFill="1"/>
    <xf numFmtId="0" fontId="0" fillId="31" borderId="5" xfId="0" applyFill="1" applyBorder="1" applyAlignment="1">
      <alignment horizontal="center"/>
    </xf>
    <xf numFmtId="0" fontId="0" fillId="31" borderId="15" xfId="0" applyFill="1" applyBorder="1" applyAlignment="1">
      <alignment horizontal="center"/>
    </xf>
    <xf numFmtId="0" fontId="0" fillId="31" borderId="11" xfId="0" applyFill="1" applyBorder="1" applyAlignment="1">
      <alignment horizontal="center"/>
    </xf>
    <xf numFmtId="0" fontId="0" fillId="31" borderId="41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8" fillId="56" borderId="0" xfId="41" applyFont="1" applyFill="1" applyAlignment="1">
      <alignment horizontal="center"/>
    </xf>
    <xf numFmtId="0" fontId="35" fillId="56" borderId="11" xfId="41" applyFont="1" applyFill="1" applyBorder="1" applyAlignment="1">
      <alignment horizontal="center" vertical="center"/>
    </xf>
    <xf numFmtId="0" fontId="35" fillId="56" borderId="40" xfId="41" applyFont="1" applyFill="1" applyBorder="1" applyAlignment="1">
      <alignment horizontal="center" vertical="center"/>
    </xf>
    <xf numFmtId="0" fontId="35" fillId="56" borderId="41" xfId="41" applyFont="1" applyFill="1" applyBorder="1" applyAlignment="1">
      <alignment horizontal="center" vertical="center"/>
    </xf>
    <xf numFmtId="0" fontId="35" fillId="56" borderId="32" xfId="41" applyFont="1" applyFill="1" applyBorder="1" applyAlignment="1">
      <alignment horizontal="center" vertical="center"/>
    </xf>
    <xf numFmtId="0" fontId="35" fillId="56" borderId="28" xfId="41" applyFont="1" applyFill="1" applyBorder="1" applyAlignment="1">
      <alignment horizontal="center" vertical="center"/>
    </xf>
    <xf numFmtId="0" fontId="35" fillId="56" borderId="33" xfId="41" applyFont="1" applyFill="1" applyBorder="1" applyAlignment="1">
      <alignment horizontal="center" vertical="center"/>
    </xf>
    <xf numFmtId="0" fontId="83" fillId="0" borderId="100" xfId="41" applyFont="1" applyBorder="1" applyAlignment="1" applyProtection="1">
      <alignment horizontal="center" wrapText="1"/>
      <protection locked="0"/>
    </xf>
    <xf numFmtId="0" fontId="83" fillId="0" borderId="93" xfId="41" applyFont="1" applyBorder="1" applyAlignment="1" applyProtection="1">
      <alignment horizontal="center" wrapText="1"/>
      <protection locked="0"/>
    </xf>
    <xf numFmtId="0" fontId="83" fillId="0" borderId="101" xfId="41" applyFont="1" applyBorder="1" applyAlignment="1" applyProtection="1">
      <alignment horizontal="center" wrapText="1"/>
      <protection locked="0"/>
    </xf>
    <xf numFmtId="0" fontId="119" fillId="59" borderId="11" xfId="41" applyFont="1" applyFill="1" applyBorder="1" applyAlignment="1" applyProtection="1">
      <alignment horizontal="center" vertical="center" wrapText="1"/>
    </xf>
    <xf numFmtId="0" fontId="119" fillId="59" borderId="40" xfId="41" applyFont="1" applyFill="1" applyBorder="1" applyAlignment="1" applyProtection="1">
      <alignment horizontal="center" vertical="center" wrapText="1"/>
    </xf>
    <xf numFmtId="0" fontId="119" fillId="59" borderId="41" xfId="41" applyFont="1" applyFill="1" applyBorder="1" applyAlignment="1" applyProtection="1">
      <alignment horizontal="center" vertical="center" wrapText="1"/>
    </xf>
    <xf numFmtId="0" fontId="119" fillId="59" borderId="29" xfId="41" applyFont="1" applyFill="1" applyBorder="1" applyAlignment="1" applyProtection="1">
      <alignment horizontal="center" vertical="center" wrapText="1"/>
    </xf>
    <xf numFmtId="0" fontId="119" fillId="59" borderId="0" xfId="41" applyFont="1" applyFill="1" applyBorder="1" applyAlignment="1" applyProtection="1">
      <alignment horizontal="center" vertical="center" wrapText="1"/>
    </xf>
    <xf numFmtId="0" fontId="119" fillId="59" borderId="31" xfId="41" applyFont="1" applyFill="1" applyBorder="1" applyAlignment="1" applyProtection="1">
      <alignment horizontal="center" vertical="center" wrapText="1"/>
    </xf>
    <xf numFmtId="0" fontId="119" fillId="59" borderId="32" xfId="41" applyFont="1" applyFill="1" applyBorder="1" applyAlignment="1" applyProtection="1">
      <alignment horizontal="center" vertical="center" wrapText="1"/>
    </xf>
    <xf numFmtId="0" fontId="119" fillId="59" borderId="28" xfId="41" applyFont="1" applyFill="1" applyBorder="1" applyAlignment="1" applyProtection="1">
      <alignment horizontal="center" vertical="center" wrapText="1"/>
    </xf>
    <xf numFmtId="0" fontId="119" fillId="59" borderId="33" xfId="41" applyFont="1" applyFill="1" applyBorder="1" applyAlignment="1" applyProtection="1">
      <alignment horizontal="center" vertical="center" wrapText="1"/>
    </xf>
    <xf numFmtId="0" fontId="83" fillId="0" borderId="92" xfId="41" applyFont="1" applyBorder="1" applyAlignment="1" applyProtection="1">
      <alignment horizontal="center" wrapText="1"/>
      <protection locked="0"/>
    </xf>
    <xf numFmtId="0" fontId="83" fillId="0" borderId="94" xfId="41" applyFont="1" applyBorder="1" applyAlignment="1" applyProtection="1">
      <alignment horizontal="center" wrapText="1"/>
      <protection locked="0"/>
    </xf>
    <xf numFmtId="0" fontId="83" fillId="0" borderId="102" xfId="41" applyFont="1" applyBorder="1" applyAlignment="1" applyProtection="1">
      <alignment horizontal="center" wrapText="1"/>
      <protection locked="0"/>
    </xf>
    <xf numFmtId="0" fontId="83" fillId="0" borderId="96" xfId="41" applyFont="1" applyBorder="1" applyAlignment="1" applyProtection="1">
      <alignment horizontal="center" wrapText="1"/>
      <protection locked="0"/>
    </xf>
    <xf numFmtId="0" fontId="83" fillId="0" borderId="103" xfId="41" applyFont="1" applyBorder="1" applyAlignment="1" applyProtection="1">
      <alignment horizontal="center" wrapText="1"/>
      <protection locked="0"/>
    </xf>
    <xf numFmtId="0" fontId="83" fillId="0" borderId="95" xfId="41" applyFont="1" applyBorder="1" applyAlignment="1" applyProtection="1">
      <alignment horizontal="center" wrapText="1"/>
      <protection locked="0"/>
    </xf>
    <xf numFmtId="0" fontId="83" fillId="0" borderId="97" xfId="41" applyFont="1" applyBorder="1" applyAlignment="1" applyProtection="1">
      <alignment horizontal="center" wrapText="1"/>
      <protection locked="0"/>
    </xf>
    <xf numFmtId="0" fontId="17" fillId="56" borderId="24" xfId="41" applyFont="1" applyFill="1" applyBorder="1" applyAlignment="1">
      <alignment horizontal="center"/>
    </xf>
    <xf numFmtId="0" fontId="17" fillId="56" borderId="23" xfId="41" applyFont="1" applyFill="1" applyBorder="1" applyAlignment="1">
      <alignment horizontal="center"/>
    </xf>
    <xf numFmtId="0" fontId="17" fillId="56" borderId="75" xfId="41" applyFont="1" applyFill="1" applyBorder="1" applyAlignment="1">
      <alignment horizontal="center"/>
    </xf>
    <xf numFmtId="0" fontId="83" fillId="0" borderId="98" xfId="41" applyFont="1" applyBorder="1" applyAlignment="1" applyProtection="1">
      <alignment horizontal="center" wrapText="1"/>
      <protection locked="0"/>
    </xf>
    <xf numFmtId="0" fontId="83" fillId="0" borderId="91" xfId="41" applyFont="1" applyBorder="1" applyAlignment="1" applyProtection="1">
      <alignment horizontal="center" wrapText="1"/>
      <protection locked="0"/>
    </xf>
    <xf numFmtId="0" fontId="83" fillId="0" borderId="99" xfId="41" applyFont="1" applyBorder="1" applyAlignment="1" applyProtection="1">
      <alignment horizontal="center" wrapText="1"/>
      <protection locked="0"/>
    </xf>
    <xf numFmtId="0" fontId="17" fillId="56" borderId="59" xfId="41" applyFont="1" applyFill="1" applyBorder="1" applyAlignment="1">
      <alignment horizontal="center"/>
    </xf>
    <xf numFmtId="0" fontId="17" fillId="56" borderId="50" xfId="41" applyFont="1" applyFill="1" applyBorder="1" applyAlignment="1">
      <alignment horizontal="center"/>
    </xf>
    <xf numFmtId="0" fontId="17" fillId="56" borderId="39" xfId="41" applyFont="1" applyFill="1" applyBorder="1" applyAlignment="1">
      <alignment horizontal="center"/>
    </xf>
    <xf numFmtId="0" fontId="120" fillId="59" borderId="29" xfId="41" applyFont="1" applyFill="1" applyBorder="1" applyAlignment="1" applyProtection="1">
      <alignment horizontal="center"/>
      <protection locked="0"/>
    </xf>
    <xf numFmtId="0" fontId="120" fillId="59" borderId="0" xfId="41" applyFont="1" applyFill="1" applyBorder="1" applyAlignment="1" applyProtection="1">
      <alignment horizontal="center"/>
      <protection locked="0"/>
    </xf>
    <xf numFmtId="0" fontId="120" fillId="59" borderId="31" xfId="41" applyFont="1" applyFill="1" applyBorder="1" applyAlignment="1" applyProtection="1">
      <alignment horizontal="center"/>
      <protection locked="0"/>
    </xf>
    <xf numFmtId="0" fontId="120" fillId="59" borderId="32" xfId="41" applyFont="1" applyFill="1" applyBorder="1" applyAlignment="1" applyProtection="1">
      <alignment horizontal="center"/>
      <protection locked="0"/>
    </xf>
    <xf numFmtId="0" fontId="120" fillId="59" borderId="28" xfId="41" applyFont="1" applyFill="1" applyBorder="1" applyAlignment="1" applyProtection="1">
      <alignment horizontal="center"/>
      <protection locked="0"/>
    </xf>
    <xf numFmtId="0" fontId="120" fillId="59" borderId="33" xfId="41" applyFont="1" applyFill="1" applyBorder="1" applyAlignment="1" applyProtection="1">
      <alignment horizontal="center"/>
      <protection locked="0"/>
    </xf>
    <xf numFmtId="0" fontId="17" fillId="56" borderId="38" xfId="41" applyFont="1" applyFill="1" applyBorder="1" applyAlignment="1">
      <alignment horizontal="center"/>
    </xf>
    <xf numFmtId="0" fontId="17" fillId="56" borderId="60" xfId="41" applyFont="1" applyFill="1" applyBorder="1" applyAlignment="1">
      <alignment horizontal="center"/>
    </xf>
    <xf numFmtId="0" fontId="83" fillId="0" borderId="90" xfId="41" applyFont="1" applyBorder="1" applyAlignment="1" applyProtection="1">
      <alignment horizontal="center" wrapText="1"/>
      <protection locked="0"/>
    </xf>
    <xf numFmtId="0" fontId="83" fillId="0" borderId="89" xfId="41" applyFont="1" applyBorder="1" applyAlignment="1" applyProtection="1">
      <alignment horizontal="center" wrapText="1"/>
      <protection locked="0"/>
    </xf>
    <xf numFmtId="0" fontId="17" fillId="56" borderId="73" xfId="41" applyFont="1" applyFill="1" applyBorder="1" applyAlignment="1">
      <alignment horizontal="center"/>
    </xf>
    <xf numFmtId="0" fontId="17" fillId="56" borderId="25" xfId="41" applyFont="1" applyFill="1" applyBorder="1" applyAlignment="1">
      <alignment horizontal="center"/>
    </xf>
    <xf numFmtId="0" fontId="9" fillId="0" borderId="90" xfId="41" applyFont="1" applyBorder="1" applyAlignment="1" applyProtection="1">
      <alignment horizontal="center" wrapText="1"/>
      <protection locked="0"/>
    </xf>
    <xf numFmtId="0" fontId="131" fillId="56" borderId="34" xfId="41" applyFont="1" applyFill="1" applyBorder="1" applyAlignment="1" applyProtection="1">
      <alignment horizontal="center" wrapText="1"/>
    </xf>
    <xf numFmtId="0" fontId="131" fillId="56" borderId="16" xfId="41" applyFont="1" applyFill="1" applyBorder="1" applyAlignment="1" applyProtection="1">
      <alignment horizontal="center" wrapText="1"/>
    </xf>
    <xf numFmtId="0" fontId="113" fillId="56" borderId="26" xfId="41" applyFont="1" applyFill="1" applyBorder="1" applyAlignment="1" applyProtection="1">
      <alignment horizontal="center" vertical="center"/>
    </xf>
    <xf numFmtId="0" fontId="113" fillId="56" borderId="24" xfId="41" applyFont="1" applyFill="1" applyBorder="1" applyAlignment="1" applyProtection="1">
      <alignment horizontal="center" vertical="center"/>
    </xf>
    <xf numFmtId="0" fontId="8" fillId="0" borderId="30" xfId="41" applyFont="1" applyBorder="1" applyAlignment="1" applyProtection="1">
      <alignment horizontal="center" vertical="top" wrapText="1"/>
      <protection locked="0"/>
    </xf>
    <xf numFmtId="0" fontId="8" fillId="0" borderId="22" xfId="41" applyFont="1" applyBorder="1" applyAlignment="1" applyProtection="1">
      <alignment horizontal="center" vertical="top" wrapText="1"/>
      <protection locked="0"/>
    </xf>
    <xf numFmtId="0" fontId="8" fillId="0" borderId="25" xfId="41" applyFont="1" applyBorder="1" applyAlignment="1" applyProtection="1">
      <alignment horizontal="center" vertical="top" wrapText="1"/>
      <protection locked="0"/>
    </xf>
    <xf numFmtId="0" fontId="113" fillId="56" borderId="27" xfId="41" applyFont="1" applyFill="1" applyBorder="1" applyAlignment="1" applyProtection="1">
      <alignment horizontal="center" vertical="center"/>
    </xf>
    <xf numFmtId="0" fontId="113" fillId="56" borderId="23" xfId="41" applyFont="1" applyFill="1" applyBorder="1" applyAlignment="1" applyProtection="1">
      <alignment horizontal="center" vertical="center"/>
    </xf>
    <xf numFmtId="0" fontId="44" fillId="0" borderId="30" xfId="41" applyFont="1" applyBorder="1" applyAlignment="1" applyProtection="1">
      <alignment horizontal="center" vertical="top" wrapText="1"/>
      <protection locked="0"/>
    </xf>
    <xf numFmtId="0" fontId="44" fillId="0" borderId="22" xfId="41" applyFont="1" applyBorder="1" applyAlignment="1" applyProtection="1">
      <alignment horizontal="center" vertical="top" wrapText="1"/>
      <protection locked="0"/>
    </xf>
    <xf numFmtId="0" fontId="44" fillId="0" borderId="25" xfId="41" applyFont="1" applyBorder="1" applyAlignment="1" applyProtection="1">
      <alignment horizontal="center" vertical="top" wrapText="1"/>
      <protection locked="0"/>
    </xf>
    <xf numFmtId="0" fontId="16" fillId="56" borderId="17" xfId="41" applyFont="1" applyFill="1" applyBorder="1" applyAlignment="1">
      <alignment horizontal="center" vertical="center"/>
    </xf>
    <xf numFmtId="0" fontId="117" fillId="56" borderId="0" xfId="41" applyFont="1" applyFill="1" applyAlignment="1">
      <alignment horizontal="left" wrapText="1"/>
    </xf>
    <xf numFmtId="0" fontId="117" fillId="56" borderId="22" xfId="41" applyFont="1" applyFill="1" applyBorder="1" applyAlignment="1">
      <alignment horizontal="left" wrapText="1"/>
    </xf>
    <xf numFmtId="0" fontId="51" fillId="56" borderId="0" xfId="41" applyFont="1" applyFill="1" applyAlignment="1">
      <alignment horizontal="left" vertical="top" wrapText="1"/>
    </xf>
    <xf numFmtId="0" fontId="51" fillId="56" borderId="22" xfId="41" applyFont="1" applyFill="1" applyBorder="1" applyAlignment="1">
      <alignment horizontal="left" vertical="top" wrapText="1"/>
    </xf>
    <xf numFmtId="0" fontId="17" fillId="56" borderId="0" xfId="41" applyFont="1" applyFill="1" applyAlignment="1">
      <alignment horizontal="left" vertical="center" wrapText="1"/>
    </xf>
    <xf numFmtId="0" fontId="149" fillId="0" borderId="17" xfId="41" applyFont="1" applyFill="1" applyBorder="1" applyAlignment="1" applyProtection="1">
      <alignment horizontal="center" vertical="center"/>
      <protection locked="0"/>
    </xf>
    <xf numFmtId="0" fontId="10" fillId="56" borderId="17" xfId="41" applyFont="1" applyFill="1" applyBorder="1" applyAlignment="1">
      <alignment horizontal="center" vertical="center"/>
    </xf>
    <xf numFmtId="0" fontId="118" fillId="56" borderId="0" xfId="41" applyFont="1" applyFill="1" applyAlignment="1">
      <alignment horizontal="left" vertical="center" wrapText="1"/>
    </xf>
    <xf numFmtId="10" fontId="75" fillId="56" borderId="104" xfId="0" applyNumberFormat="1" applyFont="1" applyFill="1" applyBorder="1" applyAlignment="1" applyProtection="1">
      <alignment horizontal="center" vertical="center"/>
    </xf>
    <xf numFmtId="10" fontId="75" fillId="56" borderId="105" xfId="0" applyNumberFormat="1" applyFont="1" applyFill="1" applyBorder="1" applyAlignment="1" applyProtection="1">
      <alignment horizontal="center" vertical="center"/>
    </xf>
    <xf numFmtId="9" fontId="49" fillId="56" borderId="0" xfId="43" applyFont="1" applyFill="1" applyBorder="1" applyAlignment="1" applyProtection="1">
      <alignment horizontal="center" vertical="center"/>
    </xf>
    <xf numFmtId="186" fontId="16" fillId="56" borderId="5" xfId="0" applyNumberFormat="1" applyFont="1" applyFill="1" applyBorder="1" applyAlignment="1" applyProtection="1">
      <alignment horizontal="center"/>
    </xf>
    <xf numFmtId="186" fontId="16" fillId="56" borderId="14" xfId="0" applyNumberFormat="1" applyFont="1" applyFill="1" applyBorder="1" applyAlignment="1" applyProtection="1">
      <alignment horizontal="center"/>
    </xf>
    <xf numFmtId="186" fontId="16" fillId="56" borderId="15" xfId="0" applyNumberFormat="1" applyFont="1" applyFill="1" applyBorder="1" applyAlignment="1" applyProtection="1">
      <alignment horizontal="center"/>
    </xf>
    <xf numFmtId="41" fontId="49" fillId="56" borderId="29" xfId="0" applyNumberFormat="1" applyFont="1" applyFill="1" applyBorder="1" applyAlignment="1" applyProtection="1">
      <alignment horizontal="center" vertical="center"/>
    </xf>
    <xf numFmtId="41" fontId="49" fillId="56" borderId="31" xfId="0" applyNumberFormat="1" applyFont="1" applyFill="1" applyBorder="1" applyAlignment="1" applyProtection="1">
      <alignment horizontal="center" vertical="center"/>
    </xf>
    <xf numFmtId="186" fontId="8" fillId="56" borderId="5" xfId="0" applyNumberFormat="1" applyFont="1" applyFill="1" applyBorder="1" applyAlignment="1" applyProtection="1">
      <alignment horizontal="center" vertical="center"/>
    </xf>
    <xf numFmtId="186" fontId="8" fillId="56" borderId="15" xfId="0" applyNumberFormat="1" applyFont="1" applyFill="1" applyBorder="1" applyAlignment="1" applyProtection="1">
      <alignment horizontal="center" vertical="center"/>
    </xf>
    <xf numFmtId="0" fontId="8" fillId="56" borderId="0" xfId="0" applyFont="1" applyFill="1" applyBorder="1" applyAlignment="1" applyProtection="1">
      <alignment horizontal="left" vertical="top" wrapText="1" indent="2"/>
    </xf>
    <xf numFmtId="0" fontId="9" fillId="56" borderId="5" xfId="0" applyFont="1" applyFill="1" applyBorder="1" applyAlignment="1" applyProtection="1">
      <alignment horizontal="center" vertical="top" wrapText="1"/>
    </xf>
    <xf numFmtId="0" fontId="9" fillId="56" borderId="14" xfId="0" applyFont="1" applyFill="1" applyBorder="1" applyAlignment="1" applyProtection="1">
      <alignment horizontal="center" vertical="top" wrapText="1"/>
    </xf>
    <xf numFmtId="0" fontId="9" fillId="56" borderId="15" xfId="0" applyFont="1" applyFill="1" applyBorder="1" applyAlignment="1" applyProtection="1">
      <alignment horizontal="center" vertical="top" wrapText="1"/>
    </xf>
    <xf numFmtId="0" fontId="60" fillId="56" borderId="0" xfId="0" applyFont="1" applyFill="1" applyBorder="1" applyAlignment="1" applyProtection="1">
      <alignment horizontal="left" vertical="top" wrapText="1"/>
    </xf>
    <xf numFmtId="0" fontId="8" fillId="56" borderId="0" xfId="0" applyFont="1" applyFill="1" applyBorder="1" applyAlignment="1" applyProtection="1">
      <alignment horizontal="left" vertical="top" wrapText="1" indent="5"/>
    </xf>
    <xf numFmtId="0" fontId="59" fillId="56" borderId="0" xfId="0" applyFont="1" applyFill="1" applyBorder="1" applyAlignment="1" applyProtection="1">
      <alignment horizontal="left" vertical="top" wrapText="1"/>
    </xf>
    <xf numFmtId="0" fontId="89" fillId="56" borderId="0" xfId="0" applyFont="1" applyFill="1" applyBorder="1" applyAlignment="1" applyProtection="1">
      <alignment horizontal="left"/>
    </xf>
    <xf numFmtId="179" fontId="45" fillId="56" borderId="0" xfId="0" applyNumberFormat="1" applyFont="1" applyFill="1" applyBorder="1" applyAlignment="1" applyProtection="1">
      <alignment horizontal="center"/>
    </xf>
    <xf numFmtId="0" fontId="8" fillId="56" borderId="0" xfId="0" applyFont="1" applyFill="1" applyBorder="1" applyAlignment="1">
      <alignment horizontal="left" wrapText="1"/>
    </xf>
    <xf numFmtId="3" fontId="9" fillId="39" borderId="5" xfId="24" applyNumberFormat="1" applyFont="1" applyFill="1" applyBorder="1" applyAlignment="1" applyProtection="1">
      <alignment horizontal="center" vertical="center"/>
      <protection locked="0"/>
    </xf>
    <xf numFmtId="3" fontId="9" fillId="39" borderId="15" xfId="24" applyNumberFormat="1" applyFont="1" applyFill="1" applyBorder="1" applyAlignment="1" applyProtection="1">
      <alignment horizontal="center" vertical="center"/>
      <protection locked="0"/>
    </xf>
    <xf numFmtId="179" fontId="45" fillId="56" borderId="40" xfId="0" applyNumberFormat="1" applyFont="1" applyFill="1" applyBorder="1" applyAlignment="1" applyProtection="1">
      <alignment horizontal="center"/>
    </xf>
    <xf numFmtId="3" fontId="88" fillId="56" borderId="0" xfId="0" applyNumberFormat="1" applyFont="1" applyFill="1" applyBorder="1" applyAlignment="1" applyProtection="1">
      <alignment horizontal="center"/>
    </xf>
    <xf numFmtId="179" fontId="13" fillId="56" borderId="0" xfId="0" applyNumberFormat="1" applyFont="1" applyFill="1" applyBorder="1" applyAlignment="1" applyProtection="1">
      <alignment horizontal="center"/>
    </xf>
    <xf numFmtId="0" fontId="7" fillId="56" borderId="0" xfId="0" applyFont="1" applyFill="1" applyBorder="1" applyAlignment="1" applyProtection="1">
      <alignment horizontal="left" vertical="top" wrapText="1"/>
    </xf>
    <xf numFmtId="0" fontId="9" fillId="56" borderId="0" xfId="0" applyNumberFormat="1" applyFont="1" applyFill="1" applyBorder="1" applyAlignment="1" applyProtection="1">
      <alignment horizontal="center" vertical="center" shrinkToFit="1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3" fontId="9" fillId="39" borderId="14" xfId="24" applyNumberFormat="1" applyFont="1" applyFill="1" applyBorder="1" applyAlignment="1" applyProtection="1">
      <alignment horizontal="center" vertical="center"/>
      <protection locked="0"/>
    </xf>
    <xf numFmtId="0" fontId="8" fillId="56" borderId="0" xfId="0" applyFont="1" applyFill="1" applyBorder="1" applyAlignment="1">
      <alignment horizontal="center" wrapText="1" shrinkToFit="1"/>
    </xf>
    <xf numFmtId="182" fontId="9" fillId="24" borderId="5" xfId="0" applyNumberFormat="1" applyFont="1" applyFill="1" applyBorder="1" applyAlignment="1">
      <alignment horizontal="center" vertical="center" shrinkToFit="1"/>
    </xf>
    <xf numFmtId="182" fontId="9" fillId="24" borderId="14" xfId="0" applyNumberFormat="1" applyFont="1" applyFill="1" applyBorder="1" applyAlignment="1">
      <alignment horizontal="center" vertical="center" shrinkToFit="1"/>
    </xf>
    <xf numFmtId="182" fontId="9" fillId="24" borderId="15" xfId="0" applyNumberFormat="1" applyFont="1" applyFill="1" applyBorder="1" applyAlignment="1">
      <alignment horizontal="center" vertical="center" shrinkToFit="1"/>
    </xf>
    <xf numFmtId="0" fontId="20" fillId="56" borderId="23" xfId="0" applyFont="1" applyFill="1" applyBorder="1" applyAlignment="1">
      <alignment horizontal="center" wrapText="1"/>
    </xf>
    <xf numFmtId="211" fontId="9" fillId="56" borderId="0" xfId="43" applyNumberFormat="1" applyFont="1" applyFill="1" applyBorder="1" applyAlignment="1" applyProtection="1">
      <alignment horizontal="right"/>
    </xf>
    <xf numFmtId="0" fontId="9" fillId="56" borderId="0" xfId="0" applyFont="1" applyFill="1" applyBorder="1" applyAlignment="1" applyProtection="1">
      <alignment horizontal="left" wrapText="1"/>
    </xf>
    <xf numFmtId="172" fontId="62" fillId="56" borderId="0" xfId="43" applyNumberFormat="1" applyFont="1" applyFill="1" applyBorder="1" applyAlignment="1" applyProtection="1">
      <alignment horizontal="right"/>
    </xf>
    <xf numFmtId="169" fontId="9" fillId="56" borderId="0" xfId="23" applyNumberFormat="1" applyFont="1" applyFill="1" applyBorder="1" applyAlignment="1" applyProtection="1">
      <alignment horizontal="right"/>
    </xf>
    <xf numFmtId="190" fontId="9" fillId="56" borderId="0" xfId="24" applyNumberFormat="1" applyFont="1" applyFill="1" applyBorder="1" applyAlignment="1" applyProtection="1">
      <alignment horizontal="center"/>
    </xf>
    <xf numFmtId="0" fontId="43" fillId="0" borderId="41" xfId="0" applyFont="1" applyBorder="1" applyAlignment="1">
      <alignment horizontal="center" vertical="center" textRotation="180"/>
    </xf>
    <xf numFmtId="0" fontId="43" fillId="0" borderId="31" xfId="0" applyFont="1" applyBorder="1" applyAlignment="1">
      <alignment horizontal="center" vertical="center" textRotation="180"/>
    </xf>
    <xf numFmtId="0" fontId="43" fillId="0" borderId="33" xfId="0" applyFont="1" applyBorder="1" applyAlignment="1">
      <alignment horizontal="center" vertical="center" textRotation="180"/>
    </xf>
    <xf numFmtId="0" fontId="6" fillId="0" borderId="0" xfId="0" applyFont="1" applyAlignment="1">
      <alignment horizontal="center"/>
    </xf>
    <xf numFmtId="0" fontId="15" fillId="0" borderId="4" xfId="0" applyFont="1" applyBorder="1" applyAlignment="1">
      <alignment horizontal="center" vertical="center" textRotation="90"/>
    </xf>
    <xf numFmtId="0" fontId="15" fillId="0" borderId="49" xfId="0" applyFont="1" applyBorder="1" applyAlignment="1">
      <alignment horizontal="center" vertical="center" textRotation="90"/>
    </xf>
    <xf numFmtId="0" fontId="15" fillId="0" borderId="70" xfId="0" applyFont="1" applyBorder="1" applyAlignment="1">
      <alignment horizontal="center" vertical="center" textRotation="90"/>
    </xf>
    <xf numFmtId="0" fontId="6" fillId="56" borderId="23" xfId="0" applyFont="1" applyFill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0" fontId="0" fillId="0" borderId="107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</cellXfs>
  <cellStyles count="63">
    <cellStyle name="20% - Ênfase1" xfId="1"/>
    <cellStyle name="20% - Ênfase2" xfId="2"/>
    <cellStyle name="20% - Ênfase3" xfId="3"/>
    <cellStyle name="20% - Ênfase4" xfId="4"/>
    <cellStyle name="20% - Ênfase5" xfId="5"/>
    <cellStyle name="20% - Ênfase6" xfId="6"/>
    <cellStyle name="40% - Ênfase1" xfId="7"/>
    <cellStyle name="40% - Ênfase2" xfId="8"/>
    <cellStyle name="40% - Ênfase3" xfId="9"/>
    <cellStyle name="40% - Ênfase4" xfId="10"/>
    <cellStyle name="40% - Ênfase5" xfId="11"/>
    <cellStyle name="40% - Ênfase6" xfId="12"/>
    <cellStyle name="60% - Ênfase1" xfId="13"/>
    <cellStyle name="60% - Ênfase2" xfId="14"/>
    <cellStyle name="60% - Ênfase3" xfId="15"/>
    <cellStyle name="60% - Ênfase4" xfId="16"/>
    <cellStyle name="60% - Ênfase5" xfId="17"/>
    <cellStyle name="60% - Ênfase6" xfId="18"/>
    <cellStyle name="Bom" xfId="19"/>
    <cellStyle name="Cálculo" xfId="20"/>
    <cellStyle name="Célula de Verificação" xfId="21"/>
    <cellStyle name="Célula Vinculada" xfId="22"/>
    <cellStyle name="Comma" xfId="23" builtinId="3"/>
    <cellStyle name="Comma [0]" xfId="24" builtinId="6"/>
    <cellStyle name="Comma [0] Centered" xfId="25"/>
    <cellStyle name="Comma 000" xfId="26"/>
    <cellStyle name="Comma 000,000" xfId="27"/>
    <cellStyle name="Comma, Centered" xfId="28"/>
    <cellStyle name="Comma000" xfId="29"/>
    <cellStyle name="Currency" xfId="30" builtinId="4"/>
    <cellStyle name="DateTTM" xfId="31"/>
    <cellStyle name="Ênfase1" xfId="32"/>
    <cellStyle name="Ênfase2" xfId="33"/>
    <cellStyle name="Ênfase3" xfId="34"/>
    <cellStyle name="Ênfase4" xfId="35"/>
    <cellStyle name="Ênfase5" xfId="36"/>
    <cellStyle name="Ênfase6" xfId="37"/>
    <cellStyle name="Entrada" xfId="38"/>
    <cellStyle name="Hyperlink" xfId="57" builtinId="8"/>
    <cellStyle name="Incorreto" xfId="39"/>
    <cellStyle name="Neutra" xfId="40"/>
    <cellStyle name="Normal" xfId="0" builtinId="0"/>
    <cellStyle name="Normal 15 12" xfId="56"/>
    <cellStyle name="Normal 15 12 2" xfId="60"/>
    <cellStyle name="Normal 15 12 3" xfId="61"/>
    <cellStyle name="Normal 15 12 4" xfId="62"/>
    <cellStyle name="Normal 16" xfId="59"/>
    <cellStyle name="Normal 2" xfId="55"/>
    <cellStyle name="Normal 3" xfId="58"/>
    <cellStyle name="Normal_PepsiCo_StrategyPlanningTool_Team1" xfId="41"/>
    <cellStyle name="Normal_Sheet1" xfId="54"/>
    <cellStyle name="Nota" xfId="42"/>
    <cellStyle name="Percent" xfId="43" builtinId="5"/>
    <cellStyle name="Percent 00" xfId="44"/>
    <cellStyle name="Saída" xfId="45"/>
    <cellStyle name="Texto de Aviso" xfId="46"/>
    <cellStyle name="Texto Explicativo" xfId="47"/>
    <cellStyle name="Título" xfId="48"/>
    <cellStyle name="Título 1" xfId="49"/>
    <cellStyle name="Título 2" xfId="50"/>
    <cellStyle name="Título 3" xfId="51"/>
    <cellStyle name="Título 4" xfId="52"/>
    <cellStyle name="Total" xfId="53" builtinId="25" customBuiltin="1"/>
  </cellStyles>
  <dxfs count="573">
    <dxf>
      <font>
        <b/>
        <i val="0"/>
        <condense val="0"/>
        <extend val="0"/>
      </font>
    </dxf>
    <dxf>
      <font>
        <b/>
        <i val="0"/>
        <condense val="0"/>
        <extend val="0"/>
        <color indexed="8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10"/>
        </patternFill>
      </fill>
    </dxf>
    <dxf>
      <fill>
        <patternFill>
          <bgColor indexed="63"/>
        </patternFill>
      </fill>
    </dxf>
    <dxf>
      <fill>
        <patternFill>
          <bgColor theme="5" tint="0.39994506668294322"/>
        </patternFill>
      </fill>
    </dxf>
    <dxf>
      <font>
        <condense val="0"/>
        <extend val="0"/>
        <color indexed="9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31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31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b/>
        <i val="0"/>
        <condense val="0"/>
        <extend val="0"/>
        <color indexed="9"/>
      </font>
      <fill>
        <patternFill>
          <bgColor indexed="18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Operational Cash Flow</a:t>
            </a:r>
          </a:p>
        </c:rich>
      </c:tx>
      <c:layout>
        <c:manualLayout>
          <c:xMode val="edge"/>
          <c:yMode val="edge"/>
          <c:x val="0.31117856491503515"/>
          <c:y val="3.5598705501618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1117870677561305"/>
          <c:y val="0.18770285858761437"/>
          <c:w val="0.64652663349496298"/>
          <c:h val="0.58252611285811351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E36-4D9E-A085-A20532A0520D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E36-4D9E-A085-A20532A0520D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5E36-4D9E-A085-A20532A0520D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5E36-4D9E-A085-A20532A0520D}"/>
              </c:ext>
            </c:extLst>
          </c:dPt>
          <c:cat>
            <c:strRef>
              <c:f>toolROIC_Two!$X$11:$X$14</c:f>
              <c:strCache>
                <c:ptCount val="4"/>
                <c:pt idx="0">
                  <c:v>EBITDA</c:v>
                </c:pt>
                <c:pt idx="1">
                  <c:v>Working Cap. Mvmnt.</c:v>
                </c:pt>
                <c:pt idx="2">
                  <c:v>CapEx</c:v>
                </c:pt>
                <c:pt idx="3">
                  <c:v>"Oper'l" Cash Flow</c:v>
                </c:pt>
              </c:strCache>
            </c:strRef>
          </c:cat>
          <c:val>
            <c:numRef>
              <c:f>toolROIC_Two!$Y$11:$Y$14</c:f>
              <c:numCache>
                <c:formatCode>#,##0,;\(#,##0,\);_(* "-"_);_(@_)</c:formatCode>
                <c:ptCount val="4"/>
                <c:pt idx="0">
                  <c:v>5274040486.3245354</c:v>
                </c:pt>
                <c:pt idx="1">
                  <c:v>244736883.93795121</c:v>
                </c:pt>
                <c:pt idx="2">
                  <c:v>-999556000</c:v>
                </c:pt>
                <c:pt idx="3">
                  <c:v>4519221370.2624865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36-4D9E-A085-A20532A05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1017344"/>
        <c:axId val="111092864"/>
      </c:barChart>
      <c:catAx>
        <c:axId val="11101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92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92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Change in Cash</a:t>
                </a:r>
              </a:p>
            </c:rich>
          </c:tx>
          <c:layout>
            <c:manualLayout>
              <c:xMode val="edge"/>
              <c:yMode val="edge"/>
              <c:x val="4.8338368580060423E-2"/>
              <c:y val="0.3333343526233978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,;\(#,##0,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17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454601950022082"/>
          <c:y val="0.10152284263959391"/>
          <c:w val="0.68636515972380974"/>
          <c:h val="0.6598984771573603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toolGraphData!$B$4</c:f>
              <c:strCache>
                <c:ptCount val="1"/>
                <c:pt idx="0">
                  <c:v>CSD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toolGraphData!$A$5:$A$6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toolGraphData!$B$5:$B$6</c:f>
              <c:numCache>
                <c:formatCode>General</c:formatCode>
                <c:ptCount val="2"/>
                <c:pt idx="0">
                  <c:v>0.37017373488533517</c:v>
                </c:pt>
                <c:pt idx="1">
                  <c:v>0.36757687931932231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D-40CA-BA02-79F650A14792}"/>
            </c:ext>
          </c:extLst>
        </c:ser>
        <c:ser>
          <c:idx val="1"/>
          <c:order val="1"/>
          <c:tx>
            <c:strRef>
              <c:f>toolGraphData!$C$4</c:f>
              <c:strCache>
                <c:ptCount val="1"/>
                <c:pt idx="0">
                  <c:v>NCB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toolGraphData!$A$5:$A$6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toolGraphData!$C$5:$C$6</c:f>
              <c:numCache>
                <c:formatCode>General</c:formatCode>
                <c:ptCount val="2"/>
                <c:pt idx="0">
                  <c:v>0.27765806697069845</c:v>
                </c:pt>
                <c:pt idx="1">
                  <c:v>0.27919316535442124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D-40CA-BA02-79F650A14792}"/>
            </c:ext>
          </c:extLst>
        </c:ser>
        <c:ser>
          <c:idx val="2"/>
          <c:order val="2"/>
          <c:tx>
            <c:strRef>
              <c:f>toolGraphData!$D$4</c:f>
              <c:strCache>
                <c:ptCount val="1"/>
                <c:pt idx="0">
                  <c:v>F&amp;S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toolGraphData!$A$5:$A$6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toolGraphData!$D$5:$D$6</c:f>
              <c:numCache>
                <c:formatCode>General</c:formatCode>
                <c:ptCount val="2"/>
                <c:pt idx="0">
                  <c:v>0.35216819814396638</c:v>
                </c:pt>
                <c:pt idx="1">
                  <c:v>0.35322995532625651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5D-40CA-BA02-79F650A14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ysDash"/>
            </a:ln>
          </c:spPr>
        </c:serLines>
        <c:axId val="111103360"/>
        <c:axId val="111105152"/>
      </c:barChart>
      <c:catAx>
        <c:axId val="11110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10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0515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103360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1363705974134354"/>
          <c:y val="0.88324873096446699"/>
          <c:w val="0.50454657436650918"/>
          <c:h val="0.1015228426395939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627906976744186"/>
          <c:y val="0.11971872152399292"/>
          <c:w val="0.79534883720930227"/>
          <c:h val="0.47183260835926621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F7B-4C6A-91DC-732992791E8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F7B-4C6A-91DC-732992791E8A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5F7B-4C6A-91DC-732992791E8A}"/>
              </c:ext>
            </c:extLst>
          </c:dPt>
          <c:cat>
            <c:strRef>
              <c:f>toolGraphData!$C$13:$E$13</c:f>
              <c:strCache>
                <c:ptCount val="3"/>
                <c:pt idx="0">
                  <c:v>CSD</c:v>
                </c:pt>
                <c:pt idx="1">
                  <c:v>NCB</c:v>
                </c:pt>
                <c:pt idx="2">
                  <c:v>F&amp;S</c:v>
                </c:pt>
              </c:strCache>
            </c:strRef>
          </c:cat>
          <c:val>
            <c:numRef>
              <c:f>toolGraphData!$C$14:$E$14</c:f>
              <c:numCache>
                <c:formatCode>General</c:formatCode>
                <c:ptCount val="3"/>
                <c:pt idx="0">
                  <c:v>1860</c:v>
                </c:pt>
                <c:pt idx="1">
                  <c:v>1350</c:v>
                </c:pt>
                <c:pt idx="2">
                  <c:v>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7B-4C6A-91DC-732992791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4186046511627907"/>
          <c:y val="0.76760827330089576"/>
          <c:w val="0.51627906976744187"/>
          <c:h val="0.1408455547341093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225336189717895"/>
          <c:y val="9.1836963480955741E-2"/>
          <c:w val="0.68919222089764964"/>
          <c:h val="0.663266958473569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toolGraphData!$B$7</c:f>
              <c:strCache>
                <c:ptCount val="1"/>
                <c:pt idx="0">
                  <c:v>CSD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toolGraphData!$A$8:$A$9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toolGraphData!$B$8:$B$9</c:f>
              <c:numCache>
                <c:formatCode>General</c:formatCode>
                <c:ptCount val="2"/>
                <c:pt idx="0">
                  <c:v>0.3570580802780855</c:v>
                </c:pt>
                <c:pt idx="1">
                  <c:v>0.35820210538393138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B-44B6-89BF-690F1D5AF37C}"/>
            </c:ext>
          </c:extLst>
        </c:ser>
        <c:ser>
          <c:idx val="1"/>
          <c:order val="1"/>
          <c:tx>
            <c:strRef>
              <c:f>toolGraphData!$C$7</c:f>
              <c:strCache>
                <c:ptCount val="1"/>
                <c:pt idx="0">
                  <c:v>NCB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toolGraphData!$A$8:$A$9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toolGraphData!$C$8:$C$9</c:f>
              <c:numCache>
                <c:formatCode>General</c:formatCode>
                <c:ptCount val="2"/>
                <c:pt idx="0">
                  <c:v>0.34681368712470828</c:v>
                </c:pt>
                <c:pt idx="1">
                  <c:v>0.35137538364455151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AB-44B6-89BF-690F1D5AF37C}"/>
            </c:ext>
          </c:extLst>
        </c:ser>
        <c:ser>
          <c:idx val="2"/>
          <c:order val="2"/>
          <c:tx>
            <c:strRef>
              <c:f>toolGraphData!$D$7</c:f>
              <c:strCache>
                <c:ptCount val="1"/>
                <c:pt idx="0">
                  <c:v>F&amp;S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toolGraphData!$A$8:$A$9</c:f>
              <c:strCache>
                <c:ptCount val="2"/>
                <c:pt idx="0">
                  <c:v>Year 0</c:v>
                </c:pt>
                <c:pt idx="1">
                  <c:v>Year 1</c:v>
                </c:pt>
              </c:strCache>
            </c:strRef>
          </c:cat>
          <c:val>
            <c:numRef>
              <c:f>toolGraphData!$D$8:$D$9</c:f>
              <c:numCache>
                <c:formatCode>General</c:formatCode>
                <c:ptCount val="2"/>
                <c:pt idx="0">
                  <c:v>0.29612823259720622</c:v>
                </c:pt>
                <c:pt idx="1">
                  <c:v>0.29042251097151706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B-44B6-89BF-690F1D5A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ysDash"/>
            </a:ln>
          </c:spPr>
        </c:serLines>
        <c:axId val="128230144"/>
        <c:axId val="128231680"/>
      </c:barChart>
      <c:catAx>
        <c:axId val="12823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23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8231680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230144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5585742124780601"/>
          <c:y val="0.88265526012251905"/>
          <c:w val="0.50000219947476543"/>
          <c:h val="0.1020410705343952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893647967187432"/>
          <c:y val="0.10687022900763359"/>
          <c:w val="0.71489510242499676"/>
          <c:h val="0.50381679389312972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E7B-473D-BD2F-2482D308831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E7B-473D-BD2F-2482D308831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2E7B-473D-BD2F-2482D308831E}"/>
              </c:ext>
            </c:extLst>
          </c:dPt>
          <c:cat>
            <c:strRef>
              <c:f>toolGraphData!$C$15:$E$15</c:f>
              <c:strCache>
                <c:ptCount val="3"/>
                <c:pt idx="0">
                  <c:v>CSD</c:v>
                </c:pt>
                <c:pt idx="1">
                  <c:v>NCB</c:v>
                </c:pt>
                <c:pt idx="2">
                  <c:v>F&amp;S</c:v>
                </c:pt>
              </c:strCache>
            </c:strRef>
          </c:cat>
          <c:val>
            <c:numRef>
              <c:f>toolGraphData!$C$16:$E$16</c:f>
              <c:numCache>
                <c:formatCode>General</c:formatCode>
                <c:ptCount val="3"/>
                <c:pt idx="0">
                  <c:v>275</c:v>
                </c:pt>
                <c:pt idx="1">
                  <c:v>230</c:v>
                </c:pt>
                <c:pt idx="2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7B-473D-BD2F-2482D308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957500742812384"/>
          <c:y val="0.80152671755725191"/>
          <c:w val="0.47234140695937282"/>
          <c:h val="0.1526717557251908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8674735415755631"/>
          <c:y val="0.10614525139664804"/>
          <c:w val="0.56626617067129981"/>
          <c:h val="0.62011173184357538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806-40EB-92DA-85FC0C5EF8A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806-40EB-92DA-85FC0C5EF8AE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806-40EB-92DA-85FC0C5EF8AE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806-40EB-92DA-85FC0C5EF8AE}"/>
              </c:ext>
            </c:extLst>
          </c:dPt>
          <c:cat>
            <c:strRef>
              <c:f>toolGraphData!$C$60:$C$63</c:f>
              <c:strCache>
                <c:ptCount val="4"/>
                <c:pt idx="0">
                  <c:v>CSD</c:v>
                </c:pt>
                <c:pt idx="1">
                  <c:v>NCB</c:v>
                </c:pt>
                <c:pt idx="2">
                  <c:v>F&amp;S</c:v>
                </c:pt>
                <c:pt idx="3">
                  <c:v>Other</c:v>
                </c:pt>
              </c:strCache>
            </c:strRef>
          </c:cat>
          <c:val>
            <c:numRef>
              <c:f>toolGraphData!$D$60:$D$63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06-40EB-92DA-85FC0C5EF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702861647491621"/>
          <c:y val="0.82681564245810057"/>
          <c:w val="0.43172775423521081"/>
          <c:h val="0.1229050279329608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45294321098172"/>
          <c:y val="0.15053842478591642"/>
          <c:w val="0.76488317546495843"/>
          <c:h val="0.6344119330263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toolGraphData!$D$19</c:f>
              <c:strCache>
                <c:ptCount val="1"/>
                <c:pt idx="0">
                  <c:v>Utiliziation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666699"/>
              </a:solidFill>
              <a:prstDash val="solid"/>
            </a:ln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DA-45B8-B94D-26BC6CEDF5E0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DA-45B8-B94D-26BC6CEDF5E0}"/>
                </c:ext>
              </c:extLst>
            </c:dLbl>
            <c:numFmt formatCode="0.0%" sourceLinked="0"/>
            <c:spPr>
              <a:solidFill>
                <a:srgbClr val="666699"/>
              </a:solidFill>
              <a:ln w="25400">
                <a:noFill/>
              </a:ln>
            </c:spPr>
            <c:txPr>
              <a:bodyPr/>
              <a:lstStyle/>
              <a:p>
                <a:pPr algn="ctr" rtl="0">
                  <a:defRPr sz="825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toolGraphData!$B$20:$B$21</c:f>
              <c:strCache>
                <c:ptCount val="2"/>
                <c:pt idx="0">
                  <c:v>Plant</c:v>
                </c:pt>
                <c:pt idx="1">
                  <c:v>Labor</c:v>
                </c:pt>
              </c:strCache>
            </c:strRef>
          </c:cat>
          <c:val>
            <c:numRef>
              <c:f>toolGraphData!$D$20:$D$21</c:f>
              <c:numCache>
                <c:formatCode>0%</c:formatCode>
                <c:ptCount val="2"/>
                <c:pt idx="0">
                  <c:v>0.91400000000000003</c:v>
                </c:pt>
                <c:pt idx="1">
                  <c:v>1.0371559793673131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DA-45B8-B94D-26BC6CED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305024"/>
        <c:axId val="130315008"/>
      </c:barChart>
      <c:catAx>
        <c:axId val="13030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31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0315008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Percentage</a:t>
                </a:r>
              </a:p>
            </c:rich>
          </c:tx>
          <c:layout>
            <c:manualLayout>
              <c:xMode val="edge"/>
              <c:yMode val="edge"/>
              <c:x val="1.7857142857142856E-2"/>
              <c:y val="0.290324273981881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305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9693119221945959"/>
          <c:y val="0.19148936170212766"/>
          <c:w val="0.59079357665837873"/>
          <c:h val="0.48936170212765956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10"/>
          <c:dPt>
            <c:idx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264-4E49-8DF0-D28558FD82CD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264-4E49-8DF0-D28558FD82CD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264-4E49-8DF0-D28558FD82CD}"/>
              </c:ext>
            </c:extLst>
          </c:dPt>
          <c:dPt>
            <c:idx val="3"/>
            <c:bubble3D val="0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264-4E49-8DF0-D28558FD82CD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6264-4E49-8DF0-D28558FD82CD}"/>
              </c:ext>
            </c:extLst>
          </c:dPt>
          <c:dPt>
            <c:idx val="5"/>
            <c:bubble3D val="0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264-4E49-8DF0-D28558FD82CD}"/>
              </c:ext>
            </c:extLst>
          </c:dPt>
          <c:dPt>
            <c:idx val="6"/>
            <c:bubble3D val="0"/>
            <c:spPr>
              <a:pattFill prst="pct30">
                <a:fgClr>
                  <a:srgbClr val="000000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6264-4E49-8DF0-D28558FD82CD}"/>
              </c:ext>
            </c:extLst>
          </c:dPt>
          <c:dLbls>
            <c:dLbl>
              <c:idx val="0"/>
              <c:layout>
                <c:manualLayout>
                  <c:x val="-4.0431410784625643E-2"/>
                  <c:y val="-5.10420505947394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64-4E49-8DF0-D28558FD82CD}"/>
                </c:ext>
              </c:extLst>
            </c:dLbl>
            <c:dLbl>
              <c:idx val="1"/>
              <c:layout>
                <c:manualLayout>
                  <c:x val="-1.5733631710621452E-2"/>
                  <c:y val="-0.115357122912827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64-4E49-8DF0-D28558FD82CD}"/>
                </c:ext>
              </c:extLst>
            </c:dLbl>
            <c:dLbl>
              <c:idx val="2"/>
              <c:layout>
                <c:manualLayout>
                  <c:x val="4.3031538481300535E-2"/>
                  <c:y val="-9.50600323895683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64-4E49-8DF0-D28558FD82CD}"/>
                </c:ext>
              </c:extLst>
            </c:dLbl>
            <c:dLbl>
              <c:idx val="3"/>
              <c:layout>
                <c:manualLayout>
                  <c:x val="3.0590871577825782E-2"/>
                  <c:y val="6.27475288993131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64-4E49-8DF0-D28558FD82CD}"/>
                </c:ext>
              </c:extLst>
            </c:dLbl>
            <c:dLbl>
              <c:idx val="4"/>
              <c:layout>
                <c:manualLayout>
                  <c:x val="3.6934471365419962E-2"/>
                  <c:y val="0.162495672083542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64-4E49-8DF0-D28558FD82CD}"/>
                </c:ext>
              </c:extLst>
            </c:dLbl>
            <c:dLbl>
              <c:idx val="5"/>
              <c:layout>
                <c:manualLayout>
                  <c:x val="-2.2248868752759908E-2"/>
                  <c:y val="6.45479421455296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64-4E49-8DF0-D28558FD82CD}"/>
                </c:ext>
              </c:extLst>
            </c:dLbl>
            <c:dLbl>
              <c:idx val="6"/>
              <c:layout>
                <c:manualLayout>
                  <c:x val="-1.0271945008319471E-2"/>
                  <c:y val="-0.106377394315072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264-4E49-8DF0-D28558FD82CD}"/>
                </c:ext>
              </c:extLst>
            </c:dLbl>
            <c:dLbl>
              <c:idx val="8"/>
              <c:layout>
                <c:manualLayout>
                  <c:xMode val="edge"/>
                  <c:yMode val="edge"/>
                  <c:x val="0.49616430247500209"/>
                  <c:y val="5.851063829787234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64-4E49-8DF0-D28558FD82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toolGraphData!$K$14:$K$20</c:f>
              <c:strCache>
                <c:ptCount val="7"/>
                <c:pt idx="0">
                  <c:v>Chan. Digit.</c:v>
                </c:pt>
                <c:pt idx="1">
                  <c:v>Chan. Pent.</c:v>
                </c:pt>
                <c:pt idx="2">
                  <c:v>R&amp;D</c:v>
                </c:pt>
                <c:pt idx="3">
                  <c:v>Plant</c:v>
                </c:pt>
                <c:pt idx="4">
                  <c:v>HR</c:v>
                </c:pt>
                <c:pt idx="5">
                  <c:v>IT</c:v>
                </c:pt>
                <c:pt idx="6">
                  <c:v>Initiatives</c:v>
                </c:pt>
              </c:strCache>
            </c:strRef>
          </c:cat>
          <c:val>
            <c:numRef>
              <c:f>toolGraphData!$L$14:$L$20</c:f>
              <c:numCache>
                <c:formatCode>General</c:formatCode>
                <c:ptCount val="7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14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264-4E49-8DF0-D28558F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Price</a:t>
            </a:r>
          </a:p>
        </c:rich>
      </c:tx>
      <c:layout>
        <c:manualLayout>
          <c:xMode val="edge"/>
          <c:yMode val="edge"/>
          <c:x val="0.45682451253481893"/>
          <c:y val="4.5226130653266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63231197771587"/>
          <c:y val="0.12562844895485473"/>
          <c:w val="0.77994428969359331"/>
          <c:h val="0.66331821048163297"/>
        </c:manualLayout>
      </c:layout>
      <c:scatterChart>
        <c:scatterStyle val="lineMarker"/>
        <c:varyColors val="0"/>
        <c:ser>
          <c:idx val="0"/>
          <c:order val="0"/>
          <c:tx>
            <c:strRef>
              <c:f>mmProd1!$L$26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mmProd1!$L$27:$L$33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2.31</c:v>
                </c:pt>
                <c:pt idx="2">
                  <c:v>4.62</c:v>
                </c:pt>
                <c:pt idx="3">
                  <c:v>7</c:v>
                </c:pt>
                <c:pt idx="4">
                  <c:v>9.31</c:v>
                </c:pt>
                <c:pt idx="5">
                  <c:v>11.62</c:v>
                </c:pt>
                <c:pt idx="6">
                  <c:v>14</c:v>
                </c:pt>
              </c:numCache>
            </c:numRef>
          </c:xVal>
          <c:yVal>
            <c:numRef>
              <c:f>mmProd1!$M$27:$M$33</c:f>
              <c:numCache>
                <c:formatCode>0%</c:formatCode>
                <c:ptCount val="7"/>
                <c:pt idx="0">
                  <c:v>0.99999999999872013</c:v>
                </c:pt>
                <c:pt idx="1">
                  <c:v>0.99999863397475541</c:v>
                </c:pt>
                <c:pt idx="2">
                  <c:v>0.99134368097448344</c:v>
                </c:pt>
                <c:pt idx="3">
                  <c:v>0.5</c:v>
                </c:pt>
                <c:pt idx="4">
                  <c:v>1.0444077061951051E-2</c:v>
                </c:pt>
                <c:pt idx="5">
                  <c:v>1.9187002199272385E-6</c:v>
                </c:pt>
                <c:pt idx="6">
                  <c:v>1.2798651027878805E-12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A-4FD6-A234-44090D3A01E9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640222548783118E-2"/>
                  <c:y val="-0.12512960697258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5A-4FD6-A234-44090D3A01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mmProd1!$E$31</c:f>
              <c:numCache>
                <c:formatCode>_(* #,##0.00_);_(* \(#,##0.00\);_(* "-"??_);_(@_)</c:formatCode>
                <c:ptCount val="1"/>
                <c:pt idx="0">
                  <c:v>7</c:v>
                </c:pt>
              </c:numCache>
            </c:numRef>
          </c:xVal>
          <c:yVal>
            <c:numRef>
              <c:f>mmProd1!$E$32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5A-4FD6-A234-44090D3A01E9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199665153276442E-2"/>
                  <c:y val="-0.211764991441137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5A-4FD6-A234-44090D3A01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mmProd1!$F$31</c:f>
              <c:numCache>
                <c:formatCode>_(* #,##0.00_);_(* \(#,##0.00\);_(* "-"??_);_(@_)</c:formatCode>
                <c:ptCount val="1"/>
                <c:pt idx="0">
                  <c:v>7</c:v>
                </c:pt>
              </c:numCache>
            </c:numRef>
          </c:xVal>
          <c:yVal>
            <c:numRef>
              <c:f>mmProd1!$F$32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5A-4FD6-A234-44090D3A01E9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66388115134618E-2"/>
                  <c:y val="-0.2944288886540377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5A-4FD6-A234-44090D3A01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mmProd1!$G$31</c:f>
              <c:numCache>
                <c:formatCode>_(* #,##0.00_);_(* \(#,##0.00\);_(* "-"??_);_(@_)</c:formatCode>
                <c:ptCount val="1"/>
                <c:pt idx="0">
                  <c:v>7</c:v>
                </c:pt>
              </c:numCache>
            </c:numRef>
          </c:xVal>
          <c:yVal>
            <c:numRef>
              <c:f>mmProd1!$G$32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5A-4FD6-A234-44090D3A01E9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123491179201456E-2"/>
                  <c:y val="-0.3654122280249597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5A-4FD6-A234-44090D3A01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mmProd1!$H$31</c:f>
              <c:numCache>
                <c:formatCode>_(* #,##0.00_);_(* \(#,##0.00\);_(* "-"??_);_(@_)</c:formatCode>
                <c:ptCount val="1"/>
                <c:pt idx="0">
                  <c:v>7</c:v>
                </c:pt>
              </c:numCache>
            </c:numRef>
          </c:xVal>
          <c:yVal>
            <c:numRef>
              <c:f>mmProd1!$H$32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5A-4FD6-A234-44090D3A01E9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909006499535787E-2"/>
                  <c:y val="-0.3955630557741248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5A-4FD6-A234-44090D3A01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mmProd1!$I$31</c:f>
              <c:numCache>
                <c:formatCode>_(* #,##0.00_);_(* \(#,##0.00\);_(* "-"??_);_(@_)</c:formatCode>
                <c:ptCount val="1"/>
                <c:pt idx="0">
                  <c:v>7</c:v>
                </c:pt>
              </c:numCache>
            </c:numRef>
          </c:xVal>
          <c:yVal>
            <c:numRef>
              <c:f>mmProd1!$I$32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5A-4FD6-A234-44090D3A0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02944"/>
        <c:axId val="136004736"/>
      </c:scatterChart>
      <c:valAx>
        <c:axId val="13600294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04736"/>
        <c:crosses val="autoZero"/>
        <c:crossBetween val="midCat"/>
      </c:valAx>
      <c:valAx>
        <c:axId val="136004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029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Advertising</a:t>
            </a:r>
          </a:p>
        </c:rich>
      </c:tx>
      <c:layout>
        <c:manualLayout>
          <c:xMode val="edge"/>
          <c:yMode val="edge"/>
          <c:x val="0.40871991818461384"/>
          <c:y val="4.8780487804878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41436107581673"/>
          <c:y val="0.14634146341463414"/>
          <c:w val="0.78201738922187558"/>
          <c:h val="0.597560975609756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mmProd1!$L$39:$L$45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1.98</c:v>
                </c:pt>
                <c:pt idx="2">
                  <c:v>3.96</c:v>
                </c:pt>
                <c:pt idx="3">
                  <c:v>6</c:v>
                </c:pt>
                <c:pt idx="4">
                  <c:v>7.98</c:v>
                </c:pt>
                <c:pt idx="5">
                  <c:v>9.9599999999999991</c:v>
                </c:pt>
                <c:pt idx="6">
                  <c:v>12</c:v>
                </c:pt>
              </c:numCache>
            </c:numRef>
          </c:xVal>
          <c:yVal>
            <c:numRef>
              <c:f>mmProd1!$M$39:$M$45</c:f>
              <c:numCache>
                <c:formatCode>0%</c:formatCode>
                <c:ptCount val="7"/>
                <c:pt idx="0">
                  <c:v>9.8658764503769437E-10</c:v>
                </c:pt>
                <c:pt idx="1">
                  <c:v>2.9099070711930998E-5</c:v>
                </c:pt>
                <c:pt idx="2">
                  <c:v>2.0675162866070039E-2</c:v>
                </c:pt>
                <c:pt idx="3">
                  <c:v>0.5</c:v>
                </c:pt>
                <c:pt idx="4">
                  <c:v>0.97614823565849151</c:v>
                </c:pt>
                <c:pt idx="5">
                  <c:v>0.99996252511830896</c:v>
                </c:pt>
                <c:pt idx="6">
                  <c:v>0.9999999990134123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0-472E-9FD9-73EB23790D4B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8574365055824801E-2"/>
                  <c:y val="-0.1123884514435695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50-472E-9FD9-73EB23790D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mmProd1!$E$43</c:f>
              <c:numCache>
                <c:formatCode>_(* #,##0.00_);_(* \(#,##0.00\);_(* "-"??_);_(@_)</c:formatCode>
                <c:ptCount val="1"/>
                <c:pt idx="0">
                  <c:v>6</c:v>
                </c:pt>
              </c:numCache>
            </c:numRef>
          </c:xVal>
          <c:yVal>
            <c:numRef>
              <c:f>mmProd1!$E$44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0-472E-9FD9-73EB23790D4B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75304183866639E-2"/>
                  <c:y val="-0.19042954996479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50-472E-9FD9-73EB23790D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mmProd1!$F$43</c:f>
              <c:numCache>
                <c:formatCode>_(* #,##0.00_);_(* \(#,##0.00\);_(* "-"??_);_(@_)</c:formatCode>
                <c:ptCount val="1"/>
                <c:pt idx="0">
                  <c:v>6</c:v>
                </c:pt>
              </c:numCache>
            </c:numRef>
          </c:xVal>
          <c:yVal>
            <c:numRef>
              <c:f>mmProd1!$F$44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0-472E-9FD9-73EB23790D4B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299164321406247E-2"/>
                  <c:y val="-0.2648274758338134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50-472E-9FD9-73EB23790D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mmProd1!$G$43</c:f>
              <c:numCache>
                <c:formatCode>_(* #,##0.00_);_(* \(#,##0.00\);_(* "-"??_);_(@_)</c:formatCode>
                <c:ptCount val="1"/>
                <c:pt idx="0">
                  <c:v>6</c:v>
                </c:pt>
              </c:numCache>
            </c:numRef>
          </c:xVal>
          <c:yVal>
            <c:numRef>
              <c:f>mmProd1!$G$44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50-472E-9FD9-73EB23790D4B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75304183866639E-2"/>
                  <c:y val="-0.336771013379425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50-472E-9FD9-73EB23790D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mmProd1!$H$43</c:f>
              <c:numCache>
                <c:formatCode>_(* #,##0.00_);_(* \(#,##0.00\);_(* "-"??_);_(@_)</c:formatCode>
                <c:ptCount val="1"/>
                <c:pt idx="0">
                  <c:v>6</c:v>
                </c:pt>
              </c:numCache>
            </c:numRef>
          </c:xVal>
          <c:yVal>
            <c:numRef>
              <c:f>mmProd1!$H$44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150-472E-9FD9-73EB23790D4B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294599267525062E-2"/>
                  <c:y val="-0.1929652391012099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50-472E-9FD9-73EB23790D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mmProd1!$I$43</c:f>
              <c:numCache>
                <c:formatCode>_(* #,##0.00_);_(* \(#,##0.00\);_(* "-"??_);_(@_)</c:formatCode>
                <c:ptCount val="1"/>
                <c:pt idx="0">
                  <c:v>6</c:v>
                </c:pt>
              </c:numCache>
            </c:numRef>
          </c:xVal>
          <c:yVal>
            <c:numRef>
              <c:f>mmProd1!$I$44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150-472E-9FD9-73EB23790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63616"/>
        <c:axId val="136073600"/>
      </c:scatterChart>
      <c:valAx>
        <c:axId val="13606361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73600"/>
        <c:crosses val="autoZero"/>
        <c:crossBetween val="midCat"/>
      </c:valAx>
      <c:valAx>
        <c:axId val="136073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63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Features</a:t>
            </a:r>
          </a:p>
        </c:rich>
      </c:tx>
      <c:layout>
        <c:manualLayout>
          <c:xMode val="edge"/>
          <c:yMode val="edge"/>
          <c:x val="0.43121804218917081"/>
          <c:y val="4.28571428571428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92098348881729"/>
          <c:y val="0.10000046503192445"/>
          <c:w val="0.79894386301221221"/>
          <c:h val="0.6857174745046247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mmProd1!$L$54:$L$60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0.66</c:v>
                </c:pt>
                <c:pt idx="2">
                  <c:v>1.32</c:v>
                </c:pt>
                <c:pt idx="3">
                  <c:v>2</c:v>
                </c:pt>
                <c:pt idx="4">
                  <c:v>2.66</c:v>
                </c:pt>
                <c:pt idx="5">
                  <c:v>3.32</c:v>
                </c:pt>
                <c:pt idx="6">
                  <c:v>4</c:v>
                </c:pt>
              </c:numCache>
            </c:numRef>
          </c:xVal>
          <c:yVal>
            <c:numRef>
              <c:f>mmProd1!$M$54:$M$60</c:f>
              <c:numCache>
                <c:formatCode>0%</c:formatCode>
                <c:ptCount val="7"/>
                <c:pt idx="0">
                  <c:v>2.2750131948179191E-2</c:v>
                </c:pt>
                <c:pt idx="1">
                  <c:v>9.0122672464452477E-2</c:v>
                </c:pt>
                <c:pt idx="2">
                  <c:v>0.24825223045357048</c:v>
                </c:pt>
                <c:pt idx="3">
                  <c:v>0.5</c:v>
                </c:pt>
                <c:pt idx="4">
                  <c:v>0.74537308532866398</c:v>
                </c:pt>
                <c:pt idx="5">
                  <c:v>0.90658249100652821</c:v>
                </c:pt>
                <c:pt idx="6">
                  <c:v>0.97724986805182079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5F-497E-A6E5-3B992901450B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017681447985078E-2"/>
                  <c:y val="-0.127952455642866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5F-497E-A6E5-3B99290145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mmProd1!$E$59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5F-497E-A6E5-3B992901450B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319092815797E-2"/>
                  <c:y val="-0.2136671399559446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5F-497E-A6E5-3B99290145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mmProd1!$F$59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5F-497E-A6E5-3B992901450B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319092815797E-2"/>
                  <c:y val="-0.3041437511753048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5F-497E-A6E5-3B99290145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mmProd1!$G$59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05F-497E-A6E5-3B992901450B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319092815797E-2"/>
                  <c:y val="-0.3755726547695365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5F-497E-A6E5-3B99290145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mmProd1!$H$59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5F-497E-A6E5-3B992901450B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308700408330861E-2"/>
                  <c:y val="-0.4374777045512041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5F-497E-A6E5-3B99290145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mmProd1!$I$59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5F-497E-A6E5-3B9929014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65248"/>
        <c:axId val="136166784"/>
      </c:scatterChart>
      <c:valAx>
        <c:axId val="13616524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66784"/>
        <c:crosses val="autoZero"/>
        <c:crossBetween val="midCat"/>
      </c:valAx>
      <c:valAx>
        <c:axId val="1361667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652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4</a:t>
            </a:r>
          </a:p>
        </c:rich>
      </c:tx>
      <c:layout>
        <c:manualLayout>
          <c:xMode val="edge"/>
          <c:yMode val="edge"/>
          <c:x val="0.43915455012567872"/>
          <c:y val="4.89130434782608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3586992577574564"/>
          <c:w val="0.72486959756737135"/>
          <c:h val="0.5543492971650421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mmProd1!$L$67:$L$73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26400000</c:v>
                </c:pt>
                <c:pt idx="2">
                  <c:v>52800000</c:v>
                </c:pt>
                <c:pt idx="3">
                  <c:v>80000000</c:v>
                </c:pt>
                <c:pt idx="4">
                  <c:v>106400000</c:v>
                </c:pt>
                <c:pt idx="5">
                  <c:v>132800000</c:v>
                </c:pt>
                <c:pt idx="6">
                  <c:v>160000000</c:v>
                </c:pt>
              </c:numCache>
            </c:numRef>
          </c:xVal>
          <c:yVal>
            <c:numRef>
              <c:f>mmProd1!$M$67:$M$73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9-4017-A492-989077EA8EF2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5647442243224399E-2"/>
                  <c:y val="-0.110038902251531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D9-4017-A492-989077EA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mmProd1!$E$71</c:f>
              <c:numCache>
                <c:formatCode>_(* #,##0_);_(* \(#,##0\);_(* "-"_);_(@_)</c:formatCode>
                <c:ptCount val="1"/>
                <c:pt idx="0">
                  <c:v>80000000</c:v>
                </c:pt>
              </c:numCache>
            </c:numRef>
          </c:xVal>
          <c:yVal>
            <c:numRef>
              <c:f>mmProd1!$E$72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9-4017-A492-989077EA8EF2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7067913458492168E-2"/>
                  <c:y val="-0.1790036071879427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D9-4017-A492-989077EA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mmProd1!$F$71</c:f>
              <c:numCache>
                <c:formatCode>_(* #,##0_);_(* \(#,##0\);_(* "-"_);_(@_)</c:formatCode>
                <c:ptCount val="1"/>
                <c:pt idx="0">
                  <c:v>80000000</c:v>
                </c:pt>
              </c:numCache>
            </c:numRef>
          </c:xVal>
          <c:yVal>
            <c:numRef>
              <c:f>mmProd1!$F$72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9-4017-A492-989077EA8EF2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7636740558248115E-2"/>
                  <c:y val="-0.251934472795910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D9-4017-A492-989077EA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mmProd1!$G$71</c:f>
              <c:numCache>
                <c:formatCode>_(* #,##0_);_(* \(#,##0\);_(* "-"_);_(@_)</c:formatCode>
                <c:ptCount val="1"/>
                <c:pt idx="0">
                  <c:v>80000000</c:v>
                </c:pt>
              </c:numCache>
            </c:numRef>
          </c:xVal>
          <c:yVal>
            <c:numRef>
              <c:f>mmProd1!$G$72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D9-4017-A492-989077EA8EF2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8292951723397291E-2"/>
                  <c:y val="-0.3111263923996345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D9-4017-A492-989077EA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mmProd1!$H$71</c:f>
              <c:numCache>
                <c:formatCode>_(* #,##0_);_(* \(#,##0\);_(* "-"_);_(@_)</c:formatCode>
                <c:ptCount val="1"/>
                <c:pt idx="0">
                  <c:v>80000000</c:v>
                </c:pt>
              </c:numCache>
            </c:numRef>
          </c:xVal>
          <c:yVal>
            <c:numRef>
              <c:f>mmProd1!$H$72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D9-4017-A492-989077EA8EF2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7901427215908236E-2"/>
                  <c:y val="-0.2155088860076946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BD9-4017-A492-989077EA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mmProd1!$I$71</c:f>
              <c:numCache>
                <c:formatCode>_(* #,##0_);_(* \(#,##0\);_(* "-"_);_(@_)</c:formatCode>
                <c:ptCount val="1"/>
                <c:pt idx="0">
                  <c:v>80000000</c:v>
                </c:pt>
              </c:numCache>
            </c:numRef>
          </c:xVal>
          <c:yVal>
            <c:numRef>
              <c:f>mmProd1!$I$72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D9-4017-A492-989077EA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25920"/>
        <c:axId val="136227456"/>
      </c:scatterChart>
      <c:valAx>
        <c:axId val="13622592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27456"/>
        <c:crosses val="autoZero"/>
        <c:crossBetween val="midCat"/>
      </c:valAx>
      <c:valAx>
        <c:axId val="13622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259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5</a:t>
            </a:r>
          </a:p>
        </c:rich>
      </c:tx>
      <c:layout>
        <c:manualLayout>
          <c:xMode val="edge"/>
          <c:yMode val="edge"/>
          <c:x val="0.43915455012567872"/>
          <c:y val="4.81283422459893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2834258110842744"/>
          <c:w val="0.73016061652771713"/>
          <c:h val="0.5668463998955545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mmProd1!$L$80:$L$86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64350000</c:v>
                </c:pt>
                <c:pt idx="2">
                  <c:v>128700000</c:v>
                </c:pt>
                <c:pt idx="3">
                  <c:v>195000000</c:v>
                </c:pt>
                <c:pt idx="4">
                  <c:v>259350000</c:v>
                </c:pt>
                <c:pt idx="5">
                  <c:v>323700000</c:v>
                </c:pt>
                <c:pt idx="6">
                  <c:v>390000000</c:v>
                </c:pt>
              </c:numCache>
            </c:numRef>
          </c:xVal>
          <c:yVal>
            <c:numRef>
              <c:f>mmProd1!$M$80:$M$86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6-41AB-AC2C-D6B8C3020AB5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1.554993264400372E-3"/>
                  <c:y val="-0.1037677809264798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76-41AB-AC2C-D6B8C3020A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mmProd1!$E$84</c:f>
              <c:numCache>
                <c:formatCode>_(* #,##0_);_(* \(#,##0\);_(* "-"_);_(@_)</c:formatCode>
                <c:ptCount val="1"/>
                <c:pt idx="0">
                  <c:v>195000000</c:v>
                </c:pt>
              </c:numCache>
            </c:numRef>
          </c:xVal>
          <c:yVal>
            <c:numRef>
              <c:f>mmProd1!$E$85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6-41AB-AC2C-D6B8C3020AB5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2391781281278358E-2"/>
                  <c:y val="-0.1819697560800704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76-41AB-AC2C-D6B8C3020A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mmProd1!$F$84</c:f>
              <c:numCache>
                <c:formatCode>_(* #,##0_);_(* \(#,##0\);_(* "-"_);_(@_)</c:formatCode>
                <c:ptCount val="1"/>
                <c:pt idx="0">
                  <c:v>195000000</c:v>
                </c:pt>
              </c:numCache>
            </c:numRef>
          </c:xVal>
          <c:yVal>
            <c:numRef>
              <c:f>mmProd1!$F$85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76-41AB-AC2C-D6B8C3020AB5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520306446619843E-2"/>
                  <c:y val="-0.2571746905904081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76-41AB-AC2C-D6B8C3020A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mmProd1!$G$84</c:f>
              <c:numCache>
                <c:formatCode>_(* #,##0_);_(* \(#,##0\);_(* "-"_);_(@_)</c:formatCode>
                <c:ptCount val="1"/>
                <c:pt idx="0">
                  <c:v>195000000</c:v>
                </c:pt>
              </c:numCache>
            </c:numRef>
          </c:xVal>
          <c:yVal>
            <c:numRef>
              <c:f>mmProd1!$G$85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76-41AB-AC2C-D6B8C3020AB5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8853569255125692E-2"/>
                  <c:y val="-0.3143575762800083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76-41AB-AC2C-D6B8C3020A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mmProd1!$H$84</c:f>
              <c:numCache>
                <c:formatCode>_(* #,##0_);_(* \(#,##0\);_(* "-"_);_(@_)</c:formatCode>
                <c:ptCount val="1"/>
                <c:pt idx="0">
                  <c:v>195000000</c:v>
                </c:pt>
              </c:numCache>
            </c:numRef>
          </c:xVal>
          <c:yVal>
            <c:numRef>
              <c:f>mmProd1!$H$85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76-41AB-AC2C-D6B8C3020AB5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2927518127010309E-2"/>
                  <c:y val="-0.383305489007787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76-41AB-AC2C-D6B8C3020A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mmProd1!$I$84</c:f>
              <c:numCache>
                <c:formatCode>_(* #,##0_);_(* \(#,##0\);_(* "-"_);_(@_)</c:formatCode>
                <c:ptCount val="1"/>
                <c:pt idx="0">
                  <c:v>195000000</c:v>
                </c:pt>
              </c:numCache>
            </c:numRef>
          </c:xVal>
          <c:yVal>
            <c:numRef>
              <c:f>mmProd1!$I$85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C76-41AB-AC2C-D6B8C3020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6704"/>
        <c:axId val="136378240"/>
      </c:scatterChart>
      <c:valAx>
        <c:axId val="13637670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78240"/>
        <c:crosses val="autoZero"/>
        <c:crossBetween val="midCat"/>
      </c:valAx>
      <c:valAx>
        <c:axId val="136378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767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6</a:t>
            </a:r>
          </a:p>
        </c:rich>
      </c:tx>
      <c:layout>
        <c:manualLayout>
          <c:xMode val="edge"/>
          <c:yMode val="edge"/>
          <c:x val="0.43979112558574157"/>
          <c:y val="5.2287581699346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4363284270805"/>
          <c:y val="0.15686374632191025"/>
          <c:w val="0.76439888283152357"/>
          <c:h val="0.5686310804169246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mmProd1!$L$92:$L$98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731.94879116080006</c:v>
                </c:pt>
                <c:pt idx="2">
                  <c:v>1463.8975823216001</c:v>
                </c:pt>
                <c:pt idx="3">
                  <c:v>2218.0266398812123</c:v>
                </c:pt>
                <c:pt idx="4">
                  <c:v>2949.9754310420126</c:v>
                </c:pt>
                <c:pt idx="5">
                  <c:v>3681.9242222028124</c:v>
                </c:pt>
                <c:pt idx="6">
                  <c:v>4436.0532797624246</c:v>
                </c:pt>
              </c:numCache>
            </c:numRef>
          </c:xVal>
          <c:yVal>
            <c:numRef>
              <c:f>mmProd1!$M$92:$M$98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B-4514-A3CF-7DB171021080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8066421056625595E-2"/>
                  <c:y val="-0.1073289783509003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3B-4514-A3CF-7DB1710210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mmProd1!$E$96</c:f>
              <c:numCache>
                <c:formatCode>_(* #,##0_);_(* \(#,##0\);_(* "-"_);_(@_)</c:formatCode>
                <c:ptCount val="1"/>
                <c:pt idx="0">
                  <c:v>2218.0266398812123</c:v>
                </c:pt>
              </c:numCache>
            </c:numRef>
          </c:xVal>
          <c:yVal>
            <c:numRef>
              <c:f>mmProd1!$E$97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B-4514-A3CF-7DB171021080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407956421489281E-2"/>
                  <c:y val="-0.1814182924363104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3B-4514-A3CF-7DB1710210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mmProd1!$F$96</c:f>
              <c:numCache>
                <c:formatCode>_(* #,##0_);_(* \(#,##0\);_(* "-"_);_(@_)</c:formatCode>
                <c:ptCount val="1"/>
                <c:pt idx="0">
                  <c:v>2218.0266398812123</c:v>
                </c:pt>
              </c:numCache>
            </c:numRef>
          </c:xVal>
          <c:yVal>
            <c:numRef>
              <c:f>mmProd1!$F$97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3B-4514-A3CF-7DB171021080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845154809553473E-2"/>
                  <c:y val="-0.1801600164815990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3B-4514-A3CF-7DB1710210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mmProd1!$G$96</c:f>
              <c:numCache>
                <c:formatCode>_(* #,##0_);_(* \(#,##0\);_(* "-"_);_(@_)</c:formatCode>
                <c:ptCount val="1"/>
                <c:pt idx="0">
                  <c:v>2218.0266398812123</c:v>
                </c:pt>
              </c:numCache>
            </c:numRef>
          </c:xVal>
          <c:yVal>
            <c:numRef>
              <c:f>mmProd1!$G$97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3B-4514-A3CF-7DB171021080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912254775053584E-2"/>
                  <c:y val="-0.317964198867292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3B-4514-A3CF-7DB1710210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mmProd1!$H$96</c:f>
              <c:numCache>
                <c:formatCode>_(* #,##0_);_(* \(#,##0\);_(* "-"_);_(@_)</c:formatCode>
                <c:ptCount val="1"/>
                <c:pt idx="0">
                  <c:v>2218.0266398812123</c:v>
                </c:pt>
              </c:numCache>
            </c:numRef>
          </c:xVal>
          <c:yVal>
            <c:numRef>
              <c:f>mmProd1!$H$97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3B-4514-A3CF-7DB171021080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636848844370315E-2"/>
                  <c:y val="-0.386397843247366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3B-4514-A3CF-7DB1710210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mmProd1!$I$96</c:f>
              <c:numCache>
                <c:formatCode>_(* #,##0_);_(* \(#,##0\);_(* "-"_);_(@_)</c:formatCode>
                <c:ptCount val="1"/>
                <c:pt idx="0">
                  <c:v>2218.0266398812123</c:v>
                </c:pt>
              </c:numCache>
            </c:numRef>
          </c:xVal>
          <c:yVal>
            <c:numRef>
              <c:f>mmProd1!$I$97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3B-4514-A3CF-7DB17102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37120"/>
        <c:axId val="136459392"/>
      </c:scatterChart>
      <c:valAx>
        <c:axId val="13643712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59392"/>
        <c:crosses val="autoZero"/>
        <c:crossBetween val="midCat"/>
      </c:valAx>
      <c:valAx>
        <c:axId val="136459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371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7</a:t>
            </a:r>
          </a:p>
        </c:rich>
      </c:tx>
      <c:layout>
        <c:manualLayout>
          <c:xMode val="edge"/>
          <c:yMode val="edge"/>
          <c:x val="0.43883034567487572"/>
          <c:y val="4.96894409937888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95762985895666"/>
          <c:y val="0.14906832298136646"/>
          <c:w val="0.77925633110706227"/>
          <c:h val="0.5962732919254658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mmProd1!$L$104:$L$110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mmProd1!$M$104:$M$110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5-4AA2-9848-479B4A528AAE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222081022089724E-2"/>
                  <c:y val="-0.1179165647772289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75-4AA2-9848-479B4A528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mmProd1!$E$109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75-4AA2-9848-479B4A528AAE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718238481118177E-2"/>
                  <c:y val="-0.1902440455812588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75-4AA2-9848-479B4A528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mmProd1!$F$109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75-4AA2-9848-479B4A528AAE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701492116040542E-2"/>
                  <c:y val="-0.26796302636083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75-4AA2-9848-479B4A528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mmProd1!$G$109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75-4AA2-9848-479B4A528AAE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598746493868201E-2"/>
                  <c:y val="-0.3350731158605174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75-4AA2-9848-479B4A528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mmProd1!$H$109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75-4AA2-9848-479B4A528AAE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953792260465043E-2"/>
                  <c:y val="-0.1843445656249490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75-4AA2-9848-479B4A528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mmProd1!$I$109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75-4AA2-9848-479B4A528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05984"/>
        <c:axId val="136520064"/>
      </c:scatterChart>
      <c:valAx>
        <c:axId val="13650598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20064"/>
        <c:crosses val="autoZero"/>
        <c:crossBetween val="midCat"/>
      </c:valAx>
      <c:valAx>
        <c:axId val="136520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059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8</a:t>
            </a:r>
          </a:p>
        </c:rich>
      </c:tx>
      <c:layout>
        <c:manualLayout>
          <c:xMode val="edge"/>
          <c:yMode val="edge"/>
          <c:x val="0.44063379940304293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84186881837074"/>
          <c:y val="0.13953527983988873"/>
          <c:w val="0.78891922220175192"/>
          <c:h val="0.6220947892861705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mmProd1!$L$116:$L$122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0.99</c:v>
                </c:pt>
                <c:pt idx="2">
                  <c:v>1.98</c:v>
                </c:pt>
                <c:pt idx="3">
                  <c:v>3</c:v>
                </c:pt>
                <c:pt idx="4">
                  <c:v>3.99</c:v>
                </c:pt>
                <c:pt idx="5">
                  <c:v>4.9799999999999995</c:v>
                </c:pt>
                <c:pt idx="6">
                  <c:v>6</c:v>
                </c:pt>
              </c:numCache>
            </c:numRef>
          </c:xVal>
          <c:yVal>
            <c:numRef>
              <c:f>mmProd1!$M$116:$M$122</c:f>
              <c:numCache>
                <c:formatCode>0%</c:formatCode>
                <c:ptCount val="7"/>
                <c:pt idx="0">
                  <c:v>1.3498980316300933E-3</c:v>
                </c:pt>
                <c:pt idx="1">
                  <c:v>2.2215594429431475E-2</c:v>
                </c:pt>
                <c:pt idx="2">
                  <c:v>0.15386423037273483</c:v>
                </c:pt>
                <c:pt idx="3">
                  <c:v>0.5</c:v>
                </c:pt>
                <c:pt idx="4">
                  <c:v>0.8389129404891692</c:v>
                </c:pt>
                <c:pt idx="5">
                  <c:v>0.97614823565849151</c:v>
                </c:pt>
                <c:pt idx="6">
                  <c:v>0.9986501019683699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4-4292-A9F7-7D6E1D540B96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17357857275265E-2"/>
                  <c:y val="-0.117637960030579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D4-4292-A9F7-7D6E1D540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mmProd1!$E$121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D4-4292-A9F7-7D6E1D540B96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944012258145465E-2"/>
                  <c:y val="-0.198929971603079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D4-4292-A9F7-7D6E1D540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mmProd1!$F$121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D4-4292-A9F7-7D6E1D540B96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812104399514368E-2"/>
                  <c:y val="-0.2455452998838112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D4-4292-A9F7-7D6E1D540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mmProd1!$G$121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D4-4292-A9F7-7D6E1D540B96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075920116776548E-2"/>
                  <c:y val="-0.3482743644980244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D4-4292-A9F7-7D6E1D540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mmProd1!$H$121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AD4-4292-A9F7-7D6E1D540B96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4846353802169294E-2"/>
                  <c:y val="-0.415111857508857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D4-4292-A9F7-7D6E1D540B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mmProd1!$I$121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AD4-4292-A9F7-7D6E1D540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41088"/>
        <c:axId val="136842624"/>
      </c:scatterChart>
      <c:valAx>
        <c:axId val="13684108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842624"/>
        <c:crosses val="autoZero"/>
        <c:crossBetween val="midCat"/>
      </c:valAx>
      <c:valAx>
        <c:axId val="136842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841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9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mmProd1!$L$128:$L$134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mmProd1!$M$128:$M$134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D-48E6-A844-24A4FCE1C7A9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FD-48E6-A844-24A4FCE1C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mmProd1!$E$133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FD-48E6-A844-24A4FCE1C7A9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FD-48E6-A844-24A4FCE1C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mmProd1!$F$133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FD-48E6-A844-24A4FCE1C7A9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FD-48E6-A844-24A4FCE1C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mmProd1!$G$133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FD-48E6-A844-24A4FCE1C7A9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FD-48E6-A844-24A4FCE1C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mmProd1!$H$133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5FD-48E6-A844-24A4FCE1C7A9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FD-48E6-A844-24A4FCE1C7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mmProd1!$I$133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5FD-48E6-A844-24A4FCE1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14048"/>
        <c:axId val="136915584"/>
      </c:scatterChart>
      <c:valAx>
        <c:axId val="13691404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915584"/>
        <c:crosses val="autoZero"/>
        <c:crossBetween val="midCat"/>
      </c:valAx>
      <c:valAx>
        <c:axId val="136915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9140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10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mmProd1!$L$140:$L$146</c:f>
            </c:numRef>
          </c:xVal>
          <c:yVal>
            <c:numRef>
              <c:f>mmProd1!$M$140:$M$146</c:f>
            </c:numRef>
          </c:yVal>
          <c:smooth val="0"/>
          <c:extLst>
            <c:ext xmlns:c16="http://schemas.microsoft.com/office/drawing/2014/chart" uri="{C3380CC4-5D6E-409C-BE32-E72D297353CC}">
              <c16:uniqueId val="{00000000-8063-4C89-B626-FCEE57A573CC}"/>
            </c:ext>
          </c:extLst>
        </c:ser>
        <c:ser>
          <c:idx val="5"/>
          <c:order val="1"/>
          <c:tx>
            <c:strRef>
              <c:f>mmProd1!$E$1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63-4C89-B626-FCEE57A57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mmProd1!$E$144</c:f>
            </c:numRef>
          </c:xVal>
          <c:yVal>
            <c:numRef>
              <c:f>mmProd1!$E$145</c:f>
            </c:numRef>
          </c:yVal>
          <c:smooth val="0"/>
          <c:extLst>
            <c:ext xmlns:c16="http://schemas.microsoft.com/office/drawing/2014/chart" uri="{C3380CC4-5D6E-409C-BE32-E72D297353CC}">
              <c16:uniqueId val="{00000002-8063-4C89-B626-FCEE57A573CC}"/>
            </c:ext>
          </c:extLst>
        </c:ser>
        <c:ser>
          <c:idx val="4"/>
          <c:order val="2"/>
          <c:tx>
            <c:strRef>
              <c:f>mmProd1!$F$1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63-4C89-B626-FCEE57A57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mmProd1!$F$144</c:f>
            </c:numRef>
          </c:xVal>
          <c:yVal>
            <c:numRef>
              <c:f>mmProd1!$F$145</c:f>
            </c:numRef>
          </c:yVal>
          <c:smooth val="0"/>
          <c:extLst>
            <c:ext xmlns:c16="http://schemas.microsoft.com/office/drawing/2014/chart" uri="{C3380CC4-5D6E-409C-BE32-E72D297353CC}">
              <c16:uniqueId val="{00000004-8063-4C89-B626-FCEE57A573CC}"/>
            </c:ext>
          </c:extLst>
        </c:ser>
        <c:ser>
          <c:idx val="3"/>
          <c:order val="3"/>
          <c:tx>
            <c:strRef>
              <c:f>mmProd1!$G$1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63-4C89-B626-FCEE57A57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mmProd1!$G$144</c:f>
            </c:numRef>
          </c:xVal>
          <c:yVal>
            <c:numRef>
              <c:f>mmProd1!$G$145</c:f>
            </c:numRef>
          </c:yVal>
          <c:smooth val="0"/>
          <c:extLst>
            <c:ext xmlns:c16="http://schemas.microsoft.com/office/drawing/2014/chart" uri="{C3380CC4-5D6E-409C-BE32-E72D297353CC}">
              <c16:uniqueId val="{00000006-8063-4C89-B626-FCEE57A573CC}"/>
            </c:ext>
          </c:extLst>
        </c:ser>
        <c:ser>
          <c:idx val="1"/>
          <c:order val="4"/>
          <c:tx>
            <c:strRef>
              <c:f>mmProd1!$H$1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63-4C89-B626-FCEE57A57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mmProd1!$H$144</c:f>
            </c:numRef>
          </c:xVal>
          <c:yVal>
            <c:numRef>
              <c:f>mmProd1!$H$145</c:f>
            </c:numRef>
          </c:yVal>
          <c:smooth val="0"/>
          <c:extLst>
            <c:ext xmlns:c16="http://schemas.microsoft.com/office/drawing/2014/chart" uri="{C3380CC4-5D6E-409C-BE32-E72D297353CC}">
              <c16:uniqueId val="{00000008-8063-4C89-B626-FCEE57A573CC}"/>
            </c:ext>
          </c:extLst>
        </c:ser>
        <c:ser>
          <c:idx val="2"/>
          <c:order val="5"/>
          <c:tx>
            <c:strRef>
              <c:f>mmProd1!$I$1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63-4C89-B626-FCEE57A57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mmProd1!$I$144</c:f>
            </c:numRef>
          </c:xVal>
          <c:yVal>
            <c:numRef>
              <c:f>mmProd1!$I$145</c:f>
            </c:numRef>
          </c:yVal>
          <c:smooth val="0"/>
          <c:extLst>
            <c:ext xmlns:c16="http://schemas.microsoft.com/office/drawing/2014/chart" uri="{C3380CC4-5D6E-409C-BE32-E72D297353CC}">
              <c16:uniqueId val="{0000000A-8063-4C89-B626-FCEE57A57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07488"/>
        <c:axId val="137009024"/>
      </c:scatterChart>
      <c:valAx>
        <c:axId val="13700748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09024"/>
        <c:crosses val="autoZero"/>
        <c:crossBetween val="midCat"/>
      </c:valAx>
      <c:valAx>
        <c:axId val="137009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074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Price</a:t>
            </a:r>
          </a:p>
        </c:rich>
      </c:tx>
      <c:layout>
        <c:manualLayout>
          <c:xMode val="edge"/>
          <c:yMode val="edge"/>
          <c:x val="0.45730143236227705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47693234798002"/>
          <c:y val="0.151516048272066"/>
          <c:w val="0.80716470591400313"/>
          <c:h val="0.59394290922649873"/>
        </c:manualLayout>
      </c:layout>
      <c:scatterChart>
        <c:scatterStyle val="lineMarker"/>
        <c:varyColors val="0"/>
        <c:ser>
          <c:idx val="0"/>
          <c:order val="0"/>
          <c:tx>
            <c:strRef>
              <c:f>mmProd2!$L$26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mmProd2!$L$27:$L$33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mmProd2!$M$27:$M$33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C-47DB-9D8F-2D28F62A73EA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5638196478059603"/>
                  <c:y val="3.0303209654413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DC-47DB-9D8F-2D28F62A73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mmProd2!$E$29</c:f>
              <c:numCache>
                <c:formatCode>_(* #,##0.00_);_(* \(#,##0.00\);_(* "-"??_);_(@_)</c:formatCode>
                <c:ptCount val="1"/>
              </c:numCache>
            </c:numRef>
          </c:xVal>
          <c:yVal>
            <c:numRef>
              <c:f>mmProd2!$E$30</c:f>
              <c:numCache>
                <c:formatCode>_(* #,##0.00_);_(* \(#,##0.00\);_(* "-"??_);_(@_)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C-47DB-9D8F-2D28F62A73EA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5638196478059603"/>
                  <c:y val="3.0303209654413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DC-47DB-9D8F-2D28F62A73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mmProd2!$F$29</c:f>
              <c:numCache>
                <c:formatCode>_(* #,##0.00_);_(* \(#,##0.00\);_(* "-"??_);_(@_)</c:formatCode>
                <c:ptCount val="1"/>
              </c:numCache>
            </c:numRef>
          </c:xVal>
          <c:yVal>
            <c:numRef>
              <c:f>mmProd2!$F$30</c:f>
              <c:numCache>
                <c:formatCode>_(* #,##0.00_);_(* \(#,##0.00\);_(* "-"??_);_(@_)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DC-47DB-9D8F-2D28F62A73EA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5638196478059603"/>
                  <c:y val="3.0303209654413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DC-47DB-9D8F-2D28F62A73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mmProd2!$G$29</c:f>
              <c:numCache>
                <c:formatCode>_(* #,##0.00_);_(* \(#,##0.00\);_(* "-"??_);_(@_)</c:formatCode>
                <c:ptCount val="1"/>
              </c:numCache>
            </c:numRef>
          </c:xVal>
          <c:yVal>
            <c:numRef>
              <c:f>mmProd2!$G$30</c:f>
              <c:numCache>
                <c:formatCode>_(* #,##0.00_);_(* \(#,##0.00\);_(* "-"??_);_(@_)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2DC-47DB-9D8F-2D28F62A73EA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5638196478059603"/>
                  <c:y val="3.0303209654413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DC-47DB-9D8F-2D28F62A73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mmProd2!$H$29</c:f>
              <c:numCache>
                <c:formatCode>_(* #,##0.00_);_(* \(#,##0.00\);_(* "-"??_);_(@_)</c:formatCode>
                <c:ptCount val="1"/>
              </c:numCache>
            </c:numRef>
          </c:xVal>
          <c:yVal>
            <c:numRef>
              <c:f>mmProd2!$H$30</c:f>
              <c:numCache>
                <c:formatCode>_(* #,##0.00_);_(* \(#,##0.00\);_(* "-"??_);_(@_)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2DC-47DB-9D8F-2D28F62A73EA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5638196478059603"/>
                  <c:y val="3.03032096544132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DC-47DB-9D8F-2D28F62A73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mmProd2!$I$29</c:f>
              <c:numCache>
                <c:formatCode>_(* #,##0.00_);_(* \(#,##0.00\);_(* "-"??_);_(@_)</c:formatCode>
                <c:ptCount val="1"/>
              </c:numCache>
            </c:numRef>
          </c:xVal>
          <c:yVal>
            <c:numRef>
              <c:f>mmProd2!$I$30</c:f>
              <c:numCache>
                <c:formatCode>_(* #,##0.00_);_(* \(#,##0.00\);_(* "-"??_);_(@_)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2DC-47DB-9D8F-2D28F62A7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91424"/>
        <c:axId val="137192960"/>
      </c:scatterChart>
      <c:valAx>
        <c:axId val="13719142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92960"/>
        <c:crosses val="autoZero"/>
        <c:crossBetween val="midCat"/>
      </c:valAx>
      <c:valAx>
        <c:axId val="137192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914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Advertising</a:t>
            </a:r>
          </a:p>
        </c:rich>
      </c:tx>
      <c:layout>
        <c:manualLayout>
          <c:xMode val="edge"/>
          <c:yMode val="edge"/>
          <c:x val="0.40970350404312667"/>
          <c:y val="4.8780487804878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68463611859837"/>
          <c:y val="0.14634146341463414"/>
          <c:w val="0.80862533692722371"/>
          <c:h val="0.597560975609756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mmProd2!$L$39:$L$45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mmProd2!$M$39:$M$45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1D-4985-9588-7481F0D5182C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78885893980233601"/>
                  <c:y val="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1D-4985-9588-7481F0D51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mmProd2!$E$42</c:f>
              <c:numCache>
                <c:formatCode>_(* #,##0_);_(* \(#,##0\);_(* "-"_);_(@_)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1D-4985-9588-7481F0D5182C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78885893980233601"/>
                  <c:y val="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1D-4985-9588-7481F0D51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mmProd2!$F$42</c:f>
              <c:numCache>
                <c:formatCode>_(* #,##0_);_(* \(#,##0\);_(* "-"_);_(@_)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1D-4985-9588-7481F0D5182C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78885893980233601"/>
                  <c:y val="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1D-4985-9588-7481F0D51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mmProd2!$G$42</c:f>
              <c:numCache>
                <c:formatCode>_(* #,##0_);_(* \(#,##0\);_(* "-"_);_(@_)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1D-4985-9588-7481F0D5182C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78885893980233601"/>
                  <c:y val="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1D-4985-9588-7481F0D51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mmProd2!$H$42</c:f>
              <c:numCache>
                <c:formatCode>_(* #,##0_);_(* \(#,##0\);_(* "-"_);_(@_)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1D-4985-9588-7481F0D5182C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78885893980233601"/>
                  <c:y val="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B1D-4985-9588-7481F0D518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mmProd2!$I$42</c:f>
              <c:numCache>
                <c:formatCode>_(* #,##0_);_(* \(#,##0\);_(* "-"_);_(@_)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1D-4985-9588-7481F0D51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60032"/>
        <c:axId val="137290496"/>
      </c:scatterChart>
      <c:valAx>
        <c:axId val="13726003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290496"/>
        <c:crosses val="autoZero"/>
        <c:crossBetween val="midCat"/>
      </c:valAx>
      <c:valAx>
        <c:axId val="137290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2600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Features</a:t>
            </a:r>
          </a:p>
        </c:rich>
      </c:tx>
      <c:layout>
        <c:manualLayout>
          <c:xMode val="edge"/>
          <c:yMode val="edge"/>
          <c:x val="0.43193772244438028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80119769663891"/>
          <c:y val="0.12727348054853543"/>
          <c:w val="0.8141371663034378"/>
          <c:h val="0.6060641930882639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mmProd2!$L$54:$L$60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mmProd2!$M$54:$M$60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C5-4866-80CE-C48505D591EB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6010113216935E-2"/>
                  <c:y val="-0.1143642413332681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C5-4866-80CE-C48505D59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mmProd2!$E$53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mmProd2!$E$54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C5-4866-80CE-C48505D591EB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043814506475556E-2"/>
                  <c:y val="-0.193152586434742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C5-4866-80CE-C48505D59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mmProd2!$F$53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mmProd2!$F$54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C5-4866-80CE-C48505D591EB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043814506475556E-2"/>
                  <c:y val="-0.2719409315362168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C5-4866-80CE-C48505D59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mmProd2!$G$53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mmProd2!$G$54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C5-4866-80CE-C48505D591EB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043814506475556E-2"/>
                  <c:y val="-0.33860799277592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C5-4866-80CE-C48505D59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mmProd2!$H$53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mmProd2!$H$54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6C5-4866-80CE-C48505D591EB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7661618899734206E-2"/>
                  <c:y val="-0.411335695946517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C5-4866-80CE-C48505D59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mmProd2!$I$53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mmProd2!$I$54</c:f>
              <c:numCache>
                <c:formatCode>_(* #,##0.00_);_(* \(#,##0.00\);_(* "-"_);_(@_)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6C5-4866-80CE-C48505D59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20704"/>
        <c:axId val="137351168"/>
      </c:scatterChart>
      <c:valAx>
        <c:axId val="13732070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51168"/>
        <c:crosses val="autoZero"/>
        <c:crossBetween val="midCat"/>
      </c:valAx>
      <c:valAx>
        <c:axId val="137351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207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4</a:t>
            </a:r>
          </a:p>
        </c:rich>
      </c:tx>
      <c:layout>
        <c:manualLayout>
          <c:xMode val="edge"/>
          <c:yMode val="edge"/>
          <c:x val="0.43979112558574157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439824371912291"/>
          <c:y val="0.14545540634118337"/>
          <c:w val="0.67277572906747107"/>
          <c:h val="0.6000035511573813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mmProd2!$L$67:$L$73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mmProd2!$M$67:$M$73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13-4A09-85B1-A27467395CA6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-0.1658790857404806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D13-4A09-85B1-A27467395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mmProd2!$E$65</c:f>
              <c:numCache>
                <c:formatCode>General</c:formatCode>
                <c:ptCount val="1"/>
              </c:numCache>
            </c:numRef>
          </c:xVal>
          <c:yVal>
            <c:numRef>
              <c:f>mmProd2!$E$66</c:f>
              <c:numCache>
                <c:formatCode>_(* #,##0_);_(* \(#,##0\);_(* "-"??_);_(@_)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13-4A09-85B1-A27467395CA6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-0.665877495030228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13-4A09-85B1-A27467395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mmProd2!$F$65</c:f>
              <c:numCache>
                <c:formatCode>General</c:formatCode>
                <c:ptCount val="1"/>
              </c:numCache>
            </c:numRef>
          </c:xVal>
          <c:yVal>
            <c:numRef>
              <c:f>mmProd2!$F$66</c:f>
              <c:numCache>
                <c:formatCode>_(* #,##0_);_(* \(#,##0\);_(* "-"??_);_(@_)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13-4A09-85B1-A27467395CA6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-0.2158795629535562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13-4A09-85B1-A27467395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mmProd2!$G$65</c:f>
              <c:numCache>
                <c:formatCode>General</c:formatCode>
                <c:ptCount val="1"/>
              </c:numCache>
            </c:numRef>
          </c:xVal>
          <c:yVal>
            <c:numRef>
              <c:f>mmProd2!$G$66</c:f>
              <c:numCache>
                <c:formatCode>_(* #,##0_);_(* \(#,##0\);_(* "-"??_);_(@_)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13-4A09-85B1-A27467395CA6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-0.4658813127348335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13-4A09-85B1-A27467395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mmProd2!$H$65</c:f>
              <c:numCache>
                <c:formatCode>General</c:formatCode>
                <c:ptCount val="1"/>
              </c:numCache>
            </c:numRef>
          </c:xVal>
          <c:yVal>
            <c:numRef>
              <c:f>mmProd2!$H$66</c:f>
              <c:numCache>
                <c:formatCode>_(* #,##0_);_(* \(#,##0\);_(* "-"??_);_(@_)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D13-4A09-85B1-A27467395CA6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-0.495881471805858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D13-4A09-85B1-A27467395C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mmProd2!$I$65</c:f>
              <c:numCache>
                <c:formatCode>General</c:formatCode>
                <c:ptCount val="1"/>
              </c:numCache>
            </c:numRef>
          </c:xVal>
          <c:yVal>
            <c:numRef>
              <c:f>mmProd2!$I$66</c:f>
              <c:numCache>
                <c:formatCode>_(* #,##0_);_(* \(#,##0\);_(* "-"??_);_(@_)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D13-4A09-85B1-A2746739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97760"/>
        <c:axId val="137399296"/>
      </c:scatterChart>
      <c:valAx>
        <c:axId val="13739776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99296"/>
        <c:crosses val="autoZero"/>
        <c:crossBetween val="midCat"/>
      </c:valAx>
      <c:valAx>
        <c:axId val="137399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977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5</a:t>
            </a:r>
          </a:p>
        </c:rich>
      </c:tx>
      <c:layout>
        <c:manualLayout>
          <c:xMode val="edge"/>
          <c:yMode val="edge"/>
          <c:x val="0.43979112558574157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03680648315619"/>
          <c:y val="0.13953527983988873"/>
          <c:w val="0.8141371663034378"/>
          <c:h val="0.616280819292841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mmProd2!$L$80:$L$86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mmProd2!$M$80:$M$86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7-4DFC-957A-3FA0EB971B5F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2.90698499666434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7F7-4DFC-957A-3FA0EB971B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mmProd2!$E$77</c:f>
              <c:numCache>
                <c:formatCode>General</c:formatCode>
                <c:ptCount val="1"/>
              </c:numCache>
            </c:numRef>
          </c:xVal>
          <c:yVal>
            <c:numRef>
              <c:f>mmProd2!$E$78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F7-4DFC-957A-3FA0EB971B5F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2.90698499666434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F7-4DFC-957A-3FA0EB971B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mmProd2!$F$77</c:f>
              <c:numCache>
                <c:formatCode>General</c:formatCode>
                <c:ptCount val="1"/>
              </c:numCache>
            </c:numRef>
          </c:xVal>
          <c:yVal>
            <c:numRef>
              <c:f>mmProd2!$F$78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F7-4DFC-957A-3FA0EB971B5F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2.90698499666434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7F7-4DFC-957A-3FA0EB971B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mmProd2!$G$77</c:f>
              <c:numCache>
                <c:formatCode>General</c:formatCode>
                <c:ptCount val="1"/>
              </c:numCache>
            </c:numRef>
          </c:xVal>
          <c:yVal>
            <c:numRef>
              <c:f>mmProd2!$G$78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F7-4DFC-957A-3FA0EB971B5F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2.90698499666434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F7-4DFC-957A-3FA0EB971B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mmProd2!$H$77</c:f>
              <c:numCache>
                <c:formatCode>General</c:formatCode>
                <c:ptCount val="1"/>
              </c:numCache>
            </c:numRef>
          </c:xVal>
          <c:yVal>
            <c:numRef>
              <c:f>mmProd2!$H$78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7F7-4DFC-957A-3FA0EB971B5F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352528867943101"/>
                  <c:y val="2.90698499666434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7F7-4DFC-957A-3FA0EB971B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mmProd2!$I$77</c:f>
              <c:numCache>
                <c:formatCode>General</c:formatCode>
                <c:ptCount val="1"/>
              </c:numCache>
            </c:numRef>
          </c:xVal>
          <c:yVal>
            <c:numRef>
              <c:f>mmProd2!$I$78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7F7-4DFC-957A-3FA0EB97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56736"/>
        <c:axId val="137558272"/>
      </c:scatterChart>
      <c:valAx>
        <c:axId val="13755673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58272"/>
        <c:crosses val="autoZero"/>
        <c:crossBetween val="midCat"/>
      </c:valAx>
      <c:valAx>
        <c:axId val="137558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567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6</a:t>
            </a:r>
          </a:p>
        </c:rich>
      </c:tx>
      <c:layout>
        <c:manualLayout>
          <c:xMode val="edge"/>
          <c:yMode val="edge"/>
          <c:x val="0.44041450777202074"/>
          <c:y val="5.2287581699346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76165803108809"/>
          <c:y val="0.15686374632191025"/>
          <c:w val="0.81606217616580312"/>
          <c:h val="0.5686310804169246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mmProd2!$L$92:$L$98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mmProd2!$M$92:$M$98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8-42A5-8C09-301804FE3249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493955094991359"/>
                  <c:y val="3.26799471503979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48-42A5-8C09-301804FE3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mmProd2!$E$89</c:f>
              <c:numCache>
                <c:formatCode>General</c:formatCode>
                <c:ptCount val="1"/>
              </c:numCache>
            </c:numRef>
          </c:xVal>
          <c:yVal>
            <c:numRef>
              <c:f>mmProd2!$E$90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48-42A5-8C09-301804FE3249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493955094991359"/>
                  <c:y val="3.26799471503979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48-42A5-8C09-301804FE3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mmProd2!$F$89</c:f>
              <c:numCache>
                <c:formatCode>General</c:formatCode>
                <c:ptCount val="1"/>
              </c:numCache>
            </c:numRef>
          </c:xVal>
          <c:yVal>
            <c:numRef>
              <c:f>mmProd2!$F$90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48-42A5-8C09-301804FE3249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493955094991359"/>
                  <c:y val="3.26799471503979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48-42A5-8C09-301804FE3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mmProd2!$G$89</c:f>
              <c:numCache>
                <c:formatCode>General</c:formatCode>
                <c:ptCount val="1"/>
              </c:numCache>
            </c:numRef>
          </c:xVal>
          <c:yVal>
            <c:numRef>
              <c:f>mmProd2!$G$90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48-42A5-8C09-301804FE3249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493955094991359"/>
                  <c:y val="3.26799471503979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48-42A5-8C09-301804FE3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mmProd2!$H$89</c:f>
              <c:numCache>
                <c:formatCode>General</c:formatCode>
                <c:ptCount val="1"/>
              </c:numCache>
            </c:numRef>
          </c:xVal>
          <c:yVal>
            <c:numRef>
              <c:f>mmProd2!$H$90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48-42A5-8C09-301804FE3249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493955094991359"/>
                  <c:y val="3.26799471503979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248-42A5-8C09-301804FE3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mmProd2!$I$89</c:f>
              <c:numCache>
                <c:formatCode>General</c:formatCode>
                <c:ptCount val="1"/>
              </c:numCache>
            </c:numRef>
          </c:xVal>
          <c:yVal>
            <c:numRef>
              <c:f>mmProd2!$I$90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48-42A5-8C09-301804FE3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95232"/>
        <c:axId val="137696768"/>
      </c:scatterChart>
      <c:valAx>
        <c:axId val="13769523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696768"/>
        <c:crosses val="autoZero"/>
        <c:crossBetween val="midCat"/>
      </c:valAx>
      <c:valAx>
        <c:axId val="137696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6952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7</a:t>
            </a:r>
          </a:p>
        </c:rich>
      </c:tx>
      <c:layout>
        <c:manualLayout>
          <c:xMode val="edge"/>
          <c:yMode val="edge"/>
          <c:x val="0.43947368421052629"/>
          <c:y val="4.96894409937888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68421052631579"/>
          <c:y val="0.14906832298136646"/>
          <c:w val="0.81315789473684208"/>
          <c:h val="0.5900621118012422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mmProd2!$L$104:$L$110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mmProd2!$M$104:$M$110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4-4EC7-B8C2-85E1DA0E1BE5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280701754385969"/>
                  <c:y val="3.105590062111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14-4EC7-B8C2-85E1DA0E1B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mmProd2!$E$101</c:f>
              <c:numCache>
                <c:formatCode>General</c:formatCode>
                <c:ptCount val="1"/>
              </c:numCache>
            </c:numRef>
          </c:xVal>
          <c:yVal>
            <c:numRef>
              <c:f>mmProd2!$E$102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4-4EC7-B8C2-85E1DA0E1BE5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280701754385969"/>
                  <c:y val="3.105590062111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14-4EC7-B8C2-85E1DA0E1B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mmProd2!$F$101</c:f>
              <c:numCache>
                <c:formatCode>General</c:formatCode>
                <c:ptCount val="1"/>
              </c:numCache>
            </c:numRef>
          </c:xVal>
          <c:yVal>
            <c:numRef>
              <c:f>mmProd2!$F$102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4-4EC7-B8C2-85E1DA0E1BE5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280701754385969"/>
                  <c:y val="3.105590062111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14-4EC7-B8C2-85E1DA0E1B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mmProd2!$G$101</c:f>
              <c:numCache>
                <c:formatCode>General</c:formatCode>
                <c:ptCount val="1"/>
              </c:numCache>
            </c:numRef>
          </c:xVal>
          <c:yVal>
            <c:numRef>
              <c:f>mmProd2!$G$102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4-4EC7-B8C2-85E1DA0E1BE5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280701754385969"/>
                  <c:y val="3.105590062111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4-4EC7-B8C2-85E1DA0E1B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mmProd2!$H$101</c:f>
              <c:numCache>
                <c:formatCode>General</c:formatCode>
                <c:ptCount val="1"/>
              </c:numCache>
            </c:numRef>
          </c:xVal>
          <c:yVal>
            <c:numRef>
              <c:f>mmProd2!$H$102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4-4EC7-B8C2-85E1DA0E1BE5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86280701754385969"/>
                  <c:y val="3.105590062111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4-4EC7-B8C2-85E1DA0E1B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mmProd2!$I$101</c:f>
              <c:numCache>
                <c:formatCode>General</c:formatCode>
                <c:ptCount val="1"/>
              </c:numCache>
            </c:numRef>
          </c:xVal>
          <c:yVal>
            <c:numRef>
              <c:f>mmProd2!$I$102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C14-4EC7-B8C2-85E1DA0E1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91520"/>
        <c:axId val="138093312"/>
      </c:scatterChart>
      <c:valAx>
        <c:axId val="13809152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093312"/>
        <c:crosses val="autoZero"/>
        <c:crossBetween val="midCat"/>
      </c:valAx>
      <c:valAx>
        <c:axId val="1380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0915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mmProd2!$L$116:$L$122</c:f>
            </c:numRef>
          </c:xVal>
          <c:yVal>
            <c:numRef>
              <c:f>mmProd2!$M$116:$M$122</c:f>
            </c:numRef>
          </c:yVal>
          <c:smooth val="0"/>
          <c:extLst>
            <c:ext xmlns:c16="http://schemas.microsoft.com/office/drawing/2014/chart" uri="{C3380CC4-5D6E-409C-BE32-E72D297353CC}">
              <c16:uniqueId val="{00000000-F315-4914-A029-C0D149A6B194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15-4914-A029-C0D149A6B1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mmProd2!$E$113</c:f>
            </c:numRef>
          </c:xVal>
          <c:yVal>
            <c:numRef>
              <c:f>mmProd2!$E$114</c:f>
            </c:numRef>
          </c:yVal>
          <c:smooth val="0"/>
          <c:extLst>
            <c:ext xmlns:c16="http://schemas.microsoft.com/office/drawing/2014/chart" uri="{C3380CC4-5D6E-409C-BE32-E72D297353CC}">
              <c16:uniqueId val="{00000002-F315-4914-A029-C0D149A6B194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15-4914-A029-C0D149A6B1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mmProd2!$F$113</c:f>
            </c:numRef>
          </c:xVal>
          <c:yVal>
            <c:numRef>
              <c:f>mmProd2!$F$114</c:f>
            </c:numRef>
          </c:yVal>
          <c:smooth val="0"/>
          <c:extLst>
            <c:ext xmlns:c16="http://schemas.microsoft.com/office/drawing/2014/chart" uri="{C3380CC4-5D6E-409C-BE32-E72D297353CC}">
              <c16:uniqueId val="{00000004-F315-4914-A029-C0D149A6B194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15-4914-A029-C0D149A6B1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mmProd2!$G$113</c:f>
            </c:numRef>
          </c:xVal>
          <c:yVal>
            <c:numRef>
              <c:f>mmProd2!$G$114</c:f>
            </c:numRef>
          </c:yVal>
          <c:smooth val="0"/>
          <c:extLst>
            <c:ext xmlns:c16="http://schemas.microsoft.com/office/drawing/2014/chart" uri="{C3380CC4-5D6E-409C-BE32-E72D297353CC}">
              <c16:uniqueId val="{00000006-F315-4914-A029-C0D149A6B194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15-4914-A029-C0D149A6B1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mmProd2!$H$113</c:f>
            </c:numRef>
          </c:xVal>
          <c:yVal>
            <c:numRef>
              <c:f>mmProd2!$H$114</c:f>
            </c:numRef>
          </c:yVal>
          <c:smooth val="0"/>
          <c:extLst>
            <c:ext xmlns:c16="http://schemas.microsoft.com/office/drawing/2014/chart" uri="{C3380CC4-5D6E-409C-BE32-E72D297353CC}">
              <c16:uniqueId val="{00000008-F315-4914-A029-C0D149A6B194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15-4914-A029-C0D149A6B1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mmProd2!$I$113</c:f>
            </c:numRef>
          </c:xVal>
          <c:yVal>
            <c:numRef>
              <c:f>mmProd2!$I$114</c:f>
            </c:numRef>
          </c:yVal>
          <c:smooth val="0"/>
          <c:extLst>
            <c:ext xmlns:c16="http://schemas.microsoft.com/office/drawing/2014/chart" uri="{C3380CC4-5D6E-409C-BE32-E72D297353CC}">
              <c16:uniqueId val="{0000000A-F315-4914-A029-C0D149A6B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160384"/>
        <c:axId val="138186752"/>
      </c:scatterChart>
      <c:valAx>
        <c:axId val="13816038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186752"/>
        <c:crosses val="autoZero"/>
        <c:crossBetween val="midCat"/>
      </c:valAx>
      <c:valAx>
        <c:axId val="138186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1603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9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mmProd2!$L$128:$L$134</c:f>
            </c:numRef>
          </c:xVal>
          <c:yVal>
            <c:numRef>
              <c:f>mmProd2!$M$128:$M$134</c:f>
            </c:numRef>
          </c:yVal>
          <c:smooth val="0"/>
          <c:extLst>
            <c:ext xmlns:c16="http://schemas.microsoft.com/office/drawing/2014/chart" uri="{C3380CC4-5D6E-409C-BE32-E72D297353CC}">
              <c16:uniqueId val="{00000000-4BC5-4EC5-BBFA-009A057C9B6B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C5-4EC5-BBFA-009A057C9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mmProd2!$E$125</c:f>
            </c:numRef>
          </c:xVal>
          <c:yVal>
            <c:numRef>
              <c:f>mmProd2!$E$126</c:f>
            </c:numRef>
          </c:yVal>
          <c:smooth val="0"/>
          <c:extLst>
            <c:ext xmlns:c16="http://schemas.microsoft.com/office/drawing/2014/chart" uri="{C3380CC4-5D6E-409C-BE32-E72D297353CC}">
              <c16:uniqueId val="{00000002-4BC5-4EC5-BBFA-009A057C9B6B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C5-4EC5-BBFA-009A057C9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mmProd2!$F$125</c:f>
            </c:numRef>
          </c:xVal>
          <c:yVal>
            <c:numRef>
              <c:f>mmProd2!$F$126</c:f>
            </c:numRef>
          </c:yVal>
          <c:smooth val="0"/>
          <c:extLst>
            <c:ext xmlns:c16="http://schemas.microsoft.com/office/drawing/2014/chart" uri="{C3380CC4-5D6E-409C-BE32-E72D297353CC}">
              <c16:uniqueId val="{00000004-4BC5-4EC5-BBFA-009A057C9B6B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C5-4EC5-BBFA-009A057C9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mmProd2!$G$125</c:f>
            </c:numRef>
          </c:xVal>
          <c:yVal>
            <c:numRef>
              <c:f>mmProd2!$G$126</c:f>
            </c:numRef>
          </c:yVal>
          <c:smooth val="0"/>
          <c:extLst>
            <c:ext xmlns:c16="http://schemas.microsoft.com/office/drawing/2014/chart" uri="{C3380CC4-5D6E-409C-BE32-E72D297353CC}">
              <c16:uniqueId val="{00000006-4BC5-4EC5-BBFA-009A057C9B6B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C5-4EC5-BBFA-009A057C9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mmProd2!$H$125</c:f>
            </c:numRef>
          </c:xVal>
          <c:yVal>
            <c:numRef>
              <c:f>mmProd2!$H$126</c:f>
            </c:numRef>
          </c:yVal>
          <c:smooth val="0"/>
          <c:extLst>
            <c:ext xmlns:c16="http://schemas.microsoft.com/office/drawing/2014/chart" uri="{C3380CC4-5D6E-409C-BE32-E72D297353CC}">
              <c16:uniqueId val="{00000008-4BC5-4EC5-BBFA-009A057C9B6B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C5-4EC5-BBFA-009A057C9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mmProd2!$I$125</c:f>
            </c:numRef>
          </c:xVal>
          <c:yVal>
            <c:numRef>
              <c:f>mmProd2!$I$126</c:f>
            </c:numRef>
          </c:yVal>
          <c:smooth val="0"/>
          <c:extLst>
            <c:ext xmlns:c16="http://schemas.microsoft.com/office/drawing/2014/chart" uri="{C3380CC4-5D6E-409C-BE32-E72D297353CC}">
              <c16:uniqueId val="{0000000A-4BC5-4EC5-BBFA-009A057C9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57920"/>
        <c:axId val="138259456"/>
      </c:scatterChart>
      <c:valAx>
        <c:axId val="13825792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59456"/>
        <c:crosses val="autoZero"/>
        <c:crossBetween val="midCat"/>
      </c:valAx>
      <c:valAx>
        <c:axId val="138259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579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10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mmProd2!$L$140:$L$146</c:f>
            </c:numRef>
          </c:xVal>
          <c:yVal>
            <c:numRef>
              <c:f>mmProd2!$M$140:$M$146</c:f>
            </c:numRef>
          </c:yVal>
          <c:smooth val="0"/>
          <c:extLst>
            <c:ext xmlns:c16="http://schemas.microsoft.com/office/drawing/2014/chart" uri="{C3380CC4-5D6E-409C-BE32-E72D297353CC}">
              <c16:uniqueId val="{00000000-82BD-4F0D-9238-24C26133E81D}"/>
            </c:ext>
          </c:extLst>
        </c:ser>
        <c:ser>
          <c:idx val="5"/>
          <c:order val="1"/>
          <c:tx>
            <c:strRef>
              <c:f>mmProd2!$E$1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BD-4F0D-9238-24C26133E8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mmProd2!$E$137</c:f>
            </c:numRef>
          </c:xVal>
          <c:yVal>
            <c:numRef>
              <c:f>mmProd2!$E$138</c:f>
            </c:numRef>
          </c:yVal>
          <c:smooth val="0"/>
          <c:extLst>
            <c:ext xmlns:c16="http://schemas.microsoft.com/office/drawing/2014/chart" uri="{C3380CC4-5D6E-409C-BE32-E72D297353CC}">
              <c16:uniqueId val="{00000002-82BD-4F0D-9238-24C26133E81D}"/>
            </c:ext>
          </c:extLst>
        </c:ser>
        <c:ser>
          <c:idx val="4"/>
          <c:order val="2"/>
          <c:tx>
            <c:strRef>
              <c:f>mmProd2!$F$1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BD-4F0D-9238-24C26133E8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mmProd2!$F$137</c:f>
            </c:numRef>
          </c:xVal>
          <c:yVal>
            <c:numRef>
              <c:f>mmProd2!$F$138</c:f>
            </c:numRef>
          </c:yVal>
          <c:smooth val="0"/>
          <c:extLst>
            <c:ext xmlns:c16="http://schemas.microsoft.com/office/drawing/2014/chart" uri="{C3380CC4-5D6E-409C-BE32-E72D297353CC}">
              <c16:uniqueId val="{00000004-82BD-4F0D-9238-24C26133E81D}"/>
            </c:ext>
          </c:extLst>
        </c:ser>
        <c:ser>
          <c:idx val="3"/>
          <c:order val="3"/>
          <c:tx>
            <c:strRef>
              <c:f>mmProd2!$G$1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BD-4F0D-9238-24C26133E8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mmProd2!$G$137</c:f>
            </c:numRef>
          </c:xVal>
          <c:yVal>
            <c:numRef>
              <c:f>mmProd2!$G$138</c:f>
            </c:numRef>
          </c:yVal>
          <c:smooth val="0"/>
          <c:extLst>
            <c:ext xmlns:c16="http://schemas.microsoft.com/office/drawing/2014/chart" uri="{C3380CC4-5D6E-409C-BE32-E72D297353CC}">
              <c16:uniqueId val="{00000006-82BD-4F0D-9238-24C26133E81D}"/>
            </c:ext>
          </c:extLst>
        </c:ser>
        <c:ser>
          <c:idx val="1"/>
          <c:order val="4"/>
          <c:tx>
            <c:strRef>
              <c:f>mmProd2!$H$1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BD-4F0D-9238-24C26133E8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mmProd2!$H$137</c:f>
            </c:numRef>
          </c:xVal>
          <c:yVal>
            <c:numRef>
              <c:f>mmProd2!$H$138</c:f>
            </c:numRef>
          </c:yVal>
          <c:smooth val="0"/>
          <c:extLst>
            <c:ext xmlns:c16="http://schemas.microsoft.com/office/drawing/2014/chart" uri="{C3380CC4-5D6E-409C-BE32-E72D297353CC}">
              <c16:uniqueId val="{00000008-82BD-4F0D-9238-24C26133E81D}"/>
            </c:ext>
          </c:extLst>
        </c:ser>
        <c:ser>
          <c:idx val="2"/>
          <c:order val="5"/>
          <c:tx>
            <c:strRef>
              <c:f>mmProd2!$I$1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2BD-4F0D-9238-24C26133E8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mmProd2!$I$137</c:f>
            </c:numRef>
          </c:xVal>
          <c:yVal>
            <c:numRef>
              <c:f>mmProd2!$I$138</c:f>
            </c:numRef>
          </c:yVal>
          <c:smooth val="0"/>
          <c:extLst>
            <c:ext xmlns:c16="http://schemas.microsoft.com/office/drawing/2014/chart" uri="{C3380CC4-5D6E-409C-BE32-E72D297353CC}">
              <c16:uniqueId val="{0000000A-82BD-4F0D-9238-24C26133E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30880"/>
        <c:axId val="138332416"/>
      </c:scatterChart>
      <c:valAx>
        <c:axId val="13833088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32416"/>
        <c:crosses val="autoZero"/>
        <c:crossBetween val="midCat"/>
      </c:valAx>
      <c:valAx>
        <c:axId val="138332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308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Price</a:t>
            </a:r>
          </a:p>
        </c:rich>
      </c:tx>
      <c:layout>
        <c:manualLayout>
          <c:xMode val="edge"/>
          <c:yMode val="edge"/>
          <c:x val="0.45682451253481893"/>
          <c:y val="4.5685279187817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34818941504178"/>
          <c:y val="0.1065989847715736"/>
          <c:w val="0.82451253481894149"/>
          <c:h val="0.7208121827411168"/>
        </c:manualLayout>
      </c:layout>
      <c:scatterChart>
        <c:scatterStyle val="lineMarker"/>
        <c:varyColors val="0"/>
        <c:ser>
          <c:idx val="0"/>
          <c:order val="0"/>
          <c:tx>
            <c:strRef>
              <c:f>mmProd3!$L$26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mmProd3!$L$27:$L$33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3.3000000000000003</c:v>
                </c:pt>
                <c:pt idx="2">
                  <c:v>6.6000000000000005</c:v>
                </c:pt>
                <c:pt idx="3">
                  <c:v>10</c:v>
                </c:pt>
                <c:pt idx="4">
                  <c:v>13.3</c:v>
                </c:pt>
                <c:pt idx="5">
                  <c:v>16.599999999999998</c:v>
                </c:pt>
                <c:pt idx="6">
                  <c:v>20</c:v>
                </c:pt>
              </c:numCache>
            </c:numRef>
          </c:xVal>
          <c:yVal>
            <c:numRef>
              <c:f>mmProd3!$M$27:$M$33</c:f>
              <c:numCache>
                <c:formatCode>0%</c:formatCode>
                <c:ptCount val="7"/>
                <c:pt idx="0">
                  <c:v>1</c:v>
                </c:pt>
                <c:pt idx="1">
                  <c:v>0.999999999989579</c:v>
                </c:pt>
                <c:pt idx="2">
                  <c:v>0.99966307073432314</c:v>
                </c:pt>
                <c:pt idx="3">
                  <c:v>0.5</c:v>
                </c:pt>
                <c:pt idx="4">
                  <c:v>4.8342414238378151E-4</c:v>
                </c:pt>
                <c:pt idx="5">
                  <c:v>2.0557888724681561E-11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79-4A23-BDA2-D081222B1EAC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8208496918386564E-2"/>
                  <c:y val="-0.133201167112994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9-4A23-BDA2-D081222B1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mmProd3!$E$31</c:f>
              <c:numCache>
                <c:formatCode>_(* #,##0.00_);_(* \(#,##0.00\);_(* "-"??_);_(@_)</c:formatCode>
                <c:ptCount val="1"/>
                <c:pt idx="0">
                  <c:v>10</c:v>
                </c:pt>
              </c:numCache>
            </c:numRef>
          </c:xVal>
          <c:yVal>
            <c:numRef>
              <c:f>mmProd3!$E$32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79-4A23-BDA2-D081222B1EAC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910234758259676E-2"/>
                  <c:y val="-0.226598451843265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79-4A23-BDA2-D081222B1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mmProd3!$F$31</c:f>
              <c:numCache>
                <c:formatCode>_(* #,##0.00_);_(* \(#,##0.00\);_(* "-"??_);_(@_)</c:formatCode>
                <c:ptCount val="1"/>
                <c:pt idx="0">
                  <c:v>10</c:v>
                </c:pt>
              </c:numCache>
            </c:numRef>
          </c:xVal>
          <c:yVal>
            <c:numRef>
              <c:f>mmProd3!$F$32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79-4A23-BDA2-D081222B1EAC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923979558265483E-2"/>
                  <c:y val="-0.320250476304675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9-4A23-BDA2-D081222B1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mmProd3!$G$31</c:f>
              <c:numCache>
                <c:formatCode>_(* #,##0.00_);_(* \(#,##0.00\);_(* "-"??_);_(@_)</c:formatCode>
                <c:ptCount val="1"/>
                <c:pt idx="0">
                  <c:v>10</c:v>
                </c:pt>
              </c:numCache>
            </c:numRef>
          </c:xVal>
          <c:yVal>
            <c:numRef>
              <c:f>mmProd3!$G$32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79-4A23-BDA2-D081222B1EAC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415714400602412E-2"/>
                  <c:y val="-0.3968413339195545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79-4A23-BDA2-D081222B1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mmProd3!$H$31</c:f>
              <c:numCache>
                <c:formatCode>_(* #,##0.00_);_(* \(#,##0.00\);_(* "-"??_);_(@_)</c:formatCode>
                <c:ptCount val="1"/>
                <c:pt idx="0">
                  <c:v>10</c:v>
                </c:pt>
              </c:numCache>
            </c:numRef>
          </c:xVal>
          <c:yVal>
            <c:numRef>
              <c:f>mmProd3!$H$32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79-4A23-BDA2-D081222B1EAC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4464135576367727E-2"/>
                  <c:y val="-0.4791995416816552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79-4A23-BDA2-D081222B1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mmProd3!$I$31</c:f>
              <c:numCache>
                <c:formatCode>_(* #,##0.00_);_(* \(#,##0.00\);_(* "-"??_);_(@_)</c:formatCode>
                <c:ptCount val="1"/>
                <c:pt idx="0">
                  <c:v>10</c:v>
                </c:pt>
              </c:numCache>
            </c:numRef>
          </c:xVal>
          <c:yVal>
            <c:numRef>
              <c:f>mmProd3!$I$32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279-4A23-BDA2-D081222B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641856"/>
        <c:axId val="145643392"/>
      </c:scatterChart>
      <c:valAx>
        <c:axId val="14564185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43392"/>
        <c:crosses val="autoZero"/>
        <c:crossBetween val="midCat"/>
      </c:valAx>
      <c:valAx>
        <c:axId val="145643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6418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Advertising</a:t>
            </a:r>
          </a:p>
        </c:rich>
      </c:tx>
      <c:layout>
        <c:manualLayout>
          <c:xMode val="edge"/>
          <c:yMode val="edge"/>
          <c:x val="0.40871991818461384"/>
          <c:y val="4.8780487804878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61596695116515"/>
          <c:y val="0.12804878048780488"/>
          <c:w val="0.82833897673676016"/>
          <c:h val="0.6646341463414634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mmProd3!$L$39:$L$45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1.32</c:v>
                </c:pt>
                <c:pt idx="2">
                  <c:v>2.64</c:v>
                </c:pt>
                <c:pt idx="3">
                  <c:v>4</c:v>
                </c:pt>
                <c:pt idx="4">
                  <c:v>5.32</c:v>
                </c:pt>
                <c:pt idx="5">
                  <c:v>6.64</c:v>
                </c:pt>
                <c:pt idx="6">
                  <c:v>8</c:v>
                </c:pt>
              </c:numCache>
            </c:numRef>
          </c:xVal>
          <c:yVal>
            <c:numRef>
              <c:f>mmProd3!$M$39:$M$45</c:f>
              <c:numCache>
                <c:formatCode>0%</c:formatCode>
                <c:ptCount val="7"/>
                <c:pt idx="0">
                  <c:v>3.1671241833119857E-5</c:v>
                </c:pt>
                <c:pt idx="1">
                  <c:v>3.6811080091749822E-3</c:v>
                </c:pt>
                <c:pt idx="2">
                  <c:v>8.6914961947085034E-2</c:v>
                </c:pt>
                <c:pt idx="3">
                  <c:v>0.5</c:v>
                </c:pt>
                <c:pt idx="4">
                  <c:v>0.90658249100652832</c:v>
                </c:pt>
                <c:pt idx="5">
                  <c:v>0.99585469863896392</c:v>
                </c:pt>
                <c:pt idx="6">
                  <c:v>0.99996832875816688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55-4C2B-8DF5-FCB03B02A723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7070089478822545E-2"/>
                  <c:y val="-0.124714806990589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F55-4C2B-8DF5-FCB03B02A7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mmProd3!$E$44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55-4C2B-8DF5-FCB03B02A723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9794888744403991E-2"/>
                  <c:y val="-0.210080660649126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55-4C2B-8DF5-FCB03B02A7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mmProd3!$F$44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55-4C2B-8DF5-FCB03B02A723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9794888744403991E-2"/>
                  <c:y val="-0.2954465143076627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55-4C2B-8DF5-FCB03B02A7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mmProd3!$G$44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55-4C2B-8DF5-FCB03B02A723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9794888744403991E-2"/>
                  <c:y val="-0.368617246014979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55-4C2B-8DF5-FCB03B02A7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mmProd3!$H$44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F55-4C2B-8DF5-FCB03B02A723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2519688009985437E-2"/>
                  <c:y val="-0.4356904167466871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55-4C2B-8DF5-FCB03B02A7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mmProd3!$I$44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F55-4C2B-8DF5-FCB03B02A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97024"/>
        <c:axId val="147707008"/>
      </c:scatterChart>
      <c:valAx>
        <c:axId val="14769702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707008"/>
        <c:crosses val="autoZero"/>
        <c:crossBetween val="midCat"/>
      </c:valAx>
      <c:valAx>
        <c:axId val="147707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6970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Features</a:t>
            </a:r>
          </a:p>
        </c:rich>
      </c:tx>
      <c:layout>
        <c:manualLayout>
          <c:xMode val="edge"/>
          <c:yMode val="edge"/>
          <c:x val="0.43121804218917081"/>
          <c:y val="4.28571428571428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04792660777996"/>
          <c:y val="9.0476611219360209E-2"/>
          <c:w val="0.83862650521480553"/>
          <c:h val="0.7476225242862922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mmProd3!$L$54:$L$60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0.66</c:v>
                </c:pt>
                <c:pt idx="2">
                  <c:v>1.32</c:v>
                </c:pt>
                <c:pt idx="3">
                  <c:v>2</c:v>
                </c:pt>
                <c:pt idx="4">
                  <c:v>2.66</c:v>
                </c:pt>
                <c:pt idx="5">
                  <c:v>3.32</c:v>
                </c:pt>
                <c:pt idx="6">
                  <c:v>4</c:v>
                </c:pt>
              </c:numCache>
            </c:numRef>
          </c:xVal>
          <c:yVal>
            <c:numRef>
              <c:f>mmProd3!$M$54:$M$60</c:f>
              <c:numCache>
                <c:formatCode>0%</c:formatCode>
                <c:ptCount val="7"/>
                <c:pt idx="0">
                  <c:v>2.2750131948179191E-2</c:v>
                </c:pt>
                <c:pt idx="1">
                  <c:v>9.0122672464452477E-2</c:v>
                </c:pt>
                <c:pt idx="2">
                  <c:v>0.24825223045357048</c:v>
                </c:pt>
                <c:pt idx="3">
                  <c:v>0.5</c:v>
                </c:pt>
                <c:pt idx="4">
                  <c:v>0.74537308532866398</c:v>
                </c:pt>
                <c:pt idx="5">
                  <c:v>0.90658249100652821</c:v>
                </c:pt>
                <c:pt idx="6">
                  <c:v>0.97724986805182079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B-48F8-8162-E3F596F18D74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9288202970510591E-2"/>
                  <c:y val="-0.1354924245581705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9B-48F8-8162-E3F596F18D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mmProd3!$E$59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9B-48F8-8162-E3F596F18D74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933712450683482E-2"/>
                  <c:y val="-0.2307309626838128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9B-48F8-8162-E3F596F18D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mmProd3!$F$59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9B-48F8-8162-E3F596F18D74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933712450683482E-2"/>
                  <c:y val="-0.3307314277157372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9B-48F8-8162-E3F596F18D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mmProd3!$G$59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9B-48F8-8162-E3F596F18D74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933712450683482E-2"/>
                  <c:y val="-0.406922258216251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9B-48F8-8162-E3F596F18D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mmProd3!$H$59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9B-48F8-8162-E3F596F18D74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1933712450683482E-2"/>
                  <c:y val="-0.464065381091636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9B-48F8-8162-E3F596F18D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mmProd3!$I$58</c:f>
              <c:numCache>
                <c:formatCode>_(* #,##0_);_(* \(#,##0\);_(* "-"_);_(@_)</c:formatCode>
                <c:ptCount val="1"/>
                <c:pt idx="0">
                  <c:v>2</c:v>
                </c:pt>
              </c:numCache>
            </c:numRef>
          </c:xVal>
          <c:yVal>
            <c:numRef>
              <c:f>mmProd3!$I$59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9B-48F8-8162-E3F596F18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82080"/>
        <c:axId val="152404352"/>
      </c:scatterChart>
      <c:valAx>
        <c:axId val="15238208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04352"/>
        <c:crosses val="autoZero"/>
        <c:crossBetween val="midCat"/>
      </c:valAx>
      <c:valAx>
        <c:axId val="152404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82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4</a:t>
            </a:r>
          </a:p>
        </c:rich>
      </c:tx>
      <c:layout>
        <c:manualLayout>
          <c:xMode val="edge"/>
          <c:yMode val="edge"/>
          <c:x val="0.43915455012567872"/>
          <c:y val="4.89130434782608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04792660777996"/>
          <c:y val="0.11413073765162633"/>
          <c:w val="0.78836182509152064"/>
          <c:h val="0.6195668615374000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mmProd3!$L$67:$L$73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21450000</c:v>
                </c:pt>
                <c:pt idx="2">
                  <c:v>42900000</c:v>
                </c:pt>
                <c:pt idx="3">
                  <c:v>65000000</c:v>
                </c:pt>
                <c:pt idx="4">
                  <c:v>86450000</c:v>
                </c:pt>
                <c:pt idx="5">
                  <c:v>107900000</c:v>
                </c:pt>
                <c:pt idx="6">
                  <c:v>130000000</c:v>
                </c:pt>
              </c:numCache>
            </c:numRef>
          </c:xVal>
          <c:yVal>
            <c:numRef>
              <c:f>mmProd3!$M$67:$M$73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92-472D-84FC-CC1633CE0D05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1.6780521718097859E-2"/>
                  <c:y val="-0.117848333297207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92-472D-84FC-CC1633CE0D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mmProd3!$E$71</c:f>
              <c:numCache>
                <c:formatCode>_(* #,##0_);_(* \(#,##0\);_(* "-"_);_(@_)</c:formatCode>
                <c:ptCount val="1"/>
                <c:pt idx="0">
                  <c:v>65000000</c:v>
                </c:pt>
              </c:numCache>
            </c:numRef>
          </c:xVal>
          <c:yVal>
            <c:numRef>
              <c:f>mmProd3!$E$72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92-472D-84FC-CC1633CE0D05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1.5043225209112322E-2"/>
                  <c:y val="-0.1943229017073276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92-472D-84FC-CC1633CE0D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mmProd3!$F$71</c:f>
              <c:numCache>
                <c:formatCode>_(* #,##0_);_(* \(#,##0\);_(* "-"_);_(@_)</c:formatCode>
                <c:ptCount val="1"/>
                <c:pt idx="0">
                  <c:v>65000000</c:v>
                </c:pt>
              </c:numCache>
            </c:numRef>
          </c:xVal>
          <c:yVal>
            <c:numRef>
              <c:f>mmProd3!$F$72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92-472D-84FC-CC1633CE0D05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084696637786479E-3"/>
                  <c:y val="-0.2755125339376336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92-472D-84FC-CC1633CE0D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mmProd3!$G$71</c:f>
              <c:numCache>
                <c:formatCode>_(* #,##0_);_(* \(#,##0\);_(* "-"_);_(@_)</c:formatCode>
                <c:ptCount val="1"/>
                <c:pt idx="0">
                  <c:v>65000000</c:v>
                </c:pt>
              </c:numCache>
            </c:numRef>
          </c:xVal>
          <c:yVal>
            <c:numRef>
              <c:f>mmProd3!$G$72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92-472D-84FC-CC1633CE0D05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1064301792133528E-2"/>
                  <c:y val="-0.3443351804617071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92-472D-84FC-CC1633CE0D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mmProd3!$H$71</c:f>
              <c:numCache>
                <c:formatCode>_(* #,##0_);_(* \(#,##0\);_(* "-"_);_(@_)</c:formatCode>
                <c:ptCount val="1"/>
                <c:pt idx="0">
                  <c:v>65000000</c:v>
                </c:pt>
              </c:numCache>
            </c:numRef>
          </c:xVal>
          <c:yVal>
            <c:numRef>
              <c:f>mmProd3!$H$72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92-472D-84FC-CC1633CE0D05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4736932374366562E-3"/>
                  <c:y val="-0.4105665146736766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92-472D-84FC-CC1633CE0D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mmProd3!$I$71</c:f>
              <c:numCache>
                <c:formatCode>_(* #,##0_);_(* \(#,##0\);_(* "-"_);_(@_)</c:formatCode>
                <c:ptCount val="1"/>
                <c:pt idx="0">
                  <c:v>65000000</c:v>
                </c:pt>
              </c:numCache>
            </c:numRef>
          </c:xVal>
          <c:yVal>
            <c:numRef>
              <c:f>mmProd3!$I$72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92-472D-84FC-CC1633CE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50944"/>
        <c:axId val="152452480"/>
      </c:scatterChart>
      <c:valAx>
        <c:axId val="15245094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52480"/>
        <c:crosses val="autoZero"/>
        <c:crossBetween val="midCat"/>
      </c:valAx>
      <c:valAx>
        <c:axId val="152452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509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5</a:t>
            </a:r>
          </a:p>
        </c:rich>
      </c:tx>
      <c:layout>
        <c:manualLayout>
          <c:xMode val="edge"/>
          <c:yMode val="edge"/>
          <c:x val="0.43915455012567872"/>
          <c:y val="4.81283422459893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04792660777996"/>
          <c:y val="0.11229975846987401"/>
          <c:w val="0.76984325873031045"/>
          <c:h val="0.631017690449768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mmProd3!$L$80:$L$86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54450000</c:v>
                </c:pt>
                <c:pt idx="2">
                  <c:v>108900000</c:v>
                </c:pt>
                <c:pt idx="3">
                  <c:v>165000000</c:v>
                </c:pt>
                <c:pt idx="4">
                  <c:v>219450000</c:v>
                </c:pt>
                <c:pt idx="5">
                  <c:v>273900000</c:v>
                </c:pt>
                <c:pt idx="6">
                  <c:v>330000000</c:v>
                </c:pt>
              </c:numCache>
            </c:numRef>
          </c:xVal>
          <c:yVal>
            <c:numRef>
              <c:f>mmProd3!$M$80:$M$86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F-42EA-AA00-9B59F5F43F9B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863987451434352E-2"/>
                  <c:y val="-0.1178004290732356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2F-42EA-AA00-9B59F5F43F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mmProd3!$E$84</c:f>
              <c:numCache>
                <c:formatCode>_(* #,##0_);_(* \(#,##0\);_(* "-"_);_(@_)</c:formatCode>
                <c:ptCount val="1"/>
                <c:pt idx="0">
                  <c:v>165000000</c:v>
                </c:pt>
              </c:numCache>
            </c:numRef>
          </c:xVal>
          <c:yVal>
            <c:numRef>
              <c:f>mmProd3!$E$85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2F-42EA-AA00-9B59F5F43F9B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326955833286245E-2"/>
                  <c:y val="-0.2022963795627863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2F-42EA-AA00-9B59F5F43F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mmProd3!$F$84</c:f>
              <c:numCache>
                <c:formatCode>_(* #,##0_);_(* \(#,##0\);_(* "-"_);_(@_)</c:formatCode>
                <c:ptCount val="1"/>
                <c:pt idx="0">
                  <c:v>165000000</c:v>
                </c:pt>
              </c:numCache>
            </c:numRef>
          </c:xVal>
          <c:yVal>
            <c:numRef>
              <c:f>mmProd3!$F$85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2F-42EA-AA00-9B59F5F43F9B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6902957767624E-2"/>
                  <c:y val="-0.2833887213062691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2F-42EA-AA00-9B59F5F43F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mmProd3!$G$84</c:f>
              <c:numCache>
                <c:formatCode>_(* #,##0_);_(* \(#,##0\);_(* "-"_);_(@_)</c:formatCode>
                <c:ptCount val="1"/>
                <c:pt idx="0">
                  <c:v>165000000</c:v>
                </c:pt>
              </c:numCache>
            </c:numRef>
          </c:xVal>
          <c:yVal>
            <c:numRef>
              <c:f>mmProd3!$G$85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2F-42EA-AA00-9B59F5F43F9B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17776779583699E-2"/>
                  <c:y val="-0.3476587113321232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2F-42EA-AA00-9B59F5F43F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mmProd3!$H$84</c:f>
              <c:numCache>
                <c:formatCode>_(* #,##0_);_(* \(#,##0\);_(* "-"_);_(@_)</c:formatCode>
                <c:ptCount val="1"/>
                <c:pt idx="0">
                  <c:v>165000000</c:v>
                </c:pt>
              </c:numCache>
            </c:numRef>
          </c:xVal>
          <c:yVal>
            <c:numRef>
              <c:f>mmProd3!$H$85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B2F-42EA-AA00-9B59F5F43F9B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8094253902723149E-2"/>
                  <c:y val="-0.419498842490799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2F-42EA-AA00-9B59F5F43F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mmProd3!$I$84</c:f>
              <c:numCache>
                <c:formatCode>_(* #,##0_);_(* \(#,##0\);_(* "-"_);_(@_)</c:formatCode>
                <c:ptCount val="1"/>
                <c:pt idx="0">
                  <c:v>165000000</c:v>
                </c:pt>
              </c:numCache>
            </c:numRef>
          </c:xVal>
          <c:yVal>
            <c:numRef>
              <c:f>mmProd3!$I$85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B2F-42EA-AA00-9B59F5F43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2096"/>
        <c:axId val="152533632"/>
      </c:scatterChart>
      <c:valAx>
        <c:axId val="15253209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valAx>
        <c:axId val="15253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20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6</a:t>
            </a:r>
          </a:p>
        </c:rich>
      </c:tx>
      <c:layout>
        <c:manualLayout>
          <c:xMode val="edge"/>
          <c:yMode val="edge"/>
          <c:x val="0.43979112558574157"/>
          <c:y val="5.2287581699346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80119769663891"/>
          <c:y val="0.13725577803167147"/>
          <c:w val="0.8141371663034378"/>
          <c:h val="0.6405269641478001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mmProd3!$L$92:$L$98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693</c:v>
                </c:pt>
                <c:pt idx="2">
                  <c:v>1386</c:v>
                </c:pt>
                <c:pt idx="3">
                  <c:v>2100</c:v>
                </c:pt>
                <c:pt idx="4">
                  <c:v>2793</c:v>
                </c:pt>
                <c:pt idx="5">
                  <c:v>3486</c:v>
                </c:pt>
                <c:pt idx="6">
                  <c:v>4200</c:v>
                </c:pt>
              </c:numCache>
            </c:numRef>
          </c:xVal>
          <c:yVal>
            <c:numRef>
              <c:f>mmProd3!$M$92:$M$98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2-4F10-B3FA-8616D39911FC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7482222976070533E-2"/>
                  <c:y val="-0.1210539585819654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C2-4F10-B3FA-8616D39911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mmProd3!$E$96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mmProd3!$E$97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C2-4F10-B3FA-8616D39911FC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788080698673612E-2"/>
                  <c:y val="-0.2001988839813228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C2-4F10-B3FA-8616D39911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mmProd3!$F$96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mmProd3!$F$97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C2-4F10-B3FA-8616D39911FC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8313450881688382E-2"/>
                  <c:y val="-0.2500922553438980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C2-4F10-B3FA-8616D39911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mmProd3!$G$96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mmProd3!$G$97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C2-4F10-B3FA-8616D39911FC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9660606748778381E-2"/>
                  <c:y val="-0.356341010058705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C2-4F10-B3FA-8616D39911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mmProd3!$H$96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mmProd3!$H$97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C2-4F10-B3FA-8616D39911FC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0702263933896734E-2"/>
                  <c:y val="-0.4286476705366046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C2-4F10-B3FA-8616D39911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mmProd3!$I$96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mmProd3!$I$97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C2-4F10-B3FA-8616D3991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05056"/>
        <c:axId val="152606592"/>
      </c:scatterChart>
      <c:valAx>
        <c:axId val="15260505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606592"/>
        <c:crosses val="autoZero"/>
        <c:crossBetween val="midCat"/>
      </c:valAx>
      <c:valAx>
        <c:axId val="152606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6050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7</a:t>
            </a:r>
          </a:p>
        </c:rich>
      </c:tx>
      <c:layout>
        <c:manualLayout>
          <c:xMode val="edge"/>
          <c:yMode val="edge"/>
          <c:x val="0.43883034567487572"/>
          <c:y val="4.96894409937888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31931817148823"/>
          <c:y val="0.14285714285714285"/>
          <c:w val="0.80319253240386623"/>
          <c:h val="0.621118012422360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mmProd3!$L$104:$L$110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mmProd3!$M$104:$M$110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8-4DB8-B7B6-E563117769F7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137618352643289E-2"/>
                  <c:y val="-0.1165680376909408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58-4DB8-B7B6-E56311776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mmProd3!$E$109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8-4DB8-B7B6-E563117769F7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03685065206442E-2"/>
                  <c:y val="-0.1983058639409204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58-4DB8-B7B6-E56311776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mmProd3!$F$109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58-4DB8-B7B6-E563117769F7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35933564395104E-2"/>
                  <c:y val="-0.281467207903359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58-4DB8-B7B6-E56311776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mmProd3!$G$109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58-4DB8-B7B6-E563117769F7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273758688994772E-2"/>
                  <c:y val="-0.3459663194274628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58-4DB8-B7B6-E56311776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mmProd3!$H$109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58-4DB8-B7B6-E563117769F7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972591547653402E-2"/>
                  <c:y val="-0.423582921700004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A58-4DB8-B7B6-E56311776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mmProd3!$I$108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mmProd3!$I$109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A58-4DB8-B7B6-E56311776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53888"/>
        <c:axId val="152876160"/>
      </c:scatterChart>
      <c:valAx>
        <c:axId val="15285388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876160"/>
        <c:crosses val="autoZero"/>
        <c:crossBetween val="midCat"/>
      </c:valAx>
      <c:valAx>
        <c:axId val="152876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8538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8</a:t>
            </a:r>
          </a:p>
        </c:rich>
      </c:tx>
      <c:layout>
        <c:manualLayout>
          <c:xMode val="edge"/>
          <c:yMode val="edge"/>
          <c:x val="0.44063379940304293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2877655113239"/>
          <c:y val="0.13372130984656003"/>
          <c:w val="0.81002742881584555"/>
          <c:h val="0.4302337795063235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mmProd3!$L$116:$L$122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0.99</c:v>
                </c:pt>
                <c:pt idx="2">
                  <c:v>1.98</c:v>
                </c:pt>
                <c:pt idx="3">
                  <c:v>3</c:v>
                </c:pt>
                <c:pt idx="4">
                  <c:v>3.99</c:v>
                </c:pt>
                <c:pt idx="5">
                  <c:v>4.9799999999999995</c:v>
                </c:pt>
                <c:pt idx="6">
                  <c:v>6</c:v>
                </c:pt>
              </c:numCache>
            </c:numRef>
          </c:xVal>
          <c:yVal>
            <c:numRef>
              <c:f>mmProd3!$M$116:$M$122</c:f>
              <c:numCache>
                <c:formatCode>0%</c:formatCode>
                <c:ptCount val="7"/>
                <c:pt idx="0">
                  <c:v>1.3498980316300933E-3</c:v>
                </c:pt>
                <c:pt idx="1">
                  <c:v>2.2215594429431475E-2</c:v>
                </c:pt>
                <c:pt idx="2">
                  <c:v>0.15386423037273483</c:v>
                </c:pt>
                <c:pt idx="3">
                  <c:v>0.5</c:v>
                </c:pt>
                <c:pt idx="4">
                  <c:v>0.8389129404891692</c:v>
                </c:pt>
                <c:pt idx="5">
                  <c:v>0.97614823565849151</c:v>
                </c:pt>
                <c:pt idx="6">
                  <c:v>0.9986501019683699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1D-4B85-AE30-53AD0354CC3F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395221255299833E-2"/>
                  <c:y val="-2.65159828589068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1D-4B85-AE30-53AD0354C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mmProd3!$E$121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1D-4B85-AE30-53AD0354CC3F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110245969716383E-2"/>
                  <c:y val="-9.789659983970892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D-4B85-AE30-53AD0354C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mmProd3!$F$121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1D-4B85-AE30-53AD0354CC3F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033747082061551E-2"/>
                  <c:y val="-0.1369814127321520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1D-4B85-AE30-53AD0354C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mmProd3!$G$121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1D-4B85-AE30-53AD0354CC3F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825270684132876E-2"/>
                  <c:y val="-0.2248721562580332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D-4B85-AE30-53AD0354C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mmProd3!$H$121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1D-4B85-AE30-53AD0354CC3F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8540295398549426E-2"/>
                  <c:y val="-0.2912006675197069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B1D-4B85-AE30-53AD0354C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mmProd3!$I$120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mmProd3!$I$121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1D-4B85-AE30-53AD0354C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39136"/>
        <c:axId val="157258112"/>
      </c:scatterChart>
      <c:valAx>
        <c:axId val="15293913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258112"/>
        <c:crosses val="autoZero"/>
        <c:crossBetween val="midCat"/>
      </c:valAx>
      <c:valAx>
        <c:axId val="157258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9391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9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mmProd3!$L$128:$L$134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mmProd3!$M$128:$M$134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E-4E2A-9C75-E3F0495DEB6B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4E-4E2A-9C75-E3F0495DE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mmProd3!$E$133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4E-4E2A-9C75-E3F0495DEB6B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4E-4E2A-9C75-E3F0495DE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mmProd3!$F$133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4E-4E2A-9C75-E3F0495DEB6B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4E-4E2A-9C75-E3F0495DE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mmProd3!$G$133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4E-4E2A-9C75-E3F0495DEB6B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4E-4E2A-9C75-E3F0495DE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mmProd3!$H$133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4E-4E2A-9C75-E3F0495DEB6B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4E-4E2A-9C75-E3F0495DEB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mmProd3!$I$132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mmProd3!$I$133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14E-4E2A-9C75-E3F0495D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30528"/>
        <c:axId val="159432064"/>
      </c:scatterChart>
      <c:valAx>
        <c:axId val="15943052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32064"/>
        <c:crosses val="autoZero"/>
        <c:crossBetween val="midCat"/>
      </c:valAx>
      <c:valAx>
        <c:axId val="159432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305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10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mmProd3!$L$139:$L$145</c:f>
            </c:numRef>
          </c:xVal>
          <c:yVal>
            <c:numRef>
              <c:f>mmProd3!$M$139:$M$145</c:f>
            </c:numRef>
          </c:yVal>
          <c:smooth val="0"/>
          <c:extLst>
            <c:ext xmlns:c16="http://schemas.microsoft.com/office/drawing/2014/chart" uri="{C3380CC4-5D6E-409C-BE32-E72D297353CC}">
              <c16:uniqueId val="{00000000-175A-4B2F-83A3-124E11DB6206}"/>
            </c:ext>
          </c:extLst>
        </c:ser>
        <c:ser>
          <c:idx val="5"/>
          <c:order val="1"/>
          <c:tx>
            <c:strRef>
              <c:f>mmProd3!$E$1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A-4B2F-83A3-124E11DB62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mmProd3!$E$144</c:f>
            </c:numRef>
          </c:xVal>
          <c:yVal>
            <c:numRef>
              <c:f>mmProd3!$E$145</c:f>
            </c:numRef>
          </c:yVal>
          <c:smooth val="0"/>
          <c:extLst>
            <c:ext xmlns:c16="http://schemas.microsoft.com/office/drawing/2014/chart" uri="{C3380CC4-5D6E-409C-BE32-E72D297353CC}">
              <c16:uniqueId val="{00000002-175A-4B2F-83A3-124E11DB6206}"/>
            </c:ext>
          </c:extLst>
        </c:ser>
        <c:ser>
          <c:idx val="4"/>
          <c:order val="2"/>
          <c:tx>
            <c:strRef>
              <c:f>mmProd3!$F$1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5A-4B2F-83A3-124E11DB62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mmProd3!$F$144</c:f>
            </c:numRef>
          </c:xVal>
          <c:yVal>
            <c:numRef>
              <c:f>mmProd3!$F$145</c:f>
            </c:numRef>
          </c:yVal>
          <c:smooth val="0"/>
          <c:extLst>
            <c:ext xmlns:c16="http://schemas.microsoft.com/office/drawing/2014/chart" uri="{C3380CC4-5D6E-409C-BE32-E72D297353CC}">
              <c16:uniqueId val="{00000004-175A-4B2F-83A3-124E11DB6206}"/>
            </c:ext>
          </c:extLst>
        </c:ser>
        <c:ser>
          <c:idx val="3"/>
          <c:order val="3"/>
          <c:tx>
            <c:strRef>
              <c:f>mmProd3!$G$1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A-4B2F-83A3-124E11DB62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mmProd3!$G$144</c:f>
            </c:numRef>
          </c:xVal>
          <c:yVal>
            <c:numRef>
              <c:f>mmProd3!$G$145</c:f>
            </c:numRef>
          </c:yVal>
          <c:smooth val="0"/>
          <c:extLst>
            <c:ext xmlns:c16="http://schemas.microsoft.com/office/drawing/2014/chart" uri="{C3380CC4-5D6E-409C-BE32-E72D297353CC}">
              <c16:uniqueId val="{00000006-175A-4B2F-83A3-124E11DB6206}"/>
            </c:ext>
          </c:extLst>
        </c:ser>
        <c:ser>
          <c:idx val="1"/>
          <c:order val="4"/>
          <c:tx>
            <c:strRef>
              <c:f>mmProd3!$H$1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A-4B2F-83A3-124E11DB62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mmProd3!$H$144</c:f>
            </c:numRef>
          </c:xVal>
          <c:yVal>
            <c:numRef>
              <c:f>mmProd3!$H$145</c:f>
            </c:numRef>
          </c:yVal>
          <c:smooth val="0"/>
          <c:extLst>
            <c:ext xmlns:c16="http://schemas.microsoft.com/office/drawing/2014/chart" uri="{C3380CC4-5D6E-409C-BE32-E72D297353CC}">
              <c16:uniqueId val="{00000008-175A-4B2F-83A3-124E11DB6206}"/>
            </c:ext>
          </c:extLst>
        </c:ser>
        <c:ser>
          <c:idx val="2"/>
          <c:order val="5"/>
          <c:tx>
            <c:strRef>
              <c:f>mmProd3!$I$1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5A-4B2F-83A3-124E11DB62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mmProd3!$I$144</c:f>
            </c:numRef>
          </c:xVal>
          <c:yVal>
            <c:numRef>
              <c:f>mmProd3!$I$145</c:f>
            </c:numRef>
          </c:yVal>
          <c:smooth val="0"/>
          <c:extLst>
            <c:ext xmlns:c16="http://schemas.microsoft.com/office/drawing/2014/chart" uri="{C3380CC4-5D6E-409C-BE32-E72D297353CC}">
              <c16:uniqueId val="{0000000A-175A-4B2F-83A3-124E11DB6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40768"/>
        <c:axId val="160242304"/>
      </c:scatterChart>
      <c:valAx>
        <c:axId val="16024076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42304"/>
        <c:crosses val="autoZero"/>
        <c:crossBetween val="midCat"/>
      </c:valAx>
      <c:valAx>
        <c:axId val="160242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407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Price</a:t>
            </a:r>
          </a:p>
        </c:rich>
      </c:tx>
      <c:layout>
        <c:manualLayout>
          <c:xMode val="edge"/>
          <c:yMode val="edge"/>
          <c:x val="0.45682451253481893"/>
          <c:y val="4.5685279187817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63231197771587"/>
          <c:y val="0.14720812182741116"/>
          <c:w val="0.77715877437325909"/>
          <c:h val="0.62944162436548223"/>
        </c:manualLayout>
      </c:layout>
      <c:scatterChart>
        <c:scatterStyle val="lineMarker"/>
        <c:varyColors val="0"/>
        <c:ser>
          <c:idx val="0"/>
          <c:order val="0"/>
          <c:tx>
            <c:strRef>
              <c:f>mmProd4!$L$26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mmProd4!$L$27:$L$33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2.97</c:v>
                </c:pt>
                <c:pt idx="2">
                  <c:v>5.94</c:v>
                </c:pt>
                <c:pt idx="3">
                  <c:v>9</c:v>
                </c:pt>
                <c:pt idx="4">
                  <c:v>11.97</c:v>
                </c:pt>
                <c:pt idx="5">
                  <c:v>14.94</c:v>
                </c:pt>
                <c:pt idx="6">
                  <c:v>18</c:v>
                </c:pt>
              </c:numCache>
            </c:numRef>
          </c:xVal>
          <c:yVal>
            <c:numRef>
              <c:f>mmProd4!$M$27:$M$33</c:f>
              <c:numCache>
                <c:formatCode>0%</c:formatCode>
                <c:ptCount val="7"/>
                <c:pt idx="0">
                  <c:v>1</c:v>
                </c:pt>
                <c:pt idx="1">
                  <c:v>0.99999999918020166</c:v>
                </c:pt>
                <c:pt idx="2">
                  <c:v>0.99889331504259071</c:v>
                </c:pt>
                <c:pt idx="3">
                  <c:v>0.5</c:v>
                </c:pt>
                <c:pt idx="4">
                  <c:v>1.4889987452374465E-3</c:v>
                </c:pt>
                <c:pt idx="5">
                  <c:v>1.425110363051374E-9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2B-4177-96C1-53E527F7DF53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7455969118066408E-2"/>
                  <c:y val="-0.1157520284583716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2B-4177-96C1-53E527F7D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mmProd4!$E$31</c:f>
              <c:numCache>
                <c:formatCode>_(* #,##0.00_);_(* \(#,##0.00\);_(* "-"??_);_(@_)</c:formatCode>
                <c:ptCount val="1"/>
                <c:pt idx="0">
                  <c:v>9</c:v>
                </c:pt>
              </c:numCache>
            </c:numRef>
          </c:xVal>
          <c:yVal>
            <c:numRef>
              <c:f>mmProd4!$E$32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2B-4177-96C1-53E527F7DF53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386104592079225E-2"/>
                  <c:y val="-0.1985999973353584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2B-4177-96C1-53E527F7D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mmProd4!$F$31</c:f>
              <c:numCache>
                <c:formatCode>_(* #,##0.00_);_(* \(#,##0.00\);_(* "-"??_);_(@_)</c:formatCode>
                <c:ptCount val="1"/>
                <c:pt idx="0">
                  <c:v>9</c:v>
                </c:pt>
              </c:numCache>
            </c:numRef>
          </c:xVal>
          <c:yVal>
            <c:numRef>
              <c:f>mmProd4!$F$32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2B-4177-96C1-53E527F7DF53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241484438400628E-2"/>
                  <c:y val="-0.2781885766817219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2B-4177-96C1-53E527F7D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mmProd4!$G$31</c:f>
              <c:numCache>
                <c:formatCode>_(* #,##0.00_);_(* \(#,##0.00\);_(* "-"??_);_(@_)</c:formatCode>
                <c:ptCount val="1"/>
                <c:pt idx="0">
                  <c:v>9</c:v>
                </c:pt>
              </c:numCache>
            </c:numRef>
          </c:xVal>
          <c:yVal>
            <c:numRef>
              <c:f>mmProd4!$G$32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2B-4177-96C1-53E527F7DF53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926538430607062E-2"/>
                  <c:y val="-0.34823933810304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2B-4177-96C1-53E527F7D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mmProd4!$H$31</c:f>
              <c:numCache>
                <c:formatCode>_(* #,##0.00_);_(* \(#,##0.00\);_(* "-"??_);_(@_)</c:formatCode>
                <c:ptCount val="1"/>
                <c:pt idx="0">
                  <c:v>9</c:v>
                </c:pt>
              </c:numCache>
            </c:numRef>
          </c:xVal>
          <c:yVal>
            <c:numRef>
              <c:f>mmProd4!$H$32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C2B-4177-96C1-53E527F7DF53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4577822618969267E-2"/>
                  <c:y val="-0.2354120201979828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2B-4177-96C1-53E527F7D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mmProd4!$I$31</c:f>
              <c:numCache>
                <c:formatCode>_(* #,##0.00_);_(* \(#,##0.00\);_(* "-"??_);_(@_)</c:formatCode>
                <c:ptCount val="1"/>
                <c:pt idx="0">
                  <c:v>9</c:v>
                </c:pt>
              </c:numCache>
            </c:numRef>
          </c:xVal>
          <c:yVal>
            <c:numRef>
              <c:f>mmProd4!$I$32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C2B-4177-96C1-53E527F7D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41088"/>
        <c:axId val="160442624"/>
      </c:scatterChart>
      <c:valAx>
        <c:axId val="16044108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442624"/>
        <c:crosses val="autoZero"/>
        <c:crossBetween val="midCat"/>
      </c:valAx>
      <c:valAx>
        <c:axId val="160442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441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Advertising</a:t>
            </a:r>
          </a:p>
        </c:rich>
      </c:tx>
      <c:layout>
        <c:manualLayout>
          <c:xMode val="edge"/>
          <c:yMode val="edge"/>
          <c:x val="0.40871991818461384"/>
          <c:y val="4.8780487804878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13916034139818"/>
          <c:y val="0.16463414634146342"/>
          <c:w val="0.77929258995629413"/>
          <c:h val="0.5670731707317072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mmProd4!$L$39:$L$45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1.32</c:v>
                </c:pt>
                <c:pt idx="2">
                  <c:v>2.64</c:v>
                </c:pt>
                <c:pt idx="3">
                  <c:v>4</c:v>
                </c:pt>
                <c:pt idx="4">
                  <c:v>5.32</c:v>
                </c:pt>
                <c:pt idx="5">
                  <c:v>6.64</c:v>
                </c:pt>
                <c:pt idx="6">
                  <c:v>8</c:v>
                </c:pt>
              </c:numCache>
            </c:numRef>
          </c:xVal>
          <c:yVal>
            <c:numRef>
              <c:f>mmProd4!$M$39:$M$45</c:f>
              <c:numCache>
                <c:formatCode>0%</c:formatCode>
                <c:ptCount val="7"/>
                <c:pt idx="0">
                  <c:v>3.1671241833119857E-5</c:v>
                </c:pt>
                <c:pt idx="1">
                  <c:v>3.6811080091749822E-3</c:v>
                </c:pt>
                <c:pt idx="2">
                  <c:v>8.6914961947085034E-2</c:v>
                </c:pt>
                <c:pt idx="3">
                  <c:v>0.5</c:v>
                </c:pt>
                <c:pt idx="4">
                  <c:v>0.90658249100652832</c:v>
                </c:pt>
                <c:pt idx="5">
                  <c:v>0.99585469863896392</c:v>
                </c:pt>
                <c:pt idx="6">
                  <c:v>0.99996832875816688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6-43BC-9621-F5B1F0057D4E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6503449840373821E-2"/>
                  <c:y val="-0.1104871647141668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06-43BC-9621-F5B1F0057D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mmProd4!$E$44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06-43BC-9621-F5B1F0057D4E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9228249105955267E-2"/>
                  <c:y val="-0.1836578964214839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06-43BC-9621-F5B1F0057D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mmProd4!$F$44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06-43BC-9621-F5B1F0057D4E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9228249105955267E-2"/>
                  <c:y val="-0.2568286281288009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06-43BC-9621-F5B1F0057D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mmProd4!$G$44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06-43BC-9621-F5B1F0057D4E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9228249105955267E-2"/>
                  <c:y val="-0.317804237884898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06-43BC-9621-F5B1F0057D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mmProd4!$H$44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506-43BC-9621-F5B1F0057D4E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5.1953048371536713E-2"/>
                  <c:y val="-0.3848774086166058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06-43BC-9621-F5B1F0057D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mmProd4!$I$43</c:f>
              <c:numCache>
                <c:formatCode>_(* #,##0.00_);_(* \(#,##0.00\);_(* "-"??_);_(@_)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mmProd4!$I$44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506-43BC-9621-F5B1F0057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45824"/>
        <c:axId val="160847360"/>
      </c:scatterChart>
      <c:valAx>
        <c:axId val="16084582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47360"/>
        <c:crosses val="autoZero"/>
        <c:crossBetween val="midCat"/>
      </c:valAx>
      <c:valAx>
        <c:axId val="160847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8458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Features</a:t>
            </a:r>
          </a:p>
        </c:rich>
      </c:tx>
      <c:layout>
        <c:manualLayout>
          <c:xMode val="edge"/>
          <c:yMode val="edge"/>
          <c:x val="0.43121804218917081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51192933596"/>
          <c:y val="0.10222266589698741"/>
          <c:w val="0.78042529665100202"/>
          <c:h val="0.680002951401698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mmProd4!$L$55:$L$61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1.32</c:v>
                </c:pt>
                <c:pt idx="2">
                  <c:v>2.64</c:v>
                </c:pt>
                <c:pt idx="3">
                  <c:v>4</c:v>
                </c:pt>
                <c:pt idx="4">
                  <c:v>5.32</c:v>
                </c:pt>
                <c:pt idx="5">
                  <c:v>6.64</c:v>
                </c:pt>
                <c:pt idx="6">
                  <c:v>8</c:v>
                </c:pt>
              </c:numCache>
            </c:numRef>
          </c:xVal>
          <c:yVal>
            <c:numRef>
              <c:f>mmProd4!$M$55:$M$61</c:f>
              <c:numCache>
                <c:formatCode>0%</c:formatCode>
                <c:ptCount val="7"/>
                <c:pt idx="0">
                  <c:v>3.1671241833119857E-5</c:v>
                </c:pt>
                <c:pt idx="1">
                  <c:v>3.6811080091749822E-3</c:v>
                </c:pt>
                <c:pt idx="2">
                  <c:v>8.6914961947085034E-2</c:v>
                </c:pt>
                <c:pt idx="3">
                  <c:v>0.5</c:v>
                </c:pt>
                <c:pt idx="4">
                  <c:v>0.90658249100652832</c:v>
                </c:pt>
                <c:pt idx="5">
                  <c:v>0.99585469863896392</c:v>
                </c:pt>
                <c:pt idx="6">
                  <c:v>0.99996832875816688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23-4626-A0F2-8CF522AC1E6C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8197708561E-2"/>
                  <c:y val="-0.1249781781553944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23-4626-A0F2-8CF522AC1E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mmProd4!$E$59</c:f>
              <c:numCache>
                <c:formatCode>_(* #,##0_);_(* \(#,##0\);_(* "-"_);_(@_)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mmProd4!$E$60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23-4626-A0F2-8CF522AC1E6C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91457258501E-2"/>
                  <c:y val="-0.2138674528484269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23-4626-A0F2-8CF522AC1E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mmProd4!$F$59</c:f>
              <c:numCache>
                <c:formatCode>_(* #,##0_);_(* \(#,##0\);_(* "-"_);_(@_)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mmProd4!$F$60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23-4626-A0F2-8CF522AC1E6C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91457258501E-2"/>
                  <c:y val="-0.3027567275414594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23-4626-A0F2-8CF522AC1E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mmProd4!$G$59</c:f>
              <c:numCache>
                <c:formatCode>_(* #,##0_);_(* \(#,##0\);_(* "-"_);_(@_)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mmProd4!$G$60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23-4626-A0F2-8CF522AC1E6C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91457258501E-2"/>
                  <c:y val="-0.3738681472958855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23-4626-A0F2-8CF522AC1E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mmProd4!$H$59</c:f>
              <c:numCache>
                <c:formatCode>_(* #,##0_);_(* \(#,##0\);_(* "-"_);_(@_)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mmProd4!$H$60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23-4626-A0F2-8CF522AC1E6C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91457258501E-2"/>
                  <c:y val="-0.4405351033156599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23-4626-A0F2-8CF522AC1E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mmProd4!$I$59</c:f>
              <c:numCache>
                <c:formatCode>_(* #,##0_);_(* \(#,##0\);_(* "-"_);_(@_)</c:formatCode>
                <c:ptCount val="1"/>
                <c:pt idx="0">
                  <c:v>4</c:v>
                </c:pt>
              </c:numCache>
            </c:numRef>
          </c:xVal>
          <c:yVal>
            <c:numRef>
              <c:f>mmProd4!$I$60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23-4626-A0F2-8CF522AC1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76288"/>
        <c:axId val="236274432"/>
      </c:scatterChart>
      <c:valAx>
        <c:axId val="16167628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274432"/>
        <c:crosses val="autoZero"/>
        <c:crossBetween val="midCat"/>
      </c:valAx>
      <c:valAx>
        <c:axId val="236274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676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4</a:t>
            </a:r>
          </a:p>
        </c:rich>
      </c:tx>
      <c:layout>
        <c:manualLayout>
          <c:xMode val="edge"/>
          <c:yMode val="edge"/>
          <c:x val="0.43915455012567872"/>
          <c:y val="4.89130434782608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79404036985464"/>
          <c:y val="0.15760911389986493"/>
          <c:w val="0.7275151070475443"/>
          <c:h val="0.5000013268547438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mmProd4!$L$68:$L$74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107250000</c:v>
                </c:pt>
                <c:pt idx="2">
                  <c:v>214500000</c:v>
                </c:pt>
                <c:pt idx="3">
                  <c:v>325000000</c:v>
                </c:pt>
                <c:pt idx="4">
                  <c:v>432250000</c:v>
                </c:pt>
                <c:pt idx="5">
                  <c:v>539500000</c:v>
                </c:pt>
                <c:pt idx="6">
                  <c:v>650000000</c:v>
                </c:pt>
              </c:numCache>
            </c:numRef>
          </c:xVal>
          <c:yVal>
            <c:numRef>
              <c:f>mmProd4!$M$68:$M$74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F6-4823-8DE7-BAD8569FC1AC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7397164114543746E-3"/>
                  <c:y val="-9.74784094152161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F6-4823-8DE7-BAD8569FC1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mmProd4!$E$72</c:f>
              <c:numCache>
                <c:formatCode>_(* #,##0_);_(* \(#,##0\);_(* "-"_);_(@_)</c:formatCode>
                <c:ptCount val="1"/>
                <c:pt idx="0">
                  <c:v>325000000</c:v>
                </c:pt>
              </c:numCache>
            </c:numRef>
          </c:xVal>
          <c:yVal>
            <c:numRef>
              <c:f>mmProd4!$E$73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F6-4823-8DE7-BAD8569FC1AC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852258916272664E-3"/>
                  <c:y val="-0.1626959737875740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F6-4823-8DE7-BAD8569FC1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mmProd4!$F$72</c:f>
              <c:numCache>
                <c:formatCode>_(* #,##0_);_(* \(#,##0\);_(* "-"_);_(@_)</c:formatCode>
                <c:ptCount val="1"/>
                <c:pt idx="0">
                  <c:v>325000000</c:v>
                </c:pt>
              </c:numCache>
            </c:numRef>
          </c:xVal>
          <c:yVal>
            <c:numRef>
              <c:f>mmProd4!$F$73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F6-4823-8DE7-BAD8569FC1AC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1725996921244263E-3"/>
                  <c:y val="-0.2255444720429726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F6-4823-8DE7-BAD8569FC1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mmProd4!$G$72</c:f>
              <c:numCache>
                <c:formatCode>_(* #,##0_);_(* \(#,##0\);_(* "-"_);_(@_)</c:formatCode>
                <c:ptCount val="1"/>
                <c:pt idx="0">
                  <c:v>325000000</c:v>
                </c:pt>
              </c:numCache>
            </c:numRef>
          </c:xVal>
          <c:yVal>
            <c:numRef>
              <c:f>mmProd4!$G$73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F6-4823-8DE7-BAD8569FC1AC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4.717862883785482E-3"/>
                  <c:y val="-0.2503496939501800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F6-4823-8DE7-BAD8569FC1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mmProd4!$H$72</c:f>
              <c:numCache>
                <c:formatCode>_(* #,##0_);_(* \(#,##0\);_(* "-"_);_(@_)</c:formatCode>
                <c:ptCount val="1"/>
                <c:pt idx="0">
                  <c:v>325000000</c:v>
                </c:pt>
              </c:numCache>
            </c:numRef>
          </c:xVal>
          <c:yVal>
            <c:numRef>
              <c:f>mmProd4!$H$73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F6-4823-8DE7-BAD8569FC1AC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24073852137442E-2"/>
                  <c:y val="-0.3371596133650116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F6-4823-8DE7-BAD8569FC1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mmProd4!$I$72</c:f>
              <c:numCache>
                <c:formatCode>_(* #,##0_);_(* \(#,##0\);_(* "-"_);_(@_)</c:formatCode>
                <c:ptCount val="1"/>
                <c:pt idx="0">
                  <c:v>325000000</c:v>
                </c:pt>
              </c:numCache>
            </c:numRef>
          </c:xVal>
          <c:yVal>
            <c:numRef>
              <c:f>mmProd4!$I$73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FF6-4823-8DE7-BAD8569F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36320"/>
        <c:axId val="155762688"/>
      </c:scatterChart>
      <c:valAx>
        <c:axId val="15573632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762688"/>
        <c:crosses val="autoZero"/>
        <c:crossBetween val="midCat"/>
      </c:valAx>
      <c:valAx>
        <c:axId val="155762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7363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5</a:t>
            </a:r>
          </a:p>
        </c:rich>
      </c:tx>
      <c:layout>
        <c:manualLayout>
          <c:xMode val="edge"/>
          <c:yMode val="edge"/>
          <c:x val="0.43915455012567872"/>
          <c:y val="4.81283422459893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79404036985464"/>
          <c:y val="0.14438540374698086"/>
          <c:w val="0.7275151070475443"/>
          <c:h val="0.5187179319798942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mmProd4!$L$81:$L$87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31350000</c:v>
                </c:pt>
                <c:pt idx="2">
                  <c:v>62700000</c:v>
                </c:pt>
                <c:pt idx="3">
                  <c:v>95000000</c:v>
                </c:pt>
                <c:pt idx="4">
                  <c:v>126350000</c:v>
                </c:pt>
                <c:pt idx="5">
                  <c:v>157700000</c:v>
                </c:pt>
                <c:pt idx="6">
                  <c:v>190000000</c:v>
                </c:pt>
              </c:numCache>
            </c:numRef>
          </c:xVal>
          <c:yVal>
            <c:numRef>
              <c:f>mmProd4!$M$81:$M$87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C-448A-B24D-2F998B10A65B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5252416430680596E-2"/>
                  <c:y val="-0.1008572198178399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2C-448A-B24D-2F998B10A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mmProd4!$E$85</c:f>
              <c:numCache>
                <c:formatCode>_(* #,##0_);_(* \(#,##0\);_(* "-"_);_(@_)</c:formatCode>
                <c:ptCount val="1"/>
                <c:pt idx="0">
                  <c:v>95000000</c:v>
                </c:pt>
              </c:numCache>
            </c:numRef>
          </c:xVal>
          <c:yVal>
            <c:numRef>
              <c:f>mmProd4!$E$86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2C-448A-B24D-2F998B10A65B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8397164404470148E-2"/>
                  <c:y val="-0.1627981557999604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2C-448A-B24D-2F998B10A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mmProd4!$F$85</c:f>
              <c:numCache>
                <c:formatCode>_(* #,##0_);_(* \(#,##0\);_(* "-"_);_(@_)</c:formatCode>
                <c:ptCount val="1"/>
                <c:pt idx="0">
                  <c:v>95000000</c:v>
                </c:pt>
              </c:numCache>
            </c:numRef>
          </c:xVal>
          <c:yVal>
            <c:numRef>
              <c:f>mmProd4!$F$86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2C-448A-B24D-2F998B10A65B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8783017861367063E-2"/>
                  <c:y val="-0.2363659827105818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2C-448A-B24D-2F998B10A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mmProd4!$G$85</c:f>
              <c:numCache>
                <c:formatCode>_(* #,##0_);_(* \(#,##0\);_(* "-"_);_(@_)</c:formatCode>
                <c:ptCount val="1"/>
                <c:pt idx="0">
                  <c:v>95000000</c:v>
                </c:pt>
              </c:numCache>
            </c:numRef>
          </c:xVal>
          <c:yVal>
            <c:numRef>
              <c:f>mmProd4!$G$86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2C-448A-B24D-2F998B10A65B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6628005103389343E-2"/>
                  <c:y val="-0.2861991697550176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C-448A-B24D-2F998B10A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mmProd4!$H$85</c:f>
              <c:numCache>
                <c:formatCode>_(* #,##0_);_(* \(#,##0\);_(* "-"_);_(@_)</c:formatCode>
                <c:ptCount val="1"/>
                <c:pt idx="0">
                  <c:v>95000000</c:v>
                </c:pt>
              </c:numCache>
            </c:numRef>
          </c:xVal>
          <c:yVal>
            <c:numRef>
              <c:f>mmProd4!$H$86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2C-448A-B24D-2F998B10A65B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2870692079642E-2"/>
                  <c:y val="-0.2174996143807454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C-448A-B24D-2F998B10A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mmProd4!$I$85</c:f>
              <c:numCache>
                <c:formatCode>_(* #,##0_);_(* \(#,##0\);_(* "-"_);_(@_)</c:formatCode>
                <c:ptCount val="1"/>
                <c:pt idx="0">
                  <c:v>95000000</c:v>
                </c:pt>
              </c:numCache>
            </c:numRef>
          </c:xVal>
          <c:yVal>
            <c:numRef>
              <c:f>mmProd4!$I$86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2C-448A-B24D-2F998B10A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75200"/>
        <c:axId val="159476736"/>
      </c:scatterChart>
      <c:valAx>
        <c:axId val="15947520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76736"/>
        <c:crosses val="autoZero"/>
        <c:crossBetween val="midCat"/>
      </c:valAx>
      <c:valAx>
        <c:axId val="159476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4752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6</a:t>
            </a:r>
          </a:p>
        </c:rich>
      </c:tx>
      <c:layout>
        <c:manualLayout>
          <c:xMode val="edge"/>
          <c:yMode val="edge"/>
          <c:x val="0.43979112558574157"/>
          <c:y val="5.2287581699346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21485041574262"/>
          <c:y val="0.18300770404222863"/>
          <c:w val="0.75130986086523033"/>
          <c:h val="0.5098071755462082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mmProd4!$L$93:$L$99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693</c:v>
                </c:pt>
                <c:pt idx="2">
                  <c:v>1386</c:v>
                </c:pt>
                <c:pt idx="3">
                  <c:v>2100</c:v>
                </c:pt>
                <c:pt idx="4">
                  <c:v>2793</c:v>
                </c:pt>
                <c:pt idx="5">
                  <c:v>3486</c:v>
                </c:pt>
                <c:pt idx="6">
                  <c:v>4200</c:v>
                </c:pt>
              </c:numCache>
            </c:numRef>
          </c:xVal>
          <c:yVal>
            <c:numRef>
              <c:f>mmProd4!$M$93:$M$99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C-4625-BDCD-C437C4D3DE9A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5916063736712813E-2"/>
                  <c:y val="-5.33584446937494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AC-4625-BDCD-C437C4D3DE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mmProd4!$E$97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mmProd4!$E$98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AC-4625-BDCD-C437C4D3DE9A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728219087610136E-2"/>
                  <c:y val="-0.1332919261039981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AC-4625-BDCD-C437C4D3DE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mmProd4!$F$97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mmProd4!$F$98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AC-4625-BDCD-C437C4D3DE9A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883296610094279E-2"/>
                  <c:y val="-0.16379863439684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AAC-4625-BDCD-C437C4D3DE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mmProd4!$G$97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mmProd4!$G$98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AC-4625-BDCD-C437C4D3DE9A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52569563535672E-2"/>
                  <c:y val="-0.2518326759795489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AC-4625-BDCD-C437C4D3DE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mmProd4!$H$97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mmProd4!$H$98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AC-4625-BDCD-C437C4D3DE9A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3401045370131E-2"/>
                  <c:y val="-0.3160519160124542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AAC-4625-BDCD-C437C4D3DE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mmProd4!$I$97</c:f>
              <c:numCache>
                <c:formatCode>_(* #,##0_);_(* \(#,##0\);_(* "-"_);_(@_)</c:formatCode>
                <c:ptCount val="1"/>
                <c:pt idx="0">
                  <c:v>2100</c:v>
                </c:pt>
              </c:numCache>
            </c:numRef>
          </c:xVal>
          <c:yVal>
            <c:numRef>
              <c:f>mmProd4!$I$98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AAC-4625-BDCD-C437C4D3D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26432"/>
        <c:axId val="170227968"/>
      </c:scatterChart>
      <c:valAx>
        <c:axId val="17022643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227968"/>
        <c:crosses val="autoZero"/>
        <c:crossBetween val="midCat"/>
      </c:valAx>
      <c:valAx>
        <c:axId val="170227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226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7</a:t>
            </a:r>
          </a:p>
        </c:rich>
      </c:tx>
      <c:layout>
        <c:manualLayout>
          <c:xMode val="edge"/>
          <c:yMode val="edge"/>
          <c:x val="0.43883034567487572"/>
          <c:y val="4.96894409937888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95762985895666"/>
          <c:y val="0.14285714285714285"/>
          <c:w val="0.77925633110706227"/>
          <c:h val="0.621118012422360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mmProd4!$L$105:$L$111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mmProd4!$M$105:$M$111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2B-407C-8A9D-2BA3D32760CC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7164167837476849E-2"/>
                  <c:y val="-0.1175455242007793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2B-407C-8A9D-2BA3D3276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mmProd4!$E$109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mmProd4!$E$110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2B-407C-8A9D-2BA3D32760CC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85867078482451E-2"/>
                  <c:y val="-0.1997046021421235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2B-407C-8A9D-2BA3D3276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mmProd4!$F$109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mmProd4!$F$110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2B-407C-8A9D-2BA3D32760CC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202875325998311E-2"/>
                  <c:y val="-0.2775227009667269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2B-407C-8A9D-2BA3D3276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mmProd4!$G$109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mmProd4!$G$110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D2B-407C-8A9D-2BA3D32760CC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075204758967087E-2"/>
                  <c:y val="-0.3489822467843692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2B-407C-8A9D-2BA3D3276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mmProd4!$H$109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mmProd4!$H$110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D2B-407C-8A9D-2BA3D32760CC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4163595093236057E-2"/>
                  <c:y val="-0.1911569749433494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2B-407C-8A9D-2BA3D3276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mmProd4!$I$109</c:f>
              <c:numCache>
                <c:formatCode>#,##0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mmProd4!$I$110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D2B-407C-8A9D-2BA3D3276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15776"/>
        <c:axId val="170317312"/>
      </c:scatterChart>
      <c:valAx>
        <c:axId val="17031577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317312"/>
        <c:crosses val="autoZero"/>
        <c:crossBetween val="midCat"/>
      </c:valAx>
      <c:valAx>
        <c:axId val="17031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3157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8</a:t>
            </a:r>
          </a:p>
        </c:rich>
      </c:tx>
      <c:layout>
        <c:manualLayout>
          <c:xMode val="edge"/>
          <c:yMode val="edge"/>
          <c:x val="0.44063379940304293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84186881837074"/>
          <c:y val="0.14534924983321743"/>
          <c:w val="0.78891922220175192"/>
          <c:h val="0.616280819292841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mmProd4!$L$117:$L$123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0.99</c:v>
                </c:pt>
                <c:pt idx="2">
                  <c:v>1.98</c:v>
                </c:pt>
                <c:pt idx="3">
                  <c:v>3</c:v>
                </c:pt>
                <c:pt idx="4">
                  <c:v>3.99</c:v>
                </c:pt>
                <c:pt idx="5">
                  <c:v>4.9799999999999995</c:v>
                </c:pt>
                <c:pt idx="6">
                  <c:v>6</c:v>
                </c:pt>
              </c:numCache>
            </c:numRef>
          </c:xVal>
          <c:yVal>
            <c:numRef>
              <c:f>mmProd4!$M$117:$M$123</c:f>
              <c:numCache>
                <c:formatCode>0%</c:formatCode>
                <c:ptCount val="7"/>
                <c:pt idx="0">
                  <c:v>1.3498980316300933E-3</c:v>
                </c:pt>
                <c:pt idx="1">
                  <c:v>2.2215594429431475E-2</c:v>
                </c:pt>
                <c:pt idx="2">
                  <c:v>0.15386423037273483</c:v>
                </c:pt>
                <c:pt idx="3">
                  <c:v>0.5</c:v>
                </c:pt>
                <c:pt idx="4">
                  <c:v>0.8389129404891692</c:v>
                </c:pt>
                <c:pt idx="5">
                  <c:v>0.97614823565849151</c:v>
                </c:pt>
                <c:pt idx="6">
                  <c:v>0.9986501019683699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1-4B97-8D81-4C39BDAD5A92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17357857275265E-2"/>
                  <c:y val="-0.1159337379466695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D1-4B97-8D81-4C39BDAD5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mmProd4!$E$121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mmProd4!$E$122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1-4B97-8D81-4C39BDAD5A92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944012258145465E-2"/>
                  <c:y val="-0.195868244788655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D1-4B97-8D81-4C39BDAD5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mmProd4!$F$121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mmProd4!$F$122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D1-4B97-8D81-4C39BDAD5A92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812104399514368E-2"/>
                  <c:y val="-0.2496550477932295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D1-4B97-8D81-4C39BDAD5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mmProd4!$G$121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mmProd4!$G$122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FD1-4B97-8D81-4C39BDAD5A92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075920116776548E-2"/>
                  <c:y val="-0.3436543150320716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D1-4B97-8D81-4C39BDAD5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mmProd4!$H$121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mmProd4!$H$122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FD1-4B97-8D81-4C39BDAD5A92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4846353802169294E-2"/>
                  <c:y val="-0.4154091168630662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D1-4B97-8D81-4C39BDAD5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mmProd4!$I$121</c:f>
              <c:numCache>
                <c:formatCode>_(* #,##0_);_(* \(#,##0\);_(* "-"_);_(@_)</c:formatCode>
                <c:ptCount val="1"/>
                <c:pt idx="0">
                  <c:v>3</c:v>
                </c:pt>
              </c:numCache>
            </c:numRef>
          </c:xVal>
          <c:yVal>
            <c:numRef>
              <c:f>mmProd4!$I$122</c:f>
              <c:numCache>
                <c:formatCode>0%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FD1-4B97-8D81-4C39BDAD5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13472"/>
        <c:axId val="171197184"/>
      </c:scatterChart>
      <c:valAx>
        <c:axId val="17111347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197184"/>
        <c:crosses val="autoZero"/>
        <c:crossBetween val="midCat"/>
      </c:valAx>
      <c:valAx>
        <c:axId val="171197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1134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9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mmProd4!$L$129:$L$135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mmProd4!$M$129:$M$135</c:f>
              <c:numCache>
                <c:formatCode>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9-4A6D-879F-E6453968E954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F9-4A6D-879F-E6453968E9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mmProd4!$E$133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mmProd4!$E$134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F9-4A6D-879F-E6453968E954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F9-4A6D-879F-E6453968E9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mmProd4!$F$133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mmProd4!$F$134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F9-4A6D-879F-E6453968E954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F9-4A6D-879F-E6453968E9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mmProd4!$G$133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mmProd4!$G$134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F9-4A6D-879F-E6453968E954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F9-4A6D-879F-E6453968E9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mmProd4!$H$133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mmProd4!$H$134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F9-4A6D-879F-E6453968E954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F9-4A6D-879F-E6453968E9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mmProd4!$I$133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mmProd4!$I$134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F9-4A6D-879F-E6453968E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42496"/>
        <c:axId val="172052480"/>
      </c:scatterChart>
      <c:valAx>
        <c:axId val="17204249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052480"/>
        <c:crosses val="autoZero"/>
        <c:crossBetween val="midCat"/>
      </c:valAx>
      <c:valAx>
        <c:axId val="172052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0424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10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mmProd4!$L$141:$L$147</c:f>
            </c:numRef>
          </c:xVal>
          <c:yVal>
            <c:numRef>
              <c:f>mmProd4!$M$141:$M$147</c:f>
            </c:numRef>
          </c:yVal>
          <c:smooth val="0"/>
          <c:extLst>
            <c:ext xmlns:c16="http://schemas.microsoft.com/office/drawing/2014/chart" uri="{C3380CC4-5D6E-409C-BE32-E72D297353CC}">
              <c16:uniqueId val="{00000000-11F6-4F11-A412-84AC046AF13D}"/>
            </c:ext>
          </c:extLst>
        </c:ser>
        <c:ser>
          <c:idx val="5"/>
          <c:order val="1"/>
          <c:tx>
            <c:strRef>
              <c:f>mmProd4!$E$1</c:f>
              <c:strCache>
                <c:ptCount val="1"/>
                <c:pt idx="0">
                  <c:v>Team 1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F6-4F11-A412-84AC046AF1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mmProd4!$E$145</c:f>
            </c:numRef>
          </c:xVal>
          <c:yVal>
            <c:numRef>
              <c:f>mmProd4!$E$146</c:f>
            </c:numRef>
          </c:yVal>
          <c:smooth val="0"/>
          <c:extLst>
            <c:ext xmlns:c16="http://schemas.microsoft.com/office/drawing/2014/chart" uri="{C3380CC4-5D6E-409C-BE32-E72D297353CC}">
              <c16:uniqueId val="{00000002-11F6-4F11-A412-84AC046AF13D}"/>
            </c:ext>
          </c:extLst>
        </c:ser>
        <c:ser>
          <c:idx val="4"/>
          <c:order val="2"/>
          <c:tx>
            <c:strRef>
              <c:f>mmProd4!$F$1</c:f>
              <c:strCache>
                <c:ptCount val="1"/>
                <c:pt idx="0">
                  <c:v>Team 2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6-4F11-A412-84AC046AF1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mmProd4!$F$145</c:f>
            </c:numRef>
          </c:xVal>
          <c:yVal>
            <c:numRef>
              <c:f>mmProd4!$F$146</c:f>
            </c:numRef>
          </c:yVal>
          <c:smooth val="0"/>
          <c:extLst>
            <c:ext xmlns:c16="http://schemas.microsoft.com/office/drawing/2014/chart" uri="{C3380CC4-5D6E-409C-BE32-E72D297353CC}">
              <c16:uniqueId val="{00000004-11F6-4F11-A412-84AC046AF13D}"/>
            </c:ext>
          </c:extLst>
        </c:ser>
        <c:ser>
          <c:idx val="3"/>
          <c:order val="3"/>
          <c:tx>
            <c:strRef>
              <c:f>mmProd4!$G$1</c:f>
              <c:strCache>
                <c:ptCount val="1"/>
                <c:pt idx="0">
                  <c:v>Team 3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F6-4F11-A412-84AC046AF1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mmProd4!$G$145</c:f>
            </c:numRef>
          </c:xVal>
          <c:yVal>
            <c:numRef>
              <c:f>mmProd4!$G$146</c:f>
            </c:numRef>
          </c:yVal>
          <c:smooth val="0"/>
          <c:extLst>
            <c:ext xmlns:c16="http://schemas.microsoft.com/office/drawing/2014/chart" uri="{C3380CC4-5D6E-409C-BE32-E72D297353CC}">
              <c16:uniqueId val="{00000006-11F6-4F11-A412-84AC046AF13D}"/>
            </c:ext>
          </c:extLst>
        </c:ser>
        <c:ser>
          <c:idx val="1"/>
          <c:order val="4"/>
          <c:tx>
            <c:strRef>
              <c:f>mmProd4!$H$1</c:f>
              <c:strCache>
                <c:ptCount val="1"/>
                <c:pt idx="0">
                  <c:v>Team 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6-4F11-A412-84AC046AF1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mmProd4!$H$145</c:f>
            </c:numRef>
          </c:xVal>
          <c:yVal>
            <c:numRef>
              <c:f>mmProd4!$H$146</c:f>
            </c:numRef>
          </c:yVal>
          <c:smooth val="0"/>
          <c:extLst>
            <c:ext xmlns:c16="http://schemas.microsoft.com/office/drawing/2014/chart" uri="{C3380CC4-5D6E-409C-BE32-E72D297353CC}">
              <c16:uniqueId val="{00000008-11F6-4F11-A412-84AC046AF13D}"/>
            </c:ext>
          </c:extLst>
        </c:ser>
        <c:ser>
          <c:idx val="2"/>
          <c:order val="5"/>
          <c:tx>
            <c:strRef>
              <c:f>mmProd4!$I$1</c:f>
              <c:strCache>
                <c:ptCount val="1"/>
                <c:pt idx="0">
                  <c:v>Team 5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1F6-4F11-A412-84AC046AF1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mmProd4!$I$145</c:f>
            </c:numRef>
          </c:xVal>
          <c:yVal>
            <c:numRef>
              <c:f>mmProd4!$I$146</c:f>
            </c:numRef>
          </c:yVal>
          <c:smooth val="0"/>
          <c:extLst>
            <c:ext xmlns:c16="http://schemas.microsoft.com/office/drawing/2014/chart" uri="{C3380CC4-5D6E-409C-BE32-E72D297353CC}">
              <c16:uniqueId val="{0000000A-11F6-4F11-A412-84AC046AF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19552"/>
        <c:axId val="172121088"/>
      </c:scatterChart>
      <c:valAx>
        <c:axId val="17211955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121088"/>
        <c:crosses val="autoZero"/>
        <c:crossBetween val="midCat"/>
      </c:valAx>
      <c:valAx>
        <c:axId val="172121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1195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Price</a:t>
            </a:r>
          </a:p>
        </c:rich>
      </c:tx>
      <c:layout>
        <c:manualLayout>
          <c:xMode val="edge"/>
          <c:yMode val="edge"/>
          <c:x val="0.45682451253481893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63231197771587"/>
          <c:y val="0.151516048272066"/>
          <c:w val="0.78830083565459608"/>
          <c:h val="0.59394290922649873"/>
        </c:manualLayout>
      </c:layout>
      <c:scatterChart>
        <c:scatterStyle val="lineMarker"/>
        <c:varyColors val="0"/>
        <c:ser>
          <c:idx val="0"/>
          <c:order val="0"/>
          <c:tx>
            <c:strRef>
              <c:f>mmProd5!$L$29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mmProd5!$L$30:$L$36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mmProd5!$M$30:$M$36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2-4466-9EB0-CC16588CA0F8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114364169592715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22-4466-9EB0-CC16588CA0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22-4466-9EB0-CC16588CA0F8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187091872763306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466-9EB0-CC16588CA0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22-4466-9EB0-CC16588CA0F8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26588021786478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22-4466-9EB0-CC16588CA0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22-4466-9EB0-CC16588CA0F8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3325472791044900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22-4466-9EB0-CC16588CA0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22-4466-9EB0-CC16588CA0F8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4280408542247003E-2"/>
                  <c:y val="-0.3992143403441991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22-4466-9EB0-CC16588CA0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22-4466-9EB0-CC16588CA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71712"/>
        <c:axId val="171973248"/>
      </c:scatterChart>
      <c:valAx>
        <c:axId val="17197171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973248"/>
        <c:crosses val="autoZero"/>
        <c:crossBetween val="midCat"/>
      </c:valAx>
      <c:valAx>
        <c:axId val="171973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9717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Advertising</a:t>
            </a:r>
          </a:p>
        </c:rich>
      </c:tx>
      <c:layout>
        <c:manualLayout>
          <c:xMode val="edge"/>
          <c:yMode val="edge"/>
          <c:x val="0.40871991818461384"/>
          <c:y val="4.8780487804878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41436107581673"/>
          <c:y val="0.14634146341463414"/>
          <c:w val="0.79019178701861992"/>
          <c:h val="0.597560975609756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mmProd5!$L$42:$L$48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mmProd5!$M$42:$M$48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F-4E08-899B-88D506AAD263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936569743172847E-2"/>
                  <c:y val="-0.115060495486844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4F-4E08-899B-88D506AAD2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4F-4E08-899B-88D506AAD263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1369008754292E-2"/>
                  <c:y val="-0.1882312271941617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F-4E08-899B-88D506AAD2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4F-4E08-899B-88D506AAD263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1369008754292E-2"/>
                  <c:y val="-0.267499519877088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4F-4E08-899B-88D506AAD2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4F-4E08-899B-88D506AAD263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1369008754292E-2"/>
                  <c:y val="-0.3345726906087959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F-4E08-899B-88D506AAD2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54F-4E08-899B-88D506AAD263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386168274335738E-2"/>
                  <c:y val="-0.4016458613405032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54F-4E08-899B-88D506AAD2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4F-4E08-899B-88D506AAD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62464"/>
        <c:axId val="172464000"/>
      </c:scatterChart>
      <c:valAx>
        <c:axId val="17246246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464000"/>
        <c:crosses val="autoZero"/>
        <c:crossBetween val="midCat"/>
      </c:valAx>
      <c:valAx>
        <c:axId val="172464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462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Features</a:t>
            </a:r>
          </a:p>
        </c:rich>
      </c:tx>
      <c:layout>
        <c:manualLayout>
          <c:xMode val="edge"/>
          <c:yMode val="edge"/>
          <c:x val="0.43121804218917081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92098348881729"/>
          <c:y val="0.12727348054853543"/>
          <c:w val="0.79629835353203937"/>
          <c:h val="0.6060641930882639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mmProd5!$L$54:$L$60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mmProd5!$M$54:$M$60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C-4712-BAEC-4CADA4E9A454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75743005274E-2"/>
                  <c:y val="-0.1143642413332681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AC-4712-BAEC-4CADA4E9A4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AC-4712-BAEC-4CADA4E9A454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85223178166E-2"/>
                  <c:y val="-0.193152586434742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AC-4712-BAEC-4CADA4E9A4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AC-4712-BAEC-4CADA4E9A454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85223178166E-2"/>
                  <c:y val="-0.27194093153621685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AC-4712-BAEC-4CADA4E9A4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AC-4712-BAEC-4CADA4E9A454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85223178166E-2"/>
                  <c:y val="-0.33860799277592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AC-4712-BAEC-4CADA4E9A4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AC-4712-BAEC-4CADA4E9A454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94703351058E-2"/>
                  <c:y val="-0.411335695946517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AC-4712-BAEC-4CADA4E9A4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AC-4712-BAEC-4CADA4E9A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18784"/>
        <c:axId val="172541056"/>
      </c:scatterChart>
      <c:valAx>
        <c:axId val="17251878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541056"/>
        <c:crosses val="autoZero"/>
        <c:crossBetween val="midCat"/>
      </c:valAx>
      <c:valAx>
        <c:axId val="172541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5187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4</a:t>
            </a:r>
          </a:p>
        </c:rich>
      </c:tx>
      <c:layout>
        <c:manualLayout>
          <c:xMode val="edge"/>
          <c:yMode val="edge"/>
          <c:x val="0.43915455012567872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4545540634118337"/>
          <c:w val="0.79629835353203937"/>
          <c:h val="0.6000035511573813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mmProd5!$L$66:$L$72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mmProd5!$M$66:$M$72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43-4816-B57C-958367F69088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62073664809E-2"/>
                  <c:y val="-0.114364169592715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43-4816-B57C-958367F690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43-4816-B57C-958367F69088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19315251469418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43-4816-B57C-958367F690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43-4816-B57C-958367F69088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2719408597956636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43-4816-B57C-958367F690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43-4816-B57C-958367F69088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3325472791044900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43-4816-B57C-958367F690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43-4816-B57C-958367F69088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81034010565E-2"/>
                  <c:y val="-0.405274982275081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043-4816-B57C-958367F690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43-4816-B57C-958367F69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19008"/>
        <c:axId val="172237184"/>
      </c:scatterChart>
      <c:valAx>
        <c:axId val="17221900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237184"/>
        <c:crosses val="autoZero"/>
        <c:crossBetween val="midCat"/>
      </c:valAx>
      <c:valAx>
        <c:axId val="172237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2190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Driver 5</a:t>
            </a:r>
          </a:p>
        </c:rich>
      </c:tx>
      <c:layout>
        <c:manualLayout>
          <c:xMode val="edge"/>
          <c:yMode val="edge"/>
          <c:x val="0.43915455012567872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3953527983988873"/>
          <c:w val="0.79629835353203937"/>
          <c:h val="0.616280819292841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mmProd5!$L$78:$L$84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mmProd5!$M$78:$M$84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2E-43C8-8022-0FB614DBEE27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62073664809E-2"/>
                  <c:y val="-0.1155235560720374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2E-43C8-8022-0FB614DBEE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2E-43C8-8022-0FB614DBEE27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196919135978639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2E-43C8-8022-0FB614DBEE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2E-43C8-8022-0FB614DBEE27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2783147158852409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A2E-43C8-8022-0FB614DBEE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2E-43C8-8022-0FB614DBEE27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3422683858118565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2E-43C8-8022-0FB614DBEE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2E-43C8-8022-0FB614DBEE27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81034010565E-2"/>
                  <c:y val="-0.417849995725129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A2E-43C8-8022-0FB614DBEE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2E-43C8-8022-0FB614DBE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04256"/>
        <c:axId val="172305792"/>
      </c:scatterChart>
      <c:valAx>
        <c:axId val="17230425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305792"/>
        <c:crosses val="autoZero"/>
        <c:crossBetween val="midCat"/>
      </c:valAx>
      <c:valAx>
        <c:axId val="17230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3042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6</a:t>
            </a:r>
          </a:p>
        </c:rich>
      </c:tx>
      <c:layout>
        <c:manualLayout>
          <c:xMode val="edge"/>
          <c:yMode val="edge"/>
          <c:x val="0.43979112558574157"/>
          <c:y val="5.2287581699346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4363284270805"/>
          <c:y val="0.15686374632191025"/>
          <c:w val="0.7984303399438859"/>
          <c:h val="0.5686310804169246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mmProd5!$L$90:$L$96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mmProd5!$M$90:$M$96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1B-4073-950E-8459DD53E502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11026145268049059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1B-4073-950E-8459DD53E5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1B-4073-950E-8459DD53E502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18215733641136622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1B-4073-950E-8459DD53E5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1B-4073-950E-8459DD53E502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25405322014224174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1B-4073-950E-8459DD53E5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1B-4073-950E-8459DD53E502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31941311444303766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1B-4073-950E-8459DD53E5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1B-4073-950E-8459DD53E502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043787737369763E-2"/>
                  <c:y val="-0.38477300874383358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51B-4073-950E-8459DD53E5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1B-4073-950E-8459DD53E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89504"/>
        <c:axId val="172391040"/>
      </c:scatterChart>
      <c:valAx>
        <c:axId val="172389504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391040"/>
        <c:crosses val="autoZero"/>
        <c:crossBetween val="midCat"/>
      </c:valAx>
      <c:valAx>
        <c:axId val="172391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3895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7</a:t>
            </a:r>
          </a:p>
        </c:rich>
      </c:tx>
      <c:layout>
        <c:manualLayout>
          <c:xMode val="edge"/>
          <c:yMode val="edge"/>
          <c:x val="0.43883034567487572"/>
          <c:y val="4.96894409937888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95762985895666"/>
          <c:y val="0.14906832298136646"/>
          <c:w val="0.79521379863826491"/>
          <c:h val="0.5900621118012422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mmProd5!$L$102:$L$108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mmProd5!$M$102:$M$108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E-4084-8FF3-B5603E9079E1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92213724608544E-2"/>
                  <c:y val="-0.1109932997505747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5E-4084-8FF3-B5603E9079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5E-4084-8FF3-B5603E9079E1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81715167952547E-2"/>
                  <c:y val="-0.19173864136548147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5E-4084-8FF3-B5603E9079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5E-4084-8FF3-B5603E9079E1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81715167952547E-2"/>
                  <c:y val="-0.26627280285616467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75E-4084-8FF3-B5603E9079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75E-4084-8FF3-B5603E9079E1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81715167952547E-2"/>
                  <c:y val="-0.3283846040984007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5E-4084-8FF3-B5603E9079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5E-4084-8FF3-B5603E9079E1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241293089819653E-2"/>
                  <c:y val="-0.39670758546486035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75E-4084-8FF3-B5603E9079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75E-4084-8FF3-B5603E9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29408"/>
        <c:axId val="172930944"/>
      </c:scatterChart>
      <c:valAx>
        <c:axId val="17292940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30944"/>
        <c:crosses val="autoZero"/>
        <c:crossBetween val="midCat"/>
      </c:valAx>
      <c:valAx>
        <c:axId val="172930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294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8</a:t>
            </a:r>
          </a:p>
        </c:rich>
      </c:tx>
      <c:layout>
        <c:manualLayout>
          <c:xMode val="edge"/>
          <c:yMode val="edge"/>
          <c:x val="0.44063379940304293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84186881837074"/>
          <c:y val="0.13953527983988873"/>
          <c:w val="0.79683479968203708"/>
          <c:h val="0.616280819292841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mmProd5!$L$114:$L$120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mmProd5!$M$114:$M$120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5E-4230-8B7C-3C02C14EC8FC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360749300432235E-2"/>
                  <c:y val="-0.11552355607203743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5E-4230-8B7C-3C02C14EC8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5E-4230-8B7C-3C02C14EC8FC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999275127193952E-2"/>
                  <c:y val="-0.19691913597863916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5E-4230-8B7C-3C02C14EC8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5E-4230-8B7C-3C02C14EC8FC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999275127193952E-2"/>
                  <c:y val="-0.27831471588524093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5E-4230-8B7C-3C02C14EC8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5E-4230-8B7C-3C02C14EC8FC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999275127193952E-2"/>
                  <c:y val="-0.34226838581185659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5E-4230-8B7C-3C02C14EC8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5E-4230-8B7C-3C02C14EC8FC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637800953955642E-2"/>
                  <c:y val="-0.4178499957251296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D5E-4230-8B7C-3C02C14EC8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5E-4230-8B7C-3C02C14EC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85728"/>
        <c:axId val="172999808"/>
      </c:scatterChart>
      <c:valAx>
        <c:axId val="17298572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99808"/>
        <c:crosses val="autoZero"/>
        <c:crossBetween val="midCat"/>
      </c:valAx>
      <c:valAx>
        <c:axId val="17299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857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9</a:t>
            </a:r>
          </a:p>
        </c:rich>
      </c:tx>
      <c:layout>
        <c:manualLayout>
          <c:xMode val="edge"/>
          <c:yMode val="edge"/>
          <c:x val="0.43915455012567872"/>
          <c:y val="4.90797546012269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4723970487354077"/>
          <c:w val="0.79629835353203937"/>
          <c:h val="0.5950938071972272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mmProd5!$L$126:$L$132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mmProd5!$M$126:$M$132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8-4C92-98CE-58908415DB09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62073664809E-2"/>
                  <c:y val="-0.11576723693864678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F8-4C92-98CE-58908415DB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F8-4C92-98CE-58908415DB09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18938708937541715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F8-4C92-98CE-58908415DB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F8-4C92-98CE-58908415DB09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26914192951525179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F8-4C92-98CE-58908415DB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F8-4C92-98CE-58908415DB09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33049180654589377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F8-4C92-98CE-58908415DB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F8-4C92-98CE-58908415DB09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81034010565E-2"/>
                  <c:y val="-0.40411165898266416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F8-4C92-98CE-58908415DB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F8-4C92-98CE-58908415D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28608"/>
        <c:axId val="172650880"/>
      </c:scatterChart>
      <c:valAx>
        <c:axId val="17262860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650880"/>
        <c:crosses val="autoZero"/>
        <c:crossBetween val="midCat"/>
      </c:valAx>
      <c:valAx>
        <c:axId val="172650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6286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10</a:t>
            </a:r>
          </a:p>
        </c:rich>
      </c:tx>
      <c:layout>
        <c:manualLayout>
          <c:xMode val="edge"/>
          <c:yMode val="edge"/>
          <c:x val="0.43532442773011576"/>
          <c:y val="4.70588235294117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84111629624412"/>
          <c:y val="0.14117647058823529"/>
          <c:w val="0.80845967540149688"/>
          <c:h val="0.6117647058823529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mmProd5!$L$138:$L$144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mmProd5!$M$138:$M$144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3-48F3-9BCD-0BA6C08455FD}"/>
            </c:ext>
          </c:extLst>
        </c:ser>
        <c:ser>
          <c:idx val="5"/>
          <c:order val="1"/>
          <c:tx>
            <c:strRef>
              <c:f>mmProd5!$E$1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310165744374376E-2"/>
                  <c:y val="-0.11688188976377956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8F3-9BCD-0BA6C08455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mmProd5!$E$137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mmProd5!$E$138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3-48F3-9BCD-0BA6C08455FD}"/>
            </c:ext>
          </c:extLst>
        </c:ser>
        <c:ser>
          <c:idx val="4"/>
          <c:order val="2"/>
          <c:tx>
            <c:strRef>
              <c:f>mmProd5!$F$1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97733976378982E-2"/>
                  <c:y val="-0.19335247799907374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43-48F3-9BCD-0BA6C08455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mmProd5!$F$137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mmProd5!$F$138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43-48F3-9BCD-0BA6C08455FD}"/>
            </c:ext>
          </c:extLst>
        </c:ser>
        <c:ser>
          <c:idx val="3"/>
          <c:order val="3"/>
          <c:tx>
            <c:strRef>
              <c:f>mmProd5!$G$1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97733976378982E-2"/>
                  <c:y val="-0.27570541917554425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843-48F3-9BCD-0BA6C08455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mmProd5!$G$137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mmProd5!$G$138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43-48F3-9BCD-0BA6C08455FD}"/>
            </c:ext>
          </c:extLst>
        </c:ser>
        <c:ser>
          <c:idx val="1"/>
          <c:order val="4"/>
          <c:tx>
            <c:strRef>
              <c:f>mmProd5!$H$1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97733976378982E-2"/>
                  <c:y val="-0.34041130152848542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43-48F3-9BCD-0BA6C08455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mmProd5!$H$137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mmProd5!$H$138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43-48F3-9BCD-0BA6C08455FD}"/>
            </c:ext>
          </c:extLst>
        </c:ser>
        <c:ser>
          <c:idx val="2"/>
          <c:order val="5"/>
          <c:tx>
            <c:strRef>
              <c:f>mmProd5!$I$1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285302208383587E-2"/>
                  <c:y val="-0.41099953682260304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8F3-9BCD-0BA6C08455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mmProd5!$I$137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mmProd5!$I$138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43-48F3-9BCD-0BA6C0845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09760"/>
        <c:axId val="172711296"/>
      </c:scatterChart>
      <c:valAx>
        <c:axId val="17270976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711296"/>
        <c:crosses val="autoZero"/>
        <c:crossBetween val="midCat"/>
      </c:valAx>
      <c:valAx>
        <c:axId val="172711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7097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Price</a:t>
            </a:r>
          </a:p>
        </c:rich>
      </c:tx>
      <c:layout>
        <c:manualLayout>
          <c:xMode val="edge"/>
          <c:yMode val="edge"/>
          <c:x val="0.45682451253481893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63231197771587"/>
          <c:y val="0.151516048272066"/>
          <c:w val="0.78830083565459608"/>
          <c:h val="0.59394290922649873"/>
        </c:manualLayout>
      </c:layout>
      <c:scatterChart>
        <c:scatterStyle val="lineMarker"/>
        <c:varyColors val="0"/>
        <c:ser>
          <c:idx val="0"/>
          <c:order val="0"/>
          <c:tx>
            <c:strRef>
              <c:f>mmProd6!$L$29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mmProd6!$L$30:$L$36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mmProd6!$M$30:$M$36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9D-4240-9AAF-C7327165AE07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11436416959271503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9D-4240-9AAF-C7327165A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9D-4240-9AAF-C7327165AE07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18709187276330677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9D-4240-9AAF-C7327165A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9D-4240-9AAF-C7327165AE07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265880217864781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99D-4240-9AAF-C7327165A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9D-4240-9AAF-C7327165AE07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494893221912728E-2"/>
                  <c:y val="-0.33254727910449006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9D-4240-9AAF-C7327165A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99D-4240-9AAF-C7327165AE07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4280408542247003E-2"/>
                  <c:y val="-0.39921434034419911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99D-4240-9AAF-C7327165A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mmProd6!$I$29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mmProd6!$I$30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99D-4240-9AAF-C7327165A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03456"/>
        <c:axId val="171604992"/>
      </c:scatterChart>
      <c:valAx>
        <c:axId val="17160345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604992"/>
        <c:crosses val="autoZero"/>
        <c:crossBetween val="midCat"/>
      </c:valAx>
      <c:valAx>
        <c:axId val="171604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6034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Advertising</a:t>
            </a:r>
          </a:p>
        </c:rich>
      </c:tx>
      <c:layout>
        <c:manualLayout>
          <c:xMode val="edge"/>
          <c:yMode val="edge"/>
          <c:x val="0.40871991818461384"/>
          <c:y val="4.8780487804878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41436107581673"/>
          <c:y val="0.14634146341463414"/>
          <c:w val="0.79019178701861992"/>
          <c:h val="0.597560975609756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mmProd6!$L$42:$L$48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mmProd6!$M$42:$M$48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8-447A-8E50-D71368FD11DA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6.9936569743172847E-2"/>
                  <c:y val="-0.1150604954868447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38-447A-8E50-D71368FD1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8-447A-8E50-D71368FD11DA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1369008754292E-2"/>
                  <c:y val="-0.18823122719416172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38-447A-8E50-D71368FD1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38-447A-8E50-D71368FD11DA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1369008754292E-2"/>
                  <c:y val="-0.26749951987708859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38-447A-8E50-D71368FD1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38-447A-8E50-D71368FD11DA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661369008754292E-2"/>
                  <c:y val="-0.33457269060879591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38-447A-8E50-D71368FD1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38-447A-8E50-D71368FD11DA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386168274335738E-2"/>
                  <c:y val="-0.40164586134050323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38-447A-8E50-D71368FD1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mmProd6!$I$41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mmProd6!$I$42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38-447A-8E50-D71368FD1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05088"/>
        <c:axId val="171706624"/>
      </c:scatterChart>
      <c:valAx>
        <c:axId val="17170508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706624"/>
        <c:crosses val="autoZero"/>
        <c:crossBetween val="midCat"/>
      </c:valAx>
      <c:valAx>
        <c:axId val="171706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7050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Features</a:t>
            </a:r>
          </a:p>
        </c:rich>
      </c:tx>
      <c:layout>
        <c:manualLayout>
          <c:xMode val="edge"/>
          <c:yMode val="edge"/>
          <c:x val="0.43121804218917081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92098348881729"/>
          <c:y val="0.12727348054853543"/>
          <c:w val="0.79629835353203937"/>
          <c:h val="0.6060641930882639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mmProd6!$L$54:$L$60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mmProd6!$M$54:$M$60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BF-4638-8042-5ABFA0DBBB1F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75743005274E-2"/>
                  <c:y val="-0.11436424133326815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BF-4638-8042-5ABFA0DBBB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BF-4638-8042-5ABFA0DBBB1F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85223178166E-2"/>
                  <c:y val="-0.19315258643474253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BF-4638-8042-5ABFA0DBBB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BF-4638-8042-5ABFA0DBBB1F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85223178166E-2"/>
                  <c:y val="-0.27194093153621685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BF-4638-8042-5ABFA0DBBB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BF-4638-8042-5ABFA0DBBB1F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85223178166E-2"/>
                  <c:y val="-0.3386079927759259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BF-4638-8042-5ABFA0DBBB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BF-4638-8042-5ABFA0DBBB1F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94703351058E-2"/>
                  <c:y val="-0.41133569594651759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BF-4638-8042-5ABFA0DBBB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mmProd6!$I$53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mmProd6!$I$54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1BF-4638-8042-5ABFA0DBB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78592"/>
        <c:axId val="173680128"/>
      </c:scatterChart>
      <c:valAx>
        <c:axId val="17367859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680128"/>
        <c:crosses val="autoZero"/>
        <c:crossBetween val="midCat"/>
      </c:valAx>
      <c:valAx>
        <c:axId val="173680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6785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4</a:t>
            </a:r>
          </a:p>
        </c:rich>
      </c:tx>
      <c:layout>
        <c:manualLayout>
          <c:xMode val="edge"/>
          <c:yMode val="edge"/>
          <c:x val="0.43915455012567872"/>
          <c:y val="4.8484848484848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4545540634118337"/>
          <c:w val="0.79629835353203937"/>
          <c:h val="0.6000035511573813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mmProd6!$L$66:$L$72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mmProd6!$M$66:$M$72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4-46EE-AC52-9AE08658E42D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62073664809E-2"/>
                  <c:y val="-0.11436416959271503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94-46EE-AC52-9AE08658E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4-46EE-AC52-9AE08658E42D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1931525146941894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94-46EE-AC52-9AE08658E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94-46EE-AC52-9AE08658E42D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27194085979566368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994-46EE-AC52-9AE08658E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94-46EE-AC52-9AE08658E42D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33254727910449006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94-46EE-AC52-9AE08658E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94-46EE-AC52-9AE08658E42D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81034010565E-2"/>
                  <c:y val="-0.40527498227508174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994-46EE-AC52-9AE08658E4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mmProd6!$I$65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mmProd6!$I$66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994-46EE-AC52-9AE08658E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39008"/>
        <c:axId val="173785856"/>
      </c:scatterChart>
      <c:valAx>
        <c:axId val="17373900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85856"/>
        <c:crosses val="autoZero"/>
        <c:crossBetween val="midCat"/>
      </c:valAx>
      <c:valAx>
        <c:axId val="173785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390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5</a:t>
            </a:r>
          </a:p>
        </c:rich>
      </c:tx>
      <c:layout>
        <c:manualLayout>
          <c:xMode val="edge"/>
          <c:yMode val="edge"/>
          <c:x val="0.43915455012567872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3953527983988873"/>
          <c:w val="0.79629835353203937"/>
          <c:h val="0.616280819292841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mmProd6!$L$78:$L$84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mmProd6!$M$78:$M$84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7-4164-9EAE-0EB26402C154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62073664809E-2"/>
                  <c:y val="-0.11552355607203743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07-4164-9EAE-0EB26402C1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07-4164-9EAE-0EB26402C154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19691913597863916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07-4164-9EAE-0EB26402C1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07-4164-9EAE-0EB26402C154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27831471588524093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607-4164-9EAE-0EB26402C1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07-4164-9EAE-0EB26402C154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34226838581185659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07-4164-9EAE-0EB26402C1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07-4164-9EAE-0EB26402C154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81034010565E-2"/>
                  <c:y val="-0.4178499957251296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607-4164-9EAE-0EB26402C1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mmProd6!$I$77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mmProd6!$I$78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607-4164-9EAE-0EB26402C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28352"/>
        <c:axId val="173842432"/>
      </c:scatterChart>
      <c:valAx>
        <c:axId val="173828352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42432"/>
        <c:crosses val="autoZero"/>
        <c:crossBetween val="midCat"/>
      </c:valAx>
      <c:valAx>
        <c:axId val="173842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283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6</a:t>
            </a:r>
          </a:p>
        </c:rich>
      </c:tx>
      <c:layout>
        <c:manualLayout>
          <c:xMode val="edge"/>
          <c:yMode val="edge"/>
          <c:x val="0.43979112558574157"/>
          <c:y val="5.2287581699346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4363284270805"/>
          <c:y val="0.15686374632191025"/>
          <c:w val="0.7984303399438859"/>
          <c:h val="0.5686310804169246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mmProd6!$L$90:$L$96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mmProd6!$M$90:$M$96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4-4C76-960D-C33059D0C007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11026145268049059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84-4C76-960D-C33059D0C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84-4C76-960D-C33059D0C007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18215733641136622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4-4C76-960D-C33059D0C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84-4C76-960D-C33059D0C007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25405322014224174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84-4C76-960D-C33059D0C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84-4C76-960D-C33059D0C007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425983344111142E-2"/>
                  <c:y val="-0.31941311444303766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4-4C76-960D-C33059D0C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E84-4C76-960D-C33059D0C007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043787737369763E-2"/>
                  <c:y val="-0.38477300874383358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84-4C76-960D-C33059D0C0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mmProd6!$I$89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mmProd6!$I$90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E84-4C76-960D-C33059D0C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05408"/>
        <c:axId val="173906944"/>
      </c:scatterChart>
      <c:valAx>
        <c:axId val="17390540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06944"/>
        <c:crosses val="autoZero"/>
        <c:crossBetween val="midCat"/>
      </c:valAx>
      <c:valAx>
        <c:axId val="173906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054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7</a:t>
            </a:r>
          </a:p>
        </c:rich>
      </c:tx>
      <c:layout>
        <c:manualLayout>
          <c:xMode val="edge"/>
          <c:yMode val="edge"/>
          <c:x val="0.43883034567487572"/>
          <c:y val="4.96894409937888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95762985895666"/>
          <c:y val="0.14906832298136646"/>
          <c:w val="0.79521379863826491"/>
          <c:h val="0.5900621118012422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mmProd6!$L$102:$L$108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mmProd6!$M$102:$M$108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DE-4764-BC0B-08C46AAFCEE3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92213724608544E-2"/>
                  <c:y val="-0.1109932997505747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DE-4764-BC0B-08C46AAFC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DE-4764-BC0B-08C46AAFCEE3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81715167952547E-2"/>
                  <c:y val="-0.19173864136548147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E-4764-BC0B-08C46AAFC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DE-4764-BC0B-08C46AAFCEE3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81715167952547E-2"/>
                  <c:y val="-0.26627280285616467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DE-4764-BC0B-08C46AAFC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FDE-4764-BC0B-08C46AAFCEE3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581715167952547E-2"/>
                  <c:y val="-0.3283846040984007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E-4764-BC0B-08C46AAFC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FDE-4764-BC0B-08C46AAFCEE3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241293089819653E-2"/>
                  <c:y val="-0.39670758546486035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DE-4764-BC0B-08C46AAFC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mmProd6!$I$101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mmProd6!$I$102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FDE-4764-BC0B-08C46AAFC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97440"/>
        <c:axId val="173598976"/>
      </c:scatterChart>
      <c:valAx>
        <c:axId val="17359744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98976"/>
        <c:crosses val="autoZero"/>
        <c:crossBetween val="midCat"/>
      </c:valAx>
      <c:valAx>
        <c:axId val="17359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974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8</a:t>
            </a:r>
          </a:p>
        </c:rich>
      </c:tx>
      <c:layout>
        <c:manualLayout>
          <c:xMode val="edge"/>
          <c:yMode val="edge"/>
          <c:x val="0.44063379940304293"/>
          <c:y val="4.6511627906976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84186881837074"/>
          <c:y val="0.13953527983988873"/>
          <c:w val="0.79683479968203708"/>
          <c:h val="0.616280819292841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mmProd6!$L$114:$L$120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mmProd6!$M$114:$M$120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BB-4E2B-ADD8-85BEE1896223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360749300432235E-2"/>
                  <c:y val="-0.11552355607203743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4BB-4E2B-ADD8-85BEE1896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BB-4E2B-ADD8-85BEE1896223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999275127193952E-2"/>
                  <c:y val="-0.19691913597863916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BB-4E2B-ADD8-85BEE1896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BB-4E2B-ADD8-85BEE1896223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999275127193952E-2"/>
                  <c:y val="-0.27831471588524093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4BB-4E2B-ADD8-85BEE1896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BB-4E2B-ADD8-85BEE1896223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2999275127193952E-2"/>
                  <c:y val="-0.34226838581185659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BB-4E2B-ADD8-85BEE1896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BB-4E2B-ADD8-85BEE1896223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637800953955642E-2"/>
                  <c:y val="-0.4178499957251296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4BB-4E2B-ADD8-85BEE1896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mmProd6!$I$113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mmProd6!$I$114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4BB-4E2B-ADD8-85BEE189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62976"/>
        <c:axId val="40838656"/>
      </c:scatterChart>
      <c:valAx>
        <c:axId val="173662976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38656"/>
        <c:crosses val="autoZero"/>
        <c:crossBetween val="midCat"/>
      </c:valAx>
      <c:valAx>
        <c:axId val="40838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6629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9</a:t>
            </a:r>
          </a:p>
        </c:rich>
      </c:tx>
      <c:layout>
        <c:manualLayout>
          <c:xMode val="edge"/>
          <c:yMode val="edge"/>
          <c:x val="0.43915455012567872"/>
          <c:y val="4.90797546012269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21200244916307"/>
          <c:y val="0.14723970487354077"/>
          <c:w val="0.79629835353203937"/>
          <c:h val="0.5950938071972272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mmProd6!$L$126:$L$132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mmProd6!$M$126:$M$132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A-46BA-B871-F43970B6C65B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0546762073664809E-2"/>
                  <c:y val="-0.11576723693864678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AA-46BA-B871-F43970B6C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AA-46BA-B871-F43970B6C65B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18938708937541715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AA-46BA-B871-F43970B6C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AA-46BA-B871-F43970B6C65B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26914192951525179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AA-46BA-B871-F43970B6C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0AA-46BA-B871-F43970B6C65B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192271553837673E-2"/>
                  <c:y val="-0.33049180654589377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AA-46BA-B871-F43970B6C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AA-46BA-B871-F43970B6C65B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5837781034010565E-2"/>
                  <c:y val="-0.40411165898266416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0AA-46BA-B871-F43970B6C6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mmProd6!$I$125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mmProd6!$I$126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0AA-46BA-B871-F43970B6C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13920"/>
        <c:axId val="40932096"/>
      </c:scatterChart>
      <c:valAx>
        <c:axId val="40913920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32096"/>
        <c:crosses val="autoZero"/>
        <c:crossBetween val="midCat"/>
      </c:valAx>
      <c:valAx>
        <c:axId val="40932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139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Driver 10</a:t>
            </a:r>
          </a:p>
        </c:rich>
      </c:tx>
      <c:layout>
        <c:manualLayout>
          <c:xMode val="edge"/>
          <c:yMode val="edge"/>
          <c:x val="0.43532442773011576"/>
          <c:y val="4.70588235294117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84111629624412"/>
          <c:y val="0.14117647058823529"/>
          <c:w val="0.80845967540149688"/>
          <c:h val="0.6117647058823529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mmProd6!$L$138:$L$144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mmProd6!$M$138:$M$144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4-4C9F-A61C-D12D8D6C21C1}"/>
            </c:ext>
          </c:extLst>
        </c:ser>
        <c:ser>
          <c:idx val="5"/>
          <c:order val="1"/>
          <c:tx>
            <c:strRef>
              <c:f>mmProd6!$E$1</c:f>
              <c:strCache>
                <c:ptCount val="1"/>
                <c:pt idx="0">
                  <c:v>Team 1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1310165744374376E-2"/>
                  <c:y val="-0.11688188976377956"/>
                </c:manualLayout>
              </c:layout>
              <c:tx>
                <c:rich>
                  <a:bodyPr/>
                  <a:lstStyle/>
                  <a:p>
                    <a:r>
                      <a:t> Team 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54-4C9F-A61C-D12D8D6C21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mmProd6!$E$137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mmProd6!$E$138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54-4C9F-A61C-D12D8D6C21C1}"/>
            </c:ext>
          </c:extLst>
        </c:ser>
        <c:ser>
          <c:idx val="4"/>
          <c:order val="2"/>
          <c:tx>
            <c:strRef>
              <c:f>mmProd6!$F$1</c:f>
              <c:strCache>
                <c:ptCount val="1"/>
                <c:pt idx="0">
                  <c:v>Team 2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97733976378982E-2"/>
                  <c:y val="-0.19335247799907374"/>
                </c:manualLayout>
              </c:layout>
              <c:tx>
                <c:rich>
                  <a:bodyPr/>
                  <a:lstStyle/>
                  <a:p>
                    <a:r>
                      <a:t> Team 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54-4C9F-A61C-D12D8D6C21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mmProd6!$F$137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mmProd6!$F$138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54-4C9F-A61C-D12D8D6C21C1}"/>
            </c:ext>
          </c:extLst>
        </c:ser>
        <c:ser>
          <c:idx val="3"/>
          <c:order val="3"/>
          <c:tx>
            <c:strRef>
              <c:f>mmProd6!$G$1</c:f>
              <c:strCache>
                <c:ptCount val="1"/>
                <c:pt idx="0">
                  <c:v>Team 3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97733976378982E-2"/>
                  <c:y val="-0.27570541917554425"/>
                </c:manualLayout>
              </c:layout>
              <c:tx>
                <c:rich>
                  <a:bodyPr/>
                  <a:lstStyle/>
                  <a:p>
                    <a:r>
                      <a:t> Team 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54-4C9F-A61C-D12D8D6C21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mmProd6!$G$137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mmProd6!$G$138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54-4C9F-A61C-D12D8D6C21C1}"/>
            </c:ext>
          </c:extLst>
        </c:ser>
        <c:ser>
          <c:idx val="1"/>
          <c:order val="4"/>
          <c:tx>
            <c:strRef>
              <c:f>mmProd6!$H$1</c:f>
              <c:strCache>
                <c:ptCount val="1"/>
                <c:pt idx="0">
                  <c:v>Team 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3797733976378982E-2"/>
                  <c:y val="-0.34041130152848542"/>
                </c:manualLayout>
              </c:layout>
              <c:tx>
                <c:rich>
                  <a:bodyPr/>
                  <a:lstStyle/>
                  <a:p>
                    <a:r>
                      <a:t> Team 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54-4C9F-A61C-D12D8D6C21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mmProd6!$H$137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mmProd6!$H$138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E54-4C9F-A61C-D12D8D6C21C1}"/>
            </c:ext>
          </c:extLst>
        </c:ser>
        <c:ser>
          <c:idx val="2"/>
          <c:order val="5"/>
          <c:tx>
            <c:strRef>
              <c:f>mmProd6!$I$1</c:f>
              <c:strCache>
                <c:ptCount val="1"/>
                <c:pt idx="0">
                  <c:v>Team 5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10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6285302208383587E-2"/>
                  <c:y val="-0.41099953682260304"/>
                </c:manualLayout>
              </c:layout>
              <c:tx>
                <c:rich>
                  <a:bodyPr/>
                  <a:lstStyle/>
                  <a:p>
                    <a:r>
                      <a:t> Team 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54-4C9F-A61C-D12D8D6C21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mmProd6!$I$137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mmProd6!$I$138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E54-4C9F-A61C-D12D8D6C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72128"/>
        <c:axId val="174702592"/>
      </c:scatterChart>
      <c:valAx>
        <c:axId val="174672128"/>
        <c:scaling>
          <c:orientation val="minMax"/>
        </c:scaling>
        <c:delete val="0"/>
        <c:axPos val="b"/>
        <c:numFmt formatCode="_(* #,##0_);_(* \(#,##0\);_(* &quot;-&quot;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02592"/>
        <c:crosses val="autoZero"/>
        <c:crossBetween val="midCat"/>
      </c:valAx>
      <c:valAx>
        <c:axId val="174702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6721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T$39" lockText="1" noThreeD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6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6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7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1.png"/><Relationship Id="rId1" Type="http://schemas.openxmlformats.org/officeDocument/2006/relationships/image" Target="../media/image8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6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10" Type="http://schemas.openxmlformats.org/officeDocument/2006/relationships/chart" Target="../charts/chart48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133350</xdr:rowOff>
    </xdr:from>
    <xdr:to>
      <xdr:col>0</xdr:col>
      <xdr:colOff>0</xdr:colOff>
      <xdr:row>6</xdr:row>
      <xdr:rowOff>0</xdr:rowOff>
    </xdr:to>
    <xdr:sp macro="" textlink="">
      <xdr:nvSpPr>
        <xdr:cNvPr id="25621" name="Rectangle 1">
          <a:extLst>
            <a:ext uri="{FF2B5EF4-FFF2-40B4-BE49-F238E27FC236}">
              <a16:creationId xmlns:a16="http://schemas.microsoft.com/office/drawing/2014/main" id="{00000000-0008-0000-0100-000015640000}"/>
            </a:ext>
          </a:extLst>
        </xdr:cNvPr>
        <xdr:cNvSpPr>
          <a:spLocks noChangeArrowheads="1"/>
        </xdr:cNvSpPr>
      </xdr:nvSpPr>
      <xdr:spPr bwMode="auto">
        <a:xfrm>
          <a:off x="0" y="733425"/>
          <a:ext cx="0" cy="2762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25622" name="Rectangle 11">
          <a:extLst>
            <a:ext uri="{FF2B5EF4-FFF2-40B4-BE49-F238E27FC236}">
              <a16:creationId xmlns:a16="http://schemas.microsoft.com/office/drawing/2014/main" id="{00000000-0008-0000-0100-000016640000}"/>
            </a:ext>
          </a:extLst>
        </xdr:cNvPr>
        <xdr:cNvSpPr>
          <a:spLocks noChangeArrowheads="1"/>
        </xdr:cNvSpPr>
      </xdr:nvSpPr>
      <xdr:spPr bwMode="auto">
        <a:xfrm>
          <a:off x="1609725" y="2247900"/>
          <a:ext cx="2800350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762000</xdr:colOff>
      <xdr:row>19</xdr:row>
      <xdr:rowOff>104775</xdr:rowOff>
    </xdr:from>
    <xdr:to>
      <xdr:col>4</xdr:col>
      <xdr:colOff>1076325</xdr:colOff>
      <xdr:row>21</xdr:row>
      <xdr:rowOff>26334</xdr:rowOff>
    </xdr:to>
    <xdr:sp macro="[0]!tlOutputNamer_Main" textlink="">
      <xdr:nvSpPr>
        <xdr:cNvPr id="2" name="btnTestAuto_Individua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2914650" y="3724275"/>
          <a:ext cx="2466975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 tlOutput Ranges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19050</xdr:rowOff>
        </xdr:from>
        <xdr:to>
          <xdr:col>3</xdr:col>
          <xdr:colOff>1638300</xdr:colOff>
          <xdr:row>23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3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Create tlObal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565702</xdr:colOff>
      <xdr:row>14</xdr:row>
      <xdr:rowOff>0</xdr:rowOff>
    </xdr:from>
    <xdr:to>
      <xdr:col>6</xdr:col>
      <xdr:colOff>778615</xdr:colOff>
      <xdr:row>15</xdr:row>
      <xdr:rowOff>121584</xdr:rowOff>
    </xdr:to>
    <xdr:sp macro="[0]!TestAuto_Router" textlink="">
      <xdr:nvSpPr>
        <xdr:cNvPr id="2" name="btnTestAuto_Max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4871002" y="2533650"/>
          <a:ext cx="236556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All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Max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22413</xdr:colOff>
      <xdr:row>15</xdr:row>
      <xdr:rowOff>121584</xdr:rowOff>
    </xdr:to>
    <xdr:sp macro="[0]!TestAuto_Router" textlink="">
      <xdr:nvSpPr>
        <xdr:cNvPr id="3" name="btnTestAuto_Individual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2152650" y="2533650"/>
          <a:ext cx="217506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Decision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-by-Decision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1321904</xdr:colOff>
      <xdr:row>14</xdr:row>
      <xdr:rowOff>0</xdr:rowOff>
    </xdr:from>
    <xdr:to>
      <xdr:col>8</xdr:col>
      <xdr:colOff>1591967</xdr:colOff>
      <xdr:row>15</xdr:row>
      <xdr:rowOff>121584</xdr:rowOff>
    </xdr:to>
    <xdr:sp macro="[0]!TestAuto_Router" textlink="">
      <xdr:nvSpPr>
        <xdr:cNvPr id="4" name="btnTestAuto_Mi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532204" y="2533650"/>
          <a:ext cx="215601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All Min</a:t>
          </a:r>
        </a:p>
      </xdr:txBody>
    </xdr:sp>
    <xdr:clientData/>
  </xdr:twoCellAnchor>
  <xdr:twoCellAnchor>
    <xdr:from>
      <xdr:col>9</xdr:col>
      <xdr:colOff>478734</xdr:colOff>
      <xdr:row>14</xdr:row>
      <xdr:rowOff>9525</xdr:rowOff>
    </xdr:from>
    <xdr:to>
      <xdr:col>10</xdr:col>
      <xdr:colOff>748797</xdr:colOff>
      <xdr:row>15</xdr:row>
      <xdr:rowOff>131109</xdr:rowOff>
    </xdr:to>
    <xdr:sp macro="[0]!TestAuto_Router" textlink="">
      <xdr:nvSpPr>
        <xdr:cNvPr id="5" name="btnTestAuto_Random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10165659" y="2543175"/>
          <a:ext cx="1346388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Random</a:t>
          </a:r>
        </a:p>
      </xdr:txBody>
    </xdr:sp>
    <xdr:clientData/>
  </xdr:twoCellAnchor>
  <xdr:twoCellAnchor>
    <xdr:from>
      <xdr:col>1</xdr:col>
      <xdr:colOff>57150</xdr:colOff>
      <xdr:row>24</xdr:row>
      <xdr:rowOff>9525</xdr:rowOff>
    </xdr:from>
    <xdr:to>
      <xdr:col>4</xdr:col>
      <xdr:colOff>12888</xdr:colOff>
      <xdr:row>25</xdr:row>
      <xdr:rowOff>131109</xdr:rowOff>
    </xdr:to>
    <xdr:sp macro="[0]!TestAuto_Setup" textlink="">
      <xdr:nvSpPr>
        <xdr:cNvPr id="6" name="btnTestAuto_SetUp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1133475" y="4352925"/>
          <a:ext cx="3184713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Run Set Up</a:t>
          </a:r>
        </a:p>
      </xdr:txBody>
    </xdr:sp>
    <xdr:clientData/>
  </xdr:twoCellAnchor>
  <xdr:twoCellAnchor>
    <xdr:from>
      <xdr:col>1</xdr:col>
      <xdr:colOff>47625</xdr:colOff>
      <xdr:row>17</xdr:row>
      <xdr:rowOff>9525</xdr:rowOff>
    </xdr:from>
    <xdr:to>
      <xdr:col>4</xdr:col>
      <xdr:colOff>3363</xdr:colOff>
      <xdr:row>18</xdr:row>
      <xdr:rowOff>131109</xdr:rowOff>
    </xdr:to>
    <xdr:sp macro="[0]!TestAuto_ResetInputs" textlink="">
      <xdr:nvSpPr>
        <xdr:cNvPr id="7" name="btnTestAuto_Reset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1123950" y="3086100"/>
          <a:ext cx="3184713" cy="302559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Reset Input Cells</a:t>
          </a:r>
        </a:p>
      </xdr:txBody>
    </xdr:sp>
    <xdr:clientData/>
  </xdr:twoCellAnchor>
  <xdr:twoCellAnchor>
    <xdr:from>
      <xdr:col>10</xdr:col>
      <xdr:colOff>1292087</xdr:colOff>
      <xdr:row>14</xdr:row>
      <xdr:rowOff>8282</xdr:rowOff>
    </xdr:from>
    <xdr:to>
      <xdr:col>11</xdr:col>
      <xdr:colOff>1562149</xdr:colOff>
      <xdr:row>15</xdr:row>
      <xdr:rowOff>129866</xdr:rowOff>
    </xdr:to>
    <xdr:sp macro="[0]!TestAuto_Router" textlink="">
      <xdr:nvSpPr>
        <xdr:cNvPr id="8" name="btnTestAuto_Si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11836262" y="2541932"/>
          <a:ext cx="1079687" cy="302559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BA1 Competitive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Test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554935</xdr:colOff>
      <xdr:row>17</xdr:row>
      <xdr:rowOff>8283</xdr:rowOff>
    </xdr:from>
    <xdr:to>
      <xdr:col>6</xdr:col>
      <xdr:colOff>767848</xdr:colOff>
      <xdr:row>18</xdr:row>
      <xdr:rowOff>128625</xdr:rowOff>
    </xdr:to>
    <xdr:sp macro="[0]!TestAuto_LoadTestCase" textlink="">
      <xdr:nvSpPr>
        <xdr:cNvPr id="9" name="btnTestAuto_Load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4860235" y="3084858"/>
          <a:ext cx="2365563" cy="301317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 Test</a:t>
          </a:r>
          <a:r>
            <a:rPr lang="en-US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Case</a:t>
          </a:r>
          <a:endParaRPr lang="en-US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1292087</xdr:colOff>
      <xdr:row>17</xdr:row>
      <xdr:rowOff>8283</xdr:rowOff>
    </xdr:from>
    <xdr:to>
      <xdr:col>11</xdr:col>
      <xdr:colOff>1562979</xdr:colOff>
      <xdr:row>19</xdr:row>
      <xdr:rowOff>49695</xdr:rowOff>
    </xdr:to>
    <xdr:sp macro="[0]!TestAuto_SimAnalysis_Caller" textlink="">
      <xdr:nvSpPr>
        <xdr:cNvPr id="10" name="btnTestAuto_SimAnaly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11836262" y="3084858"/>
          <a:ext cx="1080517" cy="403362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Run Analysis on Existing Sim Tests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31</xdr:row>
          <xdr:rowOff>133350</xdr:rowOff>
        </xdr:from>
        <xdr:to>
          <xdr:col>6</xdr:col>
          <xdr:colOff>0</xdr:colOff>
          <xdr:row>33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Balances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</xdr:row>
          <xdr:rowOff>95250</xdr:rowOff>
        </xdr:from>
        <xdr:to>
          <xdr:col>5</xdr:col>
          <xdr:colOff>523875</xdr:colOff>
          <xdr:row>36</xdr:row>
          <xdr:rowOff>57150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Zoom Tool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9</xdr:col>
      <xdr:colOff>9525</xdr:colOff>
      <xdr:row>3</xdr:row>
      <xdr:rowOff>9525</xdr:rowOff>
    </xdr:to>
    <xdr:grpSp>
      <xdr:nvGrpSpPr>
        <xdr:cNvPr id="72762" name="Group 15">
          <a:extLst>
            <a:ext uri="{FF2B5EF4-FFF2-40B4-BE49-F238E27FC236}">
              <a16:creationId xmlns:a16="http://schemas.microsoft.com/office/drawing/2014/main" id="{00000000-0008-0000-0700-00003A1C0100}"/>
            </a:ext>
          </a:extLst>
        </xdr:cNvPr>
        <xdr:cNvGrpSpPr>
          <a:grpSpLocks/>
        </xdr:cNvGrpSpPr>
      </xdr:nvGrpSpPr>
      <xdr:grpSpPr bwMode="auto">
        <a:xfrm>
          <a:off x="3673719" y="218342"/>
          <a:ext cx="1076325" cy="260106"/>
          <a:chOff x="397" y="23"/>
          <a:chExt cx="113" cy="27"/>
        </a:xfrm>
      </xdr:grpSpPr>
      <xdr:pic macro="[0]!GoToToolGSS">
        <xdr:nvPicPr>
          <xdr:cNvPr id="72769" name="Picture 4" descr="TabIcon-edit3">
            <a:extLst>
              <a:ext uri="{FF2B5EF4-FFF2-40B4-BE49-F238E27FC236}">
                <a16:creationId xmlns:a16="http://schemas.microsoft.com/office/drawing/2014/main" id="{00000000-0008-0000-0700-0000411C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AnalyVision" textlink="">
        <xdr:nvSpPr>
          <xdr:cNvPr id="72709" name="Text Box 5">
            <a:extLst>
              <a:ext uri="{FF2B5EF4-FFF2-40B4-BE49-F238E27FC236}">
                <a16:creationId xmlns:a16="http://schemas.microsoft.com/office/drawing/2014/main" id="{00000000-0008-0000-0700-000005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7"/>
            <a:ext cx="110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&amp; Vision</a:t>
            </a:r>
          </a:p>
        </xdr:txBody>
      </xdr:sp>
    </xdr:grpSp>
    <xdr:clientData/>
  </xdr:twoCellAnchor>
  <xdr:twoCellAnchor>
    <xdr:from>
      <xdr:col>9</xdr:col>
      <xdr:colOff>28575</xdr:colOff>
      <xdr:row>1</xdr:row>
      <xdr:rowOff>85725</xdr:rowOff>
    </xdr:from>
    <xdr:to>
      <xdr:col>10</xdr:col>
      <xdr:colOff>533400</xdr:colOff>
      <xdr:row>3</xdr:row>
      <xdr:rowOff>9525</xdr:rowOff>
    </xdr:to>
    <xdr:grpSp>
      <xdr:nvGrpSpPr>
        <xdr:cNvPr id="72763" name="Group 22">
          <a:extLst>
            <a:ext uri="{FF2B5EF4-FFF2-40B4-BE49-F238E27FC236}">
              <a16:creationId xmlns:a16="http://schemas.microsoft.com/office/drawing/2014/main" id="{00000000-0008-0000-0700-00003B1C0100}"/>
            </a:ext>
          </a:extLst>
        </xdr:cNvPr>
        <xdr:cNvGrpSpPr>
          <a:grpSpLocks/>
        </xdr:cNvGrpSpPr>
      </xdr:nvGrpSpPr>
      <xdr:grpSpPr bwMode="auto">
        <a:xfrm>
          <a:off x="4769094" y="246917"/>
          <a:ext cx="1076325" cy="231531"/>
          <a:chOff x="397" y="23"/>
          <a:chExt cx="113" cy="27"/>
        </a:xfrm>
      </xdr:grpSpPr>
      <xdr:pic macro="[0]!GoToToolGoals">
        <xdr:nvPicPr>
          <xdr:cNvPr id="72767" name="Picture 23" descr="TabIcon-edit3">
            <a:extLst>
              <a:ext uri="{FF2B5EF4-FFF2-40B4-BE49-F238E27FC236}">
                <a16:creationId xmlns:a16="http://schemas.microsoft.com/office/drawing/2014/main" id="{00000000-0008-0000-0700-00003F1C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oals" textlink="">
        <xdr:nvSpPr>
          <xdr:cNvPr id="72728" name="Text Box 24">
            <a:extLst>
              <a:ext uri="{FF2B5EF4-FFF2-40B4-BE49-F238E27FC236}">
                <a16:creationId xmlns:a16="http://schemas.microsoft.com/office/drawing/2014/main" id="{00000000-0008-0000-0700-00001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Goals</a:t>
            </a:r>
          </a:p>
        </xdr:txBody>
      </xdr:sp>
    </xdr:grpSp>
    <xdr:clientData/>
  </xdr:twoCellAnchor>
  <xdr:twoCellAnchor>
    <xdr:from>
      <xdr:col>10</xdr:col>
      <xdr:colOff>552450</xdr:colOff>
      <xdr:row>1</xdr:row>
      <xdr:rowOff>85725</xdr:rowOff>
    </xdr:from>
    <xdr:to>
      <xdr:col>12</xdr:col>
      <xdr:colOff>485775</xdr:colOff>
      <xdr:row>3</xdr:row>
      <xdr:rowOff>9525</xdr:rowOff>
    </xdr:to>
    <xdr:grpSp>
      <xdr:nvGrpSpPr>
        <xdr:cNvPr id="72764" name="Group 28">
          <a:extLst>
            <a:ext uri="{FF2B5EF4-FFF2-40B4-BE49-F238E27FC236}">
              <a16:creationId xmlns:a16="http://schemas.microsoft.com/office/drawing/2014/main" id="{00000000-0008-0000-0700-00003C1C0100}"/>
            </a:ext>
          </a:extLst>
        </xdr:cNvPr>
        <xdr:cNvGrpSpPr>
          <a:grpSpLocks/>
        </xdr:cNvGrpSpPr>
      </xdr:nvGrpSpPr>
      <xdr:grpSpPr bwMode="auto">
        <a:xfrm>
          <a:off x="5864469" y="246917"/>
          <a:ext cx="1076325" cy="231531"/>
          <a:chOff x="397" y="23"/>
          <a:chExt cx="113" cy="27"/>
        </a:xfrm>
      </xdr:grpSpPr>
      <xdr:pic macro="[0]!GoToToolStrategy">
        <xdr:nvPicPr>
          <xdr:cNvPr id="72765" name="Picture 29" descr="TabIcon-edit3">
            <a:extLst>
              <a:ext uri="{FF2B5EF4-FFF2-40B4-BE49-F238E27FC236}">
                <a16:creationId xmlns:a16="http://schemas.microsoft.com/office/drawing/2014/main" id="{00000000-0008-0000-0700-00003D1C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Strategy" textlink="">
        <xdr:nvSpPr>
          <xdr:cNvPr id="72734" name="Text Box 30">
            <a:extLst>
              <a:ext uri="{FF2B5EF4-FFF2-40B4-BE49-F238E27FC236}">
                <a16:creationId xmlns:a16="http://schemas.microsoft.com/office/drawing/2014/main" id="{00000000-0008-0000-0700-00001E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Strategy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</xdr:row>
      <xdr:rowOff>57150</xdr:rowOff>
    </xdr:from>
    <xdr:to>
      <xdr:col>8</xdr:col>
      <xdr:colOff>590550</xdr:colOff>
      <xdr:row>3</xdr:row>
      <xdr:rowOff>9525</xdr:rowOff>
    </xdr:to>
    <xdr:grpSp>
      <xdr:nvGrpSpPr>
        <xdr:cNvPr id="73789" name="Group 25">
          <a:extLst>
            <a:ext uri="{FF2B5EF4-FFF2-40B4-BE49-F238E27FC236}">
              <a16:creationId xmlns:a16="http://schemas.microsoft.com/office/drawing/2014/main" id="{00000000-0008-0000-0800-00003D200100}"/>
            </a:ext>
          </a:extLst>
        </xdr:cNvPr>
        <xdr:cNvGrpSpPr>
          <a:grpSpLocks/>
        </xdr:cNvGrpSpPr>
      </xdr:nvGrpSpPr>
      <xdr:grpSpPr bwMode="auto">
        <a:xfrm>
          <a:off x="4883394" y="218342"/>
          <a:ext cx="1077791" cy="260106"/>
          <a:chOff x="397" y="23"/>
          <a:chExt cx="113" cy="27"/>
        </a:xfrm>
      </xdr:grpSpPr>
      <xdr:pic macro="[0]!GoToToolGoals">
        <xdr:nvPicPr>
          <xdr:cNvPr id="73796" name="Picture 26" descr="TabIcon-edit3">
            <a:extLst>
              <a:ext uri="{FF2B5EF4-FFF2-40B4-BE49-F238E27FC236}">
                <a16:creationId xmlns:a16="http://schemas.microsoft.com/office/drawing/2014/main" id="{00000000-0008-0000-0800-00004420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oals" textlink="">
        <xdr:nvSpPr>
          <xdr:cNvPr id="73755" name="Text Box 27">
            <a:extLst>
              <a:ext uri="{FF2B5EF4-FFF2-40B4-BE49-F238E27FC236}">
                <a16:creationId xmlns:a16="http://schemas.microsoft.com/office/drawing/2014/main" id="{00000000-0008-0000-0800-00001B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7"/>
            <a:ext cx="110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Goals</a:t>
            </a:r>
          </a:p>
        </xdr:txBody>
      </xdr:sp>
    </xdr:grpSp>
    <xdr:clientData/>
  </xdr:twoCellAnchor>
  <xdr:twoCellAnchor>
    <xdr:from>
      <xdr:col>6</xdr:col>
      <xdr:colOff>57150</xdr:colOff>
      <xdr:row>1</xdr:row>
      <xdr:rowOff>85725</xdr:rowOff>
    </xdr:from>
    <xdr:to>
      <xdr:col>7</xdr:col>
      <xdr:colOff>314325</xdr:colOff>
      <xdr:row>3</xdr:row>
      <xdr:rowOff>9525</xdr:rowOff>
    </xdr:to>
    <xdr:grpSp>
      <xdr:nvGrpSpPr>
        <xdr:cNvPr id="73790" name="Group 28">
          <a:extLst>
            <a:ext uri="{FF2B5EF4-FFF2-40B4-BE49-F238E27FC236}">
              <a16:creationId xmlns:a16="http://schemas.microsoft.com/office/drawing/2014/main" id="{00000000-0008-0000-0800-00003E200100}"/>
            </a:ext>
          </a:extLst>
        </xdr:cNvPr>
        <xdr:cNvGrpSpPr>
          <a:grpSpLocks/>
        </xdr:cNvGrpSpPr>
      </xdr:nvGrpSpPr>
      <xdr:grpSpPr bwMode="auto">
        <a:xfrm>
          <a:off x="3786554" y="246917"/>
          <a:ext cx="1077790" cy="231531"/>
          <a:chOff x="397" y="23"/>
          <a:chExt cx="113" cy="27"/>
        </a:xfrm>
      </xdr:grpSpPr>
      <xdr:pic macro="[0]!GoToToolAnalyVision">
        <xdr:nvPicPr>
          <xdr:cNvPr id="73794" name="Picture 29" descr="TabIcon-edit3">
            <a:extLst>
              <a:ext uri="{FF2B5EF4-FFF2-40B4-BE49-F238E27FC236}">
                <a16:creationId xmlns:a16="http://schemas.microsoft.com/office/drawing/2014/main" id="{00000000-0008-0000-0800-00004220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AnalyVision" textlink="">
        <xdr:nvSpPr>
          <xdr:cNvPr id="73758" name="Text Box 30">
            <a:extLst>
              <a:ext uri="{FF2B5EF4-FFF2-40B4-BE49-F238E27FC236}">
                <a16:creationId xmlns:a16="http://schemas.microsoft.com/office/drawing/2014/main" id="{00000000-0008-0000-0800-00001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&amp; Vision</a:t>
            </a:r>
          </a:p>
        </xdr:txBody>
      </xdr:sp>
    </xdr:grpSp>
    <xdr:clientData/>
  </xdr:twoCellAnchor>
  <xdr:twoCellAnchor>
    <xdr:from>
      <xdr:col>8</xdr:col>
      <xdr:colOff>609600</xdr:colOff>
      <xdr:row>1</xdr:row>
      <xdr:rowOff>85725</xdr:rowOff>
    </xdr:from>
    <xdr:to>
      <xdr:col>10</xdr:col>
      <xdr:colOff>47625</xdr:colOff>
      <xdr:row>3</xdr:row>
      <xdr:rowOff>9525</xdr:rowOff>
    </xdr:to>
    <xdr:grpSp>
      <xdr:nvGrpSpPr>
        <xdr:cNvPr id="73791" name="Group 31">
          <a:extLst>
            <a:ext uri="{FF2B5EF4-FFF2-40B4-BE49-F238E27FC236}">
              <a16:creationId xmlns:a16="http://schemas.microsoft.com/office/drawing/2014/main" id="{00000000-0008-0000-0800-00003F200100}"/>
            </a:ext>
          </a:extLst>
        </xdr:cNvPr>
        <xdr:cNvGrpSpPr>
          <a:grpSpLocks/>
        </xdr:cNvGrpSpPr>
      </xdr:nvGrpSpPr>
      <xdr:grpSpPr bwMode="auto">
        <a:xfrm>
          <a:off x="5980235" y="246917"/>
          <a:ext cx="1079255" cy="231531"/>
          <a:chOff x="397" y="23"/>
          <a:chExt cx="113" cy="27"/>
        </a:xfrm>
        <a:effectLst/>
      </xdr:grpSpPr>
      <xdr:pic macro="[0]!GoToToolStrategy">
        <xdr:nvPicPr>
          <xdr:cNvPr id="73792" name="Picture 32" descr="TabIcon-edit3">
            <a:extLst>
              <a:ext uri="{FF2B5EF4-FFF2-40B4-BE49-F238E27FC236}">
                <a16:creationId xmlns:a16="http://schemas.microsoft.com/office/drawing/2014/main" id="{00000000-0008-0000-0800-00004020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Strategy" textlink="">
        <xdr:nvSpPr>
          <xdr:cNvPr id="73761" name="Text Box 33">
            <a:extLst>
              <a:ext uri="{FF2B5EF4-FFF2-40B4-BE49-F238E27FC236}">
                <a16:creationId xmlns:a16="http://schemas.microsoft.com/office/drawing/2014/main" id="{00000000-0008-0000-0800-00002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Strategy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9</xdr:row>
      <xdr:rowOff>183173</xdr:rowOff>
    </xdr:from>
    <xdr:to>
      <xdr:col>8</xdr:col>
      <xdr:colOff>87923</xdr:colOff>
      <xdr:row>12</xdr:row>
      <xdr:rowOff>47625</xdr:rowOff>
    </xdr:to>
    <xdr:grpSp>
      <xdr:nvGrpSpPr>
        <xdr:cNvPr id="74820" name="Group 24">
          <a:extLst>
            <a:ext uri="{FF2B5EF4-FFF2-40B4-BE49-F238E27FC236}">
              <a16:creationId xmlns:a16="http://schemas.microsoft.com/office/drawing/2014/main" id="{00000000-0008-0000-0900-000044240100}"/>
            </a:ext>
          </a:extLst>
        </xdr:cNvPr>
        <xdr:cNvGrpSpPr>
          <a:grpSpLocks/>
        </xdr:cNvGrpSpPr>
      </xdr:nvGrpSpPr>
      <xdr:grpSpPr bwMode="auto">
        <a:xfrm>
          <a:off x="3233371" y="1751135"/>
          <a:ext cx="1726956" cy="787644"/>
          <a:chOff x="473" y="159"/>
          <a:chExt cx="224" cy="93"/>
        </a:xfrm>
      </xdr:grpSpPr>
      <xdr:sp macro="" textlink="">
        <xdr:nvSpPr>
          <xdr:cNvPr id="74830" name="AutoShape 21">
            <a:extLst>
              <a:ext uri="{FF2B5EF4-FFF2-40B4-BE49-F238E27FC236}">
                <a16:creationId xmlns:a16="http://schemas.microsoft.com/office/drawing/2014/main" id="{00000000-0008-0000-0900-00004E240100}"/>
              </a:ext>
            </a:extLst>
          </xdr:cNvPr>
          <xdr:cNvSpPr>
            <a:spLocks noChangeArrowheads="1"/>
          </xdr:cNvSpPr>
        </xdr:nvSpPr>
        <xdr:spPr bwMode="auto">
          <a:xfrm>
            <a:off x="604" y="159"/>
            <a:ext cx="93" cy="9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w 21600"/>
              <a:gd name="T7" fmla="*/ 0 h 21600"/>
              <a:gd name="T8" fmla="*/ 0 w 21600"/>
              <a:gd name="T9" fmla="*/ 0 h 21600"/>
              <a:gd name="T10" fmla="*/ 0 w 21600"/>
              <a:gd name="T11" fmla="*/ 0 h 2160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3252 w 21600"/>
              <a:gd name="T19" fmla="*/ 3252 h 21600"/>
              <a:gd name="T20" fmla="*/ 18348 w 21600"/>
              <a:gd name="T21" fmla="*/ 18348 h 21600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1600" h="21600">
                <a:moveTo>
                  <a:pt x="16200" y="10800"/>
                </a:moveTo>
                <a:cubicBezTo>
                  <a:pt x="16200" y="7840"/>
                  <a:pt x="13817" y="5432"/>
                  <a:pt x="10857" y="5400"/>
                </a:cubicBezTo>
                <a:lnTo>
                  <a:pt x="10915" y="0"/>
                </a:lnTo>
                <a:cubicBezTo>
                  <a:pt x="16835" y="64"/>
                  <a:pt x="21599" y="4880"/>
                  <a:pt x="21600" y="10799"/>
                </a:cubicBezTo>
                <a:lnTo>
                  <a:pt x="21600" y="10800"/>
                </a:lnTo>
                <a:lnTo>
                  <a:pt x="24300" y="10800"/>
                </a:lnTo>
                <a:lnTo>
                  <a:pt x="18900" y="16200"/>
                </a:lnTo>
                <a:lnTo>
                  <a:pt x="13500" y="10800"/>
                </a:lnTo>
                <a:lnTo>
                  <a:pt x="16200" y="10800"/>
                </a:lnTo>
                <a:close/>
              </a:path>
            </a:pathLst>
          </a:custGeom>
          <a:solidFill>
            <a:srgbClr val="FFCC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4831" name="Rectangle 22">
            <a:extLst>
              <a:ext uri="{FF2B5EF4-FFF2-40B4-BE49-F238E27FC236}">
                <a16:creationId xmlns:a16="http://schemas.microsoft.com/office/drawing/2014/main" id="{00000000-0008-0000-0900-00004F240100}"/>
              </a:ext>
            </a:extLst>
          </xdr:cNvPr>
          <xdr:cNvSpPr>
            <a:spLocks noChangeArrowheads="1"/>
          </xdr:cNvSpPr>
        </xdr:nvSpPr>
        <xdr:spPr bwMode="auto">
          <a:xfrm>
            <a:off x="473" y="159"/>
            <a:ext cx="178" cy="24"/>
          </a:xfrm>
          <a:prstGeom prst="rect">
            <a:avLst/>
          </a:prstGeom>
          <a:solidFill>
            <a:srgbClr val="FFCC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257175</xdr:colOff>
      <xdr:row>1</xdr:row>
      <xdr:rowOff>57150</xdr:rowOff>
    </xdr:from>
    <xdr:to>
      <xdr:col>10</xdr:col>
      <xdr:colOff>476250</xdr:colOff>
      <xdr:row>3</xdr:row>
      <xdr:rowOff>9525</xdr:rowOff>
    </xdr:to>
    <xdr:grpSp>
      <xdr:nvGrpSpPr>
        <xdr:cNvPr id="74821" name="Group 15">
          <a:extLst>
            <a:ext uri="{FF2B5EF4-FFF2-40B4-BE49-F238E27FC236}">
              <a16:creationId xmlns:a16="http://schemas.microsoft.com/office/drawing/2014/main" id="{00000000-0008-0000-0900-000045240100}"/>
            </a:ext>
          </a:extLst>
        </xdr:cNvPr>
        <xdr:cNvGrpSpPr>
          <a:grpSpLocks/>
        </xdr:cNvGrpSpPr>
      </xdr:nvGrpSpPr>
      <xdr:grpSpPr bwMode="auto">
        <a:xfrm>
          <a:off x="5862271" y="218342"/>
          <a:ext cx="1076325" cy="260106"/>
          <a:chOff x="397" y="23"/>
          <a:chExt cx="113" cy="27"/>
        </a:xfrm>
        <a:effectLst/>
      </xdr:grpSpPr>
      <xdr:pic macro="[0]!GoToToolStrategy">
        <xdr:nvPicPr>
          <xdr:cNvPr id="74828" name="Picture 16" descr="TabIcon-edit3">
            <a:extLst>
              <a:ext uri="{FF2B5EF4-FFF2-40B4-BE49-F238E27FC236}">
                <a16:creationId xmlns:a16="http://schemas.microsoft.com/office/drawing/2014/main" id="{00000000-0008-0000-0900-00004C24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Strategy" textlink="">
        <xdr:nvSpPr>
          <xdr:cNvPr id="74769" name="Text Box 17">
            <a:extLst>
              <a:ext uri="{FF2B5EF4-FFF2-40B4-BE49-F238E27FC236}">
                <a16:creationId xmlns:a16="http://schemas.microsoft.com/office/drawing/2014/main" id="{00000000-0008-0000-0900-00001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7"/>
            <a:ext cx="110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Strategy</a:t>
            </a:r>
          </a:p>
        </xdr:txBody>
      </xdr:sp>
    </xdr:grpSp>
    <xdr:clientData/>
  </xdr:twoCellAnchor>
  <xdr:twoCellAnchor>
    <xdr:from>
      <xdr:col>6</xdr:col>
      <xdr:colOff>447675</xdr:colOff>
      <xdr:row>1</xdr:row>
      <xdr:rowOff>85725</xdr:rowOff>
    </xdr:from>
    <xdr:to>
      <xdr:col>7</xdr:col>
      <xdr:colOff>609600</xdr:colOff>
      <xdr:row>3</xdr:row>
      <xdr:rowOff>9525</xdr:rowOff>
    </xdr:to>
    <xdr:grpSp>
      <xdr:nvGrpSpPr>
        <xdr:cNvPr id="74822" name="Group 18">
          <a:extLst>
            <a:ext uri="{FF2B5EF4-FFF2-40B4-BE49-F238E27FC236}">
              <a16:creationId xmlns:a16="http://schemas.microsoft.com/office/drawing/2014/main" id="{00000000-0008-0000-0900-000046240100}"/>
            </a:ext>
          </a:extLst>
        </xdr:cNvPr>
        <xdr:cNvGrpSpPr>
          <a:grpSpLocks/>
        </xdr:cNvGrpSpPr>
      </xdr:nvGrpSpPr>
      <xdr:grpSpPr bwMode="auto">
        <a:xfrm>
          <a:off x="3671521" y="246917"/>
          <a:ext cx="1077791" cy="231531"/>
          <a:chOff x="397" y="23"/>
          <a:chExt cx="113" cy="27"/>
        </a:xfrm>
      </xdr:grpSpPr>
      <xdr:pic macro="[0]!GoToToolAnalyVision">
        <xdr:nvPicPr>
          <xdr:cNvPr id="74826" name="Picture 19" descr="TabIcon-edit3">
            <a:extLst>
              <a:ext uri="{FF2B5EF4-FFF2-40B4-BE49-F238E27FC236}">
                <a16:creationId xmlns:a16="http://schemas.microsoft.com/office/drawing/2014/main" id="{00000000-0008-0000-0900-00004A24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AnalyVision" textlink="">
        <xdr:nvSpPr>
          <xdr:cNvPr id="74772" name="Text Box 20">
            <a:extLst>
              <a:ext uri="{FF2B5EF4-FFF2-40B4-BE49-F238E27FC236}">
                <a16:creationId xmlns:a16="http://schemas.microsoft.com/office/drawing/2014/main" id="{00000000-0008-0000-0900-00001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&amp; Vision</a:t>
            </a:r>
          </a:p>
        </xdr:txBody>
      </xdr:sp>
    </xdr:grpSp>
    <xdr:clientData/>
  </xdr:twoCellAnchor>
  <xdr:twoCellAnchor>
    <xdr:from>
      <xdr:col>7</xdr:col>
      <xdr:colOff>628650</xdr:colOff>
      <xdr:row>1</xdr:row>
      <xdr:rowOff>85725</xdr:rowOff>
    </xdr:from>
    <xdr:to>
      <xdr:col>9</xdr:col>
      <xdr:colOff>238125</xdr:colOff>
      <xdr:row>3</xdr:row>
      <xdr:rowOff>9525</xdr:rowOff>
    </xdr:to>
    <xdr:grpSp>
      <xdr:nvGrpSpPr>
        <xdr:cNvPr id="74823" name="Group 21">
          <a:extLst>
            <a:ext uri="{FF2B5EF4-FFF2-40B4-BE49-F238E27FC236}">
              <a16:creationId xmlns:a16="http://schemas.microsoft.com/office/drawing/2014/main" id="{00000000-0008-0000-0900-000047240100}"/>
            </a:ext>
          </a:extLst>
        </xdr:cNvPr>
        <xdr:cNvGrpSpPr>
          <a:grpSpLocks/>
        </xdr:cNvGrpSpPr>
      </xdr:nvGrpSpPr>
      <xdr:grpSpPr bwMode="auto">
        <a:xfrm>
          <a:off x="4768362" y="246917"/>
          <a:ext cx="1074859" cy="231531"/>
          <a:chOff x="397" y="23"/>
          <a:chExt cx="113" cy="27"/>
        </a:xfrm>
      </xdr:grpSpPr>
      <xdr:pic macro="[0]!GoToToolGoals">
        <xdr:nvPicPr>
          <xdr:cNvPr id="74824" name="Picture 22" descr="TabIcon-edit3">
            <a:extLst>
              <a:ext uri="{FF2B5EF4-FFF2-40B4-BE49-F238E27FC236}">
                <a16:creationId xmlns:a16="http://schemas.microsoft.com/office/drawing/2014/main" id="{00000000-0008-0000-0900-0000482401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7" y="23"/>
            <a:ext cx="11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oals" textlink="">
        <xdr:nvSpPr>
          <xdr:cNvPr id="74775" name="Text Box 23">
            <a:extLst>
              <a:ext uri="{FF2B5EF4-FFF2-40B4-BE49-F238E27FC236}">
                <a16:creationId xmlns:a16="http://schemas.microsoft.com/office/drawing/2014/main" id="{00000000-0008-0000-0900-00001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9" y="28"/>
            <a:ext cx="11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Goals</a:t>
            </a:r>
          </a:p>
        </xdr:txBody>
      </xdr:sp>
    </xdr:grpSp>
    <xdr:clientData/>
  </xdr:twoCellAnchor>
  <xdr:twoCellAnchor editAs="oneCell">
    <xdr:from>
      <xdr:col>9</xdr:col>
      <xdr:colOff>14654</xdr:colOff>
      <xdr:row>16</xdr:row>
      <xdr:rowOff>58616</xdr:rowOff>
    </xdr:from>
    <xdr:to>
      <xdr:col>9</xdr:col>
      <xdr:colOff>780318</xdr:colOff>
      <xdr:row>21</xdr:row>
      <xdr:rowOff>73270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3780693"/>
          <a:ext cx="76566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17</xdr:row>
      <xdr:rowOff>95250</xdr:rowOff>
    </xdr:from>
    <xdr:to>
      <xdr:col>8</xdr:col>
      <xdr:colOff>85725</xdr:colOff>
      <xdr:row>21</xdr:row>
      <xdr:rowOff>0</xdr:rowOff>
    </xdr:to>
    <xdr:sp macro="" textlink="">
      <xdr:nvSpPr>
        <xdr:cNvPr id="17449" name="Freeform 17">
          <a:extLst>
            <a:ext uri="{FF2B5EF4-FFF2-40B4-BE49-F238E27FC236}">
              <a16:creationId xmlns:a16="http://schemas.microsoft.com/office/drawing/2014/main" id="{00000000-0008-0000-0A00-000029440000}"/>
            </a:ext>
          </a:extLst>
        </xdr:cNvPr>
        <xdr:cNvSpPr>
          <a:spLocks/>
        </xdr:cNvSpPr>
      </xdr:nvSpPr>
      <xdr:spPr bwMode="auto">
        <a:xfrm>
          <a:off x="104775" y="3943350"/>
          <a:ext cx="7791450" cy="685800"/>
        </a:xfrm>
        <a:custGeom>
          <a:avLst/>
          <a:gdLst>
            <a:gd name="T0" fmla="*/ 0 w 928"/>
            <a:gd name="T1" fmla="*/ 639305 h 118"/>
            <a:gd name="T2" fmla="*/ 7791450 w 928"/>
            <a:gd name="T3" fmla="*/ 319653 h 118"/>
            <a:gd name="T4" fmla="*/ 7791450 w 928"/>
            <a:gd name="T5" fmla="*/ 685800 h 118"/>
            <a:gd name="T6" fmla="*/ 0 w 928"/>
            <a:gd name="T7" fmla="*/ 685800 h 118"/>
            <a:gd name="T8" fmla="*/ 0 60000 65536"/>
            <a:gd name="T9" fmla="*/ 0 60000 65536"/>
            <a:gd name="T10" fmla="*/ 0 60000 65536"/>
            <a:gd name="T11" fmla="*/ 0 60000 65536"/>
            <a:gd name="T12" fmla="*/ 0 w 928"/>
            <a:gd name="T13" fmla="*/ 0 h 118"/>
            <a:gd name="T14" fmla="*/ 928 w 928"/>
            <a:gd name="T15" fmla="*/ 118 h 118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8" h="118">
              <a:moveTo>
                <a:pt x="0" y="110"/>
              </a:moveTo>
              <a:cubicBezTo>
                <a:pt x="721" y="0"/>
                <a:pt x="773" y="54"/>
                <a:pt x="928" y="55"/>
              </a:cubicBezTo>
              <a:cubicBezTo>
                <a:pt x="928" y="86"/>
                <a:pt x="928" y="118"/>
                <a:pt x="928" y="118"/>
              </a:cubicBezTo>
              <a:lnTo>
                <a:pt x="0" y="118"/>
              </a:lnTo>
            </a:path>
          </a:pathLst>
        </a:custGeom>
        <a:gradFill rotWithShape="1">
          <a:gsLst>
            <a:gs pos="0">
              <a:srgbClr val="993366"/>
            </a:gs>
            <a:gs pos="100000">
              <a:srgbClr val="FFFFFF">
                <a:alpha val="0"/>
              </a:srgbClr>
            </a:gs>
          </a:gsLst>
          <a:lin ang="0" scaled="1"/>
        </a:gradFill>
        <a:ln>
          <a:noFill/>
        </a:ln>
        <a:extLst>
          <a:ext uri="{91240B29-F687-4F45-9708-019B960494DF}">
            <a14:hiddenLine xmlns:a14="http://schemas.microsoft.com/office/drawing/2010/main" w="9525" cap="flat" cmpd="sng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</xdr:sp>
    <xdr:clientData/>
  </xdr:twoCellAnchor>
  <xdr:twoCellAnchor editAs="oneCell">
    <xdr:from>
      <xdr:col>5</xdr:col>
      <xdr:colOff>870388</xdr:colOff>
      <xdr:row>15</xdr:row>
      <xdr:rowOff>66676</xdr:rowOff>
    </xdr:from>
    <xdr:to>
      <xdr:col>6</xdr:col>
      <xdr:colOff>1333500</xdr:colOff>
      <xdr:row>18</xdr:row>
      <xdr:rowOff>62002</xdr:rowOff>
    </xdr:to>
    <xdr:pic>
      <xdr:nvPicPr>
        <xdr:cNvPr id="17450" name="Picture 1">
          <a:extLst>
            <a:ext uri="{FF2B5EF4-FFF2-40B4-BE49-F238E27FC236}">
              <a16:creationId xmlns:a16="http://schemas.microsoft.com/office/drawing/2014/main" id="{00000000-0008-0000-0A00-00002A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0733" y="3613917"/>
          <a:ext cx="1349922" cy="4140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19</xdr:row>
      <xdr:rowOff>66675</xdr:rowOff>
    </xdr:from>
    <xdr:to>
      <xdr:col>8</xdr:col>
      <xdr:colOff>95250</xdr:colOff>
      <xdr:row>21</xdr:row>
      <xdr:rowOff>0</xdr:rowOff>
    </xdr:to>
    <xdr:sp macro="" textlink="">
      <xdr:nvSpPr>
        <xdr:cNvPr id="17451" name="Freeform 16">
          <a:extLst>
            <a:ext uri="{FF2B5EF4-FFF2-40B4-BE49-F238E27FC236}">
              <a16:creationId xmlns:a16="http://schemas.microsoft.com/office/drawing/2014/main" id="{00000000-0008-0000-0A00-00002B440000}"/>
            </a:ext>
          </a:extLst>
        </xdr:cNvPr>
        <xdr:cNvSpPr>
          <a:spLocks/>
        </xdr:cNvSpPr>
      </xdr:nvSpPr>
      <xdr:spPr bwMode="auto">
        <a:xfrm>
          <a:off x="95250" y="4162425"/>
          <a:ext cx="7810500" cy="466725"/>
        </a:xfrm>
        <a:custGeom>
          <a:avLst/>
          <a:gdLst>
            <a:gd name="T0" fmla="*/ 0 w 929"/>
            <a:gd name="T1" fmla="*/ 466725 h 83"/>
            <a:gd name="T2" fmla="*/ 7810500 w 929"/>
            <a:gd name="T3" fmla="*/ 112464 h 83"/>
            <a:gd name="T4" fmla="*/ 7810500 w 929"/>
            <a:gd name="T5" fmla="*/ 466725 h 83"/>
            <a:gd name="T6" fmla="*/ 16815 w 929"/>
            <a:gd name="T7" fmla="*/ 466725 h 83"/>
            <a:gd name="T8" fmla="*/ 0 60000 65536"/>
            <a:gd name="T9" fmla="*/ 0 60000 65536"/>
            <a:gd name="T10" fmla="*/ 0 60000 65536"/>
            <a:gd name="T11" fmla="*/ 0 60000 65536"/>
            <a:gd name="T12" fmla="*/ 0 w 929"/>
            <a:gd name="T13" fmla="*/ 0 h 83"/>
            <a:gd name="T14" fmla="*/ 929 w 929"/>
            <a:gd name="T15" fmla="*/ 83 h 8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9" h="83">
              <a:moveTo>
                <a:pt x="0" y="83"/>
              </a:moveTo>
              <a:cubicBezTo>
                <a:pt x="0" y="83"/>
                <a:pt x="450" y="0"/>
                <a:pt x="929" y="20"/>
              </a:cubicBezTo>
              <a:cubicBezTo>
                <a:pt x="929" y="51"/>
                <a:pt x="929" y="83"/>
                <a:pt x="929" y="83"/>
              </a:cubicBezTo>
              <a:lnTo>
                <a:pt x="2" y="83"/>
              </a:lnTo>
            </a:path>
          </a:pathLst>
        </a:custGeom>
        <a:solidFill>
          <a:srgbClr val="9999FF"/>
        </a:solidFill>
        <a:ln>
          <a:noFill/>
        </a:ln>
        <a:extLst>
          <a:ext uri="{91240B29-F687-4F45-9708-019B960494DF}">
            <a14:hiddenLine xmlns:a14="http://schemas.microsoft.com/office/drawing/2010/main" w="9525" cap="flat" cmpd="sng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</xdr:sp>
    <xdr:clientData/>
  </xdr:twoCellAnchor>
  <xdr:twoCellAnchor>
    <xdr:from>
      <xdr:col>6</xdr:col>
      <xdr:colOff>209550</xdr:colOff>
      <xdr:row>3</xdr:row>
      <xdr:rowOff>9525</xdr:rowOff>
    </xdr:from>
    <xdr:to>
      <xdr:col>6</xdr:col>
      <xdr:colOff>3124200</xdr:colOff>
      <xdr:row>5</xdr:row>
      <xdr:rowOff>28575</xdr:rowOff>
    </xdr:to>
    <xdr:sp macro="" textlink="tlInputTeamName">
      <xdr:nvSpPr>
        <xdr:cNvPr id="17452" name="WordArt 20">
          <a:extLst>
            <a:ext uri="{FF2B5EF4-FFF2-40B4-BE49-F238E27FC236}">
              <a16:creationId xmlns:a16="http://schemas.microsoft.com/office/drawing/2014/main" id="{00000000-0008-0000-0A00-00002C4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3981450" y="790575"/>
          <a:ext cx="2914650" cy="685800"/>
        </a:xfrm>
        <a:prstGeom prst="rect">
          <a:avLst/>
        </a:prstGeom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 vertOverflow="clip" wrap="none" lIns="18288" tIns="0" rIns="0" bIns="0" fromWordArt="1" anchor="t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fld id="{FB85E63A-ED40-4589-B6E8-5560F623B671}" type="TxLink">
            <a:rPr lang="en-US" sz="3600" kern="10" cap="small" spc="0">
              <a:ln>
                <a:noFill/>
              </a:ln>
              <a:solidFill>
                <a:srgbClr val="336699"/>
              </a:solidFill>
              <a:effectLst>
                <a:outerShdw dist="45791" dir="2021404" algn="ctr" rotWithShape="0">
                  <a:srgbClr val="B2B2B2">
                    <a:alpha val="79999"/>
                  </a:srgbClr>
                </a:outerShdw>
              </a:effectLst>
              <a:latin typeface="Times New Roman"/>
              <a:cs typeface="Times New Roman"/>
            </a:rPr>
            <a:pPr algn="ctr" rtl="0">
              <a:buNone/>
            </a:pPr>
            <a:t>Vivia</a:t>
          </a:fld>
          <a:endParaRPr lang="en-US" sz="3600" kern="10" cap="small" spc="0">
            <a:ln>
              <a:noFill/>
            </a:ln>
            <a:solidFill>
              <a:srgbClr val="336699"/>
            </a:solidFill>
            <a:effectLst>
              <a:outerShdw dist="45791" dir="2021404" algn="ctr" rotWithShape="0">
                <a:srgbClr val="B2B2B2">
                  <a:alpha val="79999"/>
                </a:srgbClr>
              </a:outerShdw>
            </a:effectLst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2</xdr:col>
      <xdr:colOff>361950</xdr:colOff>
      <xdr:row>3</xdr:row>
      <xdr:rowOff>464758</xdr:rowOff>
    </xdr:from>
    <xdr:to>
      <xdr:col>4</xdr:col>
      <xdr:colOff>800100</xdr:colOff>
      <xdr:row>18</xdr:row>
      <xdr:rowOff>17412</xdr:rowOff>
    </xdr:to>
    <xdr:pic>
      <xdr:nvPicPr>
        <xdr:cNvPr id="17453" name="Picture 21">
          <a:extLst>
            <a:ext uri="{FF2B5EF4-FFF2-40B4-BE49-F238E27FC236}">
              <a16:creationId xmlns:a16="http://schemas.microsoft.com/office/drawing/2014/main" id="{00000000-0008-0000-0A00-00002D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230" y="1253034"/>
          <a:ext cx="2014702" cy="2730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2066925</xdr:colOff>
      <xdr:row>15</xdr:row>
      <xdr:rowOff>47625</xdr:rowOff>
    </xdr:from>
    <xdr:to>
      <xdr:col>7</xdr:col>
      <xdr:colOff>114300</xdr:colOff>
      <xdr:row>19</xdr:row>
      <xdr:rowOff>0</xdr:rowOff>
    </xdr:to>
    <xdr:pic>
      <xdr:nvPicPr>
        <xdr:cNvPr id="17454" name="Picture 22">
          <a:extLst>
            <a:ext uri="{FF2B5EF4-FFF2-40B4-BE49-F238E27FC236}">
              <a16:creationId xmlns:a16="http://schemas.microsoft.com/office/drawing/2014/main" id="{00000000-0008-0000-0A00-00002E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38825" y="3609975"/>
          <a:ext cx="14001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161925</xdr:colOff>
      <xdr:row>3</xdr:row>
      <xdr:rowOff>14127</xdr:rowOff>
    </xdr:from>
    <xdr:to>
      <xdr:col>4</xdr:col>
      <xdr:colOff>962025</xdr:colOff>
      <xdr:row>18</xdr:row>
      <xdr:rowOff>33834</xdr:rowOff>
    </xdr:to>
    <xdr:sp macro="" textlink="">
      <xdr:nvSpPr>
        <xdr:cNvPr id="17455" name="Text Box 47">
          <a:extLst>
            <a:ext uri="{FF2B5EF4-FFF2-40B4-BE49-F238E27FC236}">
              <a16:creationId xmlns:a16="http://schemas.microsoft.com/office/drawing/2014/main" id="{00000000-0008-0000-0A00-00002F440000}"/>
            </a:ext>
          </a:extLst>
        </xdr:cNvPr>
        <xdr:cNvSpPr txBox="1">
          <a:spLocks noChangeArrowheads="1"/>
        </xdr:cNvSpPr>
      </xdr:nvSpPr>
      <xdr:spPr bwMode="auto">
        <a:xfrm>
          <a:off x="367205" y="802403"/>
          <a:ext cx="2376652" cy="3197444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en-US" sz="600" b="1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2400" b="1" i="0" u="none" strike="noStrike" baseline="0">
              <a:solidFill>
                <a:srgbClr val="000080"/>
              </a:solidFill>
              <a:latin typeface="Arial"/>
              <a:cs typeface="Arial"/>
            </a:rPr>
            <a:t>ONE PEPSICO</a:t>
          </a:r>
          <a:endParaRPr lang="en-US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20</xdr:row>
      <xdr:rowOff>9525</xdr:rowOff>
    </xdr:from>
    <xdr:to>
      <xdr:col>6</xdr:col>
      <xdr:colOff>619125</xdr:colOff>
      <xdr:row>22</xdr:row>
      <xdr:rowOff>9525</xdr:rowOff>
    </xdr:to>
    <xdr:sp macro="" textlink="">
      <xdr:nvSpPr>
        <xdr:cNvPr id="33798" name="Line 2">
          <a:extLst>
            <a:ext uri="{FF2B5EF4-FFF2-40B4-BE49-F238E27FC236}">
              <a16:creationId xmlns:a16="http://schemas.microsoft.com/office/drawing/2014/main" id="{00000000-0008-0000-1000-000006840000}"/>
            </a:ext>
          </a:extLst>
        </xdr:cNvPr>
        <xdr:cNvSpPr>
          <a:spLocks noChangeShapeType="1"/>
        </xdr:cNvSpPr>
      </xdr:nvSpPr>
      <xdr:spPr bwMode="auto">
        <a:xfrm flipV="1">
          <a:off x="2724150" y="4210050"/>
          <a:ext cx="0" cy="4095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161925</xdr:colOff>
      <xdr:row>13</xdr:row>
      <xdr:rowOff>180975</xdr:rowOff>
    </xdr:from>
    <xdr:to>
      <xdr:col>16</xdr:col>
      <xdr:colOff>419100</xdr:colOff>
      <xdr:row>28</xdr:row>
      <xdr:rowOff>0</xdr:rowOff>
    </xdr:to>
    <xdr:graphicFrame macro="">
      <xdr:nvGraphicFramePr>
        <xdr:cNvPr id="44038" name="Chart 2">
          <a:extLst>
            <a:ext uri="{FF2B5EF4-FFF2-40B4-BE49-F238E27FC236}">
              <a16:creationId xmlns:a16="http://schemas.microsoft.com/office/drawing/2014/main" id="{00000000-0008-0000-1100-000006A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582706</xdr:colOff>
      <xdr:row>17</xdr:row>
      <xdr:rowOff>33618</xdr:rowOff>
    </xdr:from>
    <xdr:to>
      <xdr:col>6</xdr:col>
      <xdr:colOff>795619</xdr:colOff>
      <xdr:row>18</xdr:row>
      <xdr:rowOff>156883</xdr:rowOff>
    </xdr:to>
    <xdr:sp macro="[0]!DataValidation_Set_Mai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 bwMode="auto">
        <a:xfrm>
          <a:off x="4888006" y="2462493"/>
          <a:ext cx="2365563" cy="256615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Apply Data Validation</a:t>
          </a:r>
        </a:p>
      </xdr:txBody>
    </xdr:sp>
    <xdr:clientData/>
  </xdr:twoCellAnchor>
  <xdr:twoCellAnchor>
    <xdr:from>
      <xdr:col>2</xdr:col>
      <xdr:colOff>0</xdr:colOff>
      <xdr:row>17</xdr:row>
      <xdr:rowOff>33618</xdr:rowOff>
    </xdr:from>
    <xdr:to>
      <xdr:col>4</xdr:col>
      <xdr:colOff>212913</xdr:colOff>
      <xdr:row>18</xdr:row>
      <xdr:rowOff>156883</xdr:rowOff>
    </xdr:to>
    <xdr:sp macro="[0]!DataValidation_LoadInputRange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>
          <a:off x="2152650" y="2462493"/>
          <a:ext cx="2365563" cy="256615"/>
        </a:xfrm>
        <a:prstGeom prst="roundRect">
          <a:avLst/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Set Up Page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3</xdr:row>
      <xdr:rowOff>19050</xdr:rowOff>
    </xdr:from>
    <xdr:to>
      <xdr:col>16</xdr:col>
      <xdr:colOff>28575</xdr:colOff>
      <xdr:row>3</xdr:row>
      <xdr:rowOff>57150</xdr:rowOff>
    </xdr:to>
    <xdr:sp macro="" textlink="">
      <xdr:nvSpPr>
        <xdr:cNvPr id="48211" name="AutoShape 5">
          <a:extLst>
            <a:ext uri="{FF2B5EF4-FFF2-40B4-BE49-F238E27FC236}">
              <a16:creationId xmlns:a16="http://schemas.microsoft.com/office/drawing/2014/main" id="{00000000-0008-0000-1400-000053BC0000}"/>
            </a:ext>
          </a:extLst>
        </xdr:cNvPr>
        <xdr:cNvSpPr>
          <a:spLocks noChangeArrowheads="1"/>
        </xdr:cNvSpPr>
      </xdr:nvSpPr>
      <xdr:spPr bwMode="auto">
        <a:xfrm>
          <a:off x="1162050" y="609600"/>
          <a:ext cx="62007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9525</xdr:colOff>
      <xdr:row>5</xdr:row>
      <xdr:rowOff>0</xdr:rowOff>
    </xdr:from>
    <xdr:to>
      <xdr:col>16</xdr:col>
      <xdr:colOff>28575</xdr:colOff>
      <xdr:row>5</xdr:row>
      <xdr:rowOff>38100</xdr:rowOff>
    </xdr:to>
    <xdr:sp macro="" textlink="">
      <xdr:nvSpPr>
        <xdr:cNvPr id="48212" name="AutoShape 7">
          <a:extLst>
            <a:ext uri="{FF2B5EF4-FFF2-40B4-BE49-F238E27FC236}">
              <a16:creationId xmlns:a16="http://schemas.microsoft.com/office/drawing/2014/main" id="{00000000-0008-0000-1400-000054BC0000}"/>
            </a:ext>
          </a:extLst>
        </xdr:cNvPr>
        <xdr:cNvSpPr>
          <a:spLocks noChangeArrowheads="1"/>
        </xdr:cNvSpPr>
      </xdr:nvSpPr>
      <xdr:spPr bwMode="auto">
        <a:xfrm>
          <a:off x="1676400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16</xdr:col>
      <xdr:colOff>38100</xdr:colOff>
      <xdr:row>10</xdr:row>
      <xdr:rowOff>38100</xdr:rowOff>
    </xdr:to>
    <xdr:sp macro="" textlink="">
      <xdr:nvSpPr>
        <xdr:cNvPr id="48213" name="AutoShape 8">
          <a:extLst>
            <a:ext uri="{FF2B5EF4-FFF2-40B4-BE49-F238E27FC236}">
              <a16:creationId xmlns:a16="http://schemas.microsoft.com/office/drawing/2014/main" id="{00000000-0008-0000-1400-000055BC0000}"/>
            </a:ext>
          </a:extLst>
        </xdr:cNvPr>
        <xdr:cNvSpPr>
          <a:spLocks noChangeArrowheads="1"/>
        </xdr:cNvSpPr>
      </xdr:nvSpPr>
      <xdr:spPr bwMode="auto">
        <a:xfrm>
          <a:off x="180975" y="15430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152400</xdr:colOff>
      <xdr:row>6</xdr:row>
      <xdr:rowOff>171450</xdr:rowOff>
    </xdr:from>
    <xdr:to>
      <xdr:col>16</xdr:col>
      <xdr:colOff>28575</xdr:colOff>
      <xdr:row>7</xdr:row>
      <xdr:rowOff>19050</xdr:rowOff>
    </xdr:to>
    <xdr:sp macro="" textlink="">
      <xdr:nvSpPr>
        <xdr:cNvPr id="48214" name="AutoShape 10">
          <a:extLst>
            <a:ext uri="{FF2B5EF4-FFF2-40B4-BE49-F238E27FC236}">
              <a16:creationId xmlns:a16="http://schemas.microsoft.com/office/drawing/2014/main" id="{00000000-0008-0000-1400-000056BC0000}"/>
            </a:ext>
          </a:extLst>
        </xdr:cNvPr>
        <xdr:cNvSpPr>
          <a:spLocks noChangeArrowheads="1"/>
        </xdr:cNvSpPr>
      </xdr:nvSpPr>
      <xdr:spPr bwMode="auto">
        <a:xfrm>
          <a:off x="2305050" y="1114425"/>
          <a:ext cx="505777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16</xdr:col>
      <xdr:colOff>38100</xdr:colOff>
      <xdr:row>25</xdr:row>
      <xdr:rowOff>38100</xdr:rowOff>
    </xdr:to>
    <xdr:sp macro="" textlink="">
      <xdr:nvSpPr>
        <xdr:cNvPr id="48215" name="AutoShape 21">
          <a:extLst>
            <a:ext uri="{FF2B5EF4-FFF2-40B4-BE49-F238E27FC236}">
              <a16:creationId xmlns:a16="http://schemas.microsoft.com/office/drawing/2014/main" id="{00000000-0008-0000-1400-000057BC0000}"/>
            </a:ext>
          </a:extLst>
        </xdr:cNvPr>
        <xdr:cNvSpPr>
          <a:spLocks noChangeArrowheads="1"/>
        </xdr:cNvSpPr>
      </xdr:nvSpPr>
      <xdr:spPr bwMode="auto">
        <a:xfrm>
          <a:off x="180975" y="39147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133350</xdr:colOff>
      <xdr:row>7</xdr:row>
      <xdr:rowOff>9525</xdr:rowOff>
    </xdr:to>
    <xdr:pic>
      <xdr:nvPicPr>
        <xdr:cNvPr id="48216" name="Picture 25" descr="Leading_w_Purpose">
          <a:extLst>
            <a:ext uri="{FF2B5EF4-FFF2-40B4-BE49-F238E27FC236}">
              <a16:creationId xmlns:a16="http://schemas.microsoft.com/office/drawing/2014/main" id="{00000000-0008-0000-1400-000058B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12</xdr:row>
      <xdr:rowOff>28575</xdr:rowOff>
    </xdr:from>
    <xdr:to>
      <xdr:col>16</xdr:col>
      <xdr:colOff>0</xdr:colOff>
      <xdr:row>23</xdr:row>
      <xdr:rowOff>104775</xdr:rowOff>
    </xdr:to>
    <xdr:graphicFrame macro="">
      <xdr:nvGraphicFramePr>
        <xdr:cNvPr id="48217" name="Chart 31">
          <a:extLst>
            <a:ext uri="{FF2B5EF4-FFF2-40B4-BE49-F238E27FC236}">
              <a16:creationId xmlns:a16="http://schemas.microsoft.com/office/drawing/2014/main" id="{00000000-0008-0000-1400-000059B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</xdr:colOff>
      <xdr:row>26</xdr:row>
      <xdr:rowOff>180975</xdr:rowOff>
    </xdr:from>
    <xdr:to>
      <xdr:col>15</xdr:col>
      <xdr:colOff>847725</xdr:colOff>
      <xdr:row>35</xdr:row>
      <xdr:rowOff>66675</xdr:rowOff>
    </xdr:to>
    <xdr:graphicFrame macro="">
      <xdr:nvGraphicFramePr>
        <xdr:cNvPr id="48218" name="Chart 32">
          <a:extLst>
            <a:ext uri="{FF2B5EF4-FFF2-40B4-BE49-F238E27FC236}">
              <a16:creationId xmlns:a16="http://schemas.microsoft.com/office/drawing/2014/main" id="{00000000-0008-0000-1400-00005AB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15</xdr:col>
      <xdr:colOff>371475</xdr:colOff>
      <xdr:row>37</xdr:row>
      <xdr:rowOff>28575</xdr:rowOff>
    </xdr:from>
    <xdr:ext cx="132600" cy="141001"/>
    <xdr:sp macro="" textlink="">
      <xdr:nvSpPr>
        <xdr:cNvPr id="48175" name="Text Box 47">
          <a:extLst>
            <a:ext uri="{FF2B5EF4-FFF2-40B4-BE49-F238E27FC236}">
              <a16:creationId xmlns:a16="http://schemas.microsoft.com/office/drawing/2014/main" id="{00000000-0008-0000-1400-00002FBC0000}"/>
            </a:ext>
          </a:extLst>
        </xdr:cNvPr>
        <xdr:cNvSpPr txBox="1">
          <a:spLocks noChangeArrowheads="1"/>
        </xdr:cNvSpPr>
      </xdr:nvSpPr>
      <xdr:spPr bwMode="auto">
        <a:xfrm>
          <a:off x="6817272" y="5850321"/>
          <a:ext cx="132600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oneCellAnchor>
  <xdr:oneCellAnchor>
    <xdr:from>
      <xdr:col>10</xdr:col>
      <xdr:colOff>828675</xdr:colOff>
      <xdr:row>37</xdr:row>
      <xdr:rowOff>28575</xdr:rowOff>
    </xdr:from>
    <xdr:ext cx="75533" cy="141001"/>
    <xdr:sp macro="" textlink="">
      <xdr:nvSpPr>
        <xdr:cNvPr id="48176" name="Text Box 48">
          <a:extLst>
            <a:ext uri="{FF2B5EF4-FFF2-40B4-BE49-F238E27FC236}">
              <a16:creationId xmlns:a16="http://schemas.microsoft.com/office/drawing/2014/main" id="{00000000-0008-0000-1400-000030BC0000}"/>
            </a:ext>
          </a:extLst>
        </xdr:cNvPr>
        <xdr:cNvSpPr txBox="1">
          <a:spLocks noChangeArrowheads="1"/>
        </xdr:cNvSpPr>
      </xdr:nvSpPr>
      <xdr:spPr bwMode="auto">
        <a:xfrm>
          <a:off x="5032813" y="5850321"/>
          <a:ext cx="75533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effectLst/>
              <a:latin typeface="Arial"/>
              <a:cs typeface="Arial"/>
            </a:rPr>
            <a:t>1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19050</xdr:rowOff>
    </xdr:from>
    <xdr:to>
      <xdr:col>16</xdr:col>
      <xdr:colOff>19050</xdr:colOff>
      <xdr:row>3</xdr:row>
      <xdr:rowOff>57150</xdr:rowOff>
    </xdr:to>
    <xdr:sp macro="" textlink="">
      <xdr:nvSpPr>
        <xdr:cNvPr id="50239" name="AutoShape 2">
          <a:extLst>
            <a:ext uri="{FF2B5EF4-FFF2-40B4-BE49-F238E27FC236}">
              <a16:creationId xmlns:a16="http://schemas.microsoft.com/office/drawing/2014/main" id="{00000000-0008-0000-1500-00003FC40000}"/>
            </a:ext>
          </a:extLst>
        </xdr:cNvPr>
        <xdr:cNvSpPr>
          <a:spLocks noChangeArrowheads="1"/>
        </xdr:cNvSpPr>
      </xdr:nvSpPr>
      <xdr:spPr bwMode="auto">
        <a:xfrm>
          <a:off x="1171575" y="609600"/>
          <a:ext cx="61817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9525</xdr:colOff>
      <xdr:row>5</xdr:row>
      <xdr:rowOff>0</xdr:rowOff>
    </xdr:from>
    <xdr:to>
      <xdr:col>16</xdr:col>
      <xdr:colOff>28575</xdr:colOff>
      <xdr:row>5</xdr:row>
      <xdr:rowOff>38100</xdr:rowOff>
    </xdr:to>
    <xdr:sp macro="" textlink="">
      <xdr:nvSpPr>
        <xdr:cNvPr id="50240" name="AutoShape 3">
          <a:extLst>
            <a:ext uri="{FF2B5EF4-FFF2-40B4-BE49-F238E27FC236}">
              <a16:creationId xmlns:a16="http://schemas.microsoft.com/office/drawing/2014/main" id="{00000000-0008-0000-1500-000040C40000}"/>
            </a:ext>
          </a:extLst>
        </xdr:cNvPr>
        <xdr:cNvSpPr>
          <a:spLocks noChangeArrowheads="1"/>
        </xdr:cNvSpPr>
      </xdr:nvSpPr>
      <xdr:spPr bwMode="auto">
        <a:xfrm>
          <a:off x="1676400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16</xdr:col>
      <xdr:colOff>38100</xdr:colOff>
      <xdr:row>10</xdr:row>
      <xdr:rowOff>38100</xdr:rowOff>
    </xdr:to>
    <xdr:sp macro="" textlink="">
      <xdr:nvSpPr>
        <xdr:cNvPr id="50241" name="AutoShape 4">
          <a:extLst>
            <a:ext uri="{FF2B5EF4-FFF2-40B4-BE49-F238E27FC236}">
              <a16:creationId xmlns:a16="http://schemas.microsoft.com/office/drawing/2014/main" id="{00000000-0008-0000-1500-000041C40000}"/>
            </a:ext>
          </a:extLst>
        </xdr:cNvPr>
        <xdr:cNvSpPr>
          <a:spLocks noChangeArrowheads="1"/>
        </xdr:cNvSpPr>
      </xdr:nvSpPr>
      <xdr:spPr bwMode="auto">
        <a:xfrm>
          <a:off x="180975" y="15430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76200</xdr:colOff>
      <xdr:row>6</xdr:row>
      <xdr:rowOff>171450</xdr:rowOff>
    </xdr:from>
    <xdr:to>
      <xdr:col>16</xdr:col>
      <xdr:colOff>28575</xdr:colOff>
      <xdr:row>7</xdr:row>
      <xdr:rowOff>19050</xdr:rowOff>
    </xdr:to>
    <xdr:sp macro="" textlink="">
      <xdr:nvSpPr>
        <xdr:cNvPr id="50242" name="AutoShape 5">
          <a:extLst>
            <a:ext uri="{FF2B5EF4-FFF2-40B4-BE49-F238E27FC236}">
              <a16:creationId xmlns:a16="http://schemas.microsoft.com/office/drawing/2014/main" id="{00000000-0008-0000-1500-000042C40000}"/>
            </a:ext>
          </a:extLst>
        </xdr:cNvPr>
        <xdr:cNvSpPr>
          <a:spLocks noChangeArrowheads="1"/>
        </xdr:cNvSpPr>
      </xdr:nvSpPr>
      <xdr:spPr bwMode="auto">
        <a:xfrm>
          <a:off x="2228850" y="1114425"/>
          <a:ext cx="513397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16</xdr:col>
      <xdr:colOff>38100</xdr:colOff>
      <xdr:row>25</xdr:row>
      <xdr:rowOff>38100</xdr:rowOff>
    </xdr:to>
    <xdr:sp macro="" textlink="">
      <xdr:nvSpPr>
        <xdr:cNvPr id="50243" name="AutoShape 7">
          <a:extLst>
            <a:ext uri="{FF2B5EF4-FFF2-40B4-BE49-F238E27FC236}">
              <a16:creationId xmlns:a16="http://schemas.microsoft.com/office/drawing/2014/main" id="{00000000-0008-0000-1500-000043C40000}"/>
            </a:ext>
          </a:extLst>
        </xdr:cNvPr>
        <xdr:cNvSpPr>
          <a:spLocks noChangeArrowheads="1"/>
        </xdr:cNvSpPr>
      </xdr:nvSpPr>
      <xdr:spPr bwMode="auto">
        <a:xfrm>
          <a:off x="180975" y="39147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133350</xdr:colOff>
      <xdr:row>7</xdr:row>
      <xdr:rowOff>9525</xdr:rowOff>
    </xdr:to>
    <xdr:pic>
      <xdr:nvPicPr>
        <xdr:cNvPr id="50244" name="Picture 10" descr="Leading_w_Purpose">
          <a:extLst>
            <a:ext uri="{FF2B5EF4-FFF2-40B4-BE49-F238E27FC236}">
              <a16:creationId xmlns:a16="http://schemas.microsoft.com/office/drawing/2014/main" id="{00000000-0008-0000-1500-000044C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12</xdr:row>
      <xdr:rowOff>38100</xdr:rowOff>
    </xdr:from>
    <xdr:to>
      <xdr:col>16</xdr:col>
      <xdr:colOff>19050</xdr:colOff>
      <xdr:row>23</xdr:row>
      <xdr:rowOff>114300</xdr:rowOff>
    </xdr:to>
    <xdr:graphicFrame macro="">
      <xdr:nvGraphicFramePr>
        <xdr:cNvPr id="50245" name="Chart 18">
          <a:extLst>
            <a:ext uri="{FF2B5EF4-FFF2-40B4-BE49-F238E27FC236}">
              <a16:creationId xmlns:a16="http://schemas.microsoft.com/office/drawing/2014/main" id="{00000000-0008-0000-1500-000045C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123825</xdr:colOff>
      <xdr:row>27</xdr:row>
      <xdr:rowOff>19050</xdr:rowOff>
    </xdr:from>
    <xdr:to>
      <xdr:col>16</xdr:col>
      <xdr:colOff>76200</xdr:colOff>
      <xdr:row>34</xdr:row>
      <xdr:rowOff>133350</xdr:rowOff>
    </xdr:to>
    <xdr:graphicFrame macro="">
      <xdr:nvGraphicFramePr>
        <xdr:cNvPr id="50246" name="Chart 20">
          <a:extLst>
            <a:ext uri="{FF2B5EF4-FFF2-40B4-BE49-F238E27FC236}">
              <a16:creationId xmlns:a16="http://schemas.microsoft.com/office/drawing/2014/main" id="{00000000-0008-0000-1500-000046C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15</xdr:col>
      <xdr:colOff>361950</xdr:colOff>
      <xdr:row>37</xdr:row>
      <xdr:rowOff>28575</xdr:rowOff>
    </xdr:from>
    <xdr:ext cx="132600" cy="141001"/>
    <xdr:sp macro="" textlink="">
      <xdr:nvSpPr>
        <xdr:cNvPr id="50206" name="Text Box 30">
          <a:extLst>
            <a:ext uri="{FF2B5EF4-FFF2-40B4-BE49-F238E27FC236}">
              <a16:creationId xmlns:a16="http://schemas.microsoft.com/office/drawing/2014/main" id="{00000000-0008-0000-1500-00001EC40000}"/>
            </a:ext>
          </a:extLst>
        </xdr:cNvPr>
        <xdr:cNvSpPr txBox="1">
          <a:spLocks noChangeArrowheads="1"/>
        </xdr:cNvSpPr>
      </xdr:nvSpPr>
      <xdr:spPr bwMode="auto">
        <a:xfrm>
          <a:off x="6807747" y="5850321"/>
          <a:ext cx="132600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oneCellAnchor>
  <xdr:oneCellAnchor>
    <xdr:from>
      <xdr:col>10</xdr:col>
      <xdr:colOff>819150</xdr:colOff>
      <xdr:row>37</xdr:row>
      <xdr:rowOff>28575</xdr:rowOff>
    </xdr:from>
    <xdr:ext cx="75533" cy="141001"/>
    <xdr:sp macro="" textlink="">
      <xdr:nvSpPr>
        <xdr:cNvPr id="50207" name="Text Box 31">
          <a:extLst>
            <a:ext uri="{FF2B5EF4-FFF2-40B4-BE49-F238E27FC236}">
              <a16:creationId xmlns:a16="http://schemas.microsoft.com/office/drawing/2014/main" id="{00000000-0008-0000-1500-00001FC40000}"/>
            </a:ext>
          </a:extLst>
        </xdr:cNvPr>
        <xdr:cNvSpPr txBox="1">
          <a:spLocks noChangeArrowheads="1"/>
        </xdr:cNvSpPr>
      </xdr:nvSpPr>
      <xdr:spPr bwMode="auto">
        <a:xfrm>
          <a:off x="5023288" y="5850321"/>
          <a:ext cx="75533" cy="14100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3</xdr:row>
      <xdr:rowOff>19050</xdr:rowOff>
    </xdr:from>
    <xdr:to>
      <xdr:col>17</xdr:col>
      <xdr:colOff>28575</xdr:colOff>
      <xdr:row>3</xdr:row>
      <xdr:rowOff>57150</xdr:rowOff>
    </xdr:to>
    <xdr:sp macro="" textlink="">
      <xdr:nvSpPr>
        <xdr:cNvPr id="52365" name="AutoShape 2">
          <a:extLst>
            <a:ext uri="{FF2B5EF4-FFF2-40B4-BE49-F238E27FC236}">
              <a16:creationId xmlns:a16="http://schemas.microsoft.com/office/drawing/2014/main" id="{00000000-0008-0000-1600-00008DCC0000}"/>
            </a:ext>
          </a:extLst>
        </xdr:cNvPr>
        <xdr:cNvSpPr>
          <a:spLocks noChangeArrowheads="1"/>
        </xdr:cNvSpPr>
      </xdr:nvSpPr>
      <xdr:spPr bwMode="auto">
        <a:xfrm>
          <a:off x="1181100" y="609600"/>
          <a:ext cx="61817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200025</xdr:colOff>
      <xdr:row>5</xdr:row>
      <xdr:rowOff>0</xdr:rowOff>
    </xdr:from>
    <xdr:to>
      <xdr:col>17</xdr:col>
      <xdr:colOff>28575</xdr:colOff>
      <xdr:row>5</xdr:row>
      <xdr:rowOff>38100</xdr:rowOff>
    </xdr:to>
    <xdr:sp macro="" textlink="">
      <xdr:nvSpPr>
        <xdr:cNvPr id="52366" name="AutoShape 3">
          <a:extLst>
            <a:ext uri="{FF2B5EF4-FFF2-40B4-BE49-F238E27FC236}">
              <a16:creationId xmlns:a16="http://schemas.microsoft.com/office/drawing/2014/main" id="{00000000-0008-0000-1600-00008ECC0000}"/>
            </a:ext>
          </a:extLst>
        </xdr:cNvPr>
        <xdr:cNvSpPr>
          <a:spLocks noChangeArrowheads="1"/>
        </xdr:cNvSpPr>
      </xdr:nvSpPr>
      <xdr:spPr bwMode="auto">
        <a:xfrm>
          <a:off x="1657350" y="866775"/>
          <a:ext cx="57054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17</xdr:col>
      <xdr:colOff>38100</xdr:colOff>
      <xdr:row>10</xdr:row>
      <xdr:rowOff>38100</xdr:rowOff>
    </xdr:to>
    <xdr:sp macro="" textlink="">
      <xdr:nvSpPr>
        <xdr:cNvPr id="52367" name="AutoShape 4">
          <a:extLst>
            <a:ext uri="{FF2B5EF4-FFF2-40B4-BE49-F238E27FC236}">
              <a16:creationId xmlns:a16="http://schemas.microsoft.com/office/drawing/2014/main" id="{00000000-0008-0000-1600-00008FCC0000}"/>
            </a:ext>
          </a:extLst>
        </xdr:cNvPr>
        <xdr:cNvSpPr>
          <a:spLocks noChangeArrowheads="1"/>
        </xdr:cNvSpPr>
      </xdr:nvSpPr>
      <xdr:spPr bwMode="auto">
        <a:xfrm>
          <a:off x="190500" y="1543050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447675</xdr:colOff>
      <xdr:row>6</xdr:row>
      <xdr:rowOff>171450</xdr:rowOff>
    </xdr:from>
    <xdr:to>
      <xdr:col>17</xdr:col>
      <xdr:colOff>28575</xdr:colOff>
      <xdr:row>7</xdr:row>
      <xdr:rowOff>19050</xdr:rowOff>
    </xdr:to>
    <xdr:sp macro="" textlink="">
      <xdr:nvSpPr>
        <xdr:cNvPr id="52368" name="AutoShape 5">
          <a:extLst>
            <a:ext uri="{FF2B5EF4-FFF2-40B4-BE49-F238E27FC236}">
              <a16:creationId xmlns:a16="http://schemas.microsoft.com/office/drawing/2014/main" id="{00000000-0008-0000-1600-000090CC0000}"/>
            </a:ext>
          </a:extLst>
        </xdr:cNvPr>
        <xdr:cNvSpPr>
          <a:spLocks noChangeArrowheads="1"/>
        </xdr:cNvSpPr>
      </xdr:nvSpPr>
      <xdr:spPr bwMode="auto">
        <a:xfrm>
          <a:off x="3590925" y="1114425"/>
          <a:ext cx="3771900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24</xdr:row>
      <xdr:rowOff>0</xdr:rowOff>
    </xdr:from>
    <xdr:to>
      <xdr:col>17</xdr:col>
      <xdr:colOff>38100</xdr:colOff>
      <xdr:row>24</xdr:row>
      <xdr:rowOff>38100</xdr:rowOff>
    </xdr:to>
    <xdr:sp macro="" textlink="">
      <xdr:nvSpPr>
        <xdr:cNvPr id="52369" name="AutoShape 6">
          <a:extLst>
            <a:ext uri="{FF2B5EF4-FFF2-40B4-BE49-F238E27FC236}">
              <a16:creationId xmlns:a16="http://schemas.microsoft.com/office/drawing/2014/main" id="{00000000-0008-0000-1600-000091CC0000}"/>
            </a:ext>
          </a:extLst>
        </xdr:cNvPr>
        <xdr:cNvSpPr>
          <a:spLocks noChangeArrowheads="1"/>
        </xdr:cNvSpPr>
      </xdr:nvSpPr>
      <xdr:spPr bwMode="auto">
        <a:xfrm>
          <a:off x="190500" y="3743325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180975</xdr:colOff>
      <xdr:row>7</xdr:row>
      <xdr:rowOff>9525</xdr:rowOff>
    </xdr:to>
    <xdr:pic>
      <xdr:nvPicPr>
        <xdr:cNvPr id="52370" name="Picture 9" descr="Leading_w_Purpose">
          <a:extLst>
            <a:ext uri="{FF2B5EF4-FFF2-40B4-BE49-F238E27FC236}">
              <a16:creationId xmlns:a16="http://schemas.microsoft.com/office/drawing/2014/main" id="{00000000-0008-0000-1600-000092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38</xdr:row>
      <xdr:rowOff>0</xdr:rowOff>
    </xdr:from>
    <xdr:to>
      <xdr:col>14</xdr:col>
      <xdr:colOff>866775</xdr:colOff>
      <xdr:row>46</xdr:row>
      <xdr:rowOff>180975</xdr:rowOff>
    </xdr:to>
    <xdr:graphicFrame macro="">
      <xdr:nvGraphicFramePr>
        <xdr:cNvPr id="52371" name="Chart 109">
          <a:extLst>
            <a:ext uri="{FF2B5EF4-FFF2-40B4-BE49-F238E27FC236}">
              <a16:creationId xmlns:a16="http://schemas.microsoft.com/office/drawing/2014/main" id="{00000000-0008-0000-1600-000093C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11</xdr:row>
      <xdr:rowOff>180975</xdr:rowOff>
    </xdr:from>
    <xdr:to>
      <xdr:col>14</xdr:col>
      <xdr:colOff>342900</xdr:colOff>
      <xdr:row>23</xdr:row>
      <xdr:rowOff>38100</xdr:rowOff>
    </xdr:to>
    <xdr:graphicFrame macro="">
      <xdr:nvGraphicFramePr>
        <xdr:cNvPr id="53311" name="Chart 11">
          <a:extLst>
            <a:ext uri="{FF2B5EF4-FFF2-40B4-BE49-F238E27FC236}">
              <a16:creationId xmlns:a16="http://schemas.microsoft.com/office/drawing/2014/main" id="{00000000-0008-0000-1700-00003FD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304800</xdr:colOff>
      <xdr:row>3</xdr:row>
      <xdr:rowOff>19050</xdr:rowOff>
    </xdr:from>
    <xdr:to>
      <xdr:col>15</xdr:col>
      <xdr:colOff>28575</xdr:colOff>
      <xdr:row>3</xdr:row>
      <xdr:rowOff>57150</xdr:rowOff>
    </xdr:to>
    <xdr:sp macro="" textlink="">
      <xdr:nvSpPr>
        <xdr:cNvPr id="53312" name="AutoShape 2">
          <a:extLst>
            <a:ext uri="{FF2B5EF4-FFF2-40B4-BE49-F238E27FC236}">
              <a16:creationId xmlns:a16="http://schemas.microsoft.com/office/drawing/2014/main" id="{00000000-0008-0000-1700-000040D00000}"/>
            </a:ext>
          </a:extLst>
        </xdr:cNvPr>
        <xdr:cNvSpPr>
          <a:spLocks noChangeArrowheads="1"/>
        </xdr:cNvSpPr>
      </xdr:nvSpPr>
      <xdr:spPr bwMode="auto">
        <a:xfrm>
          <a:off x="1171575" y="609600"/>
          <a:ext cx="61817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142875</xdr:colOff>
      <xdr:row>5</xdr:row>
      <xdr:rowOff>0</xdr:rowOff>
    </xdr:from>
    <xdr:to>
      <xdr:col>15</xdr:col>
      <xdr:colOff>28575</xdr:colOff>
      <xdr:row>5</xdr:row>
      <xdr:rowOff>38100</xdr:rowOff>
    </xdr:to>
    <xdr:sp macro="" textlink="">
      <xdr:nvSpPr>
        <xdr:cNvPr id="53313" name="AutoShape 3">
          <a:extLst>
            <a:ext uri="{FF2B5EF4-FFF2-40B4-BE49-F238E27FC236}">
              <a16:creationId xmlns:a16="http://schemas.microsoft.com/office/drawing/2014/main" id="{00000000-0008-0000-1700-000041D00000}"/>
            </a:ext>
          </a:extLst>
        </xdr:cNvPr>
        <xdr:cNvSpPr>
          <a:spLocks noChangeArrowheads="1"/>
        </xdr:cNvSpPr>
      </xdr:nvSpPr>
      <xdr:spPr bwMode="auto">
        <a:xfrm>
          <a:off x="1666875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15</xdr:col>
      <xdr:colOff>38100</xdr:colOff>
      <xdr:row>10</xdr:row>
      <xdr:rowOff>38100</xdr:rowOff>
    </xdr:to>
    <xdr:sp macro="" textlink="">
      <xdr:nvSpPr>
        <xdr:cNvPr id="53314" name="AutoShape 4">
          <a:extLst>
            <a:ext uri="{FF2B5EF4-FFF2-40B4-BE49-F238E27FC236}">
              <a16:creationId xmlns:a16="http://schemas.microsoft.com/office/drawing/2014/main" id="{00000000-0008-0000-1700-000042D00000}"/>
            </a:ext>
          </a:extLst>
        </xdr:cNvPr>
        <xdr:cNvSpPr>
          <a:spLocks noChangeArrowheads="1"/>
        </xdr:cNvSpPr>
      </xdr:nvSpPr>
      <xdr:spPr bwMode="auto">
        <a:xfrm>
          <a:off x="180975" y="1543050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219075</xdr:colOff>
      <xdr:row>6</xdr:row>
      <xdr:rowOff>171450</xdr:rowOff>
    </xdr:from>
    <xdr:to>
      <xdr:col>15</xdr:col>
      <xdr:colOff>28575</xdr:colOff>
      <xdr:row>7</xdr:row>
      <xdr:rowOff>19050</xdr:rowOff>
    </xdr:to>
    <xdr:sp macro="" textlink="">
      <xdr:nvSpPr>
        <xdr:cNvPr id="53315" name="AutoShape 5">
          <a:extLst>
            <a:ext uri="{FF2B5EF4-FFF2-40B4-BE49-F238E27FC236}">
              <a16:creationId xmlns:a16="http://schemas.microsoft.com/office/drawing/2014/main" id="{00000000-0008-0000-1700-000043D00000}"/>
            </a:ext>
          </a:extLst>
        </xdr:cNvPr>
        <xdr:cNvSpPr>
          <a:spLocks noChangeArrowheads="1"/>
        </xdr:cNvSpPr>
      </xdr:nvSpPr>
      <xdr:spPr bwMode="auto">
        <a:xfrm>
          <a:off x="2276475" y="1114425"/>
          <a:ext cx="507682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15</xdr:col>
      <xdr:colOff>38100</xdr:colOff>
      <xdr:row>25</xdr:row>
      <xdr:rowOff>38100</xdr:rowOff>
    </xdr:to>
    <xdr:sp macro="" textlink="">
      <xdr:nvSpPr>
        <xdr:cNvPr id="53316" name="AutoShape 6">
          <a:extLst>
            <a:ext uri="{FF2B5EF4-FFF2-40B4-BE49-F238E27FC236}">
              <a16:creationId xmlns:a16="http://schemas.microsoft.com/office/drawing/2014/main" id="{00000000-0008-0000-1700-000044D00000}"/>
            </a:ext>
          </a:extLst>
        </xdr:cNvPr>
        <xdr:cNvSpPr>
          <a:spLocks noChangeArrowheads="1"/>
        </xdr:cNvSpPr>
      </xdr:nvSpPr>
      <xdr:spPr bwMode="auto">
        <a:xfrm>
          <a:off x="180975" y="3781425"/>
          <a:ext cx="7181850" cy="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276225</xdr:colOff>
      <xdr:row>7</xdr:row>
      <xdr:rowOff>9525</xdr:rowOff>
    </xdr:to>
    <xdr:pic>
      <xdr:nvPicPr>
        <xdr:cNvPr id="53317" name="Picture 9" descr="Leading_w_Purpose">
          <a:extLst>
            <a:ext uri="{FF2B5EF4-FFF2-40B4-BE49-F238E27FC236}">
              <a16:creationId xmlns:a16="http://schemas.microsoft.com/office/drawing/2014/main" id="{00000000-0008-0000-1700-00004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0.19434</cdr:x>
      <cdr:y>0.25674</cdr:y>
    </cdr:from>
    <cdr:to>
      <cdr:x>0.94562</cdr:x>
      <cdr:y>0.25674</cdr:y>
    </cdr:to>
    <cdr:sp macro="" textlink="">
      <cdr:nvSpPr>
        <cdr:cNvPr id="59393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629351" y="458372"/>
          <a:ext cx="2409201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prstDash val="dash"/>
          <a:round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28575</xdr:rowOff>
    </xdr:from>
    <xdr:to>
      <xdr:col>4</xdr:col>
      <xdr:colOff>142875</xdr:colOff>
      <xdr:row>7</xdr:row>
      <xdr:rowOff>9525</xdr:rowOff>
    </xdr:to>
    <xdr:pic>
      <xdr:nvPicPr>
        <xdr:cNvPr id="55459" name="Picture 21" descr="Leading_w_Purpose">
          <a:extLst>
            <a:ext uri="{FF2B5EF4-FFF2-40B4-BE49-F238E27FC236}">
              <a16:creationId xmlns:a16="http://schemas.microsoft.com/office/drawing/2014/main" id="{00000000-0008-0000-1800-0000A3D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95250</xdr:colOff>
      <xdr:row>3</xdr:row>
      <xdr:rowOff>19050</xdr:rowOff>
    </xdr:from>
    <xdr:to>
      <xdr:col>14</xdr:col>
      <xdr:colOff>28575</xdr:colOff>
      <xdr:row>3</xdr:row>
      <xdr:rowOff>57150</xdr:rowOff>
    </xdr:to>
    <xdr:sp macro="" textlink="">
      <xdr:nvSpPr>
        <xdr:cNvPr id="55460" name="AutoShape 2">
          <a:extLst>
            <a:ext uri="{FF2B5EF4-FFF2-40B4-BE49-F238E27FC236}">
              <a16:creationId xmlns:a16="http://schemas.microsoft.com/office/drawing/2014/main" id="{00000000-0008-0000-1800-0000A4D80000}"/>
            </a:ext>
          </a:extLst>
        </xdr:cNvPr>
        <xdr:cNvSpPr>
          <a:spLocks noChangeArrowheads="1"/>
        </xdr:cNvSpPr>
      </xdr:nvSpPr>
      <xdr:spPr bwMode="auto">
        <a:xfrm>
          <a:off x="1097017" y="610257"/>
          <a:ext cx="625595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666750</xdr:colOff>
      <xdr:row>5</xdr:row>
      <xdr:rowOff>0</xdr:rowOff>
    </xdr:from>
    <xdr:to>
      <xdr:col>14</xdr:col>
      <xdr:colOff>28575</xdr:colOff>
      <xdr:row>5</xdr:row>
      <xdr:rowOff>38100</xdr:rowOff>
    </xdr:to>
    <xdr:sp macro="" textlink="">
      <xdr:nvSpPr>
        <xdr:cNvPr id="55461" name="AutoShape 3">
          <a:extLst>
            <a:ext uri="{FF2B5EF4-FFF2-40B4-BE49-F238E27FC236}">
              <a16:creationId xmlns:a16="http://schemas.microsoft.com/office/drawing/2014/main" id="{00000000-0008-0000-1800-0000A5D80000}"/>
            </a:ext>
          </a:extLst>
        </xdr:cNvPr>
        <xdr:cNvSpPr>
          <a:spLocks noChangeArrowheads="1"/>
        </xdr:cNvSpPr>
      </xdr:nvSpPr>
      <xdr:spPr bwMode="auto">
        <a:xfrm>
          <a:off x="1666875" y="866775"/>
          <a:ext cx="56959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14</xdr:col>
      <xdr:colOff>38100</xdr:colOff>
      <xdr:row>10</xdr:row>
      <xdr:rowOff>38100</xdr:rowOff>
    </xdr:to>
    <xdr:sp macro="" textlink="">
      <xdr:nvSpPr>
        <xdr:cNvPr id="55462" name="AutoShape 4">
          <a:extLst>
            <a:ext uri="{FF2B5EF4-FFF2-40B4-BE49-F238E27FC236}">
              <a16:creationId xmlns:a16="http://schemas.microsoft.com/office/drawing/2014/main" id="{00000000-0008-0000-1800-0000A6D80000}"/>
            </a:ext>
          </a:extLst>
        </xdr:cNvPr>
        <xdr:cNvSpPr>
          <a:spLocks noChangeArrowheads="1"/>
        </xdr:cNvSpPr>
      </xdr:nvSpPr>
      <xdr:spPr bwMode="auto">
        <a:xfrm>
          <a:off x="180975" y="153352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104775</xdr:colOff>
      <xdr:row>6</xdr:row>
      <xdr:rowOff>171450</xdr:rowOff>
    </xdr:from>
    <xdr:to>
      <xdr:col>14</xdr:col>
      <xdr:colOff>28575</xdr:colOff>
      <xdr:row>7</xdr:row>
      <xdr:rowOff>19050</xdr:rowOff>
    </xdr:to>
    <xdr:sp macro="" textlink="">
      <xdr:nvSpPr>
        <xdr:cNvPr id="55463" name="AutoShape 5">
          <a:extLst>
            <a:ext uri="{FF2B5EF4-FFF2-40B4-BE49-F238E27FC236}">
              <a16:creationId xmlns:a16="http://schemas.microsoft.com/office/drawing/2014/main" id="{00000000-0008-0000-1800-0000A7D80000}"/>
            </a:ext>
          </a:extLst>
        </xdr:cNvPr>
        <xdr:cNvSpPr>
          <a:spLocks noChangeArrowheads="1"/>
        </xdr:cNvSpPr>
      </xdr:nvSpPr>
      <xdr:spPr bwMode="auto">
        <a:xfrm>
          <a:off x="3000375" y="1114425"/>
          <a:ext cx="4362450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26</xdr:row>
      <xdr:rowOff>0</xdr:rowOff>
    </xdr:from>
    <xdr:to>
      <xdr:col>14</xdr:col>
      <xdr:colOff>38100</xdr:colOff>
      <xdr:row>26</xdr:row>
      <xdr:rowOff>38100</xdr:rowOff>
    </xdr:to>
    <xdr:sp macro="" textlink="">
      <xdr:nvSpPr>
        <xdr:cNvPr id="55464" name="AutoShape 6">
          <a:extLst>
            <a:ext uri="{FF2B5EF4-FFF2-40B4-BE49-F238E27FC236}">
              <a16:creationId xmlns:a16="http://schemas.microsoft.com/office/drawing/2014/main" id="{00000000-0008-0000-1800-0000A8D80000}"/>
            </a:ext>
          </a:extLst>
        </xdr:cNvPr>
        <xdr:cNvSpPr>
          <a:spLocks noChangeArrowheads="1"/>
        </xdr:cNvSpPr>
      </xdr:nvSpPr>
      <xdr:spPr bwMode="auto">
        <a:xfrm>
          <a:off x="180975" y="39528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18</xdr:row>
      <xdr:rowOff>0</xdr:rowOff>
    </xdr:from>
    <xdr:to>
      <xdr:col>14</xdr:col>
      <xdr:colOff>38100</xdr:colOff>
      <xdr:row>18</xdr:row>
      <xdr:rowOff>38100</xdr:rowOff>
    </xdr:to>
    <xdr:sp macro="" textlink="">
      <xdr:nvSpPr>
        <xdr:cNvPr id="55465" name="AutoShape 9">
          <a:extLst>
            <a:ext uri="{FF2B5EF4-FFF2-40B4-BE49-F238E27FC236}">
              <a16:creationId xmlns:a16="http://schemas.microsoft.com/office/drawing/2014/main" id="{00000000-0008-0000-1800-0000A9D80000}"/>
            </a:ext>
          </a:extLst>
        </xdr:cNvPr>
        <xdr:cNvSpPr>
          <a:spLocks noChangeArrowheads="1"/>
        </xdr:cNvSpPr>
      </xdr:nvSpPr>
      <xdr:spPr bwMode="auto">
        <a:xfrm>
          <a:off x="180975" y="25336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37</xdr:row>
      <xdr:rowOff>0</xdr:rowOff>
    </xdr:from>
    <xdr:to>
      <xdr:col>14</xdr:col>
      <xdr:colOff>38100</xdr:colOff>
      <xdr:row>37</xdr:row>
      <xdr:rowOff>38100</xdr:rowOff>
    </xdr:to>
    <xdr:sp macro="" textlink="">
      <xdr:nvSpPr>
        <xdr:cNvPr id="55466" name="AutoShape 10">
          <a:extLst>
            <a:ext uri="{FF2B5EF4-FFF2-40B4-BE49-F238E27FC236}">
              <a16:creationId xmlns:a16="http://schemas.microsoft.com/office/drawing/2014/main" id="{00000000-0008-0000-1800-0000AAD80000}"/>
            </a:ext>
          </a:extLst>
        </xdr:cNvPr>
        <xdr:cNvSpPr>
          <a:spLocks noChangeArrowheads="1"/>
        </xdr:cNvSpPr>
      </xdr:nvSpPr>
      <xdr:spPr bwMode="auto">
        <a:xfrm>
          <a:off x="180975" y="5353050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141233</xdr:colOff>
      <xdr:row>6</xdr:row>
      <xdr:rowOff>35472</xdr:rowOff>
    </xdr:from>
    <xdr:to>
      <xdr:col>4</xdr:col>
      <xdr:colOff>1008008</xdr:colOff>
      <xdr:row>8</xdr:row>
      <xdr:rowOff>21678</xdr:rowOff>
    </xdr:to>
    <xdr:grpSp>
      <xdr:nvGrpSpPr>
        <xdr:cNvPr id="55467" name="Group 60">
          <a:extLst>
            <a:ext uri="{FF2B5EF4-FFF2-40B4-BE49-F238E27FC236}">
              <a16:creationId xmlns:a16="http://schemas.microsoft.com/office/drawing/2014/main" id="{00000000-0008-0000-1800-0000ABD80000}"/>
            </a:ext>
          </a:extLst>
        </xdr:cNvPr>
        <xdr:cNvGrpSpPr>
          <a:grpSpLocks/>
        </xdr:cNvGrpSpPr>
      </xdr:nvGrpSpPr>
      <xdr:grpSpPr bwMode="auto">
        <a:xfrm>
          <a:off x="1143000" y="971550"/>
          <a:ext cx="866775" cy="257175"/>
          <a:chOff x="119" y="101"/>
          <a:chExt cx="91" cy="27"/>
        </a:xfrm>
      </xdr:grpSpPr>
      <xdr:pic macro="[0]!GoToToolGSS">
        <xdr:nvPicPr>
          <xdr:cNvPr id="55477" name="Picture 24" descr="TabIcon-edit3">
            <a:extLst>
              <a:ext uri="{FF2B5EF4-FFF2-40B4-BE49-F238E27FC236}">
                <a16:creationId xmlns:a16="http://schemas.microsoft.com/office/drawing/2014/main" id="{00000000-0008-0000-1800-0000B5D8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9" y="101"/>
            <a:ext cx="91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SS" textlink="">
        <xdr:nvSpPr>
          <xdr:cNvPr id="55321" name="Text Box 25">
            <a:extLst>
              <a:ext uri="{FF2B5EF4-FFF2-40B4-BE49-F238E27FC236}">
                <a16:creationId xmlns:a16="http://schemas.microsoft.com/office/drawing/2014/main" id="{00000000-0008-0000-1800-000019D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" y="106"/>
            <a:ext cx="67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GSS Home</a:t>
            </a:r>
          </a:p>
        </xdr:txBody>
      </xdr:sp>
    </xdr:grpSp>
    <xdr:clientData/>
  </xdr:twoCellAnchor>
  <xdr:twoCellAnchor>
    <xdr:from>
      <xdr:col>4</xdr:col>
      <xdr:colOff>1017533</xdr:colOff>
      <xdr:row>6</xdr:row>
      <xdr:rowOff>64047</xdr:rowOff>
    </xdr:from>
    <xdr:to>
      <xdr:col>5</xdr:col>
      <xdr:colOff>825062</xdr:colOff>
      <xdr:row>8</xdr:row>
      <xdr:rowOff>21678</xdr:rowOff>
    </xdr:to>
    <xdr:grpSp>
      <xdr:nvGrpSpPr>
        <xdr:cNvPr id="55468" name="Group 59">
          <a:extLst>
            <a:ext uri="{FF2B5EF4-FFF2-40B4-BE49-F238E27FC236}">
              <a16:creationId xmlns:a16="http://schemas.microsoft.com/office/drawing/2014/main" id="{00000000-0008-0000-1800-0000ACD80000}"/>
            </a:ext>
          </a:extLst>
        </xdr:cNvPr>
        <xdr:cNvGrpSpPr>
          <a:grpSpLocks/>
        </xdr:cNvGrpSpPr>
      </xdr:nvGrpSpPr>
      <xdr:grpSpPr bwMode="auto">
        <a:xfrm>
          <a:off x="2019300" y="1000125"/>
          <a:ext cx="866775" cy="228600"/>
          <a:chOff x="211" y="104"/>
          <a:chExt cx="91" cy="24"/>
        </a:xfrm>
      </xdr:grpSpPr>
      <xdr:pic macro="[0]!GoTotoolPrograms">
        <xdr:nvPicPr>
          <xdr:cNvPr id="55475" name="Picture 26" descr="TabIcon-edit3">
            <a:extLst>
              <a:ext uri="{FF2B5EF4-FFF2-40B4-BE49-F238E27FC236}">
                <a16:creationId xmlns:a16="http://schemas.microsoft.com/office/drawing/2014/main" id="{00000000-0008-0000-1800-0000B3D80000}"/>
              </a:ext>
            </a:extLst>
          </xdr:cNvPr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1" y="104"/>
            <a:ext cx="9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Programs" textlink="">
        <xdr:nvSpPr>
          <xdr:cNvPr id="55323" name="Text Box 27">
            <a:extLst>
              <a:ext uri="{FF2B5EF4-FFF2-40B4-BE49-F238E27FC236}">
                <a16:creationId xmlns:a16="http://schemas.microsoft.com/office/drawing/2014/main" id="{00000000-0008-0000-1800-00001BD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7" y="108"/>
            <a:ext cx="54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Initiatives</a:t>
            </a:r>
          </a:p>
        </xdr:txBody>
      </xdr:sp>
    </xdr:grpSp>
    <xdr:clientData/>
  </xdr:twoCellAnchor>
  <xdr:twoCellAnchor>
    <xdr:from>
      <xdr:col>5</xdr:col>
      <xdr:colOff>628650</xdr:colOff>
      <xdr:row>78</xdr:row>
      <xdr:rowOff>0</xdr:rowOff>
    </xdr:from>
    <xdr:to>
      <xdr:col>5</xdr:col>
      <xdr:colOff>628650</xdr:colOff>
      <xdr:row>78</xdr:row>
      <xdr:rowOff>0</xdr:rowOff>
    </xdr:to>
    <xdr:sp macro="" textlink="">
      <xdr:nvSpPr>
        <xdr:cNvPr id="55469" name="Line 62">
          <a:extLst>
            <a:ext uri="{FF2B5EF4-FFF2-40B4-BE49-F238E27FC236}">
              <a16:creationId xmlns:a16="http://schemas.microsoft.com/office/drawing/2014/main" id="{00000000-0008-0000-1800-0000ADD80000}"/>
            </a:ext>
          </a:extLst>
        </xdr:cNvPr>
        <xdr:cNvSpPr>
          <a:spLocks noChangeShapeType="1"/>
        </xdr:cNvSpPr>
      </xdr:nvSpPr>
      <xdr:spPr bwMode="auto">
        <a:xfrm flipH="1">
          <a:off x="2686050" y="12915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stealth" w="med" len="med"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95250</xdr:rowOff>
    </xdr:from>
    <xdr:to>
      <xdr:col>5</xdr:col>
      <xdr:colOff>0</xdr:colOff>
      <xdr:row>56</xdr:row>
      <xdr:rowOff>95250</xdr:rowOff>
    </xdr:to>
    <xdr:grpSp>
      <xdr:nvGrpSpPr>
        <xdr:cNvPr id="55470" name="Group 93">
          <a:extLst>
            <a:ext uri="{FF2B5EF4-FFF2-40B4-BE49-F238E27FC236}">
              <a16:creationId xmlns:a16="http://schemas.microsoft.com/office/drawing/2014/main" id="{00000000-0008-0000-1800-0000AED80000}"/>
            </a:ext>
          </a:extLst>
        </xdr:cNvPr>
        <xdr:cNvGrpSpPr>
          <a:grpSpLocks/>
        </xdr:cNvGrpSpPr>
      </xdr:nvGrpSpPr>
      <xdr:grpSpPr bwMode="auto">
        <a:xfrm>
          <a:off x="1001767" y="7830207"/>
          <a:ext cx="1059246" cy="968922"/>
          <a:chOff x="304" y="864"/>
          <a:chExt cx="145" cy="102"/>
        </a:xfrm>
      </xdr:grpSpPr>
      <xdr:cxnSp macro="">
        <xdr:nvCxnSpPr>
          <xdr:cNvPr id="55472" name="AutoShape 90">
            <a:extLst>
              <a:ext uri="{FF2B5EF4-FFF2-40B4-BE49-F238E27FC236}">
                <a16:creationId xmlns:a16="http://schemas.microsoft.com/office/drawing/2014/main" id="{00000000-0008-0000-1800-0000B0D800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304" y="915"/>
            <a:ext cx="145" cy="51"/>
          </a:xfrm>
          <a:prstGeom prst="bentConnector3">
            <a:avLst>
              <a:gd name="adj1" fmla="val 49657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473" name="AutoShape 91">
            <a:extLst>
              <a:ext uri="{FF2B5EF4-FFF2-40B4-BE49-F238E27FC236}">
                <a16:creationId xmlns:a16="http://schemas.microsoft.com/office/drawing/2014/main" id="{00000000-0008-0000-1800-0000B1D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" y="864"/>
            <a:ext cx="144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474" name="AutoShape 92">
            <a:extLst>
              <a:ext uri="{FF2B5EF4-FFF2-40B4-BE49-F238E27FC236}">
                <a16:creationId xmlns:a16="http://schemas.microsoft.com/office/drawing/2014/main" id="{00000000-0008-0000-1800-0000B2D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" y="915"/>
            <a:ext cx="144" cy="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7</xdr:col>
      <xdr:colOff>457200</xdr:colOff>
      <xdr:row>48</xdr:row>
      <xdr:rowOff>190500</xdr:rowOff>
    </xdr:from>
    <xdr:to>
      <xdr:col>14</xdr:col>
      <xdr:colOff>28575</xdr:colOff>
      <xdr:row>58</xdr:row>
      <xdr:rowOff>190500</xdr:rowOff>
    </xdr:to>
    <xdr:graphicFrame macro="">
      <xdr:nvGraphicFramePr>
        <xdr:cNvPr id="55471" name="Chart 98">
          <a:extLst>
            <a:ext uri="{FF2B5EF4-FFF2-40B4-BE49-F238E27FC236}">
              <a16:creationId xmlns:a16="http://schemas.microsoft.com/office/drawing/2014/main" id="{00000000-0008-0000-1800-0000AFD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36</xdr:row>
          <xdr:rowOff>180975</xdr:rowOff>
        </xdr:from>
        <xdr:to>
          <xdr:col>13</xdr:col>
          <xdr:colOff>0</xdr:colOff>
          <xdr:row>38</xdr:row>
          <xdr:rowOff>28575</xdr:rowOff>
        </xdr:to>
        <xdr:sp macro="" textlink="">
          <xdr:nvSpPr>
            <xdr:cNvPr id="55346" name="Check Box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8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Activate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28575</xdr:rowOff>
    </xdr:from>
    <xdr:to>
      <xdr:col>4</xdr:col>
      <xdr:colOff>66675</xdr:colOff>
      <xdr:row>7</xdr:row>
      <xdr:rowOff>9525</xdr:rowOff>
    </xdr:to>
    <xdr:pic>
      <xdr:nvPicPr>
        <xdr:cNvPr id="56398" name="Picture 19" descr="Leading_w_Purpose">
          <a:extLst>
            <a:ext uri="{FF2B5EF4-FFF2-40B4-BE49-F238E27FC236}">
              <a16:creationId xmlns:a16="http://schemas.microsoft.com/office/drawing/2014/main" id="{00000000-0008-0000-1900-00004ED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95250</xdr:colOff>
      <xdr:row>3</xdr:row>
      <xdr:rowOff>19050</xdr:rowOff>
    </xdr:from>
    <xdr:to>
      <xdr:col>14</xdr:col>
      <xdr:colOff>28575</xdr:colOff>
      <xdr:row>3</xdr:row>
      <xdr:rowOff>57150</xdr:rowOff>
    </xdr:to>
    <xdr:sp macro="" textlink="">
      <xdr:nvSpPr>
        <xdr:cNvPr id="56399" name="AutoShape 2">
          <a:extLst>
            <a:ext uri="{FF2B5EF4-FFF2-40B4-BE49-F238E27FC236}">
              <a16:creationId xmlns:a16="http://schemas.microsoft.com/office/drawing/2014/main" id="{00000000-0008-0000-1900-00004FDC0000}"/>
            </a:ext>
          </a:extLst>
        </xdr:cNvPr>
        <xdr:cNvSpPr>
          <a:spLocks noChangeArrowheads="1"/>
        </xdr:cNvSpPr>
      </xdr:nvSpPr>
      <xdr:spPr bwMode="auto">
        <a:xfrm>
          <a:off x="2219325" y="609600"/>
          <a:ext cx="51339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14</xdr:col>
      <xdr:colOff>38100</xdr:colOff>
      <xdr:row>10</xdr:row>
      <xdr:rowOff>38100</xdr:rowOff>
    </xdr:to>
    <xdr:sp macro="" textlink="">
      <xdr:nvSpPr>
        <xdr:cNvPr id="56400" name="AutoShape 4">
          <a:extLst>
            <a:ext uri="{FF2B5EF4-FFF2-40B4-BE49-F238E27FC236}">
              <a16:creationId xmlns:a16="http://schemas.microsoft.com/office/drawing/2014/main" id="{00000000-0008-0000-1900-000050DC0000}"/>
            </a:ext>
          </a:extLst>
        </xdr:cNvPr>
        <xdr:cNvSpPr>
          <a:spLocks noChangeArrowheads="1"/>
        </xdr:cNvSpPr>
      </xdr:nvSpPr>
      <xdr:spPr bwMode="auto">
        <a:xfrm>
          <a:off x="180975" y="1533525"/>
          <a:ext cx="71818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</xdr:colOff>
      <xdr:row>3</xdr:row>
      <xdr:rowOff>19050</xdr:rowOff>
    </xdr:from>
    <xdr:to>
      <xdr:col>14</xdr:col>
      <xdr:colOff>28575</xdr:colOff>
      <xdr:row>3</xdr:row>
      <xdr:rowOff>57150</xdr:rowOff>
    </xdr:to>
    <xdr:sp macro="" textlink="">
      <xdr:nvSpPr>
        <xdr:cNvPr id="56401" name="AutoShape 12">
          <a:extLst>
            <a:ext uri="{FF2B5EF4-FFF2-40B4-BE49-F238E27FC236}">
              <a16:creationId xmlns:a16="http://schemas.microsoft.com/office/drawing/2014/main" id="{00000000-0008-0000-1900-000051DC0000}"/>
            </a:ext>
          </a:extLst>
        </xdr:cNvPr>
        <xdr:cNvSpPr>
          <a:spLocks noChangeArrowheads="1"/>
        </xdr:cNvSpPr>
      </xdr:nvSpPr>
      <xdr:spPr bwMode="auto">
        <a:xfrm>
          <a:off x="1104900" y="609600"/>
          <a:ext cx="624840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304800</xdr:colOff>
      <xdr:row>5</xdr:row>
      <xdr:rowOff>0</xdr:rowOff>
    </xdr:from>
    <xdr:to>
      <xdr:col>14</xdr:col>
      <xdr:colOff>28575</xdr:colOff>
      <xdr:row>5</xdr:row>
      <xdr:rowOff>38100</xdr:rowOff>
    </xdr:to>
    <xdr:sp macro="" textlink="">
      <xdr:nvSpPr>
        <xdr:cNvPr id="56402" name="AutoShape 13">
          <a:extLst>
            <a:ext uri="{FF2B5EF4-FFF2-40B4-BE49-F238E27FC236}">
              <a16:creationId xmlns:a16="http://schemas.microsoft.com/office/drawing/2014/main" id="{00000000-0008-0000-1900-000052DC0000}"/>
            </a:ext>
          </a:extLst>
        </xdr:cNvPr>
        <xdr:cNvSpPr>
          <a:spLocks noChangeArrowheads="1"/>
        </xdr:cNvSpPr>
      </xdr:nvSpPr>
      <xdr:spPr bwMode="auto">
        <a:xfrm>
          <a:off x="1666875" y="866775"/>
          <a:ext cx="568642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876300</xdr:colOff>
      <xdr:row>6</xdr:row>
      <xdr:rowOff>171450</xdr:rowOff>
    </xdr:from>
    <xdr:to>
      <xdr:col>14</xdr:col>
      <xdr:colOff>28575</xdr:colOff>
      <xdr:row>7</xdr:row>
      <xdr:rowOff>19050</xdr:rowOff>
    </xdr:to>
    <xdr:sp macro="" textlink="">
      <xdr:nvSpPr>
        <xdr:cNvPr id="56403" name="AutoShape 14">
          <a:extLst>
            <a:ext uri="{FF2B5EF4-FFF2-40B4-BE49-F238E27FC236}">
              <a16:creationId xmlns:a16="http://schemas.microsoft.com/office/drawing/2014/main" id="{00000000-0008-0000-1900-000053DC0000}"/>
            </a:ext>
          </a:extLst>
        </xdr:cNvPr>
        <xdr:cNvSpPr>
          <a:spLocks noChangeArrowheads="1"/>
        </xdr:cNvSpPr>
      </xdr:nvSpPr>
      <xdr:spPr bwMode="auto">
        <a:xfrm>
          <a:off x="3000375" y="1114425"/>
          <a:ext cx="4352925" cy="47625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67332</xdr:colOff>
      <xdr:row>6</xdr:row>
      <xdr:rowOff>64047</xdr:rowOff>
    </xdr:from>
    <xdr:to>
      <xdr:col>5</xdr:col>
      <xdr:colOff>646715</xdr:colOff>
      <xdr:row>8</xdr:row>
      <xdr:rowOff>21678</xdr:rowOff>
    </xdr:to>
    <xdr:grpSp>
      <xdr:nvGrpSpPr>
        <xdr:cNvPr id="56404" name="Group 41">
          <a:extLst>
            <a:ext uri="{FF2B5EF4-FFF2-40B4-BE49-F238E27FC236}">
              <a16:creationId xmlns:a16="http://schemas.microsoft.com/office/drawing/2014/main" id="{00000000-0008-0000-1900-000054DC0000}"/>
            </a:ext>
          </a:extLst>
        </xdr:cNvPr>
        <xdr:cNvGrpSpPr>
          <a:grpSpLocks/>
        </xdr:cNvGrpSpPr>
      </xdr:nvGrpSpPr>
      <xdr:grpSpPr bwMode="auto">
        <a:xfrm>
          <a:off x="1143000" y="1000125"/>
          <a:ext cx="866775" cy="228600"/>
          <a:chOff x="120" y="104"/>
          <a:chExt cx="91" cy="24"/>
        </a:xfrm>
      </xdr:grpSpPr>
      <xdr:pic macro="[0]!GoTotoolPrograms">
        <xdr:nvPicPr>
          <xdr:cNvPr id="56408" name="Picture 23" descr="TabIcon-edit3">
            <a:extLst>
              <a:ext uri="{FF2B5EF4-FFF2-40B4-BE49-F238E27FC236}">
                <a16:creationId xmlns:a16="http://schemas.microsoft.com/office/drawing/2014/main" id="{00000000-0008-0000-1900-000058DC0000}"/>
              </a:ext>
            </a:extLst>
          </xdr:cNvPr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" y="104"/>
            <a:ext cx="9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GSS" textlink="">
        <xdr:nvSpPr>
          <xdr:cNvPr id="56344" name="Text Box 24">
            <a:extLst>
              <a:ext uri="{FF2B5EF4-FFF2-40B4-BE49-F238E27FC236}">
                <a16:creationId xmlns:a16="http://schemas.microsoft.com/office/drawing/2014/main" id="{00000000-0008-0000-1900-000018D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" y="106"/>
            <a:ext cx="65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GSS Home</a:t>
            </a:r>
          </a:p>
        </xdr:txBody>
      </xdr:sp>
    </xdr:grpSp>
    <xdr:clientData/>
  </xdr:twoCellAnchor>
  <xdr:twoCellAnchor>
    <xdr:from>
      <xdr:col>5</xdr:col>
      <xdr:colOff>657225</xdr:colOff>
      <xdr:row>6</xdr:row>
      <xdr:rowOff>19050</xdr:rowOff>
    </xdr:from>
    <xdr:to>
      <xdr:col>6</xdr:col>
      <xdr:colOff>762000</xdr:colOff>
      <xdr:row>8</xdr:row>
      <xdr:rowOff>0</xdr:rowOff>
    </xdr:to>
    <xdr:grpSp>
      <xdr:nvGrpSpPr>
        <xdr:cNvPr id="56405" name="Group 39">
          <a:extLst>
            <a:ext uri="{FF2B5EF4-FFF2-40B4-BE49-F238E27FC236}">
              <a16:creationId xmlns:a16="http://schemas.microsoft.com/office/drawing/2014/main" id="{00000000-0008-0000-1900-000055DC0000}"/>
            </a:ext>
          </a:extLst>
        </xdr:cNvPr>
        <xdr:cNvGrpSpPr>
          <a:grpSpLocks/>
        </xdr:cNvGrpSpPr>
      </xdr:nvGrpSpPr>
      <xdr:grpSpPr bwMode="auto">
        <a:xfrm>
          <a:off x="2020285" y="955128"/>
          <a:ext cx="868418" cy="251919"/>
          <a:chOff x="212" y="101"/>
          <a:chExt cx="91" cy="27"/>
        </a:xfrm>
      </xdr:grpSpPr>
      <xdr:pic macro="[0]!GoToToolGSS">
        <xdr:nvPicPr>
          <xdr:cNvPr id="56406" name="Picture 22" descr="TabIcon-edit3">
            <a:extLst>
              <a:ext uri="{FF2B5EF4-FFF2-40B4-BE49-F238E27FC236}">
                <a16:creationId xmlns:a16="http://schemas.microsoft.com/office/drawing/2014/main" id="{00000000-0008-0000-1900-000056DC0000}"/>
              </a:ext>
            </a:extLst>
          </xdr:cNvPr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2" y="101"/>
            <a:ext cx="91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TotoolPrograms" textlink="">
        <xdr:nvSpPr>
          <xdr:cNvPr id="56345" name="Text Box 25">
            <a:extLst>
              <a:ext uri="{FF2B5EF4-FFF2-40B4-BE49-F238E27FC236}">
                <a16:creationId xmlns:a16="http://schemas.microsoft.com/office/drawing/2014/main" id="{00000000-0008-0000-1900-000019D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4" y="106"/>
            <a:ext cx="68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Initiatives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3</xdr:row>
      <xdr:rowOff>19050</xdr:rowOff>
    </xdr:from>
    <xdr:to>
      <xdr:col>15</xdr:col>
      <xdr:colOff>28575</xdr:colOff>
      <xdr:row>3</xdr:row>
      <xdr:rowOff>57150</xdr:rowOff>
    </xdr:to>
    <xdr:sp macro="" textlink="">
      <xdr:nvSpPr>
        <xdr:cNvPr id="51227" name="AutoShape 2">
          <a:extLst>
            <a:ext uri="{FF2B5EF4-FFF2-40B4-BE49-F238E27FC236}">
              <a16:creationId xmlns:a16="http://schemas.microsoft.com/office/drawing/2014/main" id="{00000000-0008-0000-1A00-00001BC80000}"/>
            </a:ext>
          </a:extLst>
        </xdr:cNvPr>
        <xdr:cNvSpPr>
          <a:spLocks noChangeArrowheads="1"/>
        </xdr:cNvSpPr>
      </xdr:nvSpPr>
      <xdr:spPr bwMode="auto">
        <a:xfrm>
          <a:off x="1095375" y="609600"/>
          <a:ext cx="62674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638175</xdr:colOff>
      <xdr:row>4</xdr:row>
      <xdr:rowOff>190500</xdr:rowOff>
    </xdr:from>
    <xdr:to>
      <xdr:col>15</xdr:col>
      <xdr:colOff>28575</xdr:colOff>
      <xdr:row>5</xdr:row>
      <xdr:rowOff>28575</xdr:rowOff>
    </xdr:to>
    <xdr:sp macro="" textlink="">
      <xdr:nvSpPr>
        <xdr:cNvPr id="51228" name="AutoShape 3">
          <a:extLst>
            <a:ext uri="{FF2B5EF4-FFF2-40B4-BE49-F238E27FC236}">
              <a16:creationId xmlns:a16="http://schemas.microsoft.com/office/drawing/2014/main" id="{00000000-0008-0000-1A00-00001CC80000}"/>
            </a:ext>
          </a:extLst>
        </xdr:cNvPr>
        <xdr:cNvSpPr>
          <a:spLocks noChangeArrowheads="1"/>
        </xdr:cNvSpPr>
      </xdr:nvSpPr>
      <xdr:spPr bwMode="auto">
        <a:xfrm>
          <a:off x="2047875" y="857250"/>
          <a:ext cx="53149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10</xdr:row>
      <xdr:rowOff>0</xdr:rowOff>
    </xdr:from>
    <xdr:to>
      <xdr:col>15</xdr:col>
      <xdr:colOff>38100</xdr:colOff>
      <xdr:row>10</xdr:row>
      <xdr:rowOff>38100</xdr:rowOff>
    </xdr:to>
    <xdr:sp macro="" textlink="">
      <xdr:nvSpPr>
        <xdr:cNvPr id="51229" name="AutoShape 4">
          <a:extLst>
            <a:ext uri="{FF2B5EF4-FFF2-40B4-BE49-F238E27FC236}">
              <a16:creationId xmlns:a16="http://schemas.microsoft.com/office/drawing/2014/main" id="{00000000-0008-0000-1A00-00001DC80000}"/>
            </a:ext>
          </a:extLst>
        </xdr:cNvPr>
        <xdr:cNvSpPr>
          <a:spLocks noChangeArrowheads="1"/>
        </xdr:cNvSpPr>
      </xdr:nvSpPr>
      <xdr:spPr bwMode="auto">
        <a:xfrm>
          <a:off x="180975" y="16287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685800</xdr:colOff>
      <xdr:row>6</xdr:row>
      <xdr:rowOff>171450</xdr:rowOff>
    </xdr:from>
    <xdr:to>
      <xdr:col>15</xdr:col>
      <xdr:colOff>28575</xdr:colOff>
      <xdr:row>7</xdr:row>
      <xdr:rowOff>9525</xdr:rowOff>
    </xdr:to>
    <xdr:sp macro="" textlink="">
      <xdr:nvSpPr>
        <xdr:cNvPr id="51230" name="AutoShape 5">
          <a:extLst>
            <a:ext uri="{FF2B5EF4-FFF2-40B4-BE49-F238E27FC236}">
              <a16:creationId xmlns:a16="http://schemas.microsoft.com/office/drawing/2014/main" id="{00000000-0008-0000-1A00-00001EC80000}"/>
            </a:ext>
          </a:extLst>
        </xdr:cNvPr>
        <xdr:cNvSpPr>
          <a:spLocks noChangeArrowheads="1"/>
        </xdr:cNvSpPr>
      </xdr:nvSpPr>
      <xdr:spPr bwMode="auto">
        <a:xfrm>
          <a:off x="2733675" y="1114425"/>
          <a:ext cx="4629150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152400</xdr:colOff>
      <xdr:row>27</xdr:row>
      <xdr:rowOff>0</xdr:rowOff>
    </xdr:from>
    <xdr:to>
      <xdr:col>15</xdr:col>
      <xdr:colOff>38100</xdr:colOff>
      <xdr:row>27</xdr:row>
      <xdr:rowOff>38100</xdr:rowOff>
    </xdr:to>
    <xdr:sp macro="" textlink="">
      <xdr:nvSpPr>
        <xdr:cNvPr id="51231" name="AutoShape 6">
          <a:extLst>
            <a:ext uri="{FF2B5EF4-FFF2-40B4-BE49-F238E27FC236}">
              <a16:creationId xmlns:a16="http://schemas.microsoft.com/office/drawing/2014/main" id="{00000000-0008-0000-1A00-00001FC80000}"/>
            </a:ext>
          </a:extLst>
        </xdr:cNvPr>
        <xdr:cNvSpPr>
          <a:spLocks noChangeArrowheads="1"/>
        </xdr:cNvSpPr>
      </xdr:nvSpPr>
      <xdr:spPr bwMode="auto">
        <a:xfrm>
          <a:off x="180975" y="4333875"/>
          <a:ext cx="7191375" cy="38100"/>
        </a:xfrm>
        <a:prstGeom prst="roundRect">
          <a:avLst>
            <a:gd name="adj" fmla="val 50000"/>
          </a:avLst>
        </a:prstGeom>
        <a:gradFill rotWithShape="1">
          <a:gsLst>
            <a:gs pos="0">
              <a:srgbClr val="2244A9"/>
            </a:gs>
            <a:gs pos="50000">
              <a:srgbClr val="3366FF"/>
            </a:gs>
            <a:gs pos="100000">
              <a:srgbClr val="2244A9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28575</xdr:colOff>
      <xdr:row>1</xdr:row>
      <xdr:rowOff>28575</xdr:rowOff>
    </xdr:from>
    <xdr:to>
      <xdr:col>4</xdr:col>
      <xdr:colOff>142875</xdr:colOff>
      <xdr:row>7</xdr:row>
      <xdr:rowOff>9525</xdr:rowOff>
    </xdr:to>
    <xdr:pic>
      <xdr:nvPicPr>
        <xdr:cNvPr id="51232" name="Picture 8" descr="Leading_w_Purpose">
          <a:extLst>
            <a:ext uri="{FF2B5EF4-FFF2-40B4-BE49-F238E27FC236}">
              <a16:creationId xmlns:a16="http://schemas.microsoft.com/office/drawing/2014/main" id="{00000000-0008-0000-1A00-000020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23825"/>
          <a:ext cx="101917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20</xdr:row>
      <xdr:rowOff>0</xdr:rowOff>
    </xdr:from>
    <xdr:to>
      <xdr:col>19</xdr:col>
      <xdr:colOff>304800</xdr:colOff>
      <xdr:row>33</xdr:row>
      <xdr:rowOff>0</xdr:rowOff>
    </xdr:to>
    <xdr:graphicFrame macro="">
      <xdr:nvGraphicFramePr>
        <xdr:cNvPr id="70699" name="Chart 50">
          <a:extLst>
            <a:ext uri="{FF2B5EF4-FFF2-40B4-BE49-F238E27FC236}">
              <a16:creationId xmlns:a16="http://schemas.microsoft.com/office/drawing/2014/main" id="{00000000-0008-0000-2900-00002B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34</xdr:row>
      <xdr:rowOff>9525</xdr:rowOff>
    </xdr:from>
    <xdr:to>
      <xdr:col>19</xdr:col>
      <xdr:colOff>371475</xdr:colOff>
      <xdr:row>45</xdr:row>
      <xdr:rowOff>0</xdr:rowOff>
    </xdr:to>
    <xdr:graphicFrame macro="">
      <xdr:nvGraphicFramePr>
        <xdr:cNvPr id="70700" name="Chart 51">
          <a:extLst>
            <a:ext uri="{FF2B5EF4-FFF2-40B4-BE49-F238E27FC236}">
              <a16:creationId xmlns:a16="http://schemas.microsoft.com/office/drawing/2014/main" id="{00000000-0008-0000-2900-00002C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</xdr:colOff>
      <xdr:row>46</xdr:row>
      <xdr:rowOff>0</xdr:rowOff>
    </xdr:from>
    <xdr:to>
      <xdr:col>19</xdr:col>
      <xdr:colOff>466725</xdr:colOff>
      <xdr:row>60</xdr:row>
      <xdr:rowOff>0</xdr:rowOff>
    </xdr:to>
    <xdr:graphicFrame macro="">
      <xdr:nvGraphicFramePr>
        <xdr:cNvPr id="70701" name="Chart 52">
          <a:extLst>
            <a:ext uri="{FF2B5EF4-FFF2-40B4-BE49-F238E27FC236}">
              <a16:creationId xmlns:a16="http://schemas.microsoft.com/office/drawing/2014/main" id="{00000000-0008-0000-2900-00002D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85725</xdr:colOff>
      <xdr:row>60</xdr:row>
      <xdr:rowOff>104775</xdr:rowOff>
    </xdr:from>
    <xdr:to>
      <xdr:col>19</xdr:col>
      <xdr:colOff>485775</xdr:colOff>
      <xdr:row>72</xdr:row>
      <xdr:rowOff>66675</xdr:rowOff>
    </xdr:to>
    <xdr:graphicFrame macro="">
      <xdr:nvGraphicFramePr>
        <xdr:cNvPr id="70702" name="Chart 53">
          <a:extLst>
            <a:ext uri="{FF2B5EF4-FFF2-40B4-BE49-F238E27FC236}">
              <a16:creationId xmlns:a16="http://schemas.microsoft.com/office/drawing/2014/main" id="{00000000-0008-0000-2900-00002E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104775</xdr:colOff>
      <xdr:row>73</xdr:row>
      <xdr:rowOff>104775</xdr:rowOff>
    </xdr:from>
    <xdr:to>
      <xdr:col>19</xdr:col>
      <xdr:colOff>504825</xdr:colOff>
      <xdr:row>86</xdr:row>
      <xdr:rowOff>28575</xdr:rowOff>
    </xdr:to>
    <xdr:graphicFrame macro="">
      <xdr:nvGraphicFramePr>
        <xdr:cNvPr id="70703" name="Chart 54">
          <a:extLst>
            <a:ext uri="{FF2B5EF4-FFF2-40B4-BE49-F238E27FC236}">
              <a16:creationId xmlns:a16="http://schemas.microsoft.com/office/drawing/2014/main" id="{00000000-0008-0000-2900-00002F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87</xdr:row>
      <xdr:rowOff>76200</xdr:rowOff>
    </xdr:from>
    <xdr:to>
      <xdr:col>20</xdr:col>
      <xdr:colOff>9525</xdr:colOff>
      <xdr:row>97</xdr:row>
      <xdr:rowOff>104775</xdr:rowOff>
    </xdr:to>
    <xdr:graphicFrame macro="">
      <xdr:nvGraphicFramePr>
        <xdr:cNvPr id="70704" name="Chart 55">
          <a:extLst>
            <a:ext uri="{FF2B5EF4-FFF2-40B4-BE49-F238E27FC236}">
              <a16:creationId xmlns:a16="http://schemas.microsoft.com/office/drawing/2014/main" id="{00000000-0008-0000-2900-000030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66675</xdr:colOff>
      <xdr:row>99</xdr:row>
      <xdr:rowOff>28575</xdr:rowOff>
    </xdr:from>
    <xdr:to>
      <xdr:col>19</xdr:col>
      <xdr:colOff>447675</xdr:colOff>
      <xdr:row>109</xdr:row>
      <xdr:rowOff>133350</xdr:rowOff>
    </xdr:to>
    <xdr:graphicFrame macro="">
      <xdr:nvGraphicFramePr>
        <xdr:cNvPr id="70705" name="Chart 56">
          <a:extLst>
            <a:ext uri="{FF2B5EF4-FFF2-40B4-BE49-F238E27FC236}">
              <a16:creationId xmlns:a16="http://schemas.microsoft.com/office/drawing/2014/main" id="{00000000-0008-0000-2900-000031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104775</xdr:colOff>
      <xdr:row>110</xdr:row>
      <xdr:rowOff>123825</xdr:rowOff>
    </xdr:from>
    <xdr:to>
      <xdr:col>19</xdr:col>
      <xdr:colOff>514350</xdr:colOff>
      <xdr:row>122</xdr:row>
      <xdr:rowOff>47625</xdr:rowOff>
    </xdr:to>
    <xdr:graphicFrame macro="">
      <xdr:nvGraphicFramePr>
        <xdr:cNvPr id="70706" name="Chart 57">
          <a:extLst>
            <a:ext uri="{FF2B5EF4-FFF2-40B4-BE49-F238E27FC236}">
              <a16:creationId xmlns:a16="http://schemas.microsoft.com/office/drawing/2014/main" id="{00000000-0008-0000-2900-000032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142875</xdr:colOff>
      <xdr:row>123</xdr:row>
      <xdr:rowOff>28575</xdr:rowOff>
    </xdr:from>
    <xdr:to>
      <xdr:col>20</xdr:col>
      <xdr:colOff>9525</xdr:colOff>
      <xdr:row>134</xdr:row>
      <xdr:rowOff>9525</xdr:rowOff>
    </xdr:to>
    <xdr:graphicFrame macro="">
      <xdr:nvGraphicFramePr>
        <xdr:cNvPr id="70707" name="Chart 58">
          <a:extLst>
            <a:ext uri="{FF2B5EF4-FFF2-40B4-BE49-F238E27FC236}">
              <a16:creationId xmlns:a16="http://schemas.microsoft.com/office/drawing/2014/main" id="{00000000-0008-0000-2900-000033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142875</xdr:colOff>
      <xdr:row>135</xdr:row>
      <xdr:rowOff>104775</xdr:rowOff>
    </xdr:from>
    <xdr:to>
      <xdr:col>20</xdr:col>
      <xdr:colOff>238125</xdr:colOff>
      <xdr:row>148</xdr:row>
      <xdr:rowOff>9525</xdr:rowOff>
    </xdr:to>
    <xdr:graphicFrame macro="">
      <xdr:nvGraphicFramePr>
        <xdr:cNvPr id="70708" name="Chart 59">
          <a:extLst>
            <a:ext uri="{FF2B5EF4-FFF2-40B4-BE49-F238E27FC236}">
              <a16:creationId xmlns:a16="http://schemas.microsoft.com/office/drawing/2014/main" id="{00000000-0008-0000-2900-000034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25</xdr:row>
      <xdr:rowOff>0</xdr:rowOff>
    </xdr:from>
    <xdr:to>
      <xdr:col>19</xdr:col>
      <xdr:colOff>304800</xdr:colOff>
      <xdr:row>36</xdr:row>
      <xdr:rowOff>0</xdr:rowOff>
    </xdr:to>
    <xdr:graphicFrame macro="">
      <xdr:nvGraphicFramePr>
        <xdr:cNvPr id="19536" name="Chart 1">
          <a:extLst>
            <a:ext uri="{FF2B5EF4-FFF2-40B4-BE49-F238E27FC236}">
              <a16:creationId xmlns:a16="http://schemas.microsoft.com/office/drawing/2014/main" id="{00000000-0008-0000-2A00-000050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37</xdr:row>
      <xdr:rowOff>9525</xdr:rowOff>
    </xdr:from>
    <xdr:to>
      <xdr:col>19</xdr:col>
      <xdr:colOff>371475</xdr:colOff>
      <xdr:row>48</xdr:row>
      <xdr:rowOff>0</xdr:rowOff>
    </xdr:to>
    <xdr:graphicFrame macro="">
      <xdr:nvGraphicFramePr>
        <xdr:cNvPr id="19537" name="Chart 2">
          <a:extLst>
            <a:ext uri="{FF2B5EF4-FFF2-40B4-BE49-F238E27FC236}">
              <a16:creationId xmlns:a16="http://schemas.microsoft.com/office/drawing/2014/main" id="{00000000-0008-0000-2A00-00005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51</xdr:row>
      <xdr:rowOff>57150</xdr:rowOff>
    </xdr:from>
    <xdr:to>
      <xdr:col>19</xdr:col>
      <xdr:colOff>476250</xdr:colOff>
      <xdr:row>62</xdr:row>
      <xdr:rowOff>19050</xdr:rowOff>
    </xdr:to>
    <xdr:graphicFrame macro="">
      <xdr:nvGraphicFramePr>
        <xdr:cNvPr id="19538" name="Chart 3">
          <a:extLst>
            <a:ext uri="{FF2B5EF4-FFF2-40B4-BE49-F238E27FC236}">
              <a16:creationId xmlns:a16="http://schemas.microsoft.com/office/drawing/2014/main" id="{00000000-0008-0000-2A00-000052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95250</xdr:colOff>
      <xdr:row>62</xdr:row>
      <xdr:rowOff>123825</xdr:rowOff>
    </xdr:from>
    <xdr:to>
      <xdr:col>19</xdr:col>
      <xdr:colOff>495300</xdr:colOff>
      <xdr:row>73</xdr:row>
      <xdr:rowOff>123825</xdr:rowOff>
    </xdr:to>
    <xdr:graphicFrame macro="">
      <xdr:nvGraphicFramePr>
        <xdr:cNvPr id="19539" name="Chart 4">
          <a:extLst>
            <a:ext uri="{FF2B5EF4-FFF2-40B4-BE49-F238E27FC236}">
              <a16:creationId xmlns:a16="http://schemas.microsoft.com/office/drawing/2014/main" id="{00000000-0008-0000-2A00-000053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114300</xdr:colOff>
      <xdr:row>75</xdr:row>
      <xdr:rowOff>19050</xdr:rowOff>
    </xdr:from>
    <xdr:to>
      <xdr:col>19</xdr:col>
      <xdr:colOff>514350</xdr:colOff>
      <xdr:row>86</xdr:row>
      <xdr:rowOff>85725</xdr:rowOff>
    </xdr:to>
    <xdr:graphicFrame macro="">
      <xdr:nvGraphicFramePr>
        <xdr:cNvPr id="19540" name="Chart 5">
          <a:extLst>
            <a:ext uri="{FF2B5EF4-FFF2-40B4-BE49-F238E27FC236}">
              <a16:creationId xmlns:a16="http://schemas.microsoft.com/office/drawing/2014/main" id="{00000000-0008-0000-2A00-000054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114300</xdr:colOff>
      <xdr:row>87</xdr:row>
      <xdr:rowOff>133350</xdr:rowOff>
    </xdr:from>
    <xdr:to>
      <xdr:col>20</xdr:col>
      <xdr:colOff>19050</xdr:colOff>
      <xdr:row>98</xdr:row>
      <xdr:rowOff>19050</xdr:rowOff>
    </xdr:to>
    <xdr:graphicFrame macro="">
      <xdr:nvGraphicFramePr>
        <xdr:cNvPr id="19541" name="Chart 6">
          <a:extLst>
            <a:ext uri="{FF2B5EF4-FFF2-40B4-BE49-F238E27FC236}">
              <a16:creationId xmlns:a16="http://schemas.microsoft.com/office/drawing/2014/main" id="{00000000-0008-0000-2A00-000055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76200</xdr:colOff>
      <xdr:row>99</xdr:row>
      <xdr:rowOff>85725</xdr:rowOff>
    </xdr:from>
    <xdr:to>
      <xdr:col>19</xdr:col>
      <xdr:colOff>457200</xdr:colOff>
      <xdr:row>110</xdr:row>
      <xdr:rowOff>47625</xdr:rowOff>
    </xdr:to>
    <xdr:graphicFrame macro="">
      <xdr:nvGraphicFramePr>
        <xdr:cNvPr id="19542" name="Chart 7">
          <a:extLst>
            <a:ext uri="{FF2B5EF4-FFF2-40B4-BE49-F238E27FC236}">
              <a16:creationId xmlns:a16="http://schemas.microsoft.com/office/drawing/2014/main" id="{00000000-0008-0000-2A00-000056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104775</xdr:colOff>
      <xdr:row>112</xdr:row>
      <xdr:rowOff>38100</xdr:rowOff>
    </xdr:from>
    <xdr:to>
      <xdr:col>19</xdr:col>
      <xdr:colOff>514350</xdr:colOff>
      <xdr:row>122</xdr:row>
      <xdr:rowOff>0</xdr:rowOff>
    </xdr:to>
    <xdr:graphicFrame macro="">
      <xdr:nvGraphicFramePr>
        <xdr:cNvPr id="19543" name="Chart 8">
          <a:extLst>
            <a:ext uri="{FF2B5EF4-FFF2-40B4-BE49-F238E27FC236}">
              <a16:creationId xmlns:a16="http://schemas.microsoft.com/office/drawing/2014/main" id="{00000000-0008-0000-2A00-000057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142875</xdr:colOff>
      <xdr:row>124</xdr:row>
      <xdr:rowOff>76200</xdr:rowOff>
    </xdr:from>
    <xdr:to>
      <xdr:col>20</xdr:col>
      <xdr:colOff>9525</xdr:colOff>
      <xdr:row>133</xdr:row>
      <xdr:rowOff>104775</xdr:rowOff>
    </xdr:to>
    <xdr:graphicFrame macro="">
      <xdr:nvGraphicFramePr>
        <xdr:cNvPr id="19544" name="Chart 9">
          <a:extLst>
            <a:ext uri="{FF2B5EF4-FFF2-40B4-BE49-F238E27FC236}">
              <a16:creationId xmlns:a16="http://schemas.microsoft.com/office/drawing/2014/main" id="{00000000-0008-0000-2A00-000058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142875</xdr:colOff>
      <xdr:row>137</xdr:row>
      <xdr:rowOff>19050</xdr:rowOff>
    </xdr:from>
    <xdr:to>
      <xdr:col>20</xdr:col>
      <xdr:colOff>238125</xdr:colOff>
      <xdr:row>146</xdr:row>
      <xdr:rowOff>104775</xdr:rowOff>
    </xdr:to>
    <xdr:graphicFrame macro="">
      <xdr:nvGraphicFramePr>
        <xdr:cNvPr id="19545" name="Chart 10">
          <a:extLst>
            <a:ext uri="{FF2B5EF4-FFF2-40B4-BE49-F238E27FC236}">
              <a16:creationId xmlns:a16="http://schemas.microsoft.com/office/drawing/2014/main" id="{00000000-0008-0000-2A00-000059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20</xdr:row>
      <xdr:rowOff>0</xdr:rowOff>
    </xdr:from>
    <xdr:to>
      <xdr:col>19</xdr:col>
      <xdr:colOff>304800</xdr:colOff>
      <xdr:row>33</xdr:row>
      <xdr:rowOff>0</xdr:rowOff>
    </xdr:to>
    <xdr:graphicFrame macro="">
      <xdr:nvGraphicFramePr>
        <xdr:cNvPr id="20553" name="Chart 1">
          <a:extLst>
            <a:ext uri="{FF2B5EF4-FFF2-40B4-BE49-F238E27FC236}">
              <a16:creationId xmlns:a16="http://schemas.microsoft.com/office/drawing/2014/main" id="{00000000-0008-0000-2B00-000049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34</xdr:row>
      <xdr:rowOff>9525</xdr:rowOff>
    </xdr:from>
    <xdr:to>
      <xdr:col>19</xdr:col>
      <xdr:colOff>371475</xdr:colOff>
      <xdr:row>45</xdr:row>
      <xdr:rowOff>0</xdr:rowOff>
    </xdr:to>
    <xdr:graphicFrame macro="">
      <xdr:nvGraphicFramePr>
        <xdr:cNvPr id="20554" name="Chart 2">
          <a:extLst>
            <a:ext uri="{FF2B5EF4-FFF2-40B4-BE49-F238E27FC236}">
              <a16:creationId xmlns:a16="http://schemas.microsoft.com/office/drawing/2014/main" id="{00000000-0008-0000-2B00-00004A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</xdr:colOff>
      <xdr:row>46</xdr:row>
      <xdr:rowOff>0</xdr:rowOff>
    </xdr:from>
    <xdr:to>
      <xdr:col>19</xdr:col>
      <xdr:colOff>466725</xdr:colOff>
      <xdr:row>60</xdr:row>
      <xdr:rowOff>0</xdr:rowOff>
    </xdr:to>
    <xdr:graphicFrame macro="">
      <xdr:nvGraphicFramePr>
        <xdr:cNvPr id="20555" name="Chart 3">
          <a:extLst>
            <a:ext uri="{FF2B5EF4-FFF2-40B4-BE49-F238E27FC236}">
              <a16:creationId xmlns:a16="http://schemas.microsoft.com/office/drawing/2014/main" id="{00000000-0008-0000-2B00-00004B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85725</xdr:colOff>
      <xdr:row>60</xdr:row>
      <xdr:rowOff>104775</xdr:rowOff>
    </xdr:from>
    <xdr:to>
      <xdr:col>19</xdr:col>
      <xdr:colOff>485775</xdr:colOff>
      <xdr:row>72</xdr:row>
      <xdr:rowOff>66675</xdr:rowOff>
    </xdr:to>
    <xdr:graphicFrame macro="">
      <xdr:nvGraphicFramePr>
        <xdr:cNvPr id="20556" name="Chart 4">
          <a:extLst>
            <a:ext uri="{FF2B5EF4-FFF2-40B4-BE49-F238E27FC236}">
              <a16:creationId xmlns:a16="http://schemas.microsoft.com/office/drawing/2014/main" id="{00000000-0008-0000-2B00-00004C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104775</xdr:colOff>
      <xdr:row>73</xdr:row>
      <xdr:rowOff>104775</xdr:rowOff>
    </xdr:from>
    <xdr:to>
      <xdr:col>19</xdr:col>
      <xdr:colOff>504825</xdr:colOff>
      <xdr:row>86</xdr:row>
      <xdr:rowOff>28575</xdr:rowOff>
    </xdr:to>
    <xdr:graphicFrame macro="">
      <xdr:nvGraphicFramePr>
        <xdr:cNvPr id="20557" name="Chart 5">
          <a:extLst>
            <a:ext uri="{FF2B5EF4-FFF2-40B4-BE49-F238E27FC236}">
              <a16:creationId xmlns:a16="http://schemas.microsoft.com/office/drawing/2014/main" id="{00000000-0008-0000-2B00-00004D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87</xdr:row>
      <xdr:rowOff>76200</xdr:rowOff>
    </xdr:from>
    <xdr:to>
      <xdr:col>20</xdr:col>
      <xdr:colOff>9525</xdr:colOff>
      <xdr:row>97</xdr:row>
      <xdr:rowOff>104775</xdr:rowOff>
    </xdr:to>
    <xdr:graphicFrame macro="">
      <xdr:nvGraphicFramePr>
        <xdr:cNvPr id="20558" name="Chart 6">
          <a:extLst>
            <a:ext uri="{FF2B5EF4-FFF2-40B4-BE49-F238E27FC236}">
              <a16:creationId xmlns:a16="http://schemas.microsoft.com/office/drawing/2014/main" id="{00000000-0008-0000-2B00-00004E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66675</xdr:colOff>
      <xdr:row>99</xdr:row>
      <xdr:rowOff>28575</xdr:rowOff>
    </xdr:from>
    <xdr:to>
      <xdr:col>19</xdr:col>
      <xdr:colOff>447675</xdr:colOff>
      <xdr:row>109</xdr:row>
      <xdr:rowOff>133350</xdr:rowOff>
    </xdr:to>
    <xdr:graphicFrame macro="">
      <xdr:nvGraphicFramePr>
        <xdr:cNvPr id="20559" name="Chart 7">
          <a:extLst>
            <a:ext uri="{FF2B5EF4-FFF2-40B4-BE49-F238E27FC236}">
              <a16:creationId xmlns:a16="http://schemas.microsoft.com/office/drawing/2014/main" id="{00000000-0008-0000-2B00-00004F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104775</xdr:colOff>
      <xdr:row>110</xdr:row>
      <xdr:rowOff>123825</xdr:rowOff>
    </xdr:from>
    <xdr:to>
      <xdr:col>19</xdr:col>
      <xdr:colOff>514350</xdr:colOff>
      <xdr:row>122</xdr:row>
      <xdr:rowOff>47625</xdr:rowOff>
    </xdr:to>
    <xdr:graphicFrame macro="">
      <xdr:nvGraphicFramePr>
        <xdr:cNvPr id="20560" name="Chart 8">
          <a:extLst>
            <a:ext uri="{FF2B5EF4-FFF2-40B4-BE49-F238E27FC236}">
              <a16:creationId xmlns:a16="http://schemas.microsoft.com/office/drawing/2014/main" id="{00000000-0008-0000-2B00-000050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142875</xdr:colOff>
      <xdr:row>123</xdr:row>
      <xdr:rowOff>28575</xdr:rowOff>
    </xdr:from>
    <xdr:to>
      <xdr:col>20</xdr:col>
      <xdr:colOff>9525</xdr:colOff>
      <xdr:row>134</xdr:row>
      <xdr:rowOff>9525</xdr:rowOff>
    </xdr:to>
    <xdr:graphicFrame macro="">
      <xdr:nvGraphicFramePr>
        <xdr:cNvPr id="20561" name="Chart 9">
          <a:extLst>
            <a:ext uri="{FF2B5EF4-FFF2-40B4-BE49-F238E27FC236}">
              <a16:creationId xmlns:a16="http://schemas.microsoft.com/office/drawing/2014/main" id="{00000000-0008-0000-2B00-000051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142875</xdr:colOff>
      <xdr:row>135</xdr:row>
      <xdr:rowOff>104775</xdr:rowOff>
    </xdr:from>
    <xdr:to>
      <xdr:col>20</xdr:col>
      <xdr:colOff>238125</xdr:colOff>
      <xdr:row>147</xdr:row>
      <xdr:rowOff>9525</xdr:rowOff>
    </xdr:to>
    <xdr:graphicFrame macro="">
      <xdr:nvGraphicFramePr>
        <xdr:cNvPr id="20562" name="Chart 10">
          <a:extLst>
            <a:ext uri="{FF2B5EF4-FFF2-40B4-BE49-F238E27FC236}">
              <a16:creationId xmlns:a16="http://schemas.microsoft.com/office/drawing/2014/main" id="{00000000-0008-0000-2B00-000052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20</xdr:row>
      <xdr:rowOff>0</xdr:rowOff>
    </xdr:from>
    <xdr:to>
      <xdr:col>19</xdr:col>
      <xdr:colOff>304800</xdr:colOff>
      <xdr:row>33</xdr:row>
      <xdr:rowOff>0</xdr:rowOff>
    </xdr:to>
    <xdr:graphicFrame macro="">
      <xdr:nvGraphicFramePr>
        <xdr:cNvPr id="21558" name="Chart 1">
          <a:extLst>
            <a:ext uri="{FF2B5EF4-FFF2-40B4-BE49-F238E27FC236}">
              <a16:creationId xmlns:a16="http://schemas.microsoft.com/office/drawing/2014/main" id="{00000000-0008-0000-2C00-000036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34</xdr:row>
      <xdr:rowOff>9525</xdr:rowOff>
    </xdr:from>
    <xdr:to>
      <xdr:col>19</xdr:col>
      <xdr:colOff>371475</xdr:colOff>
      <xdr:row>45</xdr:row>
      <xdr:rowOff>0</xdr:rowOff>
    </xdr:to>
    <xdr:graphicFrame macro="">
      <xdr:nvGraphicFramePr>
        <xdr:cNvPr id="21559" name="Chart 2">
          <a:extLst>
            <a:ext uri="{FF2B5EF4-FFF2-40B4-BE49-F238E27FC236}">
              <a16:creationId xmlns:a16="http://schemas.microsoft.com/office/drawing/2014/main" id="{00000000-0008-0000-2C00-00003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</xdr:colOff>
      <xdr:row>46</xdr:row>
      <xdr:rowOff>0</xdr:rowOff>
    </xdr:from>
    <xdr:to>
      <xdr:col>19</xdr:col>
      <xdr:colOff>466725</xdr:colOff>
      <xdr:row>61</xdr:row>
      <xdr:rowOff>0</xdr:rowOff>
    </xdr:to>
    <xdr:graphicFrame macro="">
      <xdr:nvGraphicFramePr>
        <xdr:cNvPr id="21560" name="Chart 3">
          <a:extLst>
            <a:ext uri="{FF2B5EF4-FFF2-40B4-BE49-F238E27FC236}">
              <a16:creationId xmlns:a16="http://schemas.microsoft.com/office/drawing/2014/main" id="{00000000-0008-0000-2C00-00003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85725</xdr:colOff>
      <xdr:row>61</xdr:row>
      <xdr:rowOff>104775</xdr:rowOff>
    </xdr:from>
    <xdr:to>
      <xdr:col>19</xdr:col>
      <xdr:colOff>485775</xdr:colOff>
      <xdr:row>73</xdr:row>
      <xdr:rowOff>66675</xdr:rowOff>
    </xdr:to>
    <xdr:graphicFrame macro="">
      <xdr:nvGraphicFramePr>
        <xdr:cNvPr id="21561" name="Chart 4">
          <a:extLst>
            <a:ext uri="{FF2B5EF4-FFF2-40B4-BE49-F238E27FC236}">
              <a16:creationId xmlns:a16="http://schemas.microsoft.com/office/drawing/2014/main" id="{00000000-0008-0000-2C00-00003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104775</xdr:colOff>
      <xdr:row>74</xdr:row>
      <xdr:rowOff>104775</xdr:rowOff>
    </xdr:from>
    <xdr:to>
      <xdr:col>19</xdr:col>
      <xdr:colOff>504825</xdr:colOff>
      <xdr:row>87</xdr:row>
      <xdr:rowOff>28575</xdr:rowOff>
    </xdr:to>
    <xdr:graphicFrame macro="">
      <xdr:nvGraphicFramePr>
        <xdr:cNvPr id="21562" name="Chart 5">
          <a:extLst>
            <a:ext uri="{FF2B5EF4-FFF2-40B4-BE49-F238E27FC236}">
              <a16:creationId xmlns:a16="http://schemas.microsoft.com/office/drawing/2014/main" id="{00000000-0008-0000-2C00-00003A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88</xdr:row>
      <xdr:rowOff>76200</xdr:rowOff>
    </xdr:from>
    <xdr:to>
      <xdr:col>20</xdr:col>
      <xdr:colOff>9525</xdr:colOff>
      <xdr:row>98</xdr:row>
      <xdr:rowOff>104775</xdr:rowOff>
    </xdr:to>
    <xdr:graphicFrame macro="">
      <xdr:nvGraphicFramePr>
        <xdr:cNvPr id="21563" name="Chart 6">
          <a:extLst>
            <a:ext uri="{FF2B5EF4-FFF2-40B4-BE49-F238E27FC236}">
              <a16:creationId xmlns:a16="http://schemas.microsoft.com/office/drawing/2014/main" id="{00000000-0008-0000-2C00-00003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66675</xdr:colOff>
      <xdr:row>100</xdr:row>
      <xdr:rowOff>28575</xdr:rowOff>
    </xdr:from>
    <xdr:to>
      <xdr:col>19</xdr:col>
      <xdr:colOff>447675</xdr:colOff>
      <xdr:row>110</xdr:row>
      <xdr:rowOff>133350</xdr:rowOff>
    </xdr:to>
    <xdr:graphicFrame macro="">
      <xdr:nvGraphicFramePr>
        <xdr:cNvPr id="21564" name="Chart 7">
          <a:extLst>
            <a:ext uri="{FF2B5EF4-FFF2-40B4-BE49-F238E27FC236}">
              <a16:creationId xmlns:a16="http://schemas.microsoft.com/office/drawing/2014/main" id="{00000000-0008-0000-2C00-00003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104775</xdr:colOff>
      <xdr:row>111</xdr:row>
      <xdr:rowOff>123825</xdr:rowOff>
    </xdr:from>
    <xdr:to>
      <xdr:col>19</xdr:col>
      <xdr:colOff>514350</xdr:colOff>
      <xdr:row>123</xdr:row>
      <xdr:rowOff>47625</xdr:rowOff>
    </xdr:to>
    <xdr:graphicFrame macro="">
      <xdr:nvGraphicFramePr>
        <xdr:cNvPr id="21565" name="Chart 8">
          <a:extLst>
            <a:ext uri="{FF2B5EF4-FFF2-40B4-BE49-F238E27FC236}">
              <a16:creationId xmlns:a16="http://schemas.microsoft.com/office/drawing/2014/main" id="{00000000-0008-0000-2C00-00003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142875</xdr:colOff>
      <xdr:row>124</xdr:row>
      <xdr:rowOff>28575</xdr:rowOff>
    </xdr:from>
    <xdr:to>
      <xdr:col>20</xdr:col>
      <xdr:colOff>9525</xdr:colOff>
      <xdr:row>135</xdr:row>
      <xdr:rowOff>9525</xdr:rowOff>
    </xdr:to>
    <xdr:graphicFrame macro="">
      <xdr:nvGraphicFramePr>
        <xdr:cNvPr id="21566" name="Chart 9">
          <a:extLst>
            <a:ext uri="{FF2B5EF4-FFF2-40B4-BE49-F238E27FC236}">
              <a16:creationId xmlns:a16="http://schemas.microsoft.com/office/drawing/2014/main" id="{00000000-0008-0000-2C00-00003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152400</xdr:colOff>
      <xdr:row>136</xdr:row>
      <xdr:rowOff>85725</xdr:rowOff>
    </xdr:from>
    <xdr:to>
      <xdr:col>20</xdr:col>
      <xdr:colOff>247650</xdr:colOff>
      <xdr:row>148</xdr:row>
      <xdr:rowOff>133350</xdr:rowOff>
    </xdr:to>
    <xdr:graphicFrame macro="">
      <xdr:nvGraphicFramePr>
        <xdr:cNvPr id="21567" name="Chart 10">
          <a:extLst>
            <a:ext uri="{FF2B5EF4-FFF2-40B4-BE49-F238E27FC236}">
              <a16:creationId xmlns:a16="http://schemas.microsoft.com/office/drawing/2014/main" id="{00000000-0008-0000-2C00-00003F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25</xdr:row>
      <xdr:rowOff>0</xdr:rowOff>
    </xdr:from>
    <xdr:to>
      <xdr:col>19</xdr:col>
      <xdr:colOff>304800</xdr:colOff>
      <xdr:row>36</xdr:row>
      <xdr:rowOff>0</xdr:rowOff>
    </xdr:to>
    <xdr:graphicFrame macro="">
      <xdr:nvGraphicFramePr>
        <xdr:cNvPr id="22571" name="Chart 1">
          <a:extLst>
            <a:ext uri="{FF2B5EF4-FFF2-40B4-BE49-F238E27FC236}">
              <a16:creationId xmlns:a16="http://schemas.microsoft.com/office/drawing/2014/main" id="{00000000-0008-0000-2D00-00002B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37</xdr:row>
      <xdr:rowOff>9525</xdr:rowOff>
    </xdr:from>
    <xdr:to>
      <xdr:col>19</xdr:col>
      <xdr:colOff>371475</xdr:colOff>
      <xdr:row>48</xdr:row>
      <xdr:rowOff>0</xdr:rowOff>
    </xdr:to>
    <xdr:graphicFrame macro="">
      <xdr:nvGraphicFramePr>
        <xdr:cNvPr id="22572" name="Chart 2">
          <a:extLst>
            <a:ext uri="{FF2B5EF4-FFF2-40B4-BE49-F238E27FC236}">
              <a16:creationId xmlns:a16="http://schemas.microsoft.com/office/drawing/2014/main" id="{00000000-0008-0000-2D00-00002C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</xdr:colOff>
      <xdr:row>49</xdr:row>
      <xdr:rowOff>0</xdr:rowOff>
    </xdr:from>
    <xdr:to>
      <xdr:col>19</xdr:col>
      <xdr:colOff>466725</xdr:colOff>
      <xdr:row>60</xdr:row>
      <xdr:rowOff>0</xdr:rowOff>
    </xdr:to>
    <xdr:graphicFrame macro="">
      <xdr:nvGraphicFramePr>
        <xdr:cNvPr id="22573" name="Chart 3">
          <a:extLst>
            <a:ext uri="{FF2B5EF4-FFF2-40B4-BE49-F238E27FC236}">
              <a16:creationId xmlns:a16="http://schemas.microsoft.com/office/drawing/2014/main" id="{00000000-0008-0000-2D00-00002D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85725</xdr:colOff>
      <xdr:row>60</xdr:row>
      <xdr:rowOff>104775</xdr:rowOff>
    </xdr:from>
    <xdr:to>
      <xdr:col>19</xdr:col>
      <xdr:colOff>485775</xdr:colOff>
      <xdr:row>71</xdr:row>
      <xdr:rowOff>66675</xdr:rowOff>
    </xdr:to>
    <xdr:graphicFrame macro="">
      <xdr:nvGraphicFramePr>
        <xdr:cNvPr id="22574" name="Chart 4">
          <a:extLst>
            <a:ext uri="{FF2B5EF4-FFF2-40B4-BE49-F238E27FC236}">
              <a16:creationId xmlns:a16="http://schemas.microsoft.com/office/drawing/2014/main" id="{00000000-0008-0000-2D00-00002E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104775</xdr:colOff>
      <xdr:row>72</xdr:row>
      <xdr:rowOff>104775</xdr:rowOff>
    </xdr:from>
    <xdr:to>
      <xdr:col>19</xdr:col>
      <xdr:colOff>504825</xdr:colOff>
      <xdr:row>84</xdr:row>
      <xdr:rowOff>28575</xdr:rowOff>
    </xdr:to>
    <xdr:graphicFrame macro="">
      <xdr:nvGraphicFramePr>
        <xdr:cNvPr id="22575" name="Chart 5">
          <a:extLst>
            <a:ext uri="{FF2B5EF4-FFF2-40B4-BE49-F238E27FC236}">
              <a16:creationId xmlns:a16="http://schemas.microsoft.com/office/drawing/2014/main" id="{00000000-0008-0000-2D00-00002F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85</xdr:row>
      <xdr:rowOff>76200</xdr:rowOff>
    </xdr:from>
    <xdr:to>
      <xdr:col>20</xdr:col>
      <xdr:colOff>9525</xdr:colOff>
      <xdr:row>95</xdr:row>
      <xdr:rowOff>104775</xdr:rowOff>
    </xdr:to>
    <xdr:graphicFrame macro="">
      <xdr:nvGraphicFramePr>
        <xdr:cNvPr id="22576" name="Chart 6">
          <a:extLst>
            <a:ext uri="{FF2B5EF4-FFF2-40B4-BE49-F238E27FC236}">
              <a16:creationId xmlns:a16="http://schemas.microsoft.com/office/drawing/2014/main" id="{00000000-0008-0000-2D00-000030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66675</xdr:colOff>
      <xdr:row>97</xdr:row>
      <xdr:rowOff>28575</xdr:rowOff>
    </xdr:from>
    <xdr:to>
      <xdr:col>19</xdr:col>
      <xdr:colOff>447675</xdr:colOff>
      <xdr:row>107</xdr:row>
      <xdr:rowOff>133350</xdr:rowOff>
    </xdr:to>
    <xdr:graphicFrame macro="">
      <xdr:nvGraphicFramePr>
        <xdr:cNvPr id="22577" name="Chart 7">
          <a:extLst>
            <a:ext uri="{FF2B5EF4-FFF2-40B4-BE49-F238E27FC236}">
              <a16:creationId xmlns:a16="http://schemas.microsoft.com/office/drawing/2014/main" id="{00000000-0008-0000-2D00-00003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104775</xdr:colOff>
      <xdr:row>108</xdr:row>
      <xdr:rowOff>123825</xdr:rowOff>
    </xdr:from>
    <xdr:to>
      <xdr:col>19</xdr:col>
      <xdr:colOff>514350</xdr:colOff>
      <xdr:row>120</xdr:row>
      <xdr:rowOff>47625</xdr:rowOff>
    </xdr:to>
    <xdr:graphicFrame macro="">
      <xdr:nvGraphicFramePr>
        <xdr:cNvPr id="22578" name="Chart 8">
          <a:extLst>
            <a:ext uri="{FF2B5EF4-FFF2-40B4-BE49-F238E27FC236}">
              <a16:creationId xmlns:a16="http://schemas.microsoft.com/office/drawing/2014/main" id="{00000000-0008-0000-2D00-00003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142875</xdr:colOff>
      <xdr:row>121</xdr:row>
      <xdr:rowOff>28575</xdr:rowOff>
    </xdr:from>
    <xdr:to>
      <xdr:col>20</xdr:col>
      <xdr:colOff>9525</xdr:colOff>
      <xdr:row>132</xdr:row>
      <xdr:rowOff>9525</xdr:rowOff>
    </xdr:to>
    <xdr:graphicFrame macro="">
      <xdr:nvGraphicFramePr>
        <xdr:cNvPr id="22579" name="Chart 9">
          <a:extLst>
            <a:ext uri="{FF2B5EF4-FFF2-40B4-BE49-F238E27FC236}">
              <a16:creationId xmlns:a16="http://schemas.microsoft.com/office/drawing/2014/main" id="{00000000-0008-0000-2D00-000033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142875</xdr:colOff>
      <xdr:row>133</xdr:row>
      <xdr:rowOff>104775</xdr:rowOff>
    </xdr:from>
    <xdr:to>
      <xdr:col>20</xdr:col>
      <xdr:colOff>238125</xdr:colOff>
      <xdr:row>145</xdr:row>
      <xdr:rowOff>9525</xdr:rowOff>
    </xdr:to>
    <xdr:graphicFrame macro="">
      <xdr:nvGraphicFramePr>
        <xdr:cNvPr id="22580" name="Chart 10">
          <a:extLst>
            <a:ext uri="{FF2B5EF4-FFF2-40B4-BE49-F238E27FC236}">
              <a16:creationId xmlns:a16="http://schemas.microsoft.com/office/drawing/2014/main" id="{00000000-0008-0000-2D00-000034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25</xdr:row>
      <xdr:rowOff>0</xdr:rowOff>
    </xdr:from>
    <xdr:to>
      <xdr:col>19</xdr:col>
      <xdr:colOff>304800</xdr:colOff>
      <xdr:row>36</xdr:row>
      <xdr:rowOff>0</xdr:rowOff>
    </xdr:to>
    <xdr:graphicFrame macro="">
      <xdr:nvGraphicFramePr>
        <xdr:cNvPr id="23593" name="Chart 1">
          <a:extLst>
            <a:ext uri="{FF2B5EF4-FFF2-40B4-BE49-F238E27FC236}">
              <a16:creationId xmlns:a16="http://schemas.microsoft.com/office/drawing/2014/main" id="{00000000-0008-0000-2E00-000029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37</xdr:row>
      <xdr:rowOff>9525</xdr:rowOff>
    </xdr:from>
    <xdr:to>
      <xdr:col>19</xdr:col>
      <xdr:colOff>371475</xdr:colOff>
      <xdr:row>48</xdr:row>
      <xdr:rowOff>0</xdr:rowOff>
    </xdr:to>
    <xdr:graphicFrame macro="">
      <xdr:nvGraphicFramePr>
        <xdr:cNvPr id="23594" name="Chart 2">
          <a:extLst>
            <a:ext uri="{FF2B5EF4-FFF2-40B4-BE49-F238E27FC236}">
              <a16:creationId xmlns:a16="http://schemas.microsoft.com/office/drawing/2014/main" id="{00000000-0008-0000-2E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</xdr:colOff>
      <xdr:row>49</xdr:row>
      <xdr:rowOff>0</xdr:rowOff>
    </xdr:from>
    <xdr:to>
      <xdr:col>19</xdr:col>
      <xdr:colOff>466725</xdr:colOff>
      <xdr:row>60</xdr:row>
      <xdr:rowOff>0</xdr:rowOff>
    </xdr:to>
    <xdr:graphicFrame macro="">
      <xdr:nvGraphicFramePr>
        <xdr:cNvPr id="23595" name="Chart 3">
          <a:extLst>
            <a:ext uri="{FF2B5EF4-FFF2-40B4-BE49-F238E27FC236}">
              <a16:creationId xmlns:a16="http://schemas.microsoft.com/office/drawing/2014/main" id="{00000000-0008-0000-2E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85725</xdr:colOff>
      <xdr:row>60</xdr:row>
      <xdr:rowOff>104775</xdr:rowOff>
    </xdr:from>
    <xdr:to>
      <xdr:col>19</xdr:col>
      <xdr:colOff>485775</xdr:colOff>
      <xdr:row>71</xdr:row>
      <xdr:rowOff>66675</xdr:rowOff>
    </xdr:to>
    <xdr:graphicFrame macro="">
      <xdr:nvGraphicFramePr>
        <xdr:cNvPr id="23596" name="Chart 4">
          <a:extLst>
            <a:ext uri="{FF2B5EF4-FFF2-40B4-BE49-F238E27FC236}">
              <a16:creationId xmlns:a16="http://schemas.microsoft.com/office/drawing/2014/main" id="{00000000-0008-0000-2E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104775</xdr:colOff>
      <xdr:row>72</xdr:row>
      <xdr:rowOff>104775</xdr:rowOff>
    </xdr:from>
    <xdr:to>
      <xdr:col>19</xdr:col>
      <xdr:colOff>504825</xdr:colOff>
      <xdr:row>84</xdr:row>
      <xdr:rowOff>28575</xdr:rowOff>
    </xdr:to>
    <xdr:graphicFrame macro="">
      <xdr:nvGraphicFramePr>
        <xdr:cNvPr id="23597" name="Chart 5">
          <a:extLst>
            <a:ext uri="{FF2B5EF4-FFF2-40B4-BE49-F238E27FC236}">
              <a16:creationId xmlns:a16="http://schemas.microsoft.com/office/drawing/2014/main" id="{00000000-0008-0000-2E00-00002D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85</xdr:row>
      <xdr:rowOff>76200</xdr:rowOff>
    </xdr:from>
    <xdr:to>
      <xdr:col>20</xdr:col>
      <xdr:colOff>9525</xdr:colOff>
      <xdr:row>95</xdr:row>
      <xdr:rowOff>104775</xdr:rowOff>
    </xdr:to>
    <xdr:graphicFrame macro="">
      <xdr:nvGraphicFramePr>
        <xdr:cNvPr id="23598" name="Chart 6">
          <a:extLst>
            <a:ext uri="{FF2B5EF4-FFF2-40B4-BE49-F238E27FC236}">
              <a16:creationId xmlns:a16="http://schemas.microsoft.com/office/drawing/2014/main" id="{00000000-0008-0000-2E00-00002E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66675</xdr:colOff>
      <xdr:row>97</xdr:row>
      <xdr:rowOff>28575</xdr:rowOff>
    </xdr:from>
    <xdr:to>
      <xdr:col>19</xdr:col>
      <xdr:colOff>447675</xdr:colOff>
      <xdr:row>107</xdr:row>
      <xdr:rowOff>133350</xdr:rowOff>
    </xdr:to>
    <xdr:graphicFrame macro="">
      <xdr:nvGraphicFramePr>
        <xdr:cNvPr id="23599" name="Chart 7">
          <a:extLst>
            <a:ext uri="{FF2B5EF4-FFF2-40B4-BE49-F238E27FC236}">
              <a16:creationId xmlns:a16="http://schemas.microsoft.com/office/drawing/2014/main" id="{00000000-0008-0000-2E00-00002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104775</xdr:colOff>
      <xdr:row>108</xdr:row>
      <xdr:rowOff>123825</xdr:rowOff>
    </xdr:from>
    <xdr:to>
      <xdr:col>19</xdr:col>
      <xdr:colOff>514350</xdr:colOff>
      <xdr:row>120</xdr:row>
      <xdr:rowOff>47625</xdr:rowOff>
    </xdr:to>
    <xdr:graphicFrame macro="">
      <xdr:nvGraphicFramePr>
        <xdr:cNvPr id="23600" name="Chart 8">
          <a:extLst>
            <a:ext uri="{FF2B5EF4-FFF2-40B4-BE49-F238E27FC236}">
              <a16:creationId xmlns:a16="http://schemas.microsoft.com/office/drawing/2014/main" id="{00000000-0008-0000-2E00-000030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142875</xdr:colOff>
      <xdr:row>121</xdr:row>
      <xdr:rowOff>28575</xdr:rowOff>
    </xdr:from>
    <xdr:to>
      <xdr:col>20</xdr:col>
      <xdr:colOff>9525</xdr:colOff>
      <xdr:row>132</xdr:row>
      <xdr:rowOff>9525</xdr:rowOff>
    </xdr:to>
    <xdr:graphicFrame macro="">
      <xdr:nvGraphicFramePr>
        <xdr:cNvPr id="23601" name="Chart 9">
          <a:extLst>
            <a:ext uri="{FF2B5EF4-FFF2-40B4-BE49-F238E27FC236}">
              <a16:creationId xmlns:a16="http://schemas.microsoft.com/office/drawing/2014/main" id="{00000000-0008-0000-2E00-000031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142875</xdr:colOff>
      <xdr:row>133</xdr:row>
      <xdr:rowOff>104775</xdr:rowOff>
    </xdr:from>
    <xdr:to>
      <xdr:col>20</xdr:col>
      <xdr:colOff>238125</xdr:colOff>
      <xdr:row>145</xdr:row>
      <xdr:rowOff>9525</xdr:rowOff>
    </xdr:to>
    <xdr:graphicFrame macro="">
      <xdr:nvGraphicFramePr>
        <xdr:cNvPr id="23602" name="Chart 10">
          <a:extLst>
            <a:ext uri="{FF2B5EF4-FFF2-40B4-BE49-F238E27FC236}">
              <a16:creationId xmlns:a16="http://schemas.microsoft.com/office/drawing/2014/main" id="{00000000-0008-0000-2E00-000032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80808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80808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oduleFactory@bt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oduleFactory@bts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oduleFactory@bts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oduleFactory@bts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0.bin"/><Relationship Id="rId4" Type="http://schemas.openxmlformats.org/officeDocument/2006/relationships/comments" Target="../comments4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41"/>
  <sheetViews>
    <sheetView workbookViewId="0">
      <selection activeCell="C4" sqref="C4"/>
    </sheetView>
  </sheetViews>
  <sheetFormatPr defaultRowHeight="11.25"/>
  <cols>
    <col min="1" max="1" width="20.6640625" customWidth="1"/>
    <col min="2" max="2" width="1.83203125" customWidth="1"/>
    <col min="3" max="3" width="19.5" customWidth="1"/>
    <col min="4" max="4" width="12" customWidth="1"/>
    <col min="5" max="5" width="13" customWidth="1"/>
    <col min="6" max="6" width="11.6640625" customWidth="1"/>
  </cols>
  <sheetData>
    <row r="2" spans="1:7">
      <c r="A2" s="2" t="s">
        <v>3182</v>
      </c>
      <c r="B2" s="2"/>
      <c r="C2" s="443" t="s">
        <v>1398</v>
      </c>
      <c r="D2" s="443"/>
      <c r="E2" s="443"/>
      <c r="F2" s="443"/>
    </row>
    <row r="3" spans="1:7" ht="5.0999999999999996" customHeight="1">
      <c r="A3" s="2"/>
      <c r="B3" s="2"/>
      <c r="C3" s="439"/>
      <c r="D3" s="439"/>
      <c r="E3" s="439"/>
      <c r="F3" s="439"/>
    </row>
    <row r="4" spans="1:7">
      <c r="C4" s="444" t="s">
        <v>3183</v>
      </c>
      <c r="D4" s="130" t="s">
        <v>3184</v>
      </c>
      <c r="E4" s="130" t="s">
        <v>3185</v>
      </c>
      <c r="F4" s="130" t="s">
        <v>3186</v>
      </c>
      <c r="G4" s="432"/>
    </row>
    <row r="5" spans="1:7" ht="5.0999999999999996" customHeight="1" thickBot="1"/>
    <row r="6" spans="1:7" ht="12" thickBot="1">
      <c r="A6" t="s">
        <v>3187</v>
      </c>
      <c r="F6" s="436" t="s">
        <v>3192</v>
      </c>
    </row>
    <row r="7" spans="1:7" ht="12" thickBot="1">
      <c r="A7" t="s">
        <v>3188</v>
      </c>
      <c r="C7" s="2506" t="s">
        <v>2377</v>
      </c>
      <c r="D7" s="2507"/>
      <c r="E7" t="s">
        <v>3194</v>
      </c>
      <c r="F7" s="436" t="s">
        <v>3193</v>
      </c>
    </row>
    <row r="8" spans="1:7" ht="12" thickBot="1">
      <c r="A8" t="s">
        <v>3189</v>
      </c>
      <c r="C8" s="2508" t="s">
        <v>2377</v>
      </c>
      <c r="D8" s="2509"/>
      <c r="E8" t="s">
        <v>3194</v>
      </c>
      <c r="F8" s="436" t="s">
        <v>3193</v>
      </c>
    </row>
    <row r="9" spans="1:7" ht="12" thickBot="1">
      <c r="A9" t="s">
        <v>3190</v>
      </c>
      <c r="C9" s="2506" t="s">
        <v>2377</v>
      </c>
      <c r="D9" s="2510"/>
      <c r="E9" s="2507"/>
      <c r="F9" s="437" t="s">
        <v>3192</v>
      </c>
    </row>
    <row r="10" spans="1:7" ht="12" thickBot="1">
      <c r="A10" t="s">
        <v>3191</v>
      </c>
      <c r="C10" s="2506" t="s">
        <v>2377</v>
      </c>
      <c r="D10" s="2510"/>
      <c r="E10" s="2507"/>
      <c r="F10" s="436" t="s">
        <v>3192</v>
      </c>
    </row>
    <row r="11" spans="1:7" ht="12" thickBot="1"/>
    <row r="12" spans="1:7" ht="12" thickBot="1">
      <c r="A12" t="s">
        <v>3968</v>
      </c>
      <c r="C12" s="2506" t="s">
        <v>2377</v>
      </c>
      <c r="D12" s="2507"/>
      <c r="E12" s="446" t="s">
        <v>3194</v>
      </c>
      <c r="F12" s="436" t="s">
        <v>3193</v>
      </c>
    </row>
    <row r="13" spans="1:7" ht="12" thickBot="1"/>
    <row r="14" spans="1:7" ht="12" thickBot="1">
      <c r="A14" t="s">
        <v>172</v>
      </c>
      <c r="C14" s="437" t="s">
        <v>3192</v>
      </c>
      <c r="D14" s="436" t="s">
        <v>3193</v>
      </c>
      <c r="E14" s="446" t="s">
        <v>3194</v>
      </c>
      <c r="F14" s="436" t="s">
        <v>3193</v>
      </c>
    </row>
    <row r="15" spans="1:7" ht="12" thickBot="1"/>
    <row r="16" spans="1:7" ht="12" thickBot="1">
      <c r="A16" t="s">
        <v>3195</v>
      </c>
      <c r="C16" s="2506" t="s">
        <v>2377</v>
      </c>
      <c r="D16" s="2507"/>
      <c r="E16" t="s">
        <v>3194</v>
      </c>
      <c r="F16" s="436" t="s">
        <v>3193</v>
      </c>
    </row>
    <row r="17" spans="1:6" ht="12" thickBot="1">
      <c r="A17" t="s">
        <v>3196</v>
      </c>
      <c r="C17" s="2506" t="s">
        <v>2377</v>
      </c>
      <c r="D17" s="2507"/>
      <c r="E17" s="446" t="s">
        <v>3194</v>
      </c>
      <c r="F17" s="436" t="s">
        <v>3193</v>
      </c>
    </row>
    <row r="20" spans="1:6">
      <c r="A20" s="2" t="s">
        <v>3197</v>
      </c>
    </row>
    <row r="21" spans="1:6">
      <c r="A21" s="440" t="s">
        <v>3531</v>
      </c>
    </row>
    <row r="22" spans="1:6">
      <c r="A22" s="440" t="s">
        <v>774</v>
      </c>
    </row>
    <row r="23" spans="1:6" ht="12" thickBot="1"/>
    <row r="24" spans="1:6" ht="12" thickBot="1">
      <c r="A24" s="458" t="s">
        <v>987</v>
      </c>
    </row>
    <row r="25" spans="1:6">
      <c r="A25" s="457" t="s">
        <v>917</v>
      </c>
    </row>
    <row r="26" spans="1:6">
      <c r="A26" s="457" t="s">
        <v>2063</v>
      </c>
    </row>
    <row r="27" spans="1:6">
      <c r="A27" s="457" t="s">
        <v>1973</v>
      </c>
    </row>
    <row r="28" spans="1:6">
      <c r="A28" s="457" t="s">
        <v>2689</v>
      </c>
    </row>
    <row r="29" spans="1:6" ht="12" thickBot="1"/>
    <row r="30" spans="1:6" ht="12" thickBot="1">
      <c r="A30" s="458" t="s">
        <v>2059</v>
      </c>
    </row>
    <row r="31" spans="1:6">
      <c r="A31" s="457" t="s">
        <v>2060</v>
      </c>
    </row>
    <row r="32" spans="1:6" ht="12" thickBot="1">
      <c r="A32" s="457"/>
    </row>
    <row r="33" spans="1:16" ht="12" thickBot="1">
      <c r="A33" s="458" t="s">
        <v>3970</v>
      </c>
    </row>
    <row r="34" spans="1:16">
      <c r="A34" s="457" t="s">
        <v>3257</v>
      </c>
    </row>
    <row r="35" spans="1:16">
      <c r="A35" s="457" t="s">
        <v>3258</v>
      </c>
    </row>
    <row r="37" spans="1:16" s="358" customFormat="1" ht="18">
      <c r="A37" s="1553" t="s">
        <v>2971</v>
      </c>
      <c r="B37" s="1554"/>
      <c r="C37" s="1555">
        <v>41124</v>
      </c>
      <c r="D37" s="1554" t="s">
        <v>2973</v>
      </c>
    </row>
    <row r="39" spans="1:16" ht="15">
      <c r="A39" s="1551" t="s">
        <v>2972</v>
      </c>
      <c r="B39" s="1552"/>
      <c r="C39" s="1552"/>
      <c r="D39" s="1552"/>
      <c r="E39" s="1552"/>
      <c r="F39" s="1552"/>
      <c r="G39" s="1552"/>
      <c r="H39" s="1552"/>
      <c r="I39" s="1552"/>
      <c r="J39" s="1552"/>
      <c r="K39" s="1552"/>
      <c r="L39" s="1552"/>
      <c r="M39" s="1552"/>
      <c r="N39" s="1552"/>
      <c r="O39" s="1552"/>
      <c r="P39" s="1552"/>
    </row>
    <row r="40" spans="1:16">
      <c r="A40" s="1552"/>
      <c r="B40" s="1552"/>
      <c r="C40" s="1552"/>
      <c r="D40" s="1552"/>
      <c r="E40" s="1552"/>
      <c r="F40" s="1552"/>
      <c r="G40" s="1552"/>
      <c r="H40" s="1552"/>
      <c r="I40" s="1552"/>
      <c r="J40" s="1552"/>
      <c r="K40" s="1552"/>
      <c r="L40" s="1552"/>
      <c r="M40" s="1552"/>
      <c r="N40" s="1552"/>
      <c r="O40" s="1552"/>
      <c r="P40" s="1552"/>
    </row>
    <row r="41" spans="1:16" ht="15">
      <c r="A41" s="1556" t="s">
        <v>1175</v>
      </c>
      <c r="B41" s="1556"/>
      <c r="C41" s="1556" t="s">
        <v>191</v>
      </c>
      <c r="D41" s="1556"/>
      <c r="E41" s="1556"/>
      <c r="F41" s="1556"/>
      <c r="G41" s="1556"/>
      <c r="H41" s="1556"/>
      <c r="I41" s="1556"/>
      <c r="J41" s="1552"/>
      <c r="K41" s="1552"/>
      <c r="L41" s="1552"/>
      <c r="M41" s="1552"/>
      <c r="N41" s="1552"/>
      <c r="O41" s="1552"/>
      <c r="P41" s="1552"/>
    </row>
  </sheetData>
  <mergeCells count="7">
    <mergeCell ref="C12:D12"/>
    <mergeCell ref="C17:D17"/>
    <mergeCell ref="C16:D16"/>
    <mergeCell ref="C7:D7"/>
    <mergeCell ref="C8:D8"/>
    <mergeCell ref="C9:E9"/>
    <mergeCell ref="C10:E10"/>
  </mergeCells>
  <phoneticPr fontId="0" type="noConversion"/>
  <pageMargins left="0.75" right="0.75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6"/>
    <pageSetUpPr fitToPage="1"/>
  </sheetPr>
  <dimension ref="A2:N70"/>
  <sheetViews>
    <sheetView showGridLines="0" topLeftCell="A7" zoomScale="116" workbookViewId="0">
      <selection activeCell="H29" sqref="H29"/>
    </sheetView>
  </sheetViews>
  <sheetFormatPr defaultRowHeight="11.25"/>
  <cols>
    <col min="1" max="2" width="9.33203125" style="480" customWidth="1"/>
    <col min="3" max="3" width="9.5" style="480" bestFit="1" customWidth="1"/>
    <col min="4" max="4" width="11.6640625" style="480" customWidth="1"/>
    <col min="5" max="16384" width="9.33203125" style="480"/>
  </cols>
  <sheetData>
    <row r="2" spans="1:14" ht="12" thickBot="1">
      <c r="H2" s="480" t="s">
        <v>222</v>
      </c>
    </row>
    <row r="3" spans="1:14" ht="12" thickBot="1">
      <c r="H3" s="1282"/>
      <c r="I3" s="1283"/>
      <c r="J3" s="1283"/>
      <c r="K3" s="1283"/>
      <c r="L3" s="1283"/>
      <c r="M3" s="1283"/>
      <c r="N3" s="1284"/>
    </row>
    <row r="4" spans="1:14" ht="12" thickBot="1">
      <c r="H4" s="1285"/>
      <c r="I4" s="579"/>
      <c r="J4" s="579" t="s">
        <v>1572</v>
      </c>
      <c r="K4" s="579"/>
      <c r="L4" s="579"/>
      <c r="M4" s="706">
        <f>INDEX(obalReg1Prod1Price, xxIndexTeam)</f>
        <v>9.5</v>
      </c>
      <c r="N4" s="1286"/>
    </row>
    <row r="5" spans="1:14" ht="12" thickBot="1">
      <c r="H5" s="1285"/>
      <c r="I5" s="579"/>
      <c r="J5" s="579" t="s">
        <v>1574</v>
      </c>
      <c r="K5" s="579"/>
      <c r="L5" s="579"/>
      <c r="M5" s="706">
        <f>INDEX(obalReg1Prod3Price, xxIndexTeam)</f>
        <v>15</v>
      </c>
      <c r="N5" s="1286"/>
    </row>
    <row r="6" spans="1:14" ht="20.25" customHeight="1" thickBot="1">
      <c r="H6" s="1285"/>
      <c r="I6" s="579"/>
      <c r="J6" s="579" t="s">
        <v>1573</v>
      </c>
      <c r="K6" s="579"/>
      <c r="L6" s="579"/>
      <c r="M6" s="706">
        <f>INDEX(obalReg1Prod4Price, xxIndexTeam)</f>
        <v>12.5</v>
      </c>
      <c r="N6" s="1286"/>
    </row>
    <row r="7" spans="1:14" ht="5.0999999999999996" customHeight="1" thickBot="1">
      <c r="H7" s="1285"/>
      <c r="I7" s="579"/>
      <c r="J7" s="579"/>
      <c r="K7" s="579"/>
      <c r="L7" s="579"/>
      <c r="M7" s="579"/>
      <c r="N7" s="1286"/>
    </row>
    <row r="8" spans="1:14" ht="15" customHeight="1" thickBot="1">
      <c r="H8" s="1285"/>
      <c r="I8" s="579"/>
      <c r="J8" s="579" t="s">
        <v>1140</v>
      </c>
      <c r="K8" s="579"/>
      <c r="L8" s="579"/>
      <c r="M8" s="706">
        <f>INDEX(obalReg2Prod1Price, xxIndexTeam)</f>
        <v>7</v>
      </c>
      <c r="N8" s="1286"/>
    </row>
    <row r="9" spans="1:14" ht="5.0999999999999996" customHeight="1" thickBot="1">
      <c r="H9" s="1285"/>
      <c r="I9" s="579"/>
      <c r="J9" s="579" t="s">
        <v>1141</v>
      </c>
      <c r="K9" s="579"/>
      <c r="L9" s="579"/>
      <c r="M9" s="706">
        <f>INDEX(obalReg2Prod3Price, xxIndexTeam)</f>
        <v>10</v>
      </c>
      <c r="N9" s="1286"/>
    </row>
    <row r="10" spans="1:14" ht="18.75" customHeight="1" thickBot="1">
      <c r="H10" s="1285"/>
      <c r="I10" s="579"/>
      <c r="J10" s="579" t="s">
        <v>1142</v>
      </c>
      <c r="K10" s="579"/>
      <c r="L10" s="579"/>
      <c r="M10" s="706">
        <f>INDEX(obalReg2Prod4Price, xxIndexTeam)</f>
        <v>9</v>
      </c>
      <c r="N10" s="1286"/>
    </row>
    <row r="11" spans="1:14" ht="12" thickBot="1">
      <c r="H11" s="1287"/>
      <c r="I11" s="1288"/>
      <c r="J11" s="1288"/>
      <c r="K11" s="1288"/>
      <c r="L11" s="1288"/>
      <c r="M11" s="1288"/>
      <c r="N11" s="1289"/>
    </row>
    <row r="12" spans="1:14" ht="12" thickBot="1">
      <c r="C12" s="579" t="s">
        <v>217</v>
      </c>
    </row>
    <row r="13" spans="1:14" ht="18.75" customHeight="1">
      <c r="A13" s="1282"/>
      <c r="B13" s="1283"/>
      <c r="C13" s="1283"/>
      <c r="D13" s="1283"/>
      <c r="E13" s="1283"/>
      <c r="F13" s="1283"/>
      <c r="G13" s="1283"/>
      <c r="H13" s="1283"/>
      <c r="I13" s="1283"/>
      <c r="J13" s="1283"/>
      <c r="K13" s="1283"/>
      <c r="L13" s="1283"/>
      <c r="M13" s="1283"/>
      <c r="N13" s="1284"/>
    </row>
    <row r="14" spans="1:14" ht="12" customHeight="1">
      <c r="A14" s="1285"/>
      <c r="B14" s="579"/>
      <c r="C14" s="579"/>
      <c r="D14" s="579"/>
      <c r="E14" s="579"/>
      <c r="F14" s="579"/>
      <c r="G14" s="579"/>
      <c r="H14" s="579"/>
      <c r="I14" s="579"/>
      <c r="J14" s="579"/>
      <c r="K14" s="579"/>
      <c r="L14" s="579"/>
      <c r="M14" s="579"/>
      <c r="N14" s="1286"/>
    </row>
    <row r="15" spans="1:14" ht="12.75" customHeight="1">
      <c r="A15" s="1285"/>
      <c r="B15" s="403"/>
      <c r="C15" s="403"/>
      <c r="D15" s="886" t="s">
        <v>1057</v>
      </c>
      <c r="E15" s="887"/>
      <c r="F15" s="887"/>
      <c r="G15" s="887"/>
      <c r="H15" s="887"/>
      <c r="I15" s="579"/>
      <c r="J15" s="579"/>
      <c r="K15" s="579"/>
      <c r="L15" s="579"/>
      <c r="M15" s="579"/>
      <c r="N15" s="1286"/>
    </row>
    <row r="16" spans="1:14" ht="12.75" customHeight="1">
      <c r="A16" s="1285"/>
      <c r="B16" s="403"/>
      <c r="C16" s="403"/>
      <c r="D16" s="403"/>
      <c r="E16" s="403"/>
      <c r="F16" s="403"/>
      <c r="G16" s="403"/>
      <c r="H16" s="403"/>
      <c r="I16" s="579"/>
      <c r="J16" s="579"/>
      <c r="K16" s="579"/>
      <c r="L16" s="579"/>
      <c r="M16" s="579"/>
      <c r="N16" s="1286"/>
    </row>
    <row r="17" spans="1:14" ht="12.75" customHeight="1">
      <c r="A17" s="1285"/>
      <c r="B17" s="682" t="s">
        <v>2337</v>
      </c>
      <c r="C17" s="403"/>
      <c r="D17" s="405" t="str">
        <f>DataNameProd1</f>
        <v>CSD</v>
      </c>
      <c r="E17" s="406"/>
      <c r="F17" s="405" t="str">
        <f>DataNameProd3</f>
        <v>NCB</v>
      </c>
      <c r="G17" s="406"/>
      <c r="H17" s="405" t="str">
        <f>DataNameProd4</f>
        <v>F&amp;S</v>
      </c>
      <c r="I17" s="579"/>
      <c r="J17" s="579"/>
      <c r="K17" s="579"/>
      <c r="L17" s="579"/>
      <c r="M17" s="579"/>
      <c r="N17" s="1286"/>
    </row>
    <row r="18" spans="1:14" ht="12.75" customHeight="1" thickBot="1">
      <c r="A18" s="1285"/>
      <c r="B18" s="403"/>
      <c r="C18" s="403"/>
      <c r="D18" s="403"/>
      <c r="E18" s="403"/>
      <c r="F18" s="403"/>
      <c r="G18" s="403"/>
      <c r="H18" s="403"/>
      <c r="I18" s="579"/>
      <c r="J18" s="579"/>
      <c r="K18" s="579"/>
      <c r="L18" s="579"/>
      <c r="M18" s="579"/>
      <c r="N18" s="1286"/>
    </row>
    <row r="19" spans="1:14" ht="12.75" customHeight="1" thickBot="1">
      <c r="A19" s="1285"/>
      <c r="B19" s="704" t="s">
        <v>2395</v>
      </c>
      <c r="C19" s="403"/>
      <c r="D19" s="408">
        <v>0</v>
      </c>
      <c r="E19" s="409"/>
      <c r="F19" s="408">
        <v>0</v>
      </c>
      <c r="G19" s="409"/>
      <c r="H19" s="408">
        <v>0</v>
      </c>
      <c r="I19" s="579"/>
      <c r="J19" s="579"/>
      <c r="K19" s="579"/>
      <c r="L19" s="579"/>
      <c r="M19" s="579"/>
      <c r="N19" s="1286"/>
    </row>
    <row r="20" spans="1:14" ht="12.75" customHeight="1">
      <c r="A20" s="1285"/>
      <c r="B20" s="718"/>
      <c r="C20" s="720"/>
      <c r="D20" s="721"/>
      <c r="E20" s="722"/>
      <c r="F20" s="721"/>
      <c r="G20" s="723"/>
      <c r="H20" s="721"/>
      <c r="I20" s="579"/>
      <c r="J20" s="579"/>
      <c r="K20" s="579"/>
      <c r="L20" s="579"/>
      <c r="M20" s="579"/>
      <c r="N20" s="1286"/>
    </row>
    <row r="21" spans="1:14" ht="12.75" customHeight="1">
      <c r="A21" s="1285"/>
      <c r="B21" s="718"/>
      <c r="C21" s="720"/>
      <c r="D21" s="721">
        <v>0</v>
      </c>
      <c r="E21" s="722"/>
      <c r="F21" s="721">
        <v>0</v>
      </c>
      <c r="G21" s="723"/>
      <c r="H21" s="721">
        <v>0</v>
      </c>
      <c r="I21" s="579"/>
      <c r="J21" s="579"/>
      <c r="K21" s="579"/>
      <c r="L21" s="579"/>
      <c r="M21" s="579"/>
      <c r="N21" s="1286"/>
    </row>
    <row r="22" spans="1:14" ht="12.75" customHeight="1" thickBot="1">
      <c r="A22" s="1285"/>
      <c r="B22" s="703"/>
      <c r="C22" s="403"/>
      <c r="D22" s="409"/>
      <c r="E22" s="409"/>
      <c r="F22" s="409"/>
      <c r="G22" s="409"/>
      <c r="H22" s="409"/>
      <c r="I22" s="579"/>
      <c r="J22" s="579"/>
      <c r="K22" s="579"/>
      <c r="L22" s="579"/>
      <c r="M22" s="579"/>
      <c r="N22" s="1286"/>
    </row>
    <row r="23" spans="1:14" ht="12.75" customHeight="1" thickBot="1">
      <c r="A23" s="1285"/>
      <c r="B23" s="704" t="s">
        <v>2396</v>
      </c>
      <c r="C23" s="403"/>
      <c r="D23" s="408">
        <v>0</v>
      </c>
      <c r="E23" s="409"/>
      <c r="F23" s="408">
        <v>0</v>
      </c>
      <c r="G23" s="409"/>
      <c r="H23" s="408">
        <v>0</v>
      </c>
      <c r="I23" s="579"/>
      <c r="J23" s="579"/>
      <c r="K23" s="579"/>
      <c r="L23" s="579"/>
      <c r="M23" s="579"/>
      <c r="N23" s="1286"/>
    </row>
    <row r="24" spans="1:14" ht="12.75" customHeight="1">
      <c r="A24" s="1285"/>
      <c r="B24" s="718"/>
      <c r="C24" s="720"/>
      <c r="D24" s="721"/>
      <c r="E24" s="724"/>
      <c r="F24" s="721"/>
      <c r="G24" s="724"/>
      <c r="H24" s="721"/>
      <c r="I24" s="579"/>
      <c r="J24" s="579"/>
      <c r="K24" s="579"/>
      <c r="L24" s="579"/>
      <c r="M24" s="579"/>
      <c r="N24" s="1286"/>
    </row>
    <row r="25" spans="1:14" ht="12.75" customHeight="1">
      <c r="A25" s="1285"/>
      <c r="B25" s="718"/>
      <c r="C25" s="720"/>
      <c r="D25" s="721">
        <v>0</v>
      </c>
      <c r="E25" s="724"/>
      <c r="F25" s="721">
        <v>0</v>
      </c>
      <c r="G25" s="724"/>
      <c r="H25" s="721">
        <v>0</v>
      </c>
      <c r="I25" s="579"/>
      <c r="J25" s="579"/>
      <c r="K25" s="579"/>
      <c r="L25" s="579"/>
      <c r="M25" s="579"/>
      <c r="N25" s="1286"/>
    </row>
    <row r="26" spans="1:14" ht="12.75" customHeight="1" thickBot="1">
      <c r="A26" s="1285"/>
      <c r="B26" s="488"/>
      <c r="C26" s="403"/>
      <c r="D26" s="409"/>
      <c r="E26" s="409"/>
      <c r="F26" s="409"/>
      <c r="G26" s="409"/>
      <c r="H26" s="409"/>
      <c r="I26" s="579"/>
      <c r="J26" s="579"/>
      <c r="K26" s="579"/>
      <c r="L26" s="579"/>
      <c r="M26" s="579"/>
      <c r="N26" s="1286"/>
    </row>
    <row r="27" spans="1:14" ht="12.75" customHeight="1" thickBot="1">
      <c r="A27" s="1285"/>
      <c r="B27" s="704"/>
      <c r="C27" s="403"/>
      <c r="D27" s="409"/>
      <c r="E27" s="409"/>
      <c r="F27" s="409"/>
      <c r="G27" s="409"/>
      <c r="H27" s="408">
        <v>0</v>
      </c>
      <c r="I27" s="579"/>
      <c r="J27" s="579"/>
      <c r="K27" s="579"/>
      <c r="L27" s="579"/>
      <c r="M27" s="579"/>
      <c r="N27" s="1286"/>
    </row>
    <row r="28" spans="1:14" ht="12.75" customHeight="1">
      <c r="A28" s="1285"/>
      <c r="B28" s="704"/>
      <c r="C28" s="403"/>
      <c r="D28" s="409"/>
      <c r="E28" s="409"/>
      <c r="F28" s="718"/>
      <c r="G28" s="719"/>
      <c r="H28" s="721"/>
      <c r="I28" s="579"/>
      <c r="J28" s="579"/>
      <c r="K28" s="579"/>
      <c r="L28" s="579"/>
      <c r="M28" s="579"/>
      <c r="N28" s="1286"/>
    </row>
    <row r="29" spans="1:14" ht="5.0999999999999996" customHeight="1">
      <c r="A29" s="1285"/>
      <c r="B29" s="704"/>
      <c r="C29" s="403"/>
      <c r="D29" s="409"/>
      <c r="E29" s="409"/>
      <c r="F29" s="718"/>
      <c r="G29" s="719"/>
      <c r="H29" s="721">
        <v>1</v>
      </c>
      <c r="I29" s="579"/>
      <c r="J29" s="579"/>
      <c r="K29" s="579"/>
      <c r="L29" s="579"/>
      <c r="M29" s="579"/>
      <c r="N29" s="1286"/>
    </row>
    <row r="30" spans="1:14">
      <c r="A30" s="1285"/>
      <c r="B30" s="579"/>
      <c r="C30" s="579"/>
      <c r="D30" s="579"/>
      <c r="E30" s="579"/>
      <c r="F30" s="579"/>
      <c r="G30" s="579"/>
      <c r="H30" s="579"/>
      <c r="I30" s="579"/>
      <c r="J30" s="579"/>
      <c r="K30" s="579"/>
      <c r="L30" s="579"/>
      <c r="M30" s="579"/>
      <c r="N30" s="1286"/>
    </row>
    <row r="31" spans="1:14" ht="12" thickBot="1">
      <c r="A31" s="1285"/>
      <c r="B31" s="579"/>
      <c r="D31" s="579"/>
      <c r="E31" s="579"/>
      <c r="F31" s="579"/>
      <c r="G31" s="579"/>
      <c r="H31" s="579"/>
      <c r="I31" s="579"/>
      <c r="J31" s="579"/>
      <c r="K31" s="579"/>
      <c r="L31" s="579"/>
      <c r="M31" s="579"/>
      <c r="N31" s="1286"/>
    </row>
    <row r="32" spans="1:14" ht="11.25" customHeight="1">
      <c r="A32" s="1282"/>
      <c r="B32" s="1283"/>
      <c r="C32" s="1283"/>
      <c r="D32" s="1283" t="s">
        <v>218</v>
      </c>
      <c r="E32" s="1283"/>
      <c r="F32" s="1283"/>
      <c r="G32" s="1283"/>
      <c r="H32" s="1283"/>
      <c r="I32" s="1283"/>
      <c r="J32" s="1283"/>
      <c r="K32" s="1283"/>
      <c r="L32" s="1283"/>
      <c r="M32" s="1283"/>
      <c r="N32" s="1284"/>
    </row>
    <row r="33" spans="1:14" ht="5.0999999999999996" customHeight="1">
      <c r="A33" s="1285"/>
      <c r="B33" s="579"/>
      <c r="C33" s="579"/>
      <c r="D33" s="579"/>
      <c r="E33" s="579"/>
      <c r="F33" s="579"/>
      <c r="G33" s="579"/>
      <c r="H33" s="579"/>
      <c r="I33" s="579"/>
      <c r="J33" s="579"/>
      <c r="K33" s="579"/>
      <c r="L33" s="579"/>
      <c r="M33" s="579"/>
      <c r="N33" s="1286"/>
    </row>
    <row r="34" spans="1:14" ht="11.25" customHeight="1" thickBot="1">
      <c r="A34" s="1285"/>
      <c r="B34" s="579"/>
      <c r="C34" s="579"/>
      <c r="D34" s="579" t="s">
        <v>219</v>
      </c>
      <c r="E34" s="579"/>
      <c r="F34" s="579" t="s">
        <v>220</v>
      </c>
      <c r="G34" s="579"/>
      <c r="H34" s="579"/>
      <c r="I34" s="579"/>
      <c r="J34" s="579"/>
      <c r="K34" s="579"/>
      <c r="L34" s="579" t="s">
        <v>221</v>
      </c>
      <c r="M34" s="579"/>
      <c r="N34" s="1286"/>
    </row>
    <row r="35" spans="1:14" ht="11.25" customHeight="1" thickBot="1">
      <c r="A35" s="1285"/>
      <c r="B35" s="579"/>
      <c r="C35" s="579"/>
      <c r="D35" s="410">
        <v>0.5</v>
      </c>
      <c r="E35" s="494"/>
      <c r="F35" s="410">
        <v>0.5</v>
      </c>
      <c r="G35" s="579"/>
      <c r="H35" s="579"/>
      <c r="I35" s="579"/>
      <c r="J35" s="579"/>
      <c r="K35" s="579"/>
      <c r="L35" s="492" t="s">
        <v>3967</v>
      </c>
      <c r="M35" s="579"/>
      <c r="N35" s="1286"/>
    </row>
    <row r="36" spans="1:14">
      <c r="A36" s="1285"/>
      <c r="B36" s="579"/>
      <c r="C36" s="579"/>
      <c r="D36" s="579"/>
      <c r="E36" s="579"/>
      <c r="F36" s="579"/>
      <c r="G36" s="579"/>
      <c r="H36" s="579"/>
      <c r="I36" s="579"/>
      <c r="J36" s="579"/>
      <c r="K36" s="579"/>
      <c r="L36" s="579"/>
      <c r="M36" s="579"/>
      <c r="N36" s="1286"/>
    </row>
    <row r="37" spans="1:14" ht="5.0999999999999996" customHeight="1">
      <c r="A37" s="1285"/>
      <c r="B37" s="579"/>
      <c r="C37" s="579"/>
      <c r="D37" s="579"/>
      <c r="E37" s="579"/>
      <c r="F37" s="579"/>
      <c r="G37" s="579"/>
      <c r="H37" s="579"/>
      <c r="I37" s="579"/>
      <c r="J37" s="579"/>
      <c r="K37" s="579"/>
      <c r="L37" s="579"/>
      <c r="M37" s="579"/>
      <c r="N37" s="1286"/>
    </row>
    <row r="38" spans="1:14">
      <c r="A38" s="1285"/>
      <c r="B38" s="579"/>
      <c r="C38" s="579"/>
      <c r="D38" s="579"/>
      <c r="E38" s="579"/>
      <c r="F38" s="579"/>
      <c r="G38" s="579"/>
      <c r="H38" s="579"/>
      <c r="I38" s="579"/>
      <c r="J38" s="579"/>
      <c r="K38" s="579"/>
      <c r="L38" s="579"/>
      <c r="M38" s="579"/>
      <c r="N38" s="1286"/>
    </row>
    <row r="39" spans="1:14" ht="5.0999999999999996" customHeight="1">
      <c r="A39" s="1285"/>
      <c r="B39" s="579"/>
      <c r="C39" s="579"/>
      <c r="D39" s="579"/>
      <c r="E39" s="579"/>
      <c r="F39" s="579"/>
      <c r="G39" s="579"/>
      <c r="H39" s="579"/>
      <c r="I39" s="579"/>
      <c r="J39" s="579"/>
      <c r="K39" s="579"/>
      <c r="L39" s="579"/>
      <c r="M39" s="579"/>
      <c r="N39" s="1286"/>
    </row>
    <row r="40" spans="1:14" ht="12" thickBot="1">
      <c r="A40" s="1287"/>
      <c r="B40" s="1288"/>
      <c r="C40" s="1288"/>
      <c r="D40" s="1288"/>
      <c r="E40" s="1288"/>
      <c r="F40" s="1288"/>
      <c r="G40" s="1288"/>
      <c r="H40" s="1288"/>
      <c r="I40" s="1288"/>
      <c r="J40" s="1288"/>
      <c r="K40" s="1288"/>
      <c r="L40" s="1288"/>
      <c r="M40" s="1288"/>
      <c r="N40" s="1289"/>
    </row>
    <row r="43" spans="1:14" ht="5.0999999999999996" customHeight="1"/>
    <row r="45" spans="1:14" ht="12.75" customHeight="1"/>
    <row r="47" spans="1:14" ht="5.0999999999999996" customHeight="1"/>
    <row r="51" ht="5.0999999999999996" customHeight="1"/>
    <row r="53" ht="5.0999999999999996" customHeight="1"/>
    <row r="57" ht="5.0999999999999996" customHeight="1"/>
    <row r="61" ht="5.0999999999999996" customHeight="1"/>
    <row r="65" ht="5.0999999999999996" customHeight="1"/>
    <row r="67" ht="5.0999999999999996" customHeight="1"/>
    <row r="70" ht="20.25" customHeight="1"/>
  </sheetData>
  <dataConsolidate/>
  <phoneticPr fontId="0" type="noConversion"/>
  <dataValidations count="8">
    <dataValidation type="whole" allowBlank="1" showInputMessage="1" showErrorMessage="1" errorTitle="Input Error" error="Partner brand can only be one level higher from prior year.  " sqref="D24">
      <formula1>0</formula1>
      <formula2>N39</formula2>
    </dataValidation>
    <dataValidation type="whole" allowBlank="1" showInputMessage="1" showErrorMessage="1" errorTitle="Inpurt Error" error="Speciality brand can only be one level higher from prior year.  " sqref="H28">
      <formula1>0</formula1>
      <formula2>N42</formula2>
    </dataValidation>
    <dataValidation type="whole" allowBlank="1" showInputMessage="1" showErrorMessage="1" errorTitle="Input Error" error="Partner brand can only be one level higher from prior year.  " sqref="F24 H24">
      <formula1>0</formula1>
      <formula2>P40</formula2>
    </dataValidation>
    <dataValidation type="whole" operator="lessThanOrEqual" allowBlank="1" showInputMessage="1" showErrorMessage="1" errorTitle="Input Error" error="Family brand can be only three levels higher than prior year.  " sqref="D19 H19 F19">
      <formula1>3</formula1>
    </dataValidation>
    <dataValidation type="whole" operator="lessThanOrEqual" allowBlank="1" showInputMessage="1" showErrorMessage="1" errorTitle="Inpurt Error" error="Speciality brand can only be one level higher from prior year.  " sqref="H27">
      <formula1>1</formula1>
    </dataValidation>
    <dataValidation type="whole" operator="lessThanOrEqual" allowBlank="1" showInputMessage="1" showErrorMessage="1" errorTitle="Input Error" error="Partner brand can only be one level higher from prior year.  " sqref="D23 H23 F23">
      <formula1>1</formula1>
    </dataValidation>
    <dataValidation operator="lessThanOrEqual" allowBlank="1" showInputMessage="1" showErrorMessage="1" errorTitle="Input Error" error="Family brand can be only three levels higher than prior year.  " sqref="D20:D21 H29 H20:H21 F25 H25 D25 F20:F21"/>
    <dataValidation type="list" allowBlank="1" showInputMessage="1" showErrorMessage="1" sqref="L35">
      <formula1>listPositioningStatements</formula1>
    </dataValidation>
  </dataValidations>
  <printOptions horizontalCentered="1"/>
  <pageMargins left="0.25" right="0.25" top="1" bottom="1" header="0.5" footer="0.5"/>
  <pageSetup paperSize="9" orientation="portrait" blackAndWhite="1" r:id="rId1"/>
  <headerFooter alignWithMargins="0">
    <oddFooter>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O18"/>
  <sheetViews>
    <sheetView workbookViewId="0">
      <selection activeCell="E14" sqref="E14"/>
    </sheetView>
  </sheetViews>
  <sheetFormatPr defaultColWidth="18.83203125" defaultRowHeight="15"/>
  <cols>
    <col min="1" max="1" width="1.6640625" style="1651" customWidth="1"/>
    <col min="2" max="2" width="1.1640625" style="1651" customWidth="1"/>
    <col min="3" max="3" width="36.6640625" style="1651" customWidth="1"/>
    <col min="4" max="4" width="1" style="1651" customWidth="1"/>
    <col min="5" max="5" width="29" style="1651" customWidth="1"/>
    <col min="6" max="6" width="1" style="1651" customWidth="1"/>
    <col min="7" max="7" width="36.33203125" style="1651" customWidth="1"/>
    <col min="8" max="15" width="29" style="1651" customWidth="1"/>
    <col min="16" max="16384" width="18.83203125" style="1651"/>
  </cols>
  <sheetData>
    <row r="1" spans="1:15" s="1670" customFormat="1" ht="14.25">
      <c r="A1" s="1671" t="s">
        <v>4580</v>
      </c>
      <c r="D1" s="1671"/>
      <c r="F1" s="1671"/>
    </row>
    <row r="2" spans="1:15" s="1668" customFormat="1" ht="14.25">
      <c r="C2" s="1669"/>
      <c r="E2" s="1669"/>
      <c r="G2" s="1669"/>
      <c r="H2" s="1669"/>
      <c r="J2" s="1669"/>
      <c r="K2" s="1669"/>
      <c r="L2" s="1669"/>
      <c r="M2" s="1669"/>
      <c r="N2" s="1669"/>
      <c r="O2" s="1669"/>
    </row>
    <row r="3" spans="1:15" s="1668" customFormat="1" ht="14.25">
      <c r="C3" s="1668" t="s">
        <v>4186</v>
      </c>
      <c r="E3" s="1647" t="s">
        <v>4185</v>
      </c>
      <c r="G3" s="1647"/>
      <c r="H3" s="1646"/>
      <c r="J3" s="1646"/>
      <c r="K3" s="1646"/>
      <c r="L3" s="1646"/>
      <c r="M3" s="1646"/>
      <c r="N3" s="1646"/>
      <c r="O3" s="1646"/>
    </row>
    <row r="4" spans="1:15" s="1652" customFormat="1" ht="14.25"/>
    <row r="5" spans="1:15" s="1657" customFormat="1" ht="14.25">
      <c r="A5" s="1667"/>
      <c r="C5" s="1657" t="s">
        <v>4184</v>
      </c>
      <c r="D5" s="1667"/>
      <c r="F5" s="1667"/>
      <c r="H5" s="1666"/>
      <c r="I5" s="1666"/>
      <c r="J5" s="1666"/>
      <c r="K5" s="1666"/>
      <c r="L5" s="1666"/>
      <c r="M5" s="1666"/>
      <c r="N5" s="1666"/>
      <c r="O5" s="1666"/>
    </row>
    <row r="6" spans="1:15" s="1652" customFormat="1" ht="14.25"/>
    <row r="7" spans="1:15" s="1652" customFormat="1" ht="14.25">
      <c r="C7" s="1665" t="s">
        <v>4183</v>
      </c>
      <c r="E7" s="1665"/>
      <c r="G7" s="1665"/>
      <c r="H7" s="1664" t="s">
        <v>4182</v>
      </c>
    </row>
    <row r="8" spans="1:15" s="1652" customFormat="1" ht="14.25">
      <c r="C8" s="1663"/>
      <c r="E8" s="1653" t="s">
        <v>4181</v>
      </c>
      <c r="H8" s="1662"/>
      <c r="I8" s="1653" t="s">
        <v>4180</v>
      </c>
    </row>
    <row r="9" spans="1:15" s="1652" customFormat="1" ht="14.25">
      <c r="C9" s="1661"/>
      <c r="E9" s="1653" t="s">
        <v>4179</v>
      </c>
    </row>
    <row r="10" spans="1:15" s="1652" customFormat="1" ht="14.25">
      <c r="C10" s="1660"/>
      <c r="E10" s="1653" t="s">
        <v>4178</v>
      </c>
    </row>
    <row r="11" spans="1:15" s="1652" customFormat="1" ht="14.25"/>
    <row r="12" spans="1:15" s="1657" customFormat="1" ht="20.100000000000001" customHeight="1">
      <c r="C12" s="1659" t="s">
        <v>4579</v>
      </c>
      <c r="E12" s="1659"/>
      <c r="G12" s="1658"/>
      <c r="H12" s="1659"/>
      <c r="I12" s="1658"/>
      <c r="J12" s="1658"/>
      <c r="K12" s="1659"/>
      <c r="L12" s="1658"/>
      <c r="M12" s="1658"/>
      <c r="N12" s="1659"/>
      <c r="O12" s="1658"/>
    </row>
    <row r="13" spans="1:15" s="1652" customFormat="1" ht="14.25"/>
    <row r="14" spans="1:15" s="1652" customFormat="1" ht="14.25">
      <c r="C14" s="1652" t="s">
        <v>4578</v>
      </c>
      <c r="E14" s="1656" t="s">
        <v>4581</v>
      </c>
      <c r="F14" s="1652" t="s">
        <v>4577</v>
      </c>
    </row>
    <row r="15" spans="1:15" s="1652" customFormat="1" ht="9.75" customHeight="1"/>
    <row r="16" spans="1:15" s="1652" customFormat="1" ht="14.25">
      <c r="C16" s="1652" t="s">
        <v>4576</v>
      </c>
      <c r="E16" s="1656" t="s">
        <v>4575</v>
      </c>
      <c r="F16" s="1653" t="s">
        <v>4574</v>
      </c>
      <c r="H16" s="1655" t="s">
        <v>4573</v>
      </c>
    </row>
    <row r="17" spans="3:7" s="1652" customFormat="1" ht="9.75" customHeight="1"/>
    <row r="18" spans="3:7" s="1652" customFormat="1">
      <c r="C18" s="1652" t="s">
        <v>4572</v>
      </c>
      <c r="E18" s="1654"/>
      <c r="F18" s="1653" t="s">
        <v>4571</v>
      </c>
      <c r="G18" s="1653"/>
    </row>
  </sheetData>
  <hyperlinks>
    <hyperlink ref="E3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FF00"/>
  </sheetPr>
  <dimension ref="A1:P20"/>
  <sheetViews>
    <sheetView workbookViewId="0">
      <selection activeCell="D30" sqref="D30"/>
    </sheetView>
  </sheetViews>
  <sheetFormatPr defaultRowHeight="14.25"/>
  <cols>
    <col min="1" max="1" width="1.6640625" style="1630" customWidth="1"/>
    <col min="2" max="2" width="1.1640625" style="1630" customWidth="1"/>
    <col min="3" max="3" width="46.1640625" style="1630" customWidth="1"/>
    <col min="4" max="4" width="29" style="1630" customWidth="1"/>
    <col min="5" max="5" width="0.1640625" style="1630" customWidth="1"/>
    <col min="6" max="6" width="8.1640625" style="1630" customWidth="1"/>
    <col min="7" max="7" width="14.6640625" style="1630" customWidth="1"/>
    <col min="8" max="8" width="25" style="1630" customWidth="1"/>
    <col min="9" max="9" width="4.33203125" style="1630" customWidth="1"/>
    <col min="10" max="10" width="14.6640625" style="1630" customWidth="1"/>
    <col min="11" max="11" width="25" style="1630" customWidth="1"/>
    <col min="12" max="12" width="4.33203125" style="1630" customWidth="1"/>
    <col min="13" max="13" width="14.6640625" style="1630" customWidth="1"/>
    <col min="14" max="14" width="25" style="1630" customWidth="1"/>
    <col min="15" max="15" width="4.33203125" style="1630" customWidth="1"/>
    <col min="16" max="16" width="14.6640625" style="1630" customWidth="1"/>
    <col min="17" max="17" width="25" style="1630" customWidth="1"/>
    <col min="18" max="35" width="14.6640625" style="1630" customWidth="1"/>
    <col min="36" max="16384" width="9.33203125" style="1630"/>
  </cols>
  <sheetData>
    <row r="1" spans="1:16" s="1649" customFormat="1">
      <c r="A1" s="1650"/>
    </row>
    <row r="2" spans="1:16" s="1645" customFormat="1">
      <c r="C2" s="1648"/>
      <c r="D2" s="1648"/>
      <c r="E2" s="1648"/>
      <c r="F2" s="1648"/>
      <c r="G2" s="1648"/>
      <c r="I2" s="1648"/>
      <c r="J2" s="1648"/>
      <c r="K2" s="1648"/>
      <c r="L2" s="1648"/>
      <c r="M2" s="1648"/>
      <c r="N2" s="1648"/>
      <c r="O2" s="1648"/>
    </row>
    <row r="3" spans="1:16" s="1645" customFormat="1">
      <c r="C3" s="1645" t="s">
        <v>4186</v>
      </c>
      <c r="D3" s="1647" t="s">
        <v>4185</v>
      </c>
      <c r="F3" s="1647"/>
      <c r="G3" s="1646"/>
      <c r="I3" s="1646"/>
      <c r="J3" s="1646"/>
      <c r="K3" s="1646"/>
      <c r="L3" s="1646"/>
      <c r="M3" s="1646"/>
      <c r="N3" s="1646"/>
      <c r="O3" s="1646"/>
    </row>
    <row r="4" spans="1:16" s="1637" customFormat="1"/>
    <row r="5" spans="1:16" s="1634" customFormat="1">
      <c r="A5" s="1636"/>
      <c r="C5" s="1634" t="s">
        <v>4184</v>
      </c>
      <c r="G5" s="1635"/>
      <c r="H5" s="1635"/>
      <c r="I5" s="1635"/>
      <c r="J5" s="1635"/>
      <c r="K5" s="1635"/>
      <c r="L5" s="1635"/>
      <c r="M5" s="1635"/>
      <c r="N5" s="1635"/>
      <c r="O5" s="1635"/>
      <c r="P5" s="1635"/>
    </row>
    <row r="6" spans="1:16" s="1637" customFormat="1"/>
    <row r="7" spans="1:16" s="1637" customFormat="1">
      <c r="C7" s="1644" t="s">
        <v>4183</v>
      </c>
      <c r="D7" s="1644"/>
      <c r="E7" s="1644"/>
      <c r="F7" s="1644"/>
      <c r="K7" s="1643" t="s">
        <v>4182</v>
      </c>
    </row>
    <row r="8" spans="1:16" s="1637" customFormat="1">
      <c r="C8" s="1642"/>
      <c r="D8" s="1638" t="s">
        <v>4181</v>
      </c>
      <c r="K8" s="1641"/>
      <c r="L8" s="1638" t="s">
        <v>4180</v>
      </c>
    </row>
    <row r="9" spans="1:16" s="1637" customFormat="1">
      <c r="C9" s="1640"/>
      <c r="D9" s="1638" t="s">
        <v>4179</v>
      </c>
    </row>
    <row r="10" spans="1:16" s="1637" customFormat="1">
      <c r="C10" s="1639"/>
      <c r="D10" s="1638" t="s">
        <v>4178</v>
      </c>
    </row>
    <row r="11" spans="1:16" s="1637" customFormat="1"/>
    <row r="12" spans="1:16" s="1634" customFormat="1">
      <c r="A12" s="1636"/>
      <c r="C12" s="1634" t="s">
        <v>4177</v>
      </c>
      <c r="G12" s="1635"/>
      <c r="H12" s="1635"/>
      <c r="I12" s="1635"/>
      <c r="J12" s="1635"/>
      <c r="K12" s="1635"/>
      <c r="L12" s="1635"/>
      <c r="M12" s="1635"/>
      <c r="N12" s="1635"/>
      <c r="O12" s="1635"/>
      <c r="P12" s="1635"/>
    </row>
    <row r="14" spans="1:16">
      <c r="C14" s="1630" t="s">
        <v>4176</v>
      </c>
      <c r="D14" s="1631" t="b">
        <v>1</v>
      </c>
      <c r="E14" s="1630" t="s">
        <v>4175</v>
      </c>
    </row>
    <row r="16" spans="1:16">
      <c r="C16" s="1630" t="s">
        <v>4174</v>
      </c>
      <c r="D16" s="1633" t="s">
        <v>4173</v>
      </c>
      <c r="E16" s="1630" t="s">
        <v>4172</v>
      </c>
    </row>
    <row r="17" spans="3:5">
      <c r="D17" s="1632"/>
    </row>
    <row r="18" spans="3:5">
      <c r="C18" s="1630" t="s">
        <v>4171</v>
      </c>
      <c r="D18" s="1633" t="s">
        <v>4170</v>
      </c>
      <c r="E18" s="1630" t="s">
        <v>4169</v>
      </c>
    </row>
    <row r="19" spans="3:5">
      <c r="D19" s="1632"/>
    </row>
    <row r="20" spans="3:5">
      <c r="C20" s="1630" t="s">
        <v>4168</v>
      </c>
      <c r="D20" s="1631" t="b">
        <v>1</v>
      </c>
      <c r="E20" s="1630" t="s">
        <v>4167</v>
      </c>
    </row>
  </sheetData>
  <dataValidations count="1">
    <dataValidation type="list" allowBlank="1" showInputMessage="1" showErrorMessage="1" sqref="D14 D20">
      <formula1>"TRUE, FALSE"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5" name="Button 1">
              <controlPr defaultSize="0" print="0" autoFill="0" autoPict="0" macro="[0]!ImportExportCSV_tlObalNamer">
                <anchor moveWithCells="1" sizeWithCells="1">
                  <from>
                    <xdr:col>3</xdr:col>
                    <xdr:colOff>0</xdr:colOff>
                    <xdr:row>21</xdr:row>
                    <xdr:rowOff>19050</xdr:rowOff>
                  </from>
                  <to>
                    <xdr:col>3</xdr:col>
                    <xdr:colOff>1638300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B2500"/>
  <sheetViews>
    <sheetView topLeftCell="A184" workbookViewId="0">
      <selection activeCell="J317" sqref="J317"/>
    </sheetView>
  </sheetViews>
  <sheetFormatPr defaultRowHeight="14.25"/>
  <cols>
    <col min="1" max="1" width="62.33203125" style="1630" customWidth="1"/>
    <col min="2" max="2" width="20.1640625" style="1630" bestFit="1" customWidth="1"/>
    <col min="3" max="16384" width="9.33203125" style="1630"/>
  </cols>
  <sheetData>
    <row r="1" spans="1:2">
      <c r="A1" t="s">
        <v>4189</v>
      </c>
      <c r="B1">
        <v>6249522325.9667511</v>
      </c>
    </row>
    <row r="2" spans="1:2">
      <c r="A2" t="s">
        <v>4190</v>
      </c>
      <c r="B2">
        <v>3347884571.5</v>
      </c>
    </row>
    <row r="3" spans="1:2">
      <c r="A3" t="s">
        <v>4191</v>
      </c>
      <c r="B3">
        <v>1257585755.4833331</v>
      </c>
    </row>
    <row r="4" spans="1:2">
      <c r="A4" t="s">
        <v>4192</v>
      </c>
      <c r="B4">
        <v>4605470326.9833336</v>
      </c>
    </row>
    <row r="5" spans="1:2">
      <c r="A5" t="s">
        <v>4193</v>
      </c>
      <c r="B5">
        <v>0</v>
      </c>
    </row>
    <row r="6" spans="1:2">
      <c r="A6" t="s">
        <v>4194</v>
      </c>
      <c r="B6">
        <v>0</v>
      </c>
    </row>
    <row r="7" spans="1:2">
      <c r="A7" t="s">
        <v>4195</v>
      </c>
      <c r="B7">
        <v>0</v>
      </c>
    </row>
    <row r="8" spans="1:2">
      <c r="A8" t="s">
        <v>4196</v>
      </c>
      <c r="B8">
        <v>0</v>
      </c>
    </row>
    <row r="9" spans="1:2">
      <c r="A9" t="s">
        <v>4197</v>
      </c>
      <c r="B9">
        <v>0</v>
      </c>
    </row>
    <row r="10" spans="1:2">
      <c r="A10" t="s">
        <v>4198</v>
      </c>
      <c r="B10">
        <v>0</v>
      </c>
    </row>
    <row r="11" spans="1:2">
      <c r="A11" t="s">
        <v>4199</v>
      </c>
      <c r="B11">
        <v>189035103.00665507</v>
      </c>
    </row>
    <row r="12" spans="1:2">
      <c r="A12" t="s">
        <v>4200</v>
      </c>
      <c r="B12">
        <v>160288578.71253061</v>
      </c>
    </row>
    <row r="13" spans="1:2">
      <c r="A13" t="s">
        <v>4201</v>
      </c>
      <c r="B13">
        <v>225532624.02209911</v>
      </c>
    </row>
    <row r="14" spans="1:2">
      <c r="A14" t="s">
        <v>4202</v>
      </c>
      <c r="B14"/>
    </row>
    <row r="15" spans="1:2">
      <c r="A15" t="s">
        <v>4203</v>
      </c>
      <c r="B15"/>
    </row>
    <row r="16" spans="1:2">
      <c r="A16" t="s">
        <v>4204</v>
      </c>
      <c r="B16">
        <v>574856305.74128485</v>
      </c>
    </row>
    <row r="17" spans="1:2">
      <c r="A17" t="s">
        <v>4205</v>
      </c>
      <c r="B17">
        <v>411465.66067387414</v>
      </c>
    </row>
    <row r="18" spans="1:2">
      <c r="A18" t="s">
        <v>4206</v>
      </c>
      <c r="B18">
        <v>913060.86444427201</v>
      </c>
    </row>
    <row r="19" spans="1:2">
      <c r="A19" t="s">
        <v>4207</v>
      </c>
      <c r="B19">
        <v>2141114.47029076</v>
      </c>
    </row>
    <row r="20" spans="1:2">
      <c r="A20" t="s">
        <v>4208</v>
      </c>
      <c r="B20"/>
    </row>
    <row r="21" spans="1:2">
      <c r="A21" t="s">
        <v>4209</v>
      </c>
      <c r="B21"/>
    </row>
    <row r="22" spans="1:2">
      <c r="A22" t="s">
        <v>4210</v>
      </c>
      <c r="B22">
        <v>3465640.9954089061</v>
      </c>
    </row>
    <row r="23" spans="1:2">
      <c r="A23" t="s">
        <v>4211</v>
      </c>
      <c r="B23">
        <v>0</v>
      </c>
    </row>
    <row r="24" spans="1:2">
      <c r="A24" t="s">
        <v>4212</v>
      </c>
      <c r="B24">
        <v>0</v>
      </c>
    </row>
    <row r="25" spans="1:2">
      <c r="A25" t="s">
        <v>4213</v>
      </c>
      <c r="B25">
        <v>30286608.886395555</v>
      </c>
    </row>
    <row r="26" spans="1:2">
      <c r="A26" t="s">
        <v>4214</v>
      </c>
      <c r="B26"/>
    </row>
    <row r="27" spans="1:2">
      <c r="A27" t="s">
        <v>4215</v>
      </c>
      <c r="B27"/>
    </row>
    <row r="28" spans="1:2">
      <c r="A28" t="s">
        <v>4216</v>
      </c>
      <c r="B28">
        <v>30286608.886395555</v>
      </c>
    </row>
    <row r="29" spans="1:2">
      <c r="A29" t="s">
        <v>4217</v>
      </c>
      <c r="B29">
        <v>91911495.286892027</v>
      </c>
    </row>
    <row r="30" spans="1:2">
      <c r="A30" t="s">
        <v>4218</v>
      </c>
      <c r="B30">
        <v>113733403.86858898</v>
      </c>
    </row>
    <row r="31" spans="1:2">
      <c r="A31" t="s">
        <v>4219</v>
      </c>
      <c r="B31">
        <v>88153909.039468706</v>
      </c>
    </row>
    <row r="32" spans="1:2">
      <c r="A32" t="s">
        <v>4220</v>
      </c>
      <c r="B32"/>
    </row>
    <row r="33" spans="1:2">
      <c r="A33" t="s">
        <v>4221</v>
      </c>
      <c r="B33"/>
    </row>
    <row r="34" spans="1:2">
      <c r="A34" t="s">
        <v>4222</v>
      </c>
      <c r="B34">
        <v>293798808.19494975</v>
      </c>
    </row>
    <row r="35" spans="1:2">
      <c r="A35" t="s">
        <v>4223</v>
      </c>
      <c r="B35">
        <v>200059.86095301562</v>
      </c>
    </row>
    <row r="36" spans="1:2">
      <c r="A36" t="s">
        <v>4224</v>
      </c>
      <c r="B36">
        <v>647875.84072172805</v>
      </c>
    </row>
    <row r="37" spans="1:2">
      <c r="A37" t="s">
        <v>4225</v>
      </c>
      <c r="B37">
        <v>836862.38363527204</v>
      </c>
    </row>
    <row r="38" spans="1:2">
      <c r="A38" t="s">
        <v>4226</v>
      </c>
      <c r="B38"/>
    </row>
    <row r="39" spans="1:2">
      <c r="A39" t="s">
        <v>4227</v>
      </c>
      <c r="B39"/>
    </row>
    <row r="40" spans="1:2">
      <c r="A40" t="s">
        <v>4228</v>
      </c>
      <c r="B40">
        <v>1684798.0853100158</v>
      </c>
    </row>
    <row r="41" spans="1:2">
      <c r="A41" t="s">
        <v>4229</v>
      </c>
      <c r="B41">
        <v>0</v>
      </c>
    </row>
    <row r="42" spans="1:2">
      <c r="A42" t="s">
        <v>4230</v>
      </c>
      <c r="B42">
        <v>0</v>
      </c>
    </row>
    <row r="43" spans="1:2">
      <c r="A43" t="s">
        <v>4231</v>
      </c>
      <c r="B43">
        <v>26228993.893161967</v>
      </c>
    </row>
    <row r="44" spans="1:2">
      <c r="A44" t="s">
        <v>4232</v>
      </c>
      <c r="B44"/>
    </row>
    <row r="45" spans="1:2">
      <c r="A45" t="s">
        <v>4233</v>
      </c>
      <c r="B45"/>
    </row>
    <row r="46" spans="1:2">
      <c r="A46" t="s">
        <v>4234</v>
      </c>
      <c r="B46">
        <v>26228993.893161967</v>
      </c>
    </row>
    <row r="47" spans="1:2">
      <c r="A47" t="s">
        <v>4235</v>
      </c>
      <c r="B47">
        <v>2800000000</v>
      </c>
    </row>
    <row r="48" spans="1:2">
      <c r="A48" t="s">
        <v>4236</v>
      </c>
      <c r="B48">
        <v>6447171041.9200001</v>
      </c>
    </row>
    <row r="49" spans="1:2">
      <c r="A49" t="s">
        <v>4237</v>
      </c>
      <c r="B49">
        <v>6447171041.9200001</v>
      </c>
    </row>
    <row r="50" spans="1:2">
      <c r="A50" t="s">
        <v>4238</v>
      </c>
      <c r="B50">
        <v>21032484850.666595</v>
      </c>
    </row>
    <row r="51" spans="1:2">
      <c r="A51" t="s">
        <v>4239</v>
      </c>
      <c r="B51">
        <v>2429003900.6516795</v>
      </c>
    </row>
    <row r="52" spans="1:2">
      <c r="A52" t="s">
        <v>4240</v>
      </c>
      <c r="B52">
        <v>3630000000.000001</v>
      </c>
    </row>
    <row r="53" spans="1:2">
      <c r="A53" t="s">
        <v>4241</v>
      </c>
      <c r="B53">
        <v>0</v>
      </c>
    </row>
    <row r="54" spans="1:2">
      <c r="A54" t="s">
        <v>4242</v>
      </c>
      <c r="B54">
        <v>3110000000</v>
      </c>
    </row>
    <row r="55" spans="1:2">
      <c r="A55" t="s">
        <v>4243</v>
      </c>
      <c r="B55">
        <v>5223400000</v>
      </c>
    </row>
    <row r="56" spans="1:2">
      <c r="A56" t="s">
        <v>4244</v>
      </c>
      <c r="B56">
        <v>3024739768.4837008</v>
      </c>
    </row>
    <row r="57" spans="1:2">
      <c r="A57" t="s">
        <v>4245</v>
      </c>
      <c r="B57">
        <v>3615341181.5312152</v>
      </c>
    </row>
    <row r="58" spans="1:2">
      <c r="A58" t="s">
        <v>4246</v>
      </c>
      <c r="B58">
        <v>11863480950.014915</v>
      </c>
    </row>
    <row r="59" spans="1:2">
      <c r="A59" t="s">
        <v>4247</v>
      </c>
      <c r="B59">
        <v>175960</v>
      </c>
    </row>
    <row r="60" spans="1:2">
      <c r="A60" t="s">
        <v>4248</v>
      </c>
      <c r="B60">
        <v>0</v>
      </c>
    </row>
    <row r="61" spans="1:2">
      <c r="A61" t="s">
        <v>4249</v>
      </c>
      <c r="B61">
        <v>760443148</v>
      </c>
    </row>
    <row r="62" spans="1:2">
      <c r="A62" t="s">
        <v>4250</v>
      </c>
      <c r="B62">
        <v>227982</v>
      </c>
    </row>
    <row r="63" spans="1:2">
      <c r="A63" t="s">
        <v>4251</v>
      </c>
      <c r="B63">
        <v>0</v>
      </c>
    </row>
    <row r="64" spans="1:2">
      <c r="A64" t="s">
        <v>4252</v>
      </c>
      <c r="B64">
        <v>384380640</v>
      </c>
    </row>
    <row r="65" spans="1:2">
      <c r="A65" t="s">
        <v>4253</v>
      </c>
      <c r="B65">
        <v>645940</v>
      </c>
    </row>
    <row r="66" spans="1:2">
      <c r="A66" t="s">
        <v>4254</v>
      </c>
      <c r="B66">
        <v>5713802.2000000002</v>
      </c>
    </row>
    <row r="67" spans="1:2">
      <c r="A67" t="s">
        <v>4255</v>
      </c>
      <c r="B67">
        <v>545632989</v>
      </c>
    </row>
    <row r="68" spans="1:2">
      <c r="A68" t="s">
        <v>4256</v>
      </c>
      <c r="B68">
        <v>85554</v>
      </c>
    </row>
    <row r="69" spans="1:2">
      <c r="A69" t="s">
        <v>4257</v>
      </c>
      <c r="B69">
        <v>0</v>
      </c>
    </row>
    <row r="70" spans="1:2">
      <c r="A70" t="s">
        <v>4258</v>
      </c>
      <c r="B70">
        <v>369736141</v>
      </c>
    </row>
    <row r="71" spans="1:2">
      <c r="A71" t="s">
        <v>4259</v>
      </c>
      <c r="B71">
        <v>161768</v>
      </c>
    </row>
    <row r="72" spans="1:2">
      <c r="A72" t="s">
        <v>4260</v>
      </c>
      <c r="B72">
        <v>0</v>
      </c>
    </row>
    <row r="73" spans="1:2">
      <c r="A73" t="s">
        <v>4261</v>
      </c>
      <c r="B73">
        <v>272734000</v>
      </c>
    </row>
    <row r="74" spans="1:2">
      <c r="A74" t="s">
        <v>4262</v>
      </c>
      <c r="B74">
        <v>252468</v>
      </c>
    </row>
    <row r="75" spans="1:2">
      <c r="A75" t="s">
        <v>4263</v>
      </c>
      <c r="B75">
        <v>6437436.8000000007</v>
      </c>
    </row>
    <row r="76" spans="1:2">
      <c r="A76" t="s">
        <v>4264</v>
      </c>
      <c r="B76">
        <v>213062816</v>
      </c>
    </row>
    <row r="77" spans="1:2">
      <c r="A77" t="s">
        <v>4265</v>
      </c>
      <c r="B77">
        <v>0</v>
      </c>
    </row>
    <row r="78" spans="1:2">
      <c r="A78" t="s">
        <v>4266</v>
      </c>
      <c r="B78">
        <v>0</v>
      </c>
    </row>
    <row r="79" spans="1:2">
      <c r="A79" t="s">
        <v>4267</v>
      </c>
      <c r="B79">
        <v>0</v>
      </c>
    </row>
    <row r="80" spans="1:2">
      <c r="A80" t="s">
        <v>4268</v>
      </c>
      <c r="B80">
        <v>0</v>
      </c>
    </row>
    <row r="81" spans="1:2">
      <c r="A81" t="s">
        <v>4269</v>
      </c>
      <c r="B81">
        <v>0</v>
      </c>
    </row>
    <row r="82" spans="1:2">
      <c r="A82" t="s">
        <v>4270</v>
      </c>
      <c r="B82">
        <v>0</v>
      </c>
    </row>
    <row r="83" spans="1:2">
      <c r="A83" t="s">
        <v>4271</v>
      </c>
      <c r="B83">
        <v>4000</v>
      </c>
    </row>
    <row r="84" spans="1:2">
      <c r="A84" t="s">
        <v>4272</v>
      </c>
      <c r="B84">
        <v>2021</v>
      </c>
    </row>
    <row r="85" spans="1:2">
      <c r="A85" t="s">
        <v>4273</v>
      </c>
      <c r="B85">
        <v>69909</v>
      </c>
    </row>
    <row r="86" spans="1:2">
      <c r="A86" t="s">
        <v>4274</v>
      </c>
      <c r="B86">
        <v>1.0513422533516561</v>
      </c>
    </row>
    <row r="87" spans="1:2">
      <c r="A87" t="s">
        <v>4275</v>
      </c>
      <c r="B87">
        <v>120.83327834049069</v>
      </c>
    </row>
    <row r="88" spans="1:2">
      <c r="A88" t="s">
        <v>4276</v>
      </c>
      <c r="B88">
        <v>4</v>
      </c>
    </row>
    <row r="89" spans="1:2">
      <c r="A89" t="s">
        <v>4277</v>
      </c>
      <c r="B89">
        <v>9</v>
      </c>
    </row>
    <row r="90" spans="1:2">
      <c r="A90" t="s">
        <v>4278</v>
      </c>
      <c r="B90">
        <v>931</v>
      </c>
    </row>
    <row r="91" spans="1:2">
      <c r="A91" t="s">
        <v>4279</v>
      </c>
      <c r="B91">
        <v>3</v>
      </c>
    </row>
    <row r="92" spans="1:2">
      <c r="A92" t="s">
        <v>4280</v>
      </c>
      <c r="B92">
        <v>20087307429</v>
      </c>
    </row>
    <row r="93" spans="1:2">
      <c r="A93" t="s">
        <v>4281</v>
      </c>
      <c r="B93">
        <v>7545514532.8999996</v>
      </c>
    </row>
    <row r="94" spans="1:2">
      <c r="A94" t="s">
        <v>4282</v>
      </c>
      <c r="B94">
        <v>27632821961.900002</v>
      </c>
    </row>
    <row r="95" spans="1:2">
      <c r="A95" t="s">
        <v>4283</v>
      </c>
      <c r="B95">
        <v>17027307429</v>
      </c>
    </row>
    <row r="96" spans="1:2">
      <c r="A96" t="s">
        <v>4284</v>
      </c>
      <c r="B96">
        <v>7090514532.8999996</v>
      </c>
    </row>
    <row r="97" spans="1:2">
      <c r="A97" t="s">
        <v>4285</v>
      </c>
      <c r="B97">
        <v>24117821961.900002</v>
      </c>
    </row>
    <row r="98" spans="1:2">
      <c r="A98" t="s">
        <v>4286</v>
      </c>
      <c r="B98">
        <v>1</v>
      </c>
    </row>
    <row r="99" spans="1:2">
      <c r="A99" t="s">
        <v>4287</v>
      </c>
      <c r="B99">
        <v>5223400000</v>
      </c>
    </row>
    <row r="100" spans="1:2">
      <c r="A100" t="s">
        <v>4288</v>
      </c>
      <c r="B100">
        <v>0.5</v>
      </c>
    </row>
    <row r="101" spans="1:2">
      <c r="A101" t="s">
        <v>4289</v>
      </c>
      <c r="B101" t="s">
        <v>2748</v>
      </c>
    </row>
    <row r="102" spans="1:2">
      <c r="A102" t="s">
        <v>4290</v>
      </c>
      <c r="B102">
        <v>0</v>
      </c>
    </row>
    <row r="103" spans="1:2">
      <c r="A103" t="s">
        <v>4291</v>
      </c>
      <c r="B103" t="s">
        <v>2748</v>
      </c>
    </row>
    <row r="104" spans="1:2">
      <c r="A104" t="s">
        <v>4292</v>
      </c>
      <c r="B104" t="s">
        <v>2748</v>
      </c>
    </row>
    <row r="105" spans="1:2">
      <c r="A105" t="s">
        <v>4293</v>
      </c>
      <c r="B105">
        <v>8</v>
      </c>
    </row>
    <row r="106" spans="1:2">
      <c r="A106" t="s">
        <v>4294</v>
      </c>
      <c r="B106">
        <v>6</v>
      </c>
    </row>
    <row r="107" spans="1:2">
      <c r="A107" t="s">
        <v>4295</v>
      </c>
      <c r="B107">
        <v>9</v>
      </c>
    </row>
    <row r="108" spans="1:2">
      <c r="A108" t="s">
        <v>4296</v>
      </c>
      <c r="B108">
        <v>6.9</v>
      </c>
    </row>
    <row r="109" spans="1:2">
      <c r="A109" t="s">
        <v>4297</v>
      </c>
      <c r="B109">
        <v>6843988332</v>
      </c>
    </row>
    <row r="110" spans="1:2">
      <c r="A110" t="s">
        <v>4298</v>
      </c>
      <c r="B110">
        <v>2551179372.9000001</v>
      </c>
    </row>
    <row r="111" spans="1:2">
      <c r="A111" t="s">
        <v>4299</v>
      </c>
      <c r="B111">
        <v>5443988332</v>
      </c>
    </row>
    <row r="112" spans="1:2">
      <c r="A112" t="s">
        <v>4300</v>
      </c>
      <c r="B112">
        <v>2356179372.9000001</v>
      </c>
    </row>
    <row r="113" spans="1:2">
      <c r="A113" t="s">
        <v>4301</v>
      </c>
      <c r="B113">
        <v>0</v>
      </c>
    </row>
    <row r="114" spans="1:2">
      <c r="A114" t="s">
        <v>4302</v>
      </c>
      <c r="B114">
        <v>0</v>
      </c>
    </row>
    <row r="115" spans="1:2">
      <c r="A115" t="s">
        <v>4303</v>
      </c>
      <c r="B115">
        <v>0</v>
      </c>
    </row>
    <row r="116" spans="1:2">
      <c r="A116" t="s">
        <v>4304</v>
      </c>
      <c r="B116">
        <v>6</v>
      </c>
    </row>
    <row r="117" spans="1:2">
      <c r="A117" t="s">
        <v>4305</v>
      </c>
      <c r="B117">
        <v>2.3384045275850998</v>
      </c>
    </row>
    <row r="118" spans="1:2">
      <c r="A118" t="s">
        <v>4306</v>
      </c>
      <c r="B118">
        <v>1.5602900542364899</v>
      </c>
    </row>
    <row r="119" spans="1:2">
      <c r="A119" t="s">
        <v>4307</v>
      </c>
      <c r="B119">
        <v>0.37022398810789575</v>
      </c>
    </row>
    <row r="120" spans="1:2">
      <c r="A120" t="s">
        <v>4308</v>
      </c>
      <c r="B120">
        <v>9.048484010068565E-4</v>
      </c>
    </row>
    <row r="121" spans="1:2">
      <c r="A121" t="s">
        <v>4309</v>
      </c>
      <c r="B121">
        <v>0.21401757608606495</v>
      </c>
    </row>
    <row r="122" spans="1:2">
      <c r="A122" t="s">
        <v>4310</v>
      </c>
      <c r="B122">
        <v>1</v>
      </c>
    </row>
    <row r="123" spans="1:2">
      <c r="A123" t="s">
        <v>4311</v>
      </c>
      <c r="B123">
        <v>1</v>
      </c>
    </row>
    <row r="124" spans="1:2">
      <c r="A124" t="s">
        <v>4312</v>
      </c>
      <c r="B124">
        <v>0</v>
      </c>
    </row>
    <row r="125" spans="1:2">
      <c r="A125" t="s">
        <v>4313</v>
      </c>
      <c r="B125">
        <v>0</v>
      </c>
    </row>
    <row r="126" spans="1:2">
      <c r="A126" t="s">
        <v>4314</v>
      </c>
      <c r="B126">
        <v>0</v>
      </c>
    </row>
    <row r="127" spans="1:2">
      <c r="A127" t="s">
        <v>4315</v>
      </c>
      <c r="B127">
        <v>0</v>
      </c>
    </row>
    <row r="128" spans="1:2">
      <c r="A128" t="s">
        <v>4316</v>
      </c>
      <c r="B128">
        <v>0</v>
      </c>
    </row>
    <row r="129" spans="1:2">
      <c r="A129" t="s">
        <v>4317</v>
      </c>
      <c r="B129">
        <v>0</v>
      </c>
    </row>
    <row r="130" spans="1:2">
      <c r="A130" t="s">
        <v>4318</v>
      </c>
      <c r="B130">
        <v>0</v>
      </c>
    </row>
    <row r="131" spans="1:2">
      <c r="A131" t="s">
        <v>4319</v>
      </c>
      <c r="B131">
        <v>0</v>
      </c>
    </row>
    <row r="132" spans="1:2">
      <c r="A132" t="s">
        <v>4320</v>
      </c>
      <c r="B132">
        <v>0</v>
      </c>
    </row>
    <row r="133" spans="1:2">
      <c r="A133" t="s">
        <v>4321</v>
      </c>
      <c r="B133">
        <v>0</v>
      </c>
    </row>
    <row r="134" spans="1:2">
      <c r="A134" t="s">
        <v>4322</v>
      </c>
      <c r="B134">
        <v>0</v>
      </c>
    </row>
    <row r="135" spans="1:2">
      <c r="A135" t="s">
        <v>4323</v>
      </c>
      <c r="B135">
        <v>2</v>
      </c>
    </row>
    <row r="136" spans="1:2">
      <c r="A136" t="s">
        <v>4324</v>
      </c>
      <c r="B136">
        <v>0</v>
      </c>
    </row>
    <row r="137" spans="1:2">
      <c r="A137" t="s">
        <v>4325</v>
      </c>
      <c r="B137">
        <v>0</v>
      </c>
    </row>
    <row r="138" spans="1:2">
      <c r="A138" t="s">
        <v>4326</v>
      </c>
      <c r="B138">
        <v>0</v>
      </c>
    </row>
    <row r="139" spans="1:2">
      <c r="A139" t="s">
        <v>4327</v>
      </c>
      <c r="B139">
        <v>0</v>
      </c>
    </row>
    <row r="140" spans="1:2">
      <c r="A140" t="s">
        <v>4328</v>
      </c>
      <c r="B140">
        <v>0</v>
      </c>
    </row>
    <row r="141" spans="1:2">
      <c r="A141" t="s">
        <v>4329</v>
      </c>
      <c r="B141">
        <v>0</v>
      </c>
    </row>
    <row r="142" spans="1:2">
      <c r="A142" t="s">
        <v>4330</v>
      </c>
      <c r="B142">
        <v>0</v>
      </c>
    </row>
    <row r="143" spans="1:2">
      <c r="A143" t="s">
        <v>4331</v>
      </c>
      <c r="B143">
        <v>16</v>
      </c>
    </row>
    <row r="144" spans="1:2">
      <c r="A144" t="s">
        <v>4332</v>
      </c>
      <c r="B144">
        <v>10.5</v>
      </c>
    </row>
    <row r="145" spans="1:2">
      <c r="A145" t="s">
        <v>4333</v>
      </c>
      <c r="B145">
        <v>6150090240</v>
      </c>
    </row>
    <row r="146" spans="1:2">
      <c r="A146" t="s">
        <v>4334</v>
      </c>
      <c r="B146">
        <v>2863707000</v>
      </c>
    </row>
    <row r="147" spans="1:2">
      <c r="A147" t="s">
        <v>4335</v>
      </c>
      <c r="B147">
        <v>5295090240</v>
      </c>
    </row>
    <row r="148" spans="1:2">
      <c r="A148" t="s">
        <v>4336</v>
      </c>
      <c r="B148">
        <v>2698707000</v>
      </c>
    </row>
    <row r="149" spans="1:2">
      <c r="A149" t="s">
        <v>4337</v>
      </c>
      <c r="B149">
        <v>0</v>
      </c>
    </row>
    <row r="150" spans="1:2">
      <c r="A150" t="s">
        <v>4338</v>
      </c>
      <c r="B150">
        <v>0</v>
      </c>
    </row>
    <row r="151" spans="1:2">
      <c r="A151" t="s">
        <v>4339</v>
      </c>
      <c r="B151">
        <v>0</v>
      </c>
    </row>
    <row r="152" spans="1:2">
      <c r="A152" t="s">
        <v>4340</v>
      </c>
      <c r="B152">
        <v>4</v>
      </c>
    </row>
    <row r="153" spans="1:2">
      <c r="A153" t="s">
        <v>4341</v>
      </c>
      <c r="B153">
        <v>4.004969096</v>
      </c>
    </row>
    <row r="154" spans="1:2">
      <c r="A154" t="s">
        <v>4342</v>
      </c>
      <c r="B154">
        <v>1.7465396323133417</v>
      </c>
    </row>
    <row r="155" spans="1:2">
      <c r="A155" t="s">
        <v>4343</v>
      </c>
      <c r="B155">
        <v>0.41441709271162075</v>
      </c>
    </row>
    <row r="156" spans="1:2">
      <c r="A156" t="s">
        <v>4344</v>
      </c>
      <c r="B156">
        <v>1.8434031111915457E-3</v>
      </c>
    </row>
    <row r="157" spans="1:2">
      <c r="A157" t="s">
        <v>4345</v>
      </c>
      <c r="B157">
        <v>0.43601464577409899</v>
      </c>
    </row>
    <row r="158" spans="1:2">
      <c r="A158" t="s">
        <v>4346</v>
      </c>
      <c r="B158">
        <v>13</v>
      </c>
    </row>
    <row r="159" spans="1:2">
      <c r="A159" t="s">
        <v>4347</v>
      </c>
      <c r="B159">
        <v>10</v>
      </c>
    </row>
    <row r="160" spans="1:2">
      <c r="A160" t="s">
        <v>4348</v>
      </c>
      <c r="B160">
        <v>7093228857</v>
      </c>
    </row>
    <row r="161" spans="1:2">
      <c r="A161" t="s">
        <v>4349</v>
      </c>
      <c r="B161">
        <v>2130628160</v>
      </c>
    </row>
    <row r="162" spans="1:2">
      <c r="A162" t="s">
        <v>4350</v>
      </c>
      <c r="B162">
        <v>6288228857</v>
      </c>
    </row>
    <row r="163" spans="1:2">
      <c r="A163" t="s">
        <v>4351</v>
      </c>
      <c r="B163">
        <v>2035628160</v>
      </c>
    </row>
    <row r="164" spans="1:2">
      <c r="A164" t="s">
        <v>4352</v>
      </c>
      <c r="B164">
        <v>0</v>
      </c>
    </row>
    <row r="165" spans="1:2">
      <c r="A165" t="s">
        <v>4353</v>
      </c>
      <c r="B165">
        <v>0</v>
      </c>
    </row>
    <row r="166" spans="1:2">
      <c r="A166" t="s">
        <v>4354</v>
      </c>
      <c r="B166">
        <v>1</v>
      </c>
    </row>
    <row r="167" spans="1:2">
      <c r="A167" t="s">
        <v>4355</v>
      </c>
      <c r="B167">
        <v>4</v>
      </c>
    </row>
    <row r="168" spans="1:2">
      <c r="A168" t="s">
        <v>4356</v>
      </c>
      <c r="B168">
        <v>3.3147265540000004</v>
      </c>
    </row>
    <row r="169" spans="1:2">
      <c r="A169" t="s">
        <v>4357</v>
      </c>
      <c r="B169">
        <v>1.6076103433793258</v>
      </c>
    </row>
    <row r="170" spans="1:2">
      <c r="A170" t="s">
        <v>4358</v>
      </c>
      <c r="B170">
        <v>0.38145209670046915</v>
      </c>
    </row>
    <row r="171" spans="1:2">
      <c r="A171" t="s">
        <v>4359</v>
      </c>
      <c r="B171">
        <v>1.5952526923772993E-3</v>
      </c>
    </row>
    <row r="172" spans="1:2">
      <c r="A172" t="s">
        <v>4360</v>
      </c>
      <c r="B172">
        <v>0.37667291574516243</v>
      </c>
    </row>
    <row r="173" spans="1:2">
      <c r="A173" t="s">
        <v>4361</v>
      </c>
      <c r="B173"/>
    </row>
    <row r="174" spans="1:2">
      <c r="A174" t="s">
        <v>4362</v>
      </c>
      <c r="B174"/>
    </row>
    <row r="175" spans="1:2">
      <c r="A175" t="s">
        <v>4363</v>
      </c>
      <c r="B175"/>
    </row>
    <row r="176" spans="1:2">
      <c r="A176" t="s">
        <v>4364</v>
      </c>
      <c r="B176"/>
    </row>
    <row r="177" spans="1:2">
      <c r="A177" t="s">
        <v>4365</v>
      </c>
      <c r="B177"/>
    </row>
    <row r="178" spans="1:2">
      <c r="A178" t="s">
        <v>4366</v>
      </c>
      <c r="B178"/>
    </row>
    <row r="179" spans="1:2">
      <c r="A179" t="s">
        <v>4367</v>
      </c>
      <c r="B179"/>
    </row>
    <row r="180" spans="1:2">
      <c r="A180" t="s">
        <v>4368</v>
      </c>
      <c r="B180"/>
    </row>
    <row r="181" spans="1:2">
      <c r="A181" t="s">
        <v>4369</v>
      </c>
      <c r="B181" t="b">
        <v>1</v>
      </c>
    </row>
    <row r="182" spans="1:2">
      <c r="A182" t="s">
        <v>4370</v>
      </c>
      <c r="B182" t="b">
        <v>1</v>
      </c>
    </row>
    <row r="183" spans="1:2">
      <c r="A183" t="s">
        <v>4371</v>
      </c>
      <c r="B183">
        <v>1</v>
      </c>
    </row>
    <row r="184" spans="1:2">
      <c r="A184" t="s">
        <v>4372</v>
      </c>
      <c r="B184">
        <v>3</v>
      </c>
    </row>
    <row r="185" spans="1:2">
      <c r="A185" t="s">
        <v>4373</v>
      </c>
      <c r="B185">
        <v>4</v>
      </c>
    </row>
    <row r="186" spans="1:2">
      <c r="A186" t="s">
        <v>4374</v>
      </c>
      <c r="B186">
        <v>3</v>
      </c>
    </row>
    <row r="187" spans="1:2">
      <c r="A187" t="s">
        <v>4375</v>
      </c>
      <c r="B187">
        <v>4</v>
      </c>
    </row>
    <row r="188" spans="1:2">
      <c r="A188" t="s">
        <v>4376</v>
      </c>
      <c r="B188">
        <v>5</v>
      </c>
    </row>
    <row r="189" spans="1:2">
      <c r="A189" t="s">
        <v>4377</v>
      </c>
      <c r="B189">
        <v>1</v>
      </c>
    </row>
    <row r="190" spans="1:2">
      <c r="A190" t="s">
        <v>4378</v>
      </c>
      <c r="B190">
        <v>4</v>
      </c>
    </row>
    <row r="191" spans="1:2">
      <c r="A191" t="s">
        <v>4379</v>
      </c>
      <c r="B191">
        <v>3</v>
      </c>
    </row>
    <row r="192" spans="1:2">
      <c r="A192" t="s">
        <v>4380</v>
      </c>
      <c r="B192">
        <v>3</v>
      </c>
    </row>
    <row r="193" spans="1:2">
      <c r="A193" t="s">
        <v>4381</v>
      </c>
      <c r="B193">
        <v>2</v>
      </c>
    </row>
    <row r="194" spans="1:2">
      <c r="A194" t="s">
        <v>4382</v>
      </c>
      <c r="B194">
        <v>4</v>
      </c>
    </row>
    <row r="195" spans="1:2">
      <c r="A195" t="s">
        <v>4383</v>
      </c>
      <c r="B195">
        <v>1</v>
      </c>
    </row>
    <row r="196" spans="1:2">
      <c r="A196" t="s">
        <v>4384</v>
      </c>
      <c r="B196">
        <v>1</v>
      </c>
    </row>
    <row r="197" spans="1:2">
      <c r="A197" t="s">
        <v>4385</v>
      </c>
      <c r="B197">
        <v>5</v>
      </c>
    </row>
    <row r="198" spans="1:2">
      <c r="A198" t="s">
        <v>4386</v>
      </c>
      <c r="B198" t="s">
        <v>1838</v>
      </c>
    </row>
    <row r="199" spans="1:2">
      <c r="A199" t="s">
        <v>4387</v>
      </c>
      <c r="B199">
        <v>1</v>
      </c>
    </row>
    <row r="200" spans="1:2">
      <c r="A200" t="s">
        <v>4388</v>
      </c>
      <c r="B200">
        <v>9</v>
      </c>
    </row>
    <row r="201" spans="1:2">
      <c r="A201" t="s">
        <v>4389</v>
      </c>
      <c r="B201">
        <v>6.9</v>
      </c>
    </row>
    <row r="202" spans="1:2">
      <c r="A202" t="s">
        <v>4390</v>
      </c>
      <c r="B202">
        <v>1.4999999999999999E-2</v>
      </c>
    </row>
    <row r="203" spans="1:2">
      <c r="A203" t="s">
        <v>4391</v>
      </c>
      <c r="B203">
        <v>0.06</v>
      </c>
    </row>
    <row r="204" spans="1:2">
      <c r="A204" t="s">
        <v>4392</v>
      </c>
      <c r="B204">
        <v>0</v>
      </c>
    </row>
    <row r="205" spans="1:2">
      <c r="A205" t="s">
        <v>4659</v>
      </c>
      <c r="B205">
        <v>0</v>
      </c>
    </row>
    <row r="206" spans="1:2">
      <c r="A206" t="s">
        <v>4393</v>
      </c>
      <c r="B206">
        <v>0</v>
      </c>
    </row>
    <row r="207" spans="1:2">
      <c r="A207" t="s">
        <v>4661</v>
      </c>
      <c r="B207">
        <v>0</v>
      </c>
    </row>
    <row r="208" spans="1:2">
      <c r="A208" t="s">
        <v>4394</v>
      </c>
      <c r="B208" t="s">
        <v>1708</v>
      </c>
    </row>
    <row r="209" spans="1:2">
      <c r="A209" t="s">
        <v>4395</v>
      </c>
      <c r="B209" t="s">
        <v>2748</v>
      </c>
    </row>
    <row r="210" spans="1:2">
      <c r="A210" t="s">
        <v>4396</v>
      </c>
      <c r="B210">
        <v>350</v>
      </c>
    </row>
    <row r="211" spans="1:2">
      <c r="A211" t="s">
        <v>4397</v>
      </c>
      <c r="B211">
        <v>100</v>
      </c>
    </row>
    <row r="212" spans="1:2">
      <c r="A212" t="s">
        <v>4398</v>
      </c>
      <c r="B212">
        <v>1400</v>
      </c>
    </row>
    <row r="213" spans="1:2">
      <c r="A213" t="s">
        <v>4399</v>
      </c>
      <c r="B213">
        <v>195</v>
      </c>
    </row>
    <row r="214" spans="1:2">
      <c r="A214" t="s">
        <v>4400</v>
      </c>
      <c r="B214">
        <v>0.5</v>
      </c>
    </row>
    <row r="215" spans="1:2">
      <c r="A215" t="s">
        <v>4401</v>
      </c>
      <c r="B215">
        <v>0.5</v>
      </c>
    </row>
    <row r="216" spans="1:2">
      <c r="A216" t="s">
        <v>4402</v>
      </c>
      <c r="B216">
        <v>1</v>
      </c>
    </row>
    <row r="217" spans="1:2">
      <c r="A217" t="s">
        <v>4403</v>
      </c>
      <c r="B217">
        <v>1</v>
      </c>
    </row>
    <row r="218" spans="1:2">
      <c r="A218" t="s">
        <v>4404</v>
      </c>
      <c r="B218">
        <v>1000</v>
      </c>
    </row>
    <row r="219" spans="1:2">
      <c r="A219" t="s">
        <v>4405</v>
      </c>
      <c r="B219">
        <v>1000</v>
      </c>
    </row>
    <row r="220" spans="1:2">
      <c r="A220" t="s">
        <v>4406</v>
      </c>
      <c r="B220" t="s">
        <v>1706</v>
      </c>
    </row>
    <row r="221" spans="1:2">
      <c r="A221" t="s">
        <v>4407</v>
      </c>
      <c r="B221" t="s">
        <v>1706</v>
      </c>
    </row>
    <row r="222" spans="1:2">
      <c r="A222" t="s">
        <v>4408</v>
      </c>
      <c r="B222">
        <v>1</v>
      </c>
    </row>
    <row r="223" spans="1:2">
      <c r="A223" t="s">
        <v>4409</v>
      </c>
      <c r="B223">
        <v>1</v>
      </c>
    </row>
    <row r="224" spans="1:2">
      <c r="A224" t="s">
        <v>4410</v>
      </c>
      <c r="B224">
        <v>1</v>
      </c>
    </row>
    <row r="225" spans="1:2">
      <c r="A225" t="s">
        <v>4411</v>
      </c>
      <c r="B225">
        <v>1</v>
      </c>
    </row>
    <row r="226" spans="1:2">
      <c r="A226" t="s">
        <v>4662</v>
      </c>
      <c r="B226">
        <v>0</v>
      </c>
    </row>
    <row r="227" spans="1:2">
      <c r="A227" t="s">
        <v>4663</v>
      </c>
      <c r="B227">
        <v>0</v>
      </c>
    </row>
    <row r="228" spans="1:2">
      <c r="A228" t="s">
        <v>4412</v>
      </c>
      <c r="B228">
        <v>16</v>
      </c>
    </row>
    <row r="229" spans="1:2">
      <c r="A229" t="s">
        <v>4413</v>
      </c>
      <c r="B229">
        <v>10.5</v>
      </c>
    </row>
    <row r="230" spans="1:2">
      <c r="A230" t="s">
        <v>4414</v>
      </c>
      <c r="B230">
        <v>0.08</v>
      </c>
    </row>
    <row r="231" spans="1:2">
      <c r="A231" t="s">
        <v>4415</v>
      </c>
      <c r="B231">
        <v>0.15</v>
      </c>
    </row>
    <row r="232" spans="1:2">
      <c r="A232" t="s">
        <v>4416</v>
      </c>
      <c r="B232">
        <v>0</v>
      </c>
    </row>
    <row r="233" spans="1:2">
      <c r="A233" t="s">
        <v>4417</v>
      </c>
      <c r="B233">
        <v>0</v>
      </c>
    </row>
    <row r="234" spans="1:2">
      <c r="A234" t="s">
        <v>4418</v>
      </c>
      <c r="B234" t="s">
        <v>1707</v>
      </c>
    </row>
    <row r="235" spans="1:2">
      <c r="A235" t="s">
        <v>4419</v>
      </c>
      <c r="B235" t="s">
        <v>2748</v>
      </c>
    </row>
    <row r="236" spans="1:2">
      <c r="A236" t="s">
        <v>4420</v>
      </c>
      <c r="B236">
        <v>500</v>
      </c>
    </row>
    <row r="237" spans="1:2">
      <c r="A237" t="s">
        <v>4421</v>
      </c>
      <c r="B237">
        <v>80</v>
      </c>
    </row>
    <row r="238" spans="1:2">
      <c r="A238" t="s">
        <v>4422</v>
      </c>
      <c r="B238">
        <v>855</v>
      </c>
    </row>
    <row r="239" spans="1:2">
      <c r="A239" t="s">
        <v>4423</v>
      </c>
      <c r="B239">
        <v>165</v>
      </c>
    </row>
    <row r="240" spans="1:2">
      <c r="A240" t="s">
        <v>4424</v>
      </c>
      <c r="B240">
        <v>13</v>
      </c>
    </row>
    <row r="241" spans="1:2">
      <c r="A241" t="s">
        <v>4425</v>
      </c>
      <c r="B241">
        <v>10</v>
      </c>
    </row>
    <row r="242" spans="1:2">
      <c r="A242" t="s">
        <v>4426</v>
      </c>
      <c r="B242">
        <v>0.06</v>
      </c>
    </row>
    <row r="243" spans="1:2">
      <c r="A243" t="s">
        <v>4427</v>
      </c>
      <c r="B243">
        <v>0.09</v>
      </c>
    </row>
    <row r="244" spans="1:2">
      <c r="A244" t="s">
        <v>4428</v>
      </c>
      <c r="B244">
        <v>0</v>
      </c>
    </row>
    <row r="245" spans="1:2">
      <c r="A245" t="s">
        <v>4429</v>
      </c>
      <c r="B245">
        <v>0</v>
      </c>
    </row>
    <row r="246" spans="1:2">
      <c r="A246" t="s">
        <v>4430</v>
      </c>
      <c r="B246">
        <v>0</v>
      </c>
    </row>
    <row r="247" spans="1:2">
      <c r="A247" t="s">
        <v>4431</v>
      </c>
      <c r="B247" t="s">
        <v>1707</v>
      </c>
    </row>
    <row r="248" spans="1:2">
      <c r="A248" t="s">
        <v>4432</v>
      </c>
      <c r="B248" t="s">
        <v>2748</v>
      </c>
    </row>
    <row r="249" spans="1:2">
      <c r="A249" t="s">
        <v>4433</v>
      </c>
      <c r="B249">
        <v>365</v>
      </c>
    </row>
    <row r="250" spans="1:2">
      <c r="A250" t="s">
        <v>4434</v>
      </c>
      <c r="B250">
        <v>92</v>
      </c>
    </row>
    <row r="251" spans="1:2">
      <c r="A251" t="s">
        <v>4435</v>
      </c>
      <c r="B251">
        <v>805</v>
      </c>
    </row>
    <row r="252" spans="1:2">
      <c r="A252" t="s">
        <v>4436</v>
      </c>
      <c r="B252">
        <v>95</v>
      </c>
    </row>
    <row r="253" spans="1:2">
      <c r="A253" t="s">
        <v>4437</v>
      </c>
      <c r="B253">
        <v>5</v>
      </c>
    </row>
    <row r="254" spans="1:2">
      <c r="A254" t="s">
        <v>4438</v>
      </c>
      <c r="B254">
        <v>80</v>
      </c>
    </row>
    <row r="255" spans="1:2">
      <c r="A255" t="s">
        <v>4439</v>
      </c>
      <c r="B255">
        <v>80</v>
      </c>
    </row>
    <row r="256" spans="1:2">
      <c r="A256" t="s">
        <v>4440</v>
      </c>
      <c r="B256">
        <v>20</v>
      </c>
    </row>
    <row r="257" spans="1:2">
      <c r="A257" t="s">
        <v>4441</v>
      </c>
      <c r="B257">
        <v>3</v>
      </c>
    </row>
    <row r="258" spans="1:2">
      <c r="A258" t="s">
        <v>4442</v>
      </c>
      <c r="B258">
        <v>400</v>
      </c>
    </row>
    <row r="259" spans="1:2">
      <c r="A259" t="s">
        <v>4443</v>
      </c>
      <c r="B259">
        <v>250</v>
      </c>
    </row>
    <row r="260" spans="1:2">
      <c r="A260" t="s">
        <v>4444</v>
      </c>
      <c r="B260">
        <v>1000</v>
      </c>
    </row>
    <row r="261" spans="1:2">
      <c r="A261" t="s">
        <v>4445</v>
      </c>
      <c r="B261">
        <v>4</v>
      </c>
    </row>
    <row r="262" spans="1:2">
      <c r="A262" t="s">
        <v>4446</v>
      </c>
      <c r="B262">
        <v>9</v>
      </c>
    </row>
    <row r="263" spans="1:2">
      <c r="A263" t="s">
        <v>4447</v>
      </c>
      <c r="B263">
        <v>0</v>
      </c>
    </row>
    <row r="264" spans="1:2">
      <c r="A264" t="s">
        <v>4448</v>
      </c>
      <c r="B264">
        <v>0.35</v>
      </c>
    </row>
    <row r="265" spans="1:2">
      <c r="A265" t="s">
        <v>4664</v>
      </c>
      <c r="B265">
        <v>0</v>
      </c>
    </row>
    <row r="266" spans="1:2">
      <c r="A266" t="s">
        <v>4449</v>
      </c>
      <c r="B266">
        <v>1</v>
      </c>
    </row>
    <row r="267" spans="1:2">
      <c r="A267" t="s">
        <v>4450</v>
      </c>
      <c r="B267">
        <v>1</v>
      </c>
    </row>
    <row r="268" spans="1:2">
      <c r="A268" t="s">
        <v>4451</v>
      </c>
      <c r="B268">
        <v>1</v>
      </c>
    </row>
    <row r="269" spans="1:2">
      <c r="A269" t="s">
        <v>4452</v>
      </c>
      <c r="B269">
        <v>1</v>
      </c>
    </row>
    <row r="270" spans="1:2">
      <c r="A270" t="s">
        <v>4453</v>
      </c>
      <c r="B270" t="s">
        <v>4743</v>
      </c>
    </row>
    <row r="271" spans="1:2">
      <c r="A271" t="s">
        <v>4454</v>
      </c>
      <c r="B271" t="s">
        <v>4744</v>
      </c>
    </row>
    <row r="272" spans="1:2">
      <c r="A272" t="s">
        <v>4455</v>
      </c>
      <c r="B272" t="s">
        <v>3889</v>
      </c>
    </row>
    <row r="273" spans="1:2">
      <c r="A273" t="s">
        <v>4456</v>
      </c>
      <c r="B273" t="s">
        <v>3889</v>
      </c>
    </row>
    <row r="274" spans="1:2">
      <c r="A274" t="s">
        <v>4795</v>
      </c>
      <c r="B274" t="b">
        <v>0</v>
      </c>
    </row>
    <row r="275" spans="1:2">
      <c r="A275" t="s">
        <v>4796</v>
      </c>
      <c r="B275" t="b">
        <v>0</v>
      </c>
    </row>
    <row r="276" spans="1:2">
      <c r="A276" t="s">
        <v>4797</v>
      </c>
      <c r="B276" t="b">
        <v>0</v>
      </c>
    </row>
    <row r="277" spans="1:2">
      <c r="A277" t="s">
        <v>4798</v>
      </c>
      <c r="B277" t="b">
        <v>0</v>
      </c>
    </row>
    <row r="278" spans="1:2">
      <c r="A278" t="s">
        <v>4457</v>
      </c>
      <c r="B278" t="s">
        <v>4065</v>
      </c>
    </row>
    <row r="279" spans="1:2">
      <c r="A279" t="s">
        <v>4458</v>
      </c>
      <c r="B279" t="s">
        <v>4067</v>
      </c>
    </row>
    <row r="280" spans="1:2">
      <c r="A280" t="s">
        <v>4459</v>
      </c>
      <c r="B280" t="s">
        <v>4070</v>
      </c>
    </row>
    <row r="281" spans="1:2">
      <c r="A281" t="s">
        <v>4460</v>
      </c>
      <c r="B281" t="s">
        <v>3206</v>
      </c>
    </row>
    <row r="282" spans="1:2">
      <c r="A282" t="s">
        <v>4461</v>
      </c>
      <c r="B282" t="s">
        <v>4081</v>
      </c>
    </row>
    <row r="283" spans="1:2">
      <c r="A283" t="s">
        <v>4462</v>
      </c>
      <c r="B283"/>
    </row>
    <row r="284" spans="1:2">
      <c r="A284" t="s">
        <v>4463</v>
      </c>
      <c r="B284">
        <v>0</v>
      </c>
    </row>
    <row r="285" spans="1:2">
      <c r="A285" t="s">
        <v>4464</v>
      </c>
      <c r="B285">
        <v>0</v>
      </c>
    </row>
    <row r="286" spans="1:2">
      <c r="A286" t="s">
        <v>4465</v>
      </c>
      <c r="B286">
        <v>0</v>
      </c>
    </row>
    <row r="287" spans="1:2">
      <c r="A287" t="s">
        <v>4466</v>
      </c>
      <c r="B287">
        <v>0</v>
      </c>
    </row>
    <row r="288" spans="1:2">
      <c r="A288" t="s">
        <v>4467</v>
      </c>
      <c r="B288">
        <v>1</v>
      </c>
    </row>
    <row r="289" spans="1:2">
      <c r="A289" t="s">
        <v>4468</v>
      </c>
      <c r="B289">
        <v>3</v>
      </c>
    </row>
    <row r="290" spans="1:2">
      <c r="A290" t="s">
        <v>4469</v>
      </c>
      <c r="B290">
        <v>4</v>
      </c>
    </row>
    <row r="291" spans="1:2">
      <c r="A291" t="s">
        <v>4470</v>
      </c>
      <c r="B291">
        <v>3</v>
      </c>
    </row>
    <row r="292" spans="1:2">
      <c r="A292" t="s">
        <v>4471</v>
      </c>
      <c r="B292">
        <v>4</v>
      </c>
    </row>
    <row r="293" spans="1:2">
      <c r="A293" t="s">
        <v>4472</v>
      </c>
      <c r="B293">
        <v>5</v>
      </c>
    </row>
    <row r="294" spans="1:2">
      <c r="A294" t="s">
        <v>4473</v>
      </c>
      <c r="B294">
        <v>1</v>
      </c>
    </row>
    <row r="295" spans="1:2">
      <c r="A295" t="s">
        <v>4474</v>
      </c>
      <c r="B295">
        <v>2</v>
      </c>
    </row>
    <row r="296" spans="1:2">
      <c r="A296" t="s">
        <v>4475</v>
      </c>
      <c r="B296">
        <v>4</v>
      </c>
    </row>
    <row r="297" spans="1:2">
      <c r="A297" t="s">
        <v>4476</v>
      </c>
      <c r="B297">
        <v>3</v>
      </c>
    </row>
    <row r="298" spans="1:2">
      <c r="A298" t="s">
        <v>4477</v>
      </c>
      <c r="B298">
        <v>2</v>
      </c>
    </row>
    <row r="299" spans="1:2">
      <c r="A299" t="s">
        <v>4478</v>
      </c>
      <c r="B299">
        <v>3</v>
      </c>
    </row>
    <row r="300" spans="1:2">
      <c r="A300" t="s">
        <v>4479</v>
      </c>
      <c r="B300">
        <v>4</v>
      </c>
    </row>
    <row r="301" spans="1:2">
      <c r="A301" t="s">
        <v>4480</v>
      </c>
      <c r="B301">
        <v>1</v>
      </c>
    </row>
    <row r="302" spans="1:2">
      <c r="A302" t="s">
        <v>4481</v>
      </c>
      <c r="B302" t="s">
        <v>4775</v>
      </c>
    </row>
    <row r="303" spans="1:2">
      <c r="A303" t="s">
        <v>4482</v>
      </c>
      <c r="B303" t="s">
        <v>4775</v>
      </c>
    </row>
    <row r="304" spans="1:2">
      <c r="A304" t="s">
        <v>4483</v>
      </c>
      <c r="B304" t="s">
        <v>4775</v>
      </c>
    </row>
    <row r="305" spans="1:2">
      <c r="A305" t="s">
        <v>4484</v>
      </c>
      <c r="B305" t="s">
        <v>4775</v>
      </c>
    </row>
    <row r="306" spans="1:2">
      <c r="A306" t="s">
        <v>4485</v>
      </c>
      <c r="B306" t="s">
        <v>4775</v>
      </c>
    </row>
    <row r="307" spans="1:2">
      <c r="A307" t="s">
        <v>4486</v>
      </c>
      <c r="B307" t="s">
        <v>4775</v>
      </c>
    </row>
    <row r="308" spans="1:2">
      <c r="A308" t="s">
        <v>4487</v>
      </c>
      <c r="B308" t="s">
        <v>4775</v>
      </c>
    </row>
    <row r="309" spans="1:2">
      <c r="A309" t="s">
        <v>4488</v>
      </c>
      <c r="B309" t="s">
        <v>4775</v>
      </c>
    </row>
    <row r="310" spans="1:2">
      <c r="A310" t="s">
        <v>4489</v>
      </c>
      <c r="B310" t="s">
        <v>4775</v>
      </c>
    </row>
    <row r="311" spans="1:2">
      <c r="A311" t="s">
        <v>4490</v>
      </c>
      <c r="B311">
        <v>0</v>
      </c>
    </row>
    <row r="312" spans="1:2">
      <c r="A312" t="s">
        <v>4491</v>
      </c>
      <c r="B312">
        <v>0</v>
      </c>
    </row>
    <row r="313" spans="1:2">
      <c r="A313" t="s">
        <v>4492</v>
      </c>
      <c r="B313">
        <v>0</v>
      </c>
    </row>
    <row r="314" spans="1:2">
      <c r="A314" t="s">
        <v>4493</v>
      </c>
      <c r="B314">
        <v>0</v>
      </c>
    </row>
    <row r="315" spans="1:2">
      <c r="A315" t="s">
        <v>4494</v>
      </c>
      <c r="B315">
        <v>0</v>
      </c>
    </row>
    <row r="316" spans="1:2">
      <c r="A316" t="s">
        <v>4495</v>
      </c>
      <c r="B316">
        <v>0</v>
      </c>
    </row>
    <row r="317" spans="1:2">
      <c r="A317" t="s">
        <v>4496</v>
      </c>
      <c r="B317">
        <v>0</v>
      </c>
    </row>
    <row r="318" spans="1:2">
      <c r="A318" t="s">
        <v>4497</v>
      </c>
      <c r="B318">
        <v>0</v>
      </c>
    </row>
    <row r="319" spans="1:2">
      <c r="A319" t="s">
        <v>4498</v>
      </c>
      <c r="B319">
        <v>0</v>
      </c>
    </row>
    <row r="320" spans="1:2">
      <c r="A320" t="s">
        <v>4499</v>
      </c>
      <c r="B320">
        <v>0</v>
      </c>
    </row>
    <row r="321" spans="1:2">
      <c r="A321" t="s">
        <v>4500</v>
      </c>
      <c r="B321">
        <v>0</v>
      </c>
    </row>
    <row r="322" spans="1:2">
      <c r="A322" t="s">
        <v>4501</v>
      </c>
      <c r="B322">
        <v>0</v>
      </c>
    </row>
    <row r="323" spans="1:2">
      <c r="A323" t="s">
        <v>4502</v>
      </c>
      <c r="B323">
        <v>0</v>
      </c>
    </row>
    <row r="324" spans="1:2">
      <c r="A324" t="s">
        <v>4503</v>
      </c>
      <c r="B324">
        <v>0</v>
      </c>
    </row>
    <row r="325" spans="1:2">
      <c r="A325" t="s">
        <v>4504</v>
      </c>
      <c r="B325">
        <v>0</v>
      </c>
    </row>
    <row r="326" spans="1:2">
      <c r="A326" t="s">
        <v>4505</v>
      </c>
      <c r="B326">
        <v>0</v>
      </c>
    </row>
    <row r="327" spans="1:2">
      <c r="A327" t="s">
        <v>4506</v>
      </c>
      <c r="B327">
        <v>0</v>
      </c>
    </row>
    <row r="328" spans="1:2">
      <c r="A328" t="s">
        <v>4507</v>
      </c>
      <c r="B328">
        <v>0</v>
      </c>
    </row>
    <row r="329" spans="1:2">
      <c r="A329" t="s">
        <v>4508</v>
      </c>
      <c r="B329">
        <v>0</v>
      </c>
    </row>
    <row r="330" spans="1:2">
      <c r="A330" t="s">
        <v>4509</v>
      </c>
      <c r="B330">
        <v>0</v>
      </c>
    </row>
    <row r="331" spans="1:2">
      <c r="A331" t="s">
        <v>4510</v>
      </c>
      <c r="B331" t="s">
        <v>4787</v>
      </c>
    </row>
    <row r="332" spans="1:2">
      <c r="A332" t="s">
        <v>4511</v>
      </c>
      <c r="B332">
        <v>0</v>
      </c>
    </row>
    <row r="333" spans="1:2">
      <c r="A333" t="s">
        <v>4512</v>
      </c>
      <c r="B333" t="s">
        <v>2627</v>
      </c>
    </row>
    <row r="334" spans="1:2">
      <c r="A334" t="s">
        <v>4513</v>
      </c>
      <c r="B334" t="s">
        <v>2629</v>
      </c>
    </row>
    <row r="335" spans="1:2">
      <c r="A335" t="s">
        <v>4514</v>
      </c>
      <c r="B335" t="s">
        <v>2629</v>
      </c>
    </row>
    <row r="336" spans="1:2">
      <c r="A336" t="s">
        <v>4515</v>
      </c>
      <c r="B336" t="s">
        <v>2629</v>
      </c>
    </row>
    <row r="337" spans="1:2">
      <c r="A337" t="s">
        <v>4516</v>
      </c>
      <c r="B337" t="s">
        <v>2629</v>
      </c>
    </row>
    <row r="338" spans="1:2">
      <c r="A338" t="s">
        <v>4517</v>
      </c>
      <c r="B338" t="s">
        <v>2631</v>
      </c>
    </row>
    <row r="339" spans="1:2">
      <c r="A339" t="s">
        <v>4518</v>
      </c>
      <c r="B339">
        <v>2</v>
      </c>
    </row>
    <row r="340" spans="1:2">
      <c r="A340" t="s">
        <v>4519</v>
      </c>
      <c r="B340">
        <v>2</v>
      </c>
    </row>
    <row r="341" spans="1:2">
      <c r="A341" t="s">
        <v>4520</v>
      </c>
      <c r="B341">
        <v>2</v>
      </c>
    </row>
    <row r="342" spans="1:2">
      <c r="A342" t="s">
        <v>4521</v>
      </c>
      <c r="B342">
        <v>2</v>
      </c>
    </row>
    <row r="343" spans="1:2">
      <c r="A343" t="s">
        <v>4522</v>
      </c>
      <c r="B343">
        <v>2</v>
      </c>
    </row>
    <row r="344" spans="1:2">
      <c r="A344" t="s">
        <v>4523</v>
      </c>
      <c r="B344">
        <v>2</v>
      </c>
    </row>
    <row r="345" spans="1:2">
      <c r="A345" t="s">
        <v>4524</v>
      </c>
      <c r="B345">
        <v>2</v>
      </c>
    </row>
    <row r="346" spans="1:2">
      <c r="A346" t="s">
        <v>4525</v>
      </c>
      <c r="B346">
        <v>2</v>
      </c>
    </row>
    <row r="347" spans="1:2">
      <c r="A347" t="s">
        <v>4526</v>
      </c>
      <c r="B347">
        <v>2</v>
      </c>
    </row>
    <row r="348" spans="1:2">
      <c r="A348" t="s">
        <v>4527</v>
      </c>
      <c r="B348">
        <v>2</v>
      </c>
    </row>
    <row r="349" spans="1:2">
      <c r="A349" t="s">
        <v>4528</v>
      </c>
      <c r="B349">
        <v>2</v>
      </c>
    </row>
    <row r="350" spans="1:2">
      <c r="A350" t="s">
        <v>4529</v>
      </c>
      <c r="B350">
        <v>2</v>
      </c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  <row r="2232" spans="1:2">
      <c r="A2232"/>
      <c r="B2232"/>
    </row>
    <row r="2233" spans="1:2">
      <c r="A2233"/>
      <c r="B2233"/>
    </row>
    <row r="2234" spans="1:2">
      <c r="A2234"/>
      <c r="B2234"/>
    </row>
    <row r="2235" spans="1:2">
      <c r="A2235"/>
      <c r="B2235"/>
    </row>
    <row r="2236" spans="1:2">
      <c r="A2236"/>
      <c r="B2236"/>
    </row>
    <row r="2237" spans="1:2">
      <c r="A2237"/>
      <c r="B2237"/>
    </row>
    <row r="2238" spans="1:2">
      <c r="A2238"/>
      <c r="B2238"/>
    </row>
    <row r="2239" spans="1:2">
      <c r="A2239"/>
      <c r="B2239"/>
    </row>
    <row r="2240" spans="1:2">
      <c r="A2240"/>
      <c r="B2240"/>
    </row>
    <row r="2241" spans="1:2">
      <c r="A2241"/>
      <c r="B2241"/>
    </row>
    <row r="2242" spans="1:2">
      <c r="A2242"/>
      <c r="B2242"/>
    </row>
    <row r="2243" spans="1:2">
      <c r="A2243"/>
      <c r="B2243"/>
    </row>
    <row r="2244" spans="1:2">
      <c r="A2244"/>
      <c r="B2244"/>
    </row>
    <row r="2245" spans="1:2">
      <c r="A2245"/>
      <c r="B2245"/>
    </row>
    <row r="2246" spans="1:2">
      <c r="A2246"/>
      <c r="B2246"/>
    </row>
    <row r="2247" spans="1:2">
      <c r="A2247"/>
      <c r="B2247"/>
    </row>
    <row r="2248" spans="1:2">
      <c r="A2248"/>
      <c r="B2248"/>
    </row>
    <row r="2249" spans="1:2">
      <c r="A2249"/>
      <c r="B2249"/>
    </row>
    <row r="2250" spans="1:2">
      <c r="A2250"/>
      <c r="B2250"/>
    </row>
    <row r="2251" spans="1:2">
      <c r="A2251"/>
      <c r="B2251"/>
    </row>
    <row r="2252" spans="1:2">
      <c r="A2252"/>
      <c r="B2252"/>
    </row>
    <row r="2253" spans="1:2">
      <c r="A2253"/>
      <c r="B2253"/>
    </row>
    <row r="2254" spans="1:2">
      <c r="A2254"/>
      <c r="B2254"/>
    </row>
    <row r="2255" spans="1:2">
      <c r="A2255"/>
      <c r="B2255"/>
    </row>
    <row r="2256" spans="1:2">
      <c r="A2256"/>
      <c r="B2256"/>
    </row>
    <row r="2257" spans="1:2">
      <c r="A2257"/>
      <c r="B2257"/>
    </row>
    <row r="2258" spans="1:2">
      <c r="A2258"/>
      <c r="B2258"/>
    </row>
    <row r="2259" spans="1:2">
      <c r="A2259"/>
      <c r="B2259"/>
    </row>
    <row r="2260" spans="1:2">
      <c r="A2260"/>
      <c r="B2260"/>
    </row>
    <row r="2261" spans="1:2">
      <c r="A2261"/>
      <c r="B2261"/>
    </row>
    <row r="2262" spans="1:2">
      <c r="A2262"/>
      <c r="B2262"/>
    </row>
    <row r="2263" spans="1:2">
      <c r="A2263"/>
      <c r="B2263"/>
    </row>
    <row r="2264" spans="1:2">
      <c r="A2264"/>
      <c r="B2264"/>
    </row>
    <row r="2265" spans="1:2">
      <c r="A2265"/>
      <c r="B2265"/>
    </row>
    <row r="2266" spans="1:2">
      <c r="A2266"/>
      <c r="B2266"/>
    </row>
    <row r="2267" spans="1:2">
      <c r="A2267"/>
      <c r="B2267"/>
    </row>
    <row r="2268" spans="1:2">
      <c r="A2268"/>
      <c r="B2268"/>
    </row>
    <row r="2269" spans="1:2">
      <c r="A2269"/>
      <c r="B2269"/>
    </row>
    <row r="2270" spans="1:2">
      <c r="A2270"/>
      <c r="B2270"/>
    </row>
    <row r="2271" spans="1:2">
      <c r="A2271"/>
      <c r="B2271"/>
    </row>
    <row r="2272" spans="1:2">
      <c r="A2272"/>
      <c r="B2272"/>
    </row>
    <row r="2273" spans="1:2">
      <c r="A2273"/>
      <c r="B2273"/>
    </row>
    <row r="2274" spans="1:2">
      <c r="A2274"/>
      <c r="B2274"/>
    </row>
    <row r="2275" spans="1:2">
      <c r="A2275"/>
      <c r="B2275"/>
    </row>
    <row r="2276" spans="1:2">
      <c r="A2276"/>
      <c r="B2276"/>
    </row>
    <row r="2277" spans="1:2">
      <c r="A2277"/>
      <c r="B2277"/>
    </row>
    <row r="2278" spans="1:2">
      <c r="A2278"/>
      <c r="B2278"/>
    </row>
    <row r="2279" spans="1:2">
      <c r="A2279"/>
      <c r="B2279"/>
    </row>
    <row r="2280" spans="1:2">
      <c r="A2280"/>
      <c r="B2280"/>
    </row>
    <row r="2281" spans="1:2">
      <c r="A2281"/>
      <c r="B2281"/>
    </row>
    <row r="2282" spans="1:2">
      <c r="A2282"/>
      <c r="B2282"/>
    </row>
    <row r="2283" spans="1:2">
      <c r="A2283"/>
      <c r="B2283"/>
    </row>
    <row r="2284" spans="1:2">
      <c r="A2284"/>
      <c r="B2284"/>
    </row>
    <row r="2285" spans="1:2">
      <c r="A2285"/>
      <c r="B2285"/>
    </row>
    <row r="2286" spans="1:2">
      <c r="A2286"/>
      <c r="B2286"/>
    </row>
    <row r="2287" spans="1:2">
      <c r="A2287"/>
      <c r="B2287"/>
    </row>
    <row r="2288" spans="1:2">
      <c r="A2288"/>
      <c r="B2288"/>
    </row>
    <row r="2289" spans="1:2">
      <c r="A2289"/>
      <c r="B2289"/>
    </row>
    <row r="2290" spans="1:2">
      <c r="A2290"/>
      <c r="B2290"/>
    </row>
    <row r="2291" spans="1:2">
      <c r="A2291"/>
      <c r="B2291"/>
    </row>
    <row r="2292" spans="1:2">
      <c r="A2292"/>
      <c r="B2292"/>
    </row>
    <row r="2293" spans="1:2">
      <c r="A2293"/>
      <c r="B2293"/>
    </row>
    <row r="2294" spans="1:2">
      <c r="A2294"/>
      <c r="B2294"/>
    </row>
    <row r="2295" spans="1:2">
      <c r="A2295"/>
      <c r="B2295"/>
    </row>
    <row r="2296" spans="1:2">
      <c r="A2296"/>
      <c r="B2296"/>
    </row>
    <row r="2297" spans="1:2">
      <c r="A2297"/>
      <c r="B2297"/>
    </row>
    <row r="2298" spans="1:2">
      <c r="A2298"/>
      <c r="B2298"/>
    </row>
    <row r="2299" spans="1:2">
      <c r="A2299"/>
      <c r="B2299"/>
    </row>
    <row r="2300" spans="1:2">
      <c r="A2300"/>
      <c r="B2300"/>
    </row>
    <row r="2301" spans="1:2">
      <c r="A2301"/>
      <c r="B2301"/>
    </row>
    <row r="2302" spans="1:2">
      <c r="A2302"/>
      <c r="B2302"/>
    </row>
    <row r="2303" spans="1:2">
      <c r="A2303"/>
      <c r="B2303"/>
    </row>
    <row r="2304" spans="1:2">
      <c r="A2304"/>
      <c r="B2304"/>
    </row>
    <row r="2305" spans="1:2">
      <c r="A2305"/>
      <c r="B2305"/>
    </row>
    <row r="2306" spans="1:2">
      <c r="A2306"/>
      <c r="B2306"/>
    </row>
    <row r="2307" spans="1:2">
      <c r="A2307"/>
      <c r="B2307"/>
    </row>
    <row r="2308" spans="1:2">
      <c r="A2308"/>
      <c r="B2308"/>
    </row>
    <row r="2309" spans="1:2">
      <c r="A2309"/>
      <c r="B2309"/>
    </row>
    <row r="2310" spans="1:2">
      <c r="A2310"/>
      <c r="B2310"/>
    </row>
    <row r="2311" spans="1:2">
      <c r="A2311"/>
      <c r="B2311"/>
    </row>
    <row r="2312" spans="1:2">
      <c r="A2312"/>
      <c r="B2312"/>
    </row>
    <row r="2313" spans="1:2">
      <c r="A2313"/>
      <c r="B2313"/>
    </row>
    <row r="2314" spans="1:2">
      <c r="A2314"/>
      <c r="B2314"/>
    </row>
    <row r="2315" spans="1:2">
      <c r="A2315"/>
      <c r="B2315"/>
    </row>
    <row r="2316" spans="1:2">
      <c r="A2316"/>
      <c r="B2316"/>
    </row>
    <row r="2317" spans="1:2">
      <c r="A2317"/>
      <c r="B2317"/>
    </row>
    <row r="2318" spans="1:2">
      <c r="A2318"/>
      <c r="B2318"/>
    </row>
    <row r="2319" spans="1:2">
      <c r="A2319"/>
      <c r="B2319"/>
    </row>
    <row r="2320" spans="1:2">
      <c r="A2320"/>
      <c r="B2320"/>
    </row>
    <row r="2321" spans="1:2">
      <c r="A2321"/>
      <c r="B2321"/>
    </row>
    <row r="2322" spans="1:2">
      <c r="A2322"/>
      <c r="B2322"/>
    </row>
    <row r="2323" spans="1:2">
      <c r="A2323"/>
      <c r="B2323"/>
    </row>
    <row r="2324" spans="1:2">
      <c r="A2324"/>
      <c r="B2324"/>
    </row>
    <row r="2325" spans="1:2">
      <c r="A2325"/>
      <c r="B2325"/>
    </row>
    <row r="2326" spans="1:2">
      <c r="A2326"/>
      <c r="B2326"/>
    </row>
    <row r="2327" spans="1:2">
      <c r="A2327"/>
      <c r="B2327"/>
    </row>
    <row r="2328" spans="1:2">
      <c r="A2328"/>
      <c r="B2328"/>
    </row>
    <row r="2329" spans="1:2">
      <c r="A2329"/>
      <c r="B2329"/>
    </row>
    <row r="2330" spans="1:2">
      <c r="A2330"/>
      <c r="B2330"/>
    </row>
    <row r="2331" spans="1:2">
      <c r="A2331"/>
      <c r="B2331"/>
    </row>
    <row r="2332" spans="1:2">
      <c r="A2332"/>
      <c r="B2332"/>
    </row>
    <row r="2333" spans="1:2">
      <c r="A2333"/>
      <c r="B2333"/>
    </row>
    <row r="2334" spans="1:2">
      <c r="A2334"/>
      <c r="B2334"/>
    </row>
    <row r="2335" spans="1:2">
      <c r="A2335"/>
      <c r="B2335"/>
    </row>
    <row r="2336" spans="1:2">
      <c r="A2336"/>
      <c r="B2336"/>
    </row>
    <row r="2337" spans="1:2">
      <c r="A2337"/>
      <c r="B2337"/>
    </row>
    <row r="2338" spans="1:2">
      <c r="A2338"/>
      <c r="B2338"/>
    </row>
    <row r="2339" spans="1:2">
      <c r="A2339"/>
      <c r="B2339"/>
    </row>
    <row r="2340" spans="1:2">
      <c r="A2340"/>
      <c r="B2340"/>
    </row>
    <row r="2341" spans="1:2">
      <c r="A2341"/>
      <c r="B2341"/>
    </row>
    <row r="2342" spans="1:2">
      <c r="A2342"/>
      <c r="B2342"/>
    </row>
    <row r="2343" spans="1:2">
      <c r="A2343"/>
      <c r="B2343"/>
    </row>
    <row r="2344" spans="1:2">
      <c r="A2344"/>
      <c r="B2344"/>
    </row>
    <row r="2345" spans="1:2">
      <c r="A2345"/>
      <c r="B2345"/>
    </row>
    <row r="2346" spans="1:2">
      <c r="A2346"/>
      <c r="B2346"/>
    </row>
    <row r="2347" spans="1:2">
      <c r="A2347"/>
      <c r="B2347"/>
    </row>
    <row r="2348" spans="1:2">
      <c r="A2348"/>
      <c r="B2348"/>
    </row>
    <row r="2349" spans="1:2">
      <c r="A2349"/>
      <c r="B2349"/>
    </row>
    <row r="2350" spans="1:2">
      <c r="A2350"/>
      <c r="B2350"/>
    </row>
    <row r="2351" spans="1:2">
      <c r="A2351"/>
      <c r="B2351"/>
    </row>
    <row r="2352" spans="1:2">
      <c r="A2352"/>
      <c r="B2352"/>
    </row>
    <row r="2353" spans="1:2">
      <c r="A2353"/>
      <c r="B2353"/>
    </row>
    <row r="2354" spans="1:2">
      <c r="A2354"/>
      <c r="B2354"/>
    </row>
    <row r="2355" spans="1:2">
      <c r="A2355"/>
      <c r="B2355"/>
    </row>
    <row r="2356" spans="1:2">
      <c r="A2356"/>
      <c r="B2356"/>
    </row>
    <row r="2357" spans="1:2">
      <c r="A2357"/>
      <c r="B2357"/>
    </row>
    <row r="2358" spans="1:2">
      <c r="A2358"/>
      <c r="B2358"/>
    </row>
    <row r="2359" spans="1:2">
      <c r="A2359"/>
      <c r="B2359"/>
    </row>
    <row r="2360" spans="1:2">
      <c r="A2360"/>
      <c r="B2360"/>
    </row>
    <row r="2361" spans="1:2">
      <c r="A2361"/>
      <c r="B2361"/>
    </row>
    <row r="2362" spans="1:2">
      <c r="A2362"/>
      <c r="B2362"/>
    </row>
    <row r="2363" spans="1:2">
      <c r="A2363"/>
      <c r="B2363"/>
    </row>
    <row r="2364" spans="1:2">
      <c r="A2364"/>
      <c r="B2364"/>
    </row>
    <row r="2365" spans="1:2">
      <c r="A2365"/>
      <c r="B2365"/>
    </row>
    <row r="2366" spans="1:2">
      <c r="A2366"/>
      <c r="B2366"/>
    </row>
    <row r="2367" spans="1:2">
      <c r="A2367"/>
      <c r="B2367"/>
    </row>
    <row r="2368" spans="1:2">
      <c r="A2368"/>
      <c r="B2368"/>
    </row>
    <row r="2369" spans="1:2">
      <c r="A2369"/>
      <c r="B2369"/>
    </row>
    <row r="2370" spans="1:2">
      <c r="A2370"/>
      <c r="B2370"/>
    </row>
    <row r="2371" spans="1:2">
      <c r="A2371"/>
      <c r="B2371"/>
    </row>
    <row r="2372" spans="1:2">
      <c r="A2372"/>
      <c r="B2372"/>
    </row>
    <row r="2373" spans="1:2">
      <c r="A2373"/>
      <c r="B2373"/>
    </row>
    <row r="2374" spans="1:2">
      <c r="A2374"/>
      <c r="B2374"/>
    </row>
    <row r="2375" spans="1:2">
      <c r="A2375"/>
      <c r="B2375"/>
    </row>
    <row r="2376" spans="1:2">
      <c r="A2376"/>
      <c r="B2376"/>
    </row>
    <row r="2377" spans="1:2">
      <c r="A2377"/>
      <c r="B2377"/>
    </row>
    <row r="2378" spans="1:2">
      <c r="A2378"/>
      <c r="B2378"/>
    </row>
    <row r="2379" spans="1:2">
      <c r="A2379"/>
      <c r="B2379"/>
    </row>
    <row r="2380" spans="1:2">
      <c r="A2380"/>
      <c r="B2380"/>
    </row>
    <row r="2381" spans="1:2">
      <c r="A2381"/>
      <c r="B2381"/>
    </row>
    <row r="2382" spans="1:2">
      <c r="A2382"/>
      <c r="B2382"/>
    </row>
    <row r="2383" spans="1:2">
      <c r="A2383"/>
      <c r="B2383"/>
    </row>
    <row r="2384" spans="1:2">
      <c r="A2384"/>
      <c r="B2384"/>
    </row>
    <row r="2385" spans="1:2">
      <c r="A2385"/>
      <c r="B2385"/>
    </row>
    <row r="2386" spans="1:2">
      <c r="A2386"/>
      <c r="B2386"/>
    </row>
    <row r="2387" spans="1:2">
      <c r="A2387"/>
      <c r="B2387"/>
    </row>
    <row r="2388" spans="1:2">
      <c r="A2388"/>
      <c r="B2388"/>
    </row>
    <row r="2389" spans="1:2">
      <c r="A2389"/>
      <c r="B2389"/>
    </row>
    <row r="2390" spans="1:2">
      <c r="A2390"/>
      <c r="B2390"/>
    </row>
    <row r="2391" spans="1:2">
      <c r="A2391"/>
      <c r="B2391"/>
    </row>
    <row r="2392" spans="1:2">
      <c r="A2392"/>
      <c r="B2392"/>
    </row>
    <row r="2393" spans="1:2">
      <c r="A2393"/>
      <c r="B2393"/>
    </row>
    <row r="2394" spans="1:2">
      <c r="A2394"/>
      <c r="B2394"/>
    </row>
    <row r="2395" spans="1:2">
      <c r="A2395"/>
      <c r="B2395"/>
    </row>
    <row r="2396" spans="1:2">
      <c r="A2396"/>
      <c r="B2396"/>
    </row>
    <row r="2397" spans="1:2">
      <c r="A2397"/>
      <c r="B2397"/>
    </row>
    <row r="2398" spans="1:2">
      <c r="A2398"/>
      <c r="B2398"/>
    </row>
    <row r="2399" spans="1:2">
      <c r="A2399"/>
      <c r="B2399"/>
    </row>
    <row r="2400" spans="1:2">
      <c r="A2400"/>
      <c r="B2400"/>
    </row>
    <row r="2401" spans="1:2">
      <c r="A2401"/>
      <c r="B2401"/>
    </row>
    <row r="2402" spans="1:2">
      <c r="A2402"/>
      <c r="B2402"/>
    </row>
    <row r="2403" spans="1:2">
      <c r="A2403"/>
      <c r="B2403"/>
    </row>
    <row r="2404" spans="1:2">
      <c r="A2404"/>
      <c r="B2404"/>
    </row>
    <row r="2405" spans="1:2">
      <c r="A2405"/>
      <c r="B2405"/>
    </row>
    <row r="2406" spans="1:2">
      <c r="A2406"/>
      <c r="B2406"/>
    </row>
    <row r="2407" spans="1:2">
      <c r="A2407"/>
      <c r="B2407"/>
    </row>
    <row r="2408" spans="1:2">
      <c r="A2408"/>
      <c r="B2408"/>
    </row>
    <row r="2409" spans="1:2">
      <c r="A2409"/>
      <c r="B2409"/>
    </row>
    <row r="2410" spans="1:2">
      <c r="A2410"/>
      <c r="B2410"/>
    </row>
    <row r="2411" spans="1:2">
      <c r="A2411"/>
      <c r="B2411"/>
    </row>
    <row r="2412" spans="1:2">
      <c r="A2412"/>
      <c r="B2412"/>
    </row>
    <row r="2413" spans="1:2">
      <c r="A2413"/>
      <c r="B2413"/>
    </row>
    <row r="2414" spans="1:2">
      <c r="A2414"/>
      <c r="B2414"/>
    </row>
    <row r="2415" spans="1:2">
      <c r="A2415"/>
      <c r="B2415"/>
    </row>
    <row r="2416" spans="1:2">
      <c r="A2416"/>
      <c r="B2416"/>
    </row>
    <row r="2417" spans="1:2">
      <c r="A2417"/>
      <c r="B2417"/>
    </row>
    <row r="2418" spans="1:2">
      <c r="A2418"/>
      <c r="B2418"/>
    </row>
    <row r="2419" spans="1:2">
      <c r="A2419"/>
      <c r="B2419"/>
    </row>
    <row r="2420" spans="1:2">
      <c r="A2420"/>
      <c r="B2420"/>
    </row>
    <row r="2421" spans="1:2">
      <c r="A2421"/>
      <c r="B2421"/>
    </row>
    <row r="2422" spans="1:2">
      <c r="A2422"/>
      <c r="B2422"/>
    </row>
    <row r="2423" spans="1:2">
      <c r="A2423"/>
      <c r="B2423"/>
    </row>
    <row r="2424" spans="1:2">
      <c r="A2424"/>
      <c r="B2424"/>
    </row>
    <row r="2425" spans="1:2">
      <c r="A2425"/>
      <c r="B2425"/>
    </row>
    <row r="2426" spans="1:2">
      <c r="A2426"/>
      <c r="B2426"/>
    </row>
    <row r="2427" spans="1:2">
      <c r="A2427"/>
      <c r="B2427"/>
    </row>
    <row r="2428" spans="1:2">
      <c r="A2428"/>
      <c r="B2428"/>
    </row>
    <row r="2429" spans="1:2">
      <c r="A2429"/>
      <c r="B2429"/>
    </row>
    <row r="2430" spans="1:2">
      <c r="A2430"/>
      <c r="B2430"/>
    </row>
    <row r="2431" spans="1:2">
      <c r="A2431"/>
      <c r="B2431"/>
    </row>
    <row r="2432" spans="1:2">
      <c r="A2432"/>
      <c r="B2432"/>
    </row>
    <row r="2433" spans="1:2">
      <c r="A2433"/>
      <c r="B2433"/>
    </row>
    <row r="2434" spans="1:2">
      <c r="A2434"/>
      <c r="B2434"/>
    </row>
    <row r="2435" spans="1:2">
      <c r="A2435"/>
      <c r="B2435"/>
    </row>
    <row r="2436" spans="1:2">
      <c r="A2436"/>
      <c r="B2436"/>
    </row>
    <row r="2437" spans="1:2">
      <c r="A2437"/>
      <c r="B2437"/>
    </row>
    <row r="2438" spans="1:2">
      <c r="A2438"/>
      <c r="B2438"/>
    </row>
    <row r="2439" spans="1:2">
      <c r="A2439"/>
      <c r="B2439"/>
    </row>
    <row r="2440" spans="1:2">
      <c r="A2440"/>
      <c r="B2440"/>
    </row>
    <row r="2441" spans="1:2">
      <c r="A2441"/>
      <c r="B2441"/>
    </row>
    <row r="2442" spans="1:2">
      <c r="A2442"/>
      <c r="B2442"/>
    </row>
    <row r="2443" spans="1:2">
      <c r="A2443"/>
      <c r="B2443"/>
    </row>
    <row r="2444" spans="1:2">
      <c r="A2444"/>
      <c r="B2444"/>
    </row>
    <row r="2445" spans="1:2">
      <c r="A2445"/>
      <c r="B2445"/>
    </row>
    <row r="2446" spans="1:2">
      <c r="A2446"/>
      <c r="B2446"/>
    </row>
    <row r="2447" spans="1:2">
      <c r="A2447"/>
      <c r="B2447"/>
    </row>
    <row r="2448" spans="1:2">
      <c r="A2448"/>
      <c r="B2448"/>
    </row>
    <row r="2449" spans="1:2">
      <c r="A2449"/>
      <c r="B2449"/>
    </row>
    <row r="2450" spans="1:2">
      <c r="A2450"/>
      <c r="B2450"/>
    </row>
    <row r="2451" spans="1:2">
      <c r="A2451"/>
      <c r="B2451"/>
    </row>
    <row r="2452" spans="1:2">
      <c r="A2452"/>
      <c r="B2452"/>
    </row>
    <row r="2453" spans="1:2">
      <c r="A2453"/>
      <c r="B2453"/>
    </row>
    <row r="2454" spans="1:2">
      <c r="A2454"/>
      <c r="B2454"/>
    </row>
    <row r="2455" spans="1:2">
      <c r="A2455"/>
      <c r="B2455"/>
    </row>
    <row r="2456" spans="1:2">
      <c r="A2456"/>
      <c r="B2456"/>
    </row>
    <row r="2457" spans="1:2">
      <c r="A2457"/>
      <c r="B2457"/>
    </row>
    <row r="2458" spans="1:2">
      <c r="A2458"/>
      <c r="B2458"/>
    </row>
    <row r="2459" spans="1:2">
      <c r="A2459"/>
      <c r="B2459"/>
    </row>
    <row r="2460" spans="1:2">
      <c r="A2460"/>
      <c r="B2460"/>
    </row>
    <row r="2461" spans="1:2">
      <c r="A2461"/>
      <c r="B2461"/>
    </row>
    <row r="2462" spans="1:2">
      <c r="A2462"/>
      <c r="B2462"/>
    </row>
    <row r="2463" spans="1:2">
      <c r="A2463"/>
      <c r="B2463"/>
    </row>
    <row r="2464" spans="1:2">
      <c r="A2464"/>
      <c r="B2464"/>
    </row>
    <row r="2465" spans="1:2">
      <c r="A2465"/>
      <c r="B2465"/>
    </row>
    <row r="2466" spans="1:2">
      <c r="A2466"/>
      <c r="B2466"/>
    </row>
    <row r="2467" spans="1:2">
      <c r="A2467"/>
      <c r="B2467"/>
    </row>
    <row r="2468" spans="1:2">
      <c r="A2468"/>
      <c r="B2468"/>
    </row>
    <row r="2469" spans="1:2">
      <c r="A2469"/>
      <c r="B2469"/>
    </row>
    <row r="2470" spans="1:2">
      <c r="A2470"/>
      <c r="B2470"/>
    </row>
    <row r="2471" spans="1:2">
      <c r="A2471"/>
      <c r="B2471"/>
    </row>
    <row r="2472" spans="1:2">
      <c r="A2472"/>
      <c r="B2472"/>
    </row>
    <row r="2473" spans="1:2">
      <c r="A2473"/>
      <c r="B2473"/>
    </row>
    <row r="2474" spans="1:2">
      <c r="A2474"/>
      <c r="B2474"/>
    </row>
    <row r="2475" spans="1:2">
      <c r="A2475"/>
      <c r="B2475"/>
    </row>
    <row r="2476" spans="1:2">
      <c r="A2476"/>
      <c r="B2476"/>
    </row>
    <row r="2477" spans="1:2">
      <c r="A2477"/>
      <c r="B2477"/>
    </row>
    <row r="2478" spans="1:2">
      <c r="A2478"/>
      <c r="B2478"/>
    </row>
    <row r="2479" spans="1:2">
      <c r="A2479"/>
      <c r="B2479"/>
    </row>
    <row r="2480" spans="1:2">
      <c r="A2480"/>
      <c r="B2480"/>
    </row>
    <row r="2481" spans="1:2">
      <c r="A2481"/>
      <c r="B2481"/>
    </row>
    <row r="2482" spans="1:2">
      <c r="A2482"/>
      <c r="B2482"/>
    </row>
    <row r="2483" spans="1:2">
      <c r="A2483"/>
      <c r="B2483"/>
    </row>
    <row r="2484" spans="1:2">
      <c r="A2484"/>
      <c r="B2484"/>
    </row>
    <row r="2485" spans="1:2">
      <c r="A2485"/>
      <c r="B2485"/>
    </row>
    <row r="2486" spans="1:2">
      <c r="A2486"/>
      <c r="B2486"/>
    </row>
    <row r="2487" spans="1:2">
      <c r="A2487"/>
      <c r="B2487"/>
    </row>
    <row r="2488" spans="1:2">
      <c r="A2488"/>
      <c r="B2488"/>
    </row>
    <row r="2489" spans="1:2">
      <c r="A2489"/>
      <c r="B2489"/>
    </row>
    <row r="2490" spans="1:2">
      <c r="A2490"/>
      <c r="B2490"/>
    </row>
    <row r="2491" spans="1:2">
      <c r="A2491"/>
      <c r="B2491"/>
    </row>
    <row r="2492" spans="1:2">
      <c r="A2492"/>
      <c r="B2492"/>
    </row>
    <row r="2493" spans="1:2">
      <c r="A2493"/>
      <c r="B2493"/>
    </row>
    <row r="2494" spans="1:2">
      <c r="A2494"/>
      <c r="B2494"/>
    </row>
    <row r="2495" spans="1:2">
      <c r="A2495"/>
      <c r="B2495"/>
    </row>
    <row r="2496" spans="1:2">
      <c r="A2496"/>
      <c r="B2496"/>
    </row>
    <row r="2497" spans="1:2">
      <c r="A2497"/>
      <c r="B2497"/>
    </row>
    <row r="2498" spans="1:2">
      <c r="A2498"/>
      <c r="B2498"/>
    </row>
    <row r="2499" spans="1:2">
      <c r="A2499"/>
      <c r="B2499"/>
    </row>
    <row r="2500" spans="1:2">
      <c r="A2500"/>
      <c r="B25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rgb="FFFFFF00"/>
  </sheetPr>
  <dimension ref="A1:P55"/>
  <sheetViews>
    <sheetView zoomScale="115" zoomScaleNormal="115" workbookViewId="0">
      <selection activeCell="J19" sqref="J19"/>
    </sheetView>
  </sheetViews>
  <sheetFormatPr defaultColWidth="18.83203125" defaultRowHeight="14.25"/>
  <cols>
    <col min="1" max="1" width="1.6640625" style="1630" customWidth="1"/>
    <col min="2" max="2" width="1.1640625" style="1630" customWidth="1"/>
    <col min="3" max="3" width="32.33203125" style="1630" customWidth="1"/>
    <col min="4" max="4" width="1" style="1630" customWidth="1"/>
    <col min="5" max="5" width="29" style="1630" customWidth="1"/>
    <col min="6" max="6" width="1" style="1630" customWidth="1"/>
    <col min="7" max="7" width="29" style="1630" customWidth="1"/>
    <col min="8" max="8" width="1" style="1630" customWidth="1"/>
    <col min="9" max="16" width="29" style="1630" customWidth="1"/>
    <col min="17" max="16384" width="18.83203125" style="1630"/>
  </cols>
  <sheetData>
    <row r="1" spans="1:16" s="1670" customFormat="1">
      <c r="A1" s="1671" t="s">
        <v>4695</v>
      </c>
      <c r="D1" s="1671"/>
      <c r="F1" s="1671"/>
      <c r="H1" s="1671"/>
    </row>
    <row r="2" spans="1:16" s="2458" customFormat="1" ht="17.25" customHeight="1">
      <c r="C2" s="2460" t="s">
        <v>4694</v>
      </c>
      <c r="E2" s="2459"/>
      <c r="G2" s="2459"/>
      <c r="I2" s="2459"/>
      <c r="K2" s="2459"/>
      <c r="L2" s="2459"/>
      <c r="M2" s="2459"/>
      <c r="N2" s="2459"/>
      <c r="O2" s="2459"/>
      <c r="P2" s="2459"/>
    </row>
    <row r="3" spans="1:16" s="2458" customFormat="1">
      <c r="C3" s="2459"/>
      <c r="E3" s="2459"/>
      <c r="G3" s="2459"/>
      <c r="I3" s="2459"/>
      <c r="K3" s="2459"/>
      <c r="L3" s="2459"/>
      <c r="M3" s="2459"/>
      <c r="N3" s="2459"/>
      <c r="O3" s="2459"/>
      <c r="P3" s="2459"/>
    </row>
    <row r="4" spans="1:16" s="2458" customFormat="1">
      <c r="C4" s="2458" t="s">
        <v>4186</v>
      </c>
      <c r="E4" s="1647" t="s">
        <v>4185</v>
      </c>
      <c r="G4" s="1647"/>
      <c r="I4" s="1646"/>
      <c r="K4" s="1646"/>
      <c r="L4" s="1646"/>
      <c r="M4" s="1646"/>
      <c r="N4" s="1646"/>
      <c r="O4" s="1646"/>
      <c r="P4" s="1646"/>
    </row>
    <row r="5" spans="1:16" s="1652" customFormat="1"/>
    <row r="6" spans="1:16" s="1657" customFormat="1">
      <c r="A6" s="1667"/>
      <c r="C6" s="1657" t="s">
        <v>4184</v>
      </c>
      <c r="D6" s="1667"/>
      <c r="F6" s="1667"/>
      <c r="H6" s="1667"/>
      <c r="I6" s="1666"/>
      <c r="J6" s="1666"/>
      <c r="K6" s="1666"/>
      <c r="L6" s="1666"/>
      <c r="M6" s="1666"/>
      <c r="N6" s="1666"/>
      <c r="O6" s="1666"/>
      <c r="P6" s="1666"/>
    </row>
    <row r="7" spans="1:16" s="1652" customFormat="1"/>
    <row r="8" spans="1:16" s="1652" customFormat="1">
      <c r="C8" s="1665" t="s">
        <v>4183</v>
      </c>
      <c r="E8" s="1665"/>
      <c r="G8" s="1665"/>
      <c r="I8" s="1664" t="s">
        <v>4182</v>
      </c>
    </row>
    <row r="9" spans="1:16" s="1652" customFormat="1">
      <c r="C9" s="1663"/>
      <c r="E9" s="1653" t="s">
        <v>4181</v>
      </c>
      <c r="I9" s="1662"/>
      <c r="J9" s="1653" t="s">
        <v>4180</v>
      </c>
    </row>
    <row r="10" spans="1:16" s="1652" customFormat="1">
      <c r="C10" s="1661"/>
      <c r="E10" s="1653" t="s">
        <v>4179</v>
      </c>
    </row>
    <row r="11" spans="1:16" s="1652" customFormat="1">
      <c r="C11" s="1660"/>
      <c r="E11" s="1653" t="s">
        <v>4178</v>
      </c>
    </row>
    <row r="12" spans="1:16" s="1652" customFormat="1"/>
    <row r="13" spans="1:16" s="1657" customFormat="1" ht="20.100000000000001" customHeight="1">
      <c r="C13" s="1659" t="s">
        <v>4693</v>
      </c>
      <c r="E13" s="1659"/>
      <c r="G13" s="1658"/>
      <c r="I13" s="1659"/>
      <c r="J13" s="1658"/>
      <c r="K13" s="1658"/>
      <c r="L13" s="1659"/>
      <c r="M13" s="1658"/>
      <c r="N13" s="1658"/>
      <c r="O13" s="1659"/>
      <c r="P13" s="1658"/>
    </row>
    <row r="14" spans="1:16" s="1652" customFormat="1" ht="14.25" customHeight="1"/>
    <row r="15" spans="1:16" s="1652" customFormat="1" ht="14.25" customHeight="1"/>
    <row r="16" spans="1:16" s="1652" customFormat="1" ht="14.25" customHeight="1"/>
    <row r="17" spans="1:16" s="1652" customFormat="1" ht="14.25" customHeight="1"/>
    <row r="18" spans="1:16" s="1652" customFormat="1" ht="14.25" customHeight="1"/>
    <row r="19" spans="1:16" s="1652" customFormat="1" ht="14.25" customHeight="1"/>
    <row r="20" spans="1:16" s="1652" customFormat="1" ht="14.25" customHeight="1"/>
    <row r="21" spans="1:16" s="1657" customFormat="1" ht="20.100000000000001" customHeight="1">
      <c r="C21" s="1659" t="s">
        <v>4692</v>
      </c>
      <c r="E21" s="1659"/>
      <c r="G21" s="1658"/>
      <c r="I21" s="1659"/>
      <c r="J21" s="1658"/>
      <c r="K21" s="1658"/>
      <c r="L21" s="1659"/>
      <c r="M21" s="1658"/>
      <c r="N21" s="1658"/>
      <c r="O21" s="1659"/>
      <c r="P21" s="1658"/>
    </row>
    <row r="23" spans="1:16" s="1657" customFormat="1">
      <c r="A23" s="1667"/>
      <c r="C23" s="1657" t="s">
        <v>4691</v>
      </c>
      <c r="D23" s="1667"/>
      <c r="F23" s="1667"/>
      <c r="H23" s="1667"/>
      <c r="I23" s="1667"/>
      <c r="J23" s="1666"/>
      <c r="L23" s="1667"/>
      <c r="M23" s="1666"/>
      <c r="N23" s="1666"/>
      <c r="O23" s="1667"/>
      <c r="P23" s="1666"/>
    </row>
    <row r="24" spans="1:16" ht="14.25" customHeight="1"/>
    <row r="25" spans="1:16" ht="14.25" customHeight="1"/>
    <row r="26" spans="1:16" ht="14.25" customHeight="1"/>
    <row r="27" spans="1:16" s="1652" customFormat="1" ht="14.25" customHeight="1"/>
    <row r="28" spans="1:16" s="1657" customFormat="1">
      <c r="A28" s="1667"/>
      <c r="C28" s="1657" t="s">
        <v>4690</v>
      </c>
      <c r="D28" s="1667"/>
      <c r="F28" s="1667"/>
      <c r="H28" s="1667"/>
      <c r="I28" s="1667"/>
      <c r="J28" s="1666"/>
      <c r="L28" s="1667"/>
      <c r="M28" s="1666"/>
      <c r="N28" s="1666"/>
      <c r="O28" s="1667"/>
      <c r="P28" s="1666"/>
    </row>
    <row r="30" spans="1:16">
      <c r="C30" s="1644" t="s">
        <v>4687</v>
      </c>
      <c r="E30" s="1644" t="s">
        <v>4686</v>
      </c>
    </row>
    <row r="31" spans="1:16">
      <c r="C31" s="2449" t="s">
        <v>2547</v>
      </c>
      <c r="E31" s="2449" t="s">
        <v>2662</v>
      </c>
    </row>
    <row r="32" spans="1:16">
      <c r="C32" s="2449" t="s">
        <v>174</v>
      </c>
      <c r="E32" s="2449" t="s">
        <v>2041</v>
      </c>
    </row>
    <row r="33" spans="3:5">
      <c r="C33" s="2449" t="s">
        <v>3164</v>
      </c>
      <c r="E33" s="2449" t="s">
        <v>1866</v>
      </c>
    </row>
    <row r="34" spans="3:5">
      <c r="C34" s="2449" t="s">
        <v>1767</v>
      </c>
      <c r="E34" s="2449" t="s">
        <v>3654</v>
      </c>
    </row>
    <row r="35" spans="3:5">
      <c r="C35" s="2449" t="s">
        <v>4697</v>
      </c>
      <c r="E35" s="2449" t="s">
        <v>1743</v>
      </c>
    </row>
    <row r="36" spans="3:5">
      <c r="C36" s="2449" t="s">
        <v>4698</v>
      </c>
      <c r="E36" s="2449" t="s">
        <v>932</v>
      </c>
    </row>
    <row r="37" spans="3:5">
      <c r="C37" s="2449" t="s">
        <v>4701</v>
      </c>
      <c r="E37" s="2449" t="s">
        <v>1439</v>
      </c>
    </row>
    <row r="38" spans="3:5">
      <c r="C38" s="2449" t="s">
        <v>4696</v>
      </c>
      <c r="E38" s="2449" t="s">
        <v>1266</v>
      </c>
    </row>
    <row r="39" spans="3:5">
      <c r="C39" s="2449" t="s">
        <v>4699</v>
      </c>
      <c r="E39" s="2449" t="s">
        <v>701</v>
      </c>
    </row>
    <row r="40" spans="3:5">
      <c r="C40" s="2449" t="s">
        <v>4700</v>
      </c>
      <c r="E40" s="2449" t="s">
        <v>761</v>
      </c>
    </row>
    <row r="41" spans="3:5">
      <c r="C41" s="2449" t="s">
        <v>4702</v>
      </c>
      <c r="E41" s="2449" t="s">
        <v>1439</v>
      </c>
    </row>
    <row r="42" spans="3:5">
      <c r="C42" s="2449" t="s">
        <v>4703</v>
      </c>
      <c r="E42" s="2449" t="s">
        <v>2266</v>
      </c>
    </row>
    <row r="43" spans="3:5">
      <c r="C43" s="2449" t="s">
        <v>4704</v>
      </c>
      <c r="E43" s="2449" t="s">
        <v>1426</v>
      </c>
    </row>
    <row r="44" spans="3:5">
      <c r="C44" s="2449" t="s">
        <v>4705</v>
      </c>
      <c r="E44" s="2449" t="s">
        <v>3159</v>
      </c>
    </row>
    <row r="45" spans="3:5">
      <c r="C45" s="2449" t="s">
        <v>4706</v>
      </c>
      <c r="E45" s="2449" t="s">
        <v>3160</v>
      </c>
    </row>
    <row r="46" spans="3:5">
      <c r="C46" s="2449" t="s">
        <v>3968</v>
      </c>
      <c r="E46" s="2449" t="s">
        <v>3167</v>
      </c>
    </row>
    <row r="47" spans="3:5">
      <c r="C47" s="2449" t="s">
        <v>3692</v>
      </c>
      <c r="E47" s="2449" t="s">
        <v>103</v>
      </c>
    </row>
    <row r="48" spans="3:5">
      <c r="C48" s="2449" t="s">
        <v>4707</v>
      </c>
      <c r="E48" s="2449" t="s">
        <v>2667</v>
      </c>
    </row>
    <row r="49" spans="1:16">
      <c r="E49" s="1630" t="s">
        <v>4689</v>
      </c>
    </row>
    <row r="50" spans="1:16" s="1652" customFormat="1" ht="14.25" customHeight="1"/>
    <row r="51" spans="1:16" s="1657" customFormat="1">
      <c r="A51" s="1667"/>
      <c r="C51" s="1657" t="s">
        <v>4688</v>
      </c>
      <c r="D51" s="1667"/>
      <c r="F51" s="1667"/>
      <c r="H51" s="1667"/>
      <c r="I51" s="1667"/>
      <c r="J51" s="1666"/>
      <c r="L51" s="1667"/>
      <c r="M51" s="1666"/>
      <c r="N51" s="1666"/>
      <c r="O51" s="1667"/>
      <c r="P51" s="1666"/>
    </row>
    <row r="53" spans="1:16">
      <c r="C53" s="1644" t="s">
        <v>4687</v>
      </c>
      <c r="E53" s="1644" t="s">
        <v>4686</v>
      </c>
      <c r="G53" s="1644" t="s">
        <v>4685</v>
      </c>
      <c r="H53" s="1644"/>
      <c r="I53" s="1644" t="s">
        <v>4684</v>
      </c>
    </row>
    <row r="54" spans="1:16">
      <c r="C54" s="2449"/>
      <c r="E54" s="2449"/>
      <c r="G54" s="2449"/>
      <c r="I54" s="2449"/>
    </row>
    <row r="55" spans="1:16">
      <c r="E55" s="1630" t="s">
        <v>4683</v>
      </c>
      <c r="G55" s="1630" t="s">
        <v>4682</v>
      </c>
      <c r="I55" s="1630" t="s">
        <v>4681</v>
      </c>
    </row>
  </sheetData>
  <dataValidations count="2">
    <dataValidation type="decimal" allowBlank="1" showInputMessage="1" showErrorMessage="1" sqref="H54">
      <formula1>-1000000</formula1>
      <formula2>1000000</formula2>
    </dataValidation>
    <dataValidation type="decimal" allowBlank="1" showInputMessage="1" showErrorMessage="1" errorTitle="TestAuto" error="Please enter a valid number for the constraining metric max/min values." sqref="I54 G54">
      <formula1>-1E+21</formula1>
      <formula2>1E+21</formula2>
    </dataValidation>
  </dataValidations>
  <hyperlinks>
    <hyperlink ref="E4" r:id="rId1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ols">
    <tabColor indexed="13"/>
  </sheetPr>
  <dimension ref="A1:T208"/>
  <sheetViews>
    <sheetView topLeftCell="F1" workbookViewId="0">
      <selection activeCell="J20" sqref="J20"/>
    </sheetView>
  </sheetViews>
  <sheetFormatPr defaultRowHeight="11.25"/>
  <cols>
    <col min="2" max="3" width="4.6640625" customWidth="1"/>
    <col min="4" max="4" width="26.6640625" customWidth="1"/>
    <col min="5" max="5" width="24.5" customWidth="1"/>
    <col min="6" max="6" width="17.1640625" customWidth="1"/>
    <col min="7" max="7" width="17" customWidth="1"/>
    <col min="8" max="8" width="27.33203125" bestFit="1" customWidth="1"/>
    <col min="10" max="10" width="19.6640625" customWidth="1"/>
    <col min="11" max="11" width="24.33203125" customWidth="1"/>
    <col min="12" max="12" width="29" customWidth="1"/>
    <col min="13" max="13" width="27.33203125" customWidth="1"/>
    <col min="14" max="14" width="24.83203125" customWidth="1"/>
  </cols>
  <sheetData>
    <row r="1" spans="1:14">
      <c r="A1" s="1" t="s">
        <v>3777</v>
      </c>
      <c r="B1" s="2"/>
      <c r="C1" s="2"/>
    </row>
    <row r="2" spans="1:14" ht="12" thickBot="1">
      <c r="J2" s="2511" t="s">
        <v>4871</v>
      </c>
      <c r="K2" s="2511"/>
      <c r="M2" s="2511" t="s">
        <v>4872</v>
      </c>
      <c r="N2" s="2511"/>
    </row>
    <row r="3" spans="1:14" ht="12" thickBot="1">
      <c r="D3" s="2" t="s">
        <v>3778</v>
      </c>
      <c r="E3" s="9">
        <v>0</v>
      </c>
      <c r="J3" s="2466" t="s">
        <v>4806</v>
      </c>
      <c r="K3" s="2466" t="s">
        <v>4808</v>
      </c>
      <c r="M3" s="2466" t="s">
        <v>4806</v>
      </c>
      <c r="N3" s="2466" t="s">
        <v>4808</v>
      </c>
    </row>
    <row r="4" spans="1:14" ht="12" thickBot="1">
      <c r="G4" s="5">
        <v>0</v>
      </c>
      <c r="H4" s="905" t="s">
        <v>4745</v>
      </c>
      <c r="J4" s="2499">
        <f>IF(COUNTIF(dataUnlockedList,"unlocked")&gt;0,TRUE,0)</f>
        <v>0</v>
      </c>
      <c r="K4" s="2499">
        <f>IF(COUNTIF(dataUnlockedList,"unlocked")&gt;0,TRUE,0)</f>
        <v>0</v>
      </c>
      <c r="M4" s="2499">
        <f>IF(COUNTIF(dataUnlockedList,"unlocked")&gt;0,TRUE,0)</f>
        <v>0</v>
      </c>
      <c r="N4" s="2499">
        <f>IF(COUNTIF(dataUnlockedList,"unlocked")&gt;0,TRUE,0)</f>
        <v>0</v>
      </c>
    </row>
    <row r="5" spans="1:14" ht="12" thickBot="1">
      <c r="D5" s="2" t="s">
        <v>3397</v>
      </c>
      <c r="E5" s="9">
        <v>5</v>
      </c>
      <c r="G5" s="5">
        <f>IF(COUNTIF(dataUnlockedList,"Unlocked")&gt;0,TRUE,0)</f>
        <v>0</v>
      </c>
      <c r="H5" s="905" t="s">
        <v>4746</v>
      </c>
      <c r="J5" s="2466" t="s">
        <v>4873</v>
      </c>
      <c r="K5" s="376"/>
      <c r="M5" s="2511" t="s">
        <v>4872</v>
      </c>
      <c r="N5" s="2511"/>
    </row>
    <row r="6" spans="1:14" ht="12" thickBot="1">
      <c r="G6" s="5">
        <f>IF(COUNTIF(obal!$E$221:$E$222,"&lt;&gt;0")&gt;0,TRUE,0)</f>
        <v>0</v>
      </c>
      <c r="H6" s="905" t="s">
        <v>4747</v>
      </c>
      <c r="M6" s="2466" t="s">
        <v>4807</v>
      </c>
      <c r="N6" s="2466" t="s">
        <v>4809</v>
      </c>
    </row>
    <row r="7" spans="1:14" ht="12" thickBot="1">
      <c r="D7" s="2" t="s">
        <v>3398</v>
      </c>
      <c r="E7" s="9">
        <v>1</v>
      </c>
      <c r="H7" t="s">
        <v>3795</v>
      </c>
      <c r="M7" s="2498">
        <f>IF(COUNTIF(obal!$E$221:$E$222,"&lt;&gt;0")&gt;0,TRUE,0)</f>
        <v>0</v>
      </c>
      <c r="N7" s="2498">
        <f>IF(COUNTIF(obal!$E$221:$E$222,"&lt;&gt;0")&gt;0,TRUE,0)</f>
        <v>0</v>
      </c>
    </row>
    <row r="8" spans="1:14" ht="12" thickBot="1">
      <c r="J8" s="905" t="s">
        <v>4875</v>
      </c>
      <c r="K8" s="2499" t="b">
        <f ca="1">IF(tlOutput_toolGraphData_D20&gt;100%,TRUE,FALSE)</f>
        <v>0</v>
      </c>
    </row>
    <row r="9" spans="1:14" ht="12" thickBot="1">
      <c r="D9" s="2" t="s">
        <v>3399</v>
      </c>
      <c r="E9" s="9">
        <v>1</v>
      </c>
      <c r="J9" s="905" t="s">
        <v>4876</v>
      </c>
      <c r="K9" s="2499" t="b">
        <f>IF(tlOutput_toolGraphData_D21&gt;130%,TRUE,FALSE)</f>
        <v>0</v>
      </c>
    </row>
    <row r="10" spans="1:14" ht="12" thickBot="1">
      <c r="J10" s="1594" t="s">
        <v>4877</v>
      </c>
      <c r="K10" s="2499" t="b">
        <f>IF(COUNTIF(toolRnD!N14:P20,"Already Selected"),TRUE, FALSE)</f>
        <v>0</v>
      </c>
    </row>
    <row r="11" spans="1:14" ht="12" thickBot="1">
      <c r="D11" s="2" t="s">
        <v>3400</v>
      </c>
      <c r="E11" s="6" t="str">
        <f>decTeamName</f>
        <v>Vivia</v>
      </c>
      <c r="F11" s="7" t="str">
        <f>decTeamName</f>
        <v>Vivia</v>
      </c>
      <c r="G11" s="7" t="str">
        <f>decTeamName</f>
        <v>Vivia</v>
      </c>
      <c r="H11" s="7" t="str">
        <f>decTeamName</f>
        <v>Vivia</v>
      </c>
      <c r="I11" s="8" t="str">
        <f>decTeamName</f>
        <v>Vivia</v>
      </c>
      <c r="J11" s="1594" t="s">
        <v>4878</v>
      </c>
      <c r="K11" s="2499" t="b">
        <f>IF(COUNTIF(toolRnD!N14:P20,"Limit One Disruptive"),TRUE, FALSE)</f>
        <v>0</v>
      </c>
    </row>
    <row r="12" spans="1:14" ht="12" thickBot="1"/>
    <row r="13" spans="1:14" ht="12" thickBot="1">
      <c r="D13" s="137" t="s">
        <v>257</v>
      </c>
      <c r="E13" s="9">
        <v>1</v>
      </c>
    </row>
    <row r="14" spans="1:14" ht="12" thickBot="1">
      <c r="G14" t="s">
        <v>4009</v>
      </c>
      <c r="H14">
        <v>0</v>
      </c>
      <c r="I14" t="s">
        <v>4010</v>
      </c>
    </row>
    <row r="15" spans="1:14" ht="12" thickBot="1">
      <c r="D15" s="2" t="s">
        <v>652</v>
      </c>
      <c r="E15" s="5" t="s">
        <v>1104</v>
      </c>
    </row>
    <row r="16" spans="1:14" ht="12" thickBot="1"/>
    <row r="17" spans="4:13" ht="12" thickBot="1">
      <c r="D17" s="2" t="s">
        <v>653</v>
      </c>
      <c r="E17" s="5" t="s">
        <v>2506</v>
      </c>
      <c r="G17" s="2" t="s">
        <v>2719</v>
      </c>
      <c r="H17" s="5" t="s">
        <v>2720</v>
      </c>
    </row>
    <row r="18" spans="4:13" ht="12" thickBot="1">
      <c r="D18" s="2"/>
      <c r="E18" s="21"/>
      <c r="G18" s="2"/>
      <c r="H18" s="21"/>
    </row>
    <row r="19" spans="4:13" ht="12" thickBot="1">
      <c r="D19" s="2" t="s">
        <v>3994</v>
      </c>
      <c r="E19" s="5" t="b">
        <v>1</v>
      </c>
      <c r="G19" s="2"/>
      <c r="H19" s="21"/>
    </row>
    <row r="20" spans="4:13" ht="12" thickBot="1"/>
    <row r="21" spans="4:13" ht="12" thickBot="1">
      <c r="D21" s="2" t="s">
        <v>2868</v>
      </c>
      <c r="E21" s="920" t="str">
        <f ca="1">"Corporate:   Net Rev Growth: " &amp;TEXT(INDEX(finPNLNetRev,xxIndexTeam)/INDEX(obalNetRev,xxIndexTeam)-1,"#0.0%,")&amp;"   Op Margin: " &amp;TEXT(INDEX(finPNLoperEarnPct,xxIndexTeam),"#0.0%")&amp;"   ROIC: "&amp;TEXT(INDEX(finROIC, xxIndexTeam),"#0.0%")&amp;"   Sustainability: "&amp;TEXT(INDEX(paramSustainability,xxIndexTeam),"###.0")&amp;"   MTUs: "&amp;TEXT(INDEX(capEmp10Begin,xxIndexTeam)-INDEX(capEmp10req,xxIndexTeam),"###")</f>
        <v>Corporate:   Net Rev Growth: 0.3%,   Op Margin: 23.3%   ROIC: 22.9%   Sustainability: 100.5   MTUs: 81</v>
      </c>
      <c r="F21" s="921"/>
      <c r="G21" s="921"/>
      <c r="H21" s="921"/>
      <c r="I21" s="921"/>
      <c r="J21" s="922"/>
      <c r="L21" s="2496" t="b">
        <f ca="1">E21=M21</f>
        <v>0</v>
      </c>
      <c r="M21" s="920" t="s">
        <v>4799</v>
      </c>
    </row>
    <row r="22" spans="4:13" ht="12" thickBot="1">
      <c r="D22" s="2" t="s">
        <v>1267</v>
      </c>
      <c r="E22" s="920" t="str">
        <f ca="1">"Vetera Market:   Beverage Rev: " &amp;TEXT(INDEX(finPNLReg1Prod1Rev,xxIndexTeam)+INDEX(finPNLReg1Prod3Rev,xxIndexTeam),"$#,###,")&amp;"   F&amp;S Rev: " &amp;TEXT(INDEX(finPNLReg1Prod4Rev,xxIndexTeam),"$#,###,")&amp;"   Op Margin: "&amp;TEXT(INDEX(finPNLReg1OpsMarginPct, xxIndexTeam),"#0.0%")</f>
        <v>Vetera Market:   Beverage Rev: $12,398,274   F&amp;S Rev: $6,771,250   Op Margin: 24.0%</v>
      </c>
      <c r="F22" s="921"/>
      <c r="G22" s="921"/>
      <c r="H22" s="921"/>
      <c r="I22" s="921"/>
      <c r="J22" s="922"/>
      <c r="L22" s="2496" t="b">
        <f t="shared" ref="L22:L26" ca="1" si="0">E22=M22</f>
        <v>0</v>
      </c>
      <c r="M22" s="920" t="s">
        <v>4800</v>
      </c>
    </row>
    <row r="23" spans="4:13" ht="12" thickBot="1">
      <c r="D23" s="2" t="s">
        <v>1268</v>
      </c>
      <c r="E23" s="920" t="str">
        <f ca="1">"Escendia Market:   Beverage Rev: " &amp;TEXT(INDEX(finPNLReg2Prod1Rev,xxIndexTeam)+INDEX(finPNLReg2Prod3Rev,xxIndexTeam),"$#,###,")&amp;"   F&amp;S Rev: " &amp;TEXT(INDEX(finPNLReg2Prod4Rev,xxIndexTeam),"$#,###,")&amp;"   Op Margin: "&amp;TEXT(INDEX(finPNLReg2OpsMarginPct, xxIndexTeam),"#0.0%")</f>
        <v>Escendia Market:   Beverage Rev: $4,947,600   F&amp;S Rev: $2,025,000   Op Margin: 24.4%</v>
      </c>
      <c r="F23" s="921"/>
      <c r="G23" s="921"/>
      <c r="H23" s="921"/>
      <c r="I23" s="921"/>
      <c r="J23" s="922"/>
      <c r="L23" s="2496" t="b">
        <f t="shared" ca="1" si="0"/>
        <v>0</v>
      </c>
      <c r="M23" s="920" t="s">
        <v>4801</v>
      </c>
    </row>
    <row r="24" spans="4:13" ht="12" thickBot="1">
      <c r="D24" s="2" t="s">
        <v>3340</v>
      </c>
      <c r="E24" s="920" t="str">
        <f>IF(INDEX(capTotalRnDCost,xxIndexTeam)=0,"R&amp;D Focus:    CSD &amp; NCB: 0%    F&amp;S: 0%    Other: 0%","R&amp;D Focus:    CSD&amp;NCB: "&amp;TEXT((INDEX(capCSDRnD,xxIndexTeam)+INDEX(capNCBRnD,xxIndexTeam))/INDEX(capTotalRnDCost,xxIndexTeam),"#0.0%")&amp;"    F&amp;S: " &amp;TEXT(INDEX(capSnackRnD,xxIndexTeam)/INDEX(capTotalRnDCost,xxIndexTeam),"#0.0%")&amp;"    Other: "&amp;TEXT(INDEX(capDisruptRnD, xxIndexTeam)/INDEX(capTotalRnDCost,xxIndexTeam),"#0.0%"))</f>
        <v>R&amp;D Focus:    CSD &amp; NCB: 0%    F&amp;S: 0%    Other: 0%</v>
      </c>
      <c r="F24" s="921"/>
      <c r="G24" s="921"/>
      <c r="H24" s="921"/>
      <c r="I24" s="921"/>
      <c r="J24" s="922"/>
      <c r="L24" s="2496" t="b">
        <f t="shared" si="0"/>
        <v>1</v>
      </c>
      <c r="M24" s="920" t="s">
        <v>4802</v>
      </c>
    </row>
    <row r="25" spans="4:13" ht="12" thickBot="1">
      <c r="D25" s="2" t="s">
        <v>3339</v>
      </c>
      <c r="E25" s="920" t="str">
        <f ca="1">"Operations:    Plant Lines: " &amp;TEXT(INDEX(cbalPlant1Units,xxIndexTeam),"#,###")&amp;"    Vetera: "&amp;TEXT(INDEX(capPlant1Reg1Alloc, xxIndexTeam),"#0%")&amp;"    Escendia: "&amp;TEXT(INDEX(capPlant1Reg2Alloc, xxIndexTeam),"#0%")&amp;"   Plant Efficiency: "&amp;TEXT(INDEX(paramPlant1Efficiency,xxIndexTeam),"##.0%")</f>
        <v>Operations:    Plant Lines: 931    Vetera: 66%    Escendia: 34%   Plant Efficiency: 76.5%</v>
      </c>
      <c r="F25" s="921"/>
      <c r="G25" s="921"/>
      <c r="H25" s="921"/>
      <c r="I25" s="921"/>
      <c r="J25" s="922"/>
      <c r="L25" s="2496" t="b">
        <f t="shared" ca="1" si="0"/>
        <v>0</v>
      </c>
      <c r="M25" s="920" t="s">
        <v>4803</v>
      </c>
    </row>
    <row r="26" spans="4:13" ht="12" thickBot="1">
      <c r="D26" s="2" t="s">
        <v>2267</v>
      </c>
      <c r="E26" s="920" t="str">
        <f ca="1">"Global Shared Services:   Ending Cash: " &amp;TEXT(INDEX(finCashClosingValue,xxIndexTeam),"$#,###,")&amp;"   Talent (Sustainability): "&amp;TEXT(INDEX(capSustTalent, xxIndexTeam),"###.0")&amp;"   CAPEX: "&amp;TEXT(-INDEX(finCashFlowInvest, xxIndexTeam),"$#,###,")&amp;"   Long Term Debt: "&amp;TEXT(INDEX(cbalLTDebtValue, xxIndexTeam),"$#,###,")</f>
        <v>Global Shared Services:   Ending Cash: $6,695,626   Talent (Sustainability): 99.9   CAPEX: $999,556   Long Term Debt: $3,110,000</v>
      </c>
      <c r="F26" s="921"/>
      <c r="G26" s="921"/>
      <c r="H26" s="921"/>
      <c r="I26" s="921"/>
      <c r="J26" s="922"/>
      <c r="L26" s="2496" t="b">
        <f t="shared" ca="1" si="0"/>
        <v>0</v>
      </c>
      <c r="M26" s="920" t="s">
        <v>4804</v>
      </c>
    </row>
    <row r="27" spans="4:13" ht="12" thickBot="1">
      <c r="D27" s="2" t="s">
        <v>1151</v>
      </c>
      <c r="E27" s="920"/>
      <c r="F27" s="921"/>
      <c r="G27" s="921"/>
      <c r="H27" s="921"/>
      <c r="I27" s="921"/>
      <c r="J27" s="922"/>
    </row>
    <row r="28" spans="4:13">
      <c r="D28" s="2"/>
    </row>
    <row r="29" spans="4:13">
      <c r="D29" s="2" t="s">
        <v>1857</v>
      </c>
      <c r="E29" s="356"/>
    </row>
    <row r="31" spans="4:13">
      <c r="D31" s="2" t="s">
        <v>402</v>
      </c>
      <c r="E31" s="358"/>
    </row>
    <row r="32" spans="4:13">
      <c r="D32" s="196"/>
    </row>
    <row r="33" spans="4:12">
      <c r="D33" s="2" t="s">
        <v>1093</v>
      </c>
    </row>
    <row r="40" spans="4:12" ht="12" thickBot="1">
      <c r="D40" s="2" t="s">
        <v>3910</v>
      </c>
    </row>
    <row r="41" spans="4:12">
      <c r="D41" s="378"/>
      <c r="E41" s="194"/>
      <c r="F41" s="194"/>
      <c r="G41" s="194"/>
      <c r="H41" s="194"/>
      <c r="I41" s="194"/>
      <c r="J41" s="194"/>
      <c r="K41" s="194"/>
      <c r="L41" s="195"/>
    </row>
    <row r="42" spans="4:12">
      <c r="D42" s="52" t="s">
        <v>1350</v>
      </c>
      <c r="E42" s="127"/>
      <c r="F42" s="21" t="s">
        <v>674</v>
      </c>
      <c r="G42" s="21"/>
      <c r="H42" s="21"/>
      <c r="I42" s="373"/>
      <c r="K42" s="391"/>
      <c r="L42" s="133"/>
    </row>
    <row r="43" spans="4:12">
      <c r="D43" s="52" t="s">
        <v>1351</v>
      </c>
      <c r="E43" s="400"/>
      <c r="F43" s="21" t="s">
        <v>662</v>
      </c>
      <c r="G43" s="21"/>
      <c r="H43" s="21"/>
      <c r="I43" s="379"/>
      <c r="K43" s="392"/>
      <c r="L43" s="133"/>
    </row>
    <row r="44" spans="4:12">
      <c r="D44" s="52" t="s">
        <v>678</v>
      </c>
      <c r="E44" s="861"/>
      <c r="F44" s="21" t="s">
        <v>2093</v>
      </c>
      <c r="G44" s="21"/>
      <c r="H44" s="21"/>
      <c r="I44" s="380"/>
      <c r="K44" s="131"/>
      <c r="L44" s="133"/>
    </row>
    <row r="45" spans="4:12">
      <c r="D45" s="52" t="s">
        <v>1216</v>
      </c>
      <c r="E45" s="62" t="s">
        <v>677</v>
      </c>
      <c r="F45" s="21" t="s">
        <v>663</v>
      </c>
      <c r="G45" s="21"/>
      <c r="H45" s="21"/>
      <c r="I45" s="62" t="s">
        <v>677</v>
      </c>
      <c r="K45" s="2" t="s">
        <v>677</v>
      </c>
      <c r="L45" s="133"/>
    </row>
    <row r="46" spans="4:12" ht="19.5">
      <c r="D46" s="52" t="s">
        <v>675</v>
      </c>
      <c r="E46" s="401" t="s">
        <v>677</v>
      </c>
      <c r="F46" s="21" t="s">
        <v>676</v>
      </c>
      <c r="G46" s="21"/>
      <c r="H46" s="21"/>
      <c r="I46" s="381" t="s">
        <v>677</v>
      </c>
      <c r="K46" s="2" t="s">
        <v>677</v>
      </c>
      <c r="L46" s="133"/>
    </row>
    <row r="47" spans="4:12" ht="13.5" thickBot="1">
      <c r="D47" s="52"/>
      <c r="E47" s="382"/>
      <c r="F47" s="21"/>
      <c r="G47" s="21"/>
      <c r="H47" s="21"/>
      <c r="I47" s="382"/>
      <c r="L47" s="133"/>
    </row>
    <row r="48" spans="4:12" ht="12.75" thickTop="1" thickBot="1">
      <c r="D48" s="52" t="s">
        <v>1221</v>
      </c>
      <c r="E48" s="374"/>
      <c r="F48" s="21" t="s">
        <v>664</v>
      </c>
      <c r="G48" s="21"/>
      <c r="H48" s="21"/>
      <c r="I48" s="374"/>
      <c r="K48" s="376"/>
      <c r="L48" s="133"/>
    </row>
    <row r="49" spans="4:12" ht="12.75" thickTop="1" thickBot="1">
      <c r="D49" s="52"/>
      <c r="E49" s="21"/>
      <c r="F49" s="21"/>
      <c r="G49" s="21"/>
      <c r="H49" s="21"/>
      <c r="I49" s="21"/>
      <c r="K49" s="21"/>
      <c r="L49" s="133"/>
    </row>
    <row r="50" spans="4:12" ht="12.75" thickTop="1" thickBot="1">
      <c r="D50" s="52" t="s">
        <v>3971</v>
      </c>
      <c r="E50" s="5"/>
      <c r="F50" s="21" t="s">
        <v>2094</v>
      </c>
      <c r="G50" s="21"/>
      <c r="H50" s="21"/>
      <c r="I50" s="375"/>
      <c r="K50" s="376"/>
      <c r="L50" s="133"/>
    </row>
    <row r="51" spans="4:12">
      <c r="D51" s="52"/>
      <c r="E51" s="21"/>
      <c r="F51" s="21"/>
      <c r="G51" s="21"/>
      <c r="H51" s="21"/>
      <c r="I51" s="21"/>
      <c r="L51" s="133"/>
    </row>
    <row r="52" spans="4:12">
      <c r="D52" s="52" t="s">
        <v>1217</v>
      </c>
      <c r="E52" s="373"/>
      <c r="F52" s="21" t="s">
        <v>665</v>
      </c>
      <c r="G52" s="21"/>
      <c r="H52" s="21"/>
      <c r="I52" s="127"/>
      <c r="K52" s="392"/>
      <c r="L52" s="133"/>
    </row>
    <row r="53" spans="4:12">
      <c r="D53" s="52" t="s">
        <v>2213</v>
      </c>
      <c r="E53" s="862"/>
      <c r="F53" s="21" t="s">
        <v>3975</v>
      </c>
      <c r="G53" s="21"/>
      <c r="H53" s="21"/>
      <c r="I53" s="383"/>
      <c r="K53" s="393"/>
      <c r="L53" s="133"/>
    </row>
    <row r="54" spans="4:12">
      <c r="D54" s="52" t="s">
        <v>1218</v>
      </c>
      <c r="E54" s="384" t="s">
        <v>677</v>
      </c>
      <c r="F54" s="21" t="s">
        <v>666</v>
      </c>
      <c r="G54" s="21"/>
      <c r="H54" s="21"/>
      <c r="I54" s="384" t="s">
        <v>677</v>
      </c>
      <c r="K54" s="2" t="s">
        <v>677</v>
      </c>
      <c r="L54" s="133"/>
    </row>
    <row r="55" spans="4:12" ht="16.5">
      <c r="D55" s="52" t="s">
        <v>3969</v>
      </c>
      <c r="E55" s="385" t="s">
        <v>677</v>
      </c>
      <c r="F55" s="21" t="s">
        <v>3974</v>
      </c>
      <c r="G55" s="21"/>
      <c r="H55" s="21"/>
      <c r="I55" s="385" t="s">
        <v>677</v>
      </c>
      <c r="K55" s="2" t="s">
        <v>677</v>
      </c>
      <c r="L55" s="133"/>
    </row>
    <row r="56" spans="4:12" ht="17.25" thickBot="1">
      <c r="D56" s="52"/>
      <c r="E56" s="385"/>
      <c r="F56" s="21"/>
      <c r="G56" s="21"/>
      <c r="H56" s="21"/>
      <c r="I56" s="385"/>
      <c r="L56" s="133"/>
    </row>
    <row r="57" spans="4:12" ht="12" thickBot="1">
      <c r="D57" s="52" t="s">
        <v>1222</v>
      </c>
      <c r="E57" s="5"/>
      <c r="F57" s="21" t="s">
        <v>667</v>
      </c>
      <c r="G57" s="21"/>
      <c r="H57" s="21"/>
      <c r="I57" s="376"/>
      <c r="K57" s="376"/>
      <c r="L57" s="133"/>
    </row>
    <row r="58" spans="4:12" ht="12" thickBot="1">
      <c r="D58" s="52"/>
      <c r="E58" s="21"/>
      <c r="F58" s="21"/>
      <c r="G58" s="21"/>
      <c r="H58" s="21"/>
      <c r="I58" s="21"/>
      <c r="L58" s="133"/>
    </row>
    <row r="59" spans="4:12" ht="12" thickBot="1">
      <c r="D59" s="52" t="s">
        <v>3972</v>
      </c>
      <c r="E59" s="5"/>
      <c r="F59" s="21" t="s">
        <v>3973</v>
      </c>
      <c r="G59" s="21"/>
      <c r="H59" s="21"/>
      <c r="I59" s="377"/>
      <c r="K59" s="376"/>
      <c r="L59" s="133"/>
    </row>
    <row r="60" spans="4:12">
      <c r="D60" s="52"/>
      <c r="E60" s="21"/>
      <c r="F60" s="21"/>
      <c r="G60" s="21"/>
      <c r="H60" s="21"/>
      <c r="I60" s="21"/>
      <c r="L60" s="133"/>
    </row>
    <row r="61" spans="4:12">
      <c r="D61" s="52" t="s">
        <v>661</v>
      </c>
      <c r="E61" s="369"/>
      <c r="F61" s="21" t="s">
        <v>668</v>
      </c>
      <c r="G61" s="21"/>
      <c r="H61" s="21"/>
      <c r="I61" s="369"/>
      <c r="K61" s="394"/>
      <c r="L61" s="133"/>
    </row>
    <row r="62" spans="4:12" ht="12">
      <c r="D62" s="52" t="s">
        <v>2866</v>
      </c>
      <c r="E62" s="386" t="s">
        <v>677</v>
      </c>
      <c r="F62" s="21" t="s">
        <v>669</v>
      </c>
      <c r="G62" s="21"/>
      <c r="H62" s="21"/>
      <c r="I62" s="386" t="s">
        <v>677</v>
      </c>
      <c r="K62" s="2" t="s">
        <v>677</v>
      </c>
      <c r="L62" s="133"/>
    </row>
    <row r="63" spans="4:12" ht="12.75" thickBot="1">
      <c r="D63" s="52"/>
      <c r="E63" s="386"/>
      <c r="F63" s="21"/>
      <c r="G63" s="21"/>
      <c r="H63" s="21"/>
      <c r="I63" s="386"/>
      <c r="L63" s="133"/>
    </row>
    <row r="64" spans="4:12" ht="12" thickBot="1">
      <c r="D64" s="52" t="s">
        <v>2867</v>
      </c>
      <c r="E64" s="5"/>
      <c r="F64" s="21" t="s">
        <v>670</v>
      </c>
      <c r="G64" s="21"/>
      <c r="H64" s="21"/>
      <c r="I64" s="387"/>
      <c r="K64" s="376"/>
      <c r="L64" s="133"/>
    </row>
    <row r="65" spans="1:20">
      <c r="D65" s="52"/>
      <c r="E65" s="21"/>
      <c r="F65" s="21"/>
      <c r="G65" s="21"/>
      <c r="H65" s="21"/>
      <c r="I65" s="21"/>
      <c r="L65" s="133"/>
    </row>
    <row r="66" spans="1:20">
      <c r="D66" s="52" t="s">
        <v>2868</v>
      </c>
      <c r="E66" s="396"/>
      <c r="F66" s="21" t="s">
        <v>673</v>
      </c>
      <c r="G66" s="21"/>
      <c r="H66" s="21"/>
      <c r="I66" s="390"/>
      <c r="K66" s="119"/>
      <c r="L66" s="133"/>
    </row>
    <row r="67" spans="1:20" ht="20.25">
      <c r="D67" s="52" t="s">
        <v>3909</v>
      </c>
      <c r="E67" s="389" t="s">
        <v>677</v>
      </c>
      <c r="F67" s="21" t="s">
        <v>671</v>
      </c>
      <c r="G67" s="21"/>
      <c r="H67" s="21"/>
      <c r="I67" s="389" t="s">
        <v>677</v>
      </c>
      <c r="K67" s="2" t="s">
        <v>677</v>
      </c>
      <c r="L67" s="133"/>
    </row>
    <row r="68" spans="1:20" ht="12" thickBot="1">
      <c r="D68" s="52"/>
      <c r="E68" s="21"/>
      <c r="F68" s="21"/>
      <c r="G68" s="21"/>
      <c r="H68" s="21"/>
      <c r="I68" s="21"/>
      <c r="L68" s="133"/>
    </row>
    <row r="69" spans="1:20" ht="12.75" thickTop="1" thickBot="1">
      <c r="D69" s="52" t="s">
        <v>672</v>
      </c>
      <c r="E69" s="388"/>
      <c r="F69" s="21" t="s">
        <v>697</v>
      </c>
      <c r="G69" s="21"/>
      <c r="H69" s="21"/>
      <c r="I69" s="388"/>
      <c r="K69" s="5"/>
      <c r="L69" s="133"/>
    </row>
    <row r="70" spans="1:20" ht="12" thickTop="1">
      <c r="D70" s="132"/>
      <c r="E70" s="21"/>
      <c r="F70" s="21"/>
      <c r="G70" s="21"/>
      <c r="H70" s="21"/>
      <c r="I70" s="21"/>
      <c r="K70" s="21"/>
      <c r="L70" s="133"/>
    </row>
    <row r="71" spans="1:20" ht="12" thickBot="1">
      <c r="D71" s="134"/>
      <c r="E71" s="135"/>
      <c r="F71" s="135"/>
      <c r="G71" s="135"/>
      <c r="H71" s="135"/>
      <c r="I71" s="135"/>
      <c r="J71" s="135"/>
      <c r="K71" s="135"/>
      <c r="L71" s="136"/>
    </row>
    <row r="73" spans="1:20" ht="12" thickBot="1"/>
    <row r="74" spans="1:20">
      <c r="A74" s="2" t="s">
        <v>3874</v>
      </c>
      <c r="D74" s="193" t="s">
        <v>3434</v>
      </c>
      <c r="E74" s="194" t="s">
        <v>2120</v>
      </c>
      <c r="F74" s="194" t="s">
        <v>1656</v>
      </c>
      <c r="G74" s="194"/>
      <c r="H74" s="194"/>
      <c r="I74" s="194"/>
      <c r="J74" s="195"/>
      <c r="S74" s="126"/>
      <c r="T74" s="126"/>
    </row>
    <row r="75" spans="1:20">
      <c r="D75" s="132" t="s">
        <v>1655</v>
      </c>
      <c r="E75" s="210" t="s">
        <v>1656</v>
      </c>
      <c r="F75" s="21"/>
      <c r="G75" s="21"/>
      <c r="H75" s="21"/>
      <c r="I75" s="21"/>
      <c r="J75" s="133"/>
      <c r="S75" s="126"/>
      <c r="T75" s="126"/>
    </row>
    <row r="76" spans="1:20">
      <c r="D76" s="132"/>
      <c r="E76" s="21"/>
      <c r="F76" s="21"/>
      <c r="G76" s="21"/>
      <c r="H76" s="21"/>
      <c r="I76" s="21"/>
      <c r="J76" s="133"/>
      <c r="S76" s="126"/>
      <c r="T76" s="126"/>
    </row>
    <row r="77" spans="1:20">
      <c r="D77" s="132"/>
      <c r="E77" s="21" t="s">
        <v>3875</v>
      </c>
      <c r="F77" s="21" t="s">
        <v>3877</v>
      </c>
      <c r="G77" s="21" t="s">
        <v>2121</v>
      </c>
      <c r="H77" s="21"/>
      <c r="I77" s="21"/>
      <c r="J77" s="133"/>
      <c r="S77" s="126"/>
      <c r="T77" s="126"/>
    </row>
    <row r="78" spans="1:20">
      <c r="D78" s="132" t="s">
        <v>3874</v>
      </c>
      <c r="E78" s="210" t="s">
        <v>1657</v>
      </c>
      <c r="F78" s="21">
        <v>1</v>
      </c>
      <c r="G78" s="21" t="b">
        <v>1</v>
      </c>
      <c r="H78" s="21"/>
      <c r="I78" s="21"/>
      <c r="J78" s="133"/>
      <c r="S78" s="126"/>
      <c r="T78" s="126"/>
    </row>
    <row r="79" spans="1:20">
      <c r="D79" s="132"/>
      <c r="E79" s="21" t="s">
        <v>1658</v>
      </c>
      <c r="F79" s="21">
        <v>2</v>
      </c>
      <c r="G79" s="21" t="b">
        <v>1</v>
      </c>
      <c r="H79" s="21"/>
      <c r="I79" s="21"/>
      <c r="J79" s="133"/>
      <c r="S79" s="126"/>
      <c r="T79" s="126"/>
    </row>
    <row r="80" spans="1:20">
      <c r="D80" s="132"/>
      <c r="E80" s="21" t="s">
        <v>1659</v>
      </c>
      <c r="F80" s="21">
        <v>3</v>
      </c>
      <c r="G80" s="21" t="b">
        <v>1</v>
      </c>
      <c r="H80" s="21"/>
      <c r="I80" s="21"/>
      <c r="J80" s="133"/>
      <c r="S80" s="126"/>
      <c r="T80" s="126"/>
    </row>
    <row r="81" spans="4:20">
      <c r="D81" s="132"/>
      <c r="E81" s="21" t="s">
        <v>1660</v>
      </c>
      <c r="F81" s="21">
        <v>4</v>
      </c>
      <c r="G81" s="21" t="b">
        <v>1</v>
      </c>
      <c r="H81" s="21"/>
      <c r="I81" s="21"/>
      <c r="J81" s="133"/>
      <c r="S81" s="126"/>
      <c r="T81" s="126"/>
    </row>
    <row r="82" spans="4:20">
      <c r="D82" s="132"/>
      <c r="E82" s="369"/>
      <c r="F82" s="369"/>
      <c r="G82" s="369"/>
      <c r="H82" s="369"/>
      <c r="I82" s="369"/>
      <c r="J82" s="370"/>
      <c r="S82" s="126"/>
      <c r="T82" s="126"/>
    </row>
    <row r="83" spans="4:20">
      <c r="D83" s="132" t="s">
        <v>3876</v>
      </c>
      <c r="E83" s="21" t="s">
        <v>3878</v>
      </c>
      <c r="F83" s="21" t="s">
        <v>3877</v>
      </c>
      <c r="G83" s="21" t="s">
        <v>3878</v>
      </c>
      <c r="H83" s="21" t="s">
        <v>2118</v>
      </c>
      <c r="I83" s="21" t="s">
        <v>2121</v>
      </c>
      <c r="J83" s="133" t="s">
        <v>3897</v>
      </c>
      <c r="S83" s="126"/>
      <c r="T83" s="126"/>
    </row>
    <row r="84" spans="4:20">
      <c r="D84" s="132"/>
      <c r="E84" s="210" t="s">
        <v>1062</v>
      </c>
      <c r="F84" s="21">
        <v>1</v>
      </c>
      <c r="G84" s="21">
        <v>1</v>
      </c>
      <c r="H84" s="21"/>
      <c r="I84" s="21" t="b">
        <v>1</v>
      </c>
      <c r="J84" s="133">
        <v>0</v>
      </c>
      <c r="S84" s="126"/>
      <c r="T84" s="126"/>
    </row>
    <row r="85" spans="4:20">
      <c r="D85" s="132"/>
      <c r="E85" s="21" t="s">
        <v>3949</v>
      </c>
      <c r="F85" s="21">
        <v>1</v>
      </c>
      <c r="G85" s="21">
        <v>2</v>
      </c>
      <c r="H85" s="21" t="s">
        <v>3950</v>
      </c>
      <c r="I85" s="21" t="b">
        <v>1</v>
      </c>
      <c r="J85" s="133" t="b">
        <v>1</v>
      </c>
      <c r="S85" s="126"/>
      <c r="T85" s="126"/>
    </row>
    <row r="86" spans="4:20">
      <c r="D86" s="132"/>
      <c r="E86" s="21" t="s">
        <v>2422</v>
      </c>
      <c r="F86" s="21">
        <v>1</v>
      </c>
      <c r="G86" s="21">
        <v>3</v>
      </c>
      <c r="H86" s="21" t="s">
        <v>2426</v>
      </c>
      <c r="I86" s="21" t="b">
        <v>1</v>
      </c>
      <c r="J86" s="133">
        <v>0</v>
      </c>
      <c r="S86" s="126"/>
      <c r="T86" s="126"/>
    </row>
    <row r="87" spans="4:20">
      <c r="D87" s="132"/>
      <c r="E87" s="21" t="s">
        <v>2423</v>
      </c>
      <c r="F87" s="21">
        <v>1</v>
      </c>
      <c r="G87" s="21">
        <v>4</v>
      </c>
      <c r="H87" s="21" t="s">
        <v>2427</v>
      </c>
      <c r="I87" s="21" t="b">
        <v>1</v>
      </c>
      <c r="J87" s="133">
        <v>0</v>
      </c>
      <c r="S87" s="126"/>
      <c r="T87" s="126"/>
    </row>
    <row r="88" spans="4:20">
      <c r="D88" s="132"/>
      <c r="E88" s="21" t="s">
        <v>2431</v>
      </c>
      <c r="F88" s="21">
        <v>1</v>
      </c>
      <c r="G88" s="21">
        <v>5</v>
      </c>
      <c r="H88" s="21" t="s">
        <v>2429</v>
      </c>
      <c r="I88" s="21" t="b">
        <v>1</v>
      </c>
      <c r="J88" s="133">
        <v>0</v>
      </c>
      <c r="S88" s="126"/>
      <c r="T88" s="126"/>
    </row>
    <row r="89" spans="4:20">
      <c r="D89" s="132"/>
      <c r="E89" s="21" t="s">
        <v>2424</v>
      </c>
      <c r="F89" s="21">
        <v>1</v>
      </c>
      <c r="G89" s="21">
        <v>6</v>
      </c>
      <c r="H89" s="21" t="s">
        <v>2483</v>
      </c>
      <c r="I89" s="21" t="b">
        <v>1</v>
      </c>
      <c r="J89" s="133">
        <v>0</v>
      </c>
      <c r="S89" s="126"/>
      <c r="T89" s="126"/>
    </row>
    <row r="90" spans="4:20">
      <c r="D90" s="132"/>
      <c r="E90" s="21" t="s">
        <v>2425</v>
      </c>
      <c r="F90" s="21">
        <v>1</v>
      </c>
      <c r="G90" s="21">
        <v>7</v>
      </c>
      <c r="H90" s="21" t="s">
        <v>2428</v>
      </c>
      <c r="I90" s="21" t="b">
        <v>1</v>
      </c>
      <c r="J90" s="133">
        <v>0</v>
      </c>
      <c r="S90" s="126"/>
      <c r="T90" s="126"/>
    </row>
    <row r="91" spans="4:20">
      <c r="D91" s="132"/>
      <c r="E91" s="21" t="s">
        <v>1700</v>
      </c>
      <c r="F91" s="21">
        <v>1</v>
      </c>
      <c r="G91" s="21">
        <v>8</v>
      </c>
      <c r="H91" s="149" t="s">
        <v>1701</v>
      </c>
      <c r="I91" s="21" t="b">
        <v>1</v>
      </c>
      <c r="J91" s="133">
        <v>0</v>
      </c>
      <c r="S91" s="126"/>
      <c r="T91" s="126"/>
    </row>
    <row r="92" spans="4:20">
      <c r="D92" s="132"/>
      <c r="E92" s="21" t="s">
        <v>2358</v>
      </c>
      <c r="F92" s="21">
        <v>1</v>
      </c>
      <c r="G92" s="21">
        <v>9</v>
      </c>
      <c r="H92" s="21" t="s">
        <v>3951</v>
      </c>
      <c r="I92" s="21" t="b">
        <v>1</v>
      </c>
      <c r="J92" s="133" t="b">
        <v>1</v>
      </c>
      <c r="S92" s="126"/>
      <c r="T92" s="126"/>
    </row>
    <row r="93" spans="4:20">
      <c r="D93" s="132"/>
      <c r="E93" s="21" t="s">
        <v>2359</v>
      </c>
      <c r="F93" s="21">
        <v>2</v>
      </c>
      <c r="G93" s="21">
        <v>1</v>
      </c>
      <c r="H93" s="149"/>
      <c r="I93" s="21" t="b">
        <v>1</v>
      </c>
      <c r="J93" s="133">
        <v>0</v>
      </c>
      <c r="S93" s="126"/>
      <c r="T93" s="126"/>
    </row>
    <row r="94" spans="4:20">
      <c r="D94" s="132"/>
      <c r="E94" s="21" t="s">
        <v>2302</v>
      </c>
      <c r="F94" s="21">
        <v>2</v>
      </c>
      <c r="G94" s="21">
        <v>2</v>
      </c>
      <c r="H94" s="21" t="s">
        <v>2574</v>
      </c>
      <c r="I94" s="21" t="b">
        <v>1</v>
      </c>
      <c r="J94" s="133">
        <v>0</v>
      </c>
      <c r="S94" s="126"/>
      <c r="T94" s="126"/>
    </row>
    <row r="95" spans="4:20" ht="12" customHeight="1">
      <c r="D95" s="132"/>
      <c r="E95" s="21" t="s">
        <v>2303</v>
      </c>
      <c r="F95" s="21">
        <v>2</v>
      </c>
      <c r="G95" s="21">
        <v>3</v>
      </c>
      <c r="H95" s="21" t="s">
        <v>2575</v>
      </c>
      <c r="I95" s="21" t="b">
        <v>1</v>
      </c>
      <c r="J95" s="133">
        <v>0</v>
      </c>
      <c r="M95" s="126"/>
      <c r="N95" s="126"/>
    </row>
    <row r="96" spans="4:20">
      <c r="D96" s="132"/>
      <c r="E96" s="21" t="s">
        <v>582</v>
      </c>
      <c r="F96" s="21">
        <v>3</v>
      </c>
      <c r="G96" s="21">
        <v>1</v>
      </c>
      <c r="H96" t="s">
        <v>3158</v>
      </c>
      <c r="I96" s="21" t="b">
        <v>1</v>
      </c>
      <c r="J96" s="133">
        <v>0</v>
      </c>
      <c r="M96" s="126"/>
      <c r="N96" s="126"/>
    </row>
    <row r="97" spans="4:20">
      <c r="D97" s="132"/>
      <c r="E97" s="21" t="s">
        <v>3873</v>
      </c>
      <c r="F97" s="21">
        <v>3</v>
      </c>
      <c r="G97" s="21">
        <v>2</v>
      </c>
      <c r="H97" t="s">
        <v>2666</v>
      </c>
      <c r="I97" s="21" t="b">
        <v>1</v>
      </c>
      <c r="J97" s="133">
        <v>0</v>
      </c>
      <c r="M97" s="126"/>
      <c r="N97" s="126"/>
    </row>
    <row r="98" spans="4:20">
      <c r="D98" s="132"/>
      <c r="E98" s="21" t="s">
        <v>2304</v>
      </c>
      <c r="F98" s="21">
        <v>4</v>
      </c>
      <c r="G98" s="21">
        <v>1</v>
      </c>
      <c r="H98" s="21" t="s">
        <v>2306</v>
      </c>
      <c r="I98" s="21" t="b">
        <v>1</v>
      </c>
      <c r="J98" s="133">
        <v>0</v>
      </c>
      <c r="M98" s="126"/>
      <c r="N98" s="126"/>
    </row>
    <row r="99" spans="4:20">
      <c r="D99" s="132"/>
      <c r="E99" s="21" t="s">
        <v>1904</v>
      </c>
      <c r="F99" s="21">
        <v>4</v>
      </c>
      <c r="G99" s="21">
        <v>2</v>
      </c>
      <c r="H99" s="21" t="s">
        <v>565</v>
      </c>
      <c r="I99" s="21" t="b">
        <v>1</v>
      </c>
      <c r="J99" s="133">
        <v>0</v>
      </c>
      <c r="M99" s="126"/>
      <c r="N99" s="126"/>
    </row>
    <row r="100" spans="4:20">
      <c r="D100" s="132"/>
      <c r="E100" s="21" t="s">
        <v>2305</v>
      </c>
      <c r="F100" s="21">
        <v>4</v>
      </c>
      <c r="G100" s="21">
        <v>3</v>
      </c>
      <c r="H100" s="21" t="s">
        <v>3433</v>
      </c>
      <c r="I100" s="21" t="b">
        <v>1</v>
      </c>
      <c r="J100" s="133">
        <v>0</v>
      </c>
      <c r="M100" s="126"/>
      <c r="N100" s="126"/>
    </row>
    <row r="101" spans="4:20">
      <c r="D101" s="132"/>
      <c r="E101" s="369"/>
      <c r="F101" s="369"/>
      <c r="G101" s="369"/>
      <c r="H101" s="369"/>
      <c r="I101" s="369"/>
      <c r="J101" s="370"/>
      <c r="M101" s="126"/>
      <c r="N101" s="126"/>
    </row>
    <row r="102" spans="4:20">
      <c r="D102" s="132" t="s">
        <v>3898</v>
      </c>
      <c r="E102" s="21" t="s">
        <v>3899</v>
      </c>
      <c r="F102" s="21" t="s">
        <v>3877</v>
      </c>
      <c r="G102" s="21" t="s">
        <v>3878</v>
      </c>
      <c r="H102" s="21" t="s">
        <v>2118</v>
      </c>
      <c r="I102" s="21" t="s">
        <v>2121</v>
      </c>
      <c r="J102" s="133"/>
      <c r="M102" s="126"/>
      <c r="N102" s="126"/>
    </row>
    <row r="103" spans="4:20">
      <c r="D103" s="132"/>
      <c r="E103" s="210" t="s">
        <v>1061</v>
      </c>
      <c r="F103" s="149">
        <v>1</v>
      </c>
      <c r="G103" s="149">
        <v>1</v>
      </c>
      <c r="H103" s="149" t="s">
        <v>2189</v>
      </c>
      <c r="I103" s="21" t="b">
        <v>1</v>
      </c>
      <c r="J103" s="133">
        <v>0</v>
      </c>
      <c r="M103" s="126"/>
      <c r="N103" s="126"/>
    </row>
    <row r="104" spans="4:20">
      <c r="D104" s="132"/>
      <c r="E104" s="21" t="s">
        <v>3576</v>
      </c>
      <c r="F104" s="149">
        <v>1</v>
      </c>
      <c r="G104" s="149">
        <v>1</v>
      </c>
      <c r="H104" s="149" t="s">
        <v>3578</v>
      </c>
      <c r="I104" s="21" t="b">
        <v>1</v>
      </c>
      <c r="J104" s="133">
        <v>0</v>
      </c>
      <c r="M104" s="126"/>
      <c r="N104" s="126"/>
    </row>
    <row r="105" spans="4:20">
      <c r="D105" s="132"/>
      <c r="E105" s="149" t="s">
        <v>3577</v>
      </c>
      <c r="F105" s="149">
        <v>1</v>
      </c>
      <c r="G105" s="149">
        <v>1</v>
      </c>
      <c r="H105" s="149" t="s">
        <v>1060</v>
      </c>
      <c r="I105" s="21" t="b">
        <v>1</v>
      </c>
      <c r="J105" s="133">
        <v>0</v>
      </c>
      <c r="M105" s="126"/>
      <c r="N105" s="126"/>
    </row>
    <row r="106" spans="4:20">
      <c r="D106" s="132"/>
      <c r="E106" s="149" t="s">
        <v>2359</v>
      </c>
      <c r="F106" s="21">
        <v>2</v>
      </c>
      <c r="G106" s="21">
        <v>1</v>
      </c>
      <c r="H106" s="21" t="s">
        <v>2119</v>
      </c>
      <c r="I106" s="21" t="b">
        <v>1</v>
      </c>
      <c r="J106" s="133">
        <v>0</v>
      </c>
      <c r="M106" s="126"/>
      <c r="N106" s="126"/>
    </row>
    <row r="107" spans="4:20">
      <c r="D107" s="132"/>
      <c r="E107" s="21" t="s">
        <v>3883</v>
      </c>
      <c r="F107" s="21">
        <v>2</v>
      </c>
      <c r="G107" s="21">
        <v>1</v>
      </c>
      <c r="H107" s="21" t="s">
        <v>1879</v>
      </c>
      <c r="I107" s="21" t="b">
        <v>1</v>
      </c>
      <c r="J107" s="133">
        <v>0</v>
      </c>
      <c r="M107" s="126"/>
      <c r="N107" s="126"/>
    </row>
    <row r="108" spans="4:20">
      <c r="D108" s="132"/>
      <c r="E108" s="21" t="s">
        <v>3884</v>
      </c>
      <c r="F108" s="21">
        <v>2</v>
      </c>
      <c r="G108" s="21">
        <v>1</v>
      </c>
      <c r="H108" s="21" t="s">
        <v>3157</v>
      </c>
      <c r="I108" s="21" t="b">
        <v>1</v>
      </c>
      <c r="J108" s="133">
        <v>0</v>
      </c>
      <c r="M108" s="126"/>
      <c r="N108" s="126"/>
    </row>
    <row r="109" spans="4:20" ht="12" thickBot="1">
      <c r="D109" s="134"/>
      <c r="E109" s="371"/>
      <c r="F109" s="371"/>
      <c r="G109" s="371"/>
      <c r="H109" s="371"/>
      <c r="I109" s="371"/>
      <c r="J109" s="372"/>
      <c r="S109" s="126"/>
      <c r="T109" s="126"/>
    </row>
    <row r="110" spans="4:20" ht="12" thickBot="1">
      <c r="S110" s="126"/>
      <c r="T110" s="126"/>
    </row>
    <row r="111" spans="4:20">
      <c r="D111" s="193" t="s">
        <v>3435</v>
      </c>
      <c r="E111" s="194" t="s">
        <v>2120</v>
      </c>
      <c r="F111" s="194" t="s">
        <v>381</v>
      </c>
      <c r="G111" s="194"/>
      <c r="H111" s="194"/>
      <c r="I111" s="194"/>
      <c r="J111" s="195"/>
      <c r="S111" s="126"/>
      <c r="T111" s="126"/>
    </row>
    <row r="112" spans="4:20">
      <c r="D112" s="132" t="s">
        <v>1655</v>
      </c>
      <c r="E112" s="210"/>
      <c r="F112" s="21"/>
      <c r="G112" s="21"/>
      <c r="H112" s="21"/>
      <c r="I112" s="21"/>
      <c r="J112" s="133"/>
      <c r="S112" s="126"/>
      <c r="T112" s="126"/>
    </row>
    <row r="113" spans="4:20">
      <c r="D113" s="132"/>
      <c r="E113" s="21"/>
      <c r="F113" s="21"/>
      <c r="G113" s="21"/>
      <c r="H113" s="21"/>
      <c r="I113" s="21"/>
      <c r="J113" s="133"/>
      <c r="S113" s="126"/>
      <c r="T113" s="126"/>
    </row>
    <row r="114" spans="4:20">
      <c r="D114" s="132"/>
      <c r="E114" s="21" t="s">
        <v>3875</v>
      </c>
      <c r="F114" s="21" t="s">
        <v>3877</v>
      </c>
      <c r="G114" s="21" t="s">
        <v>2121</v>
      </c>
      <c r="H114" s="21"/>
      <c r="I114" s="21"/>
      <c r="J114" s="133"/>
      <c r="S114" s="126"/>
      <c r="T114" s="126"/>
    </row>
    <row r="115" spans="4:20">
      <c r="D115" s="132" t="s">
        <v>3874</v>
      </c>
      <c r="E115" s="210" t="s">
        <v>558</v>
      </c>
      <c r="F115" s="21">
        <v>1</v>
      </c>
      <c r="G115" s="21" t="b">
        <v>1</v>
      </c>
      <c r="H115" s="21"/>
      <c r="I115" s="21"/>
      <c r="J115" s="133"/>
      <c r="S115" s="126"/>
      <c r="T115" s="126"/>
    </row>
    <row r="116" spans="4:20">
      <c r="D116" s="132"/>
      <c r="E116" s="369"/>
      <c r="F116" s="369"/>
      <c r="G116" s="369"/>
      <c r="H116" s="369"/>
      <c r="I116" s="369"/>
      <c r="J116" s="370"/>
      <c r="S116" s="126"/>
      <c r="T116" s="126"/>
    </row>
    <row r="117" spans="4:20">
      <c r="D117" s="132" t="s">
        <v>3876</v>
      </c>
      <c r="E117" s="21" t="s">
        <v>3878</v>
      </c>
      <c r="F117" s="21" t="s">
        <v>3877</v>
      </c>
      <c r="G117" s="21" t="s">
        <v>3878</v>
      </c>
      <c r="H117" s="21" t="s">
        <v>2118</v>
      </c>
      <c r="I117" s="21" t="s">
        <v>2121</v>
      </c>
      <c r="J117" s="133" t="s">
        <v>3897</v>
      </c>
      <c r="S117" s="126"/>
      <c r="T117" s="126"/>
    </row>
    <row r="118" spans="4:20">
      <c r="D118" s="132"/>
      <c r="E118" s="210" t="s">
        <v>3436</v>
      </c>
      <c r="F118" s="21">
        <v>1</v>
      </c>
      <c r="G118" s="21">
        <v>1</v>
      </c>
      <c r="H118" s="21"/>
      <c r="I118" s="21" t="b">
        <v>1</v>
      </c>
      <c r="J118" s="133">
        <v>0</v>
      </c>
      <c r="S118" s="126"/>
      <c r="T118" s="126"/>
    </row>
    <row r="119" spans="4:20">
      <c r="D119" s="132"/>
      <c r="E119" s="21" t="s">
        <v>1809</v>
      </c>
      <c r="F119" s="21">
        <v>1</v>
      </c>
      <c r="G119" s="21">
        <v>2</v>
      </c>
      <c r="H119" s="21"/>
      <c r="I119" s="21" t="b">
        <v>1</v>
      </c>
      <c r="J119" s="133">
        <v>0</v>
      </c>
      <c r="S119" s="126"/>
      <c r="T119" s="126"/>
    </row>
    <row r="120" spans="4:20">
      <c r="D120" s="132"/>
      <c r="E120" s="21" t="s">
        <v>1646</v>
      </c>
      <c r="F120" s="21">
        <v>1</v>
      </c>
      <c r="G120" s="21">
        <v>3</v>
      </c>
      <c r="H120" s="21" t="s">
        <v>1336</v>
      </c>
      <c r="I120" s="21">
        <v>0</v>
      </c>
      <c r="J120" s="133">
        <v>0</v>
      </c>
      <c r="S120" s="126"/>
      <c r="T120" s="126"/>
    </row>
    <row r="121" spans="4:20">
      <c r="D121" s="132"/>
      <c r="E121" s="21" t="s">
        <v>2582</v>
      </c>
      <c r="F121" s="21">
        <v>1</v>
      </c>
      <c r="G121" s="21">
        <v>4</v>
      </c>
      <c r="H121" s="21" t="s">
        <v>1337</v>
      </c>
      <c r="I121" s="21">
        <v>0</v>
      </c>
      <c r="J121" s="133">
        <v>0</v>
      </c>
      <c r="S121" s="126"/>
      <c r="T121" s="126"/>
    </row>
    <row r="122" spans="4:20">
      <c r="D122" s="132"/>
      <c r="E122" s="21" t="s">
        <v>2583</v>
      </c>
      <c r="F122" s="21">
        <v>1</v>
      </c>
      <c r="G122" s="21">
        <v>5</v>
      </c>
      <c r="H122" s="21" t="s">
        <v>1338</v>
      </c>
      <c r="I122" s="21">
        <v>0</v>
      </c>
      <c r="J122" s="133">
        <v>0</v>
      </c>
      <c r="S122" s="126"/>
      <c r="T122" s="126"/>
    </row>
    <row r="123" spans="4:20">
      <c r="D123" s="132"/>
      <c r="E123" s="1571" t="s">
        <v>4785</v>
      </c>
      <c r="F123" s="21">
        <v>1</v>
      </c>
      <c r="G123" s="21">
        <v>6</v>
      </c>
      <c r="H123" s="21" t="s">
        <v>4187</v>
      </c>
      <c r="I123" s="21" t="b">
        <v>1</v>
      </c>
      <c r="J123" s="133" t="b">
        <v>1</v>
      </c>
      <c r="S123" s="126"/>
      <c r="T123" s="126"/>
    </row>
    <row r="124" spans="4:20">
      <c r="D124" s="132"/>
      <c r="E124" s="21" t="s">
        <v>2494</v>
      </c>
      <c r="F124" s="21">
        <v>1</v>
      </c>
      <c r="G124" s="21">
        <v>7</v>
      </c>
      <c r="H124" s="21" t="s">
        <v>1339</v>
      </c>
      <c r="I124" s="21" t="b">
        <v>1</v>
      </c>
      <c r="J124" s="133">
        <v>0</v>
      </c>
      <c r="S124" s="126"/>
      <c r="T124" s="126"/>
    </row>
    <row r="125" spans="4:20">
      <c r="D125" s="132"/>
      <c r="E125" s="21" t="s">
        <v>2585</v>
      </c>
      <c r="F125" s="21">
        <v>1</v>
      </c>
      <c r="G125" s="21">
        <v>8</v>
      </c>
      <c r="H125" s="21" t="s">
        <v>1340</v>
      </c>
      <c r="I125" s="21" t="b">
        <v>1</v>
      </c>
      <c r="J125" s="133" t="b">
        <v>1</v>
      </c>
      <c r="S125" s="126"/>
      <c r="T125" s="126"/>
    </row>
    <row r="126" spans="4:20">
      <c r="D126" s="132"/>
      <c r="E126" s="21" t="s">
        <v>2586</v>
      </c>
      <c r="F126" s="21">
        <v>1</v>
      </c>
      <c r="G126" s="21">
        <v>9</v>
      </c>
      <c r="H126" s="21"/>
      <c r="I126" s="21" t="b">
        <v>1</v>
      </c>
      <c r="J126" s="133">
        <v>0</v>
      </c>
      <c r="S126" s="126"/>
      <c r="T126" s="126"/>
    </row>
    <row r="127" spans="4:20">
      <c r="D127" s="132"/>
      <c r="E127" s="1571" t="s">
        <v>4786</v>
      </c>
      <c r="F127" s="21">
        <v>1</v>
      </c>
      <c r="G127" s="21">
        <v>10</v>
      </c>
      <c r="H127" s="21" t="s">
        <v>4188</v>
      </c>
      <c r="I127" s="21" t="b">
        <v>1</v>
      </c>
      <c r="J127" s="133">
        <v>0</v>
      </c>
      <c r="S127" s="126"/>
      <c r="T127" s="126"/>
    </row>
    <row r="128" spans="4:20">
      <c r="D128" s="132"/>
      <c r="E128" s="21" t="s">
        <v>2587</v>
      </c>
      <c r="F128" s="21">
        <v>1</v>
      </c>
      <c r="G128" s="21">
        <v>11</v>
      </c>
      <c r="H128" s="21" t="s">
        <v>1220</v>
      </c>
      <c r="I128" s="21" t="b">
        <v>1</v>
      </c>
      <c r="J128" s="133" t="b">
        <v>1</v>
      </c>
      <c r="S128" s="126"/>
      <c r="T128" s="126"/>
    </row>
    <row r="129" spans="4:20">
      <c r="D129" s="132"/>
      <c r="E129" s="21" t="s">
        <v>2305</v>
      </c>
      <c r="F129" s="21">
        <v>1</v>
      </c>
      <c r="G129" s="21">
        <v>12</v>
      </c>
      <c r="H129" s="21" t="s">
        <v>2082</v>
      </c>
      <c r="I129" s="21" t="b">
        <v>1</v>
      </c>
      <c r="J129" s="133">
        <v>0</v>
      </c>
      <c r="S129" s="126"/>
      <c r="T129" s="126"/>
    </row>
    <row r="130" spans="4:20">
      <c r="D130" s="132"/>
      <c r="E130" s="369"/>
      <c r="F130" s="369"/>
      <c r="G130" s="369"/>
      <c r="H130" s="369"/>
      <c r="I130" s="369"/>
      <c r="J130" s="370"/>
      <c r="S130" s="126"/>
      <c r="T130" s="126"/>
    </row>
    <row r="131" spans="4:20">
      <c r="D131" s="132" t="s">
        <v>3898</v>
      </c>
      <c r="E131" s="21" t="s">
        <v>3899</v>
      </c>
      <c r="F131" s="21" t="s">
        <v>3877</v>
      </c>
      <c r="G131" s="21" t="s">
        <v>3878</v>
      </c>
      <c r="H131" s="21" t="s">
        <v>2118</v>
      </c>
      <c r="I131" s="21" t="s">
        <v>2121</v>
      </c>
      <c r="J131" s="133" t="s">
        <v>3897</v>
      </c>
      <c r="S131" s="126"/>
      <c r="T131" s="126"/>
    </row>
    <row r="132" spans="4:20">
      <c r="D132" s="132"/>
      <c r="E132" s="210" t="s">
        <v>2588</v>
      </c>
      <c r="F132" s="21">
        <v>1</v>
      </c>
      <c r="G132" s="21">
        <v>1</v>
      </c>
      <c r="H132" s="21" t="s">
        <v>382</v>
      </c>
      <c r="I132" s="21" t="b">
        <v>1</v>
      </c>
      <c r="J132" s="133">
        <v>0</v>
      </c>
      <c r="S132" s="126"/>
      <c r="T132" s="126"/>
    </row>
    <row r="133" spans="4:20">
      <c r="D133" s="132"/>
      <c r="E133" s="21" t="s">
        <v>2305</v>
      </c>
      <c r="F133" s="21">
        <v>1</v>
      </c>
      <c r="G133" s="21">
        <v>1</v>
      </c>
      <c r="H133" s="21" t="s">
        <v>2082</v>
      </c>
      <c r="I133" s="21" t="b">
        <v>1</v>
      </c>
      <c r="J133" s="133">
        <v>0</v>
      </c>
      <c r="S133" s="126"/>
      <c r="T133" s="126"/>
    </row>
    <row r="134" spans="4:20">
      <c r="D134" s="132"/>
      <c r="E134" s="21" t="s">
        <v>2589</v>
      </c>
      <c r="F134" s="21">
        <v>1</v>
      </c>
      <c r="G134" s="21">
        <v>1</v>
      </c>
      <c r="H134" s="21" t="s">
        <v>2083</v>
      </c>
      <c r="I134" s="21" t="b">
        <v>1</v>
      </c>
      <c r="J134" s="133" t="b">
        <v>1</v>
      </c>
      <c r="S134" s="126"/>
      <c r="T134" s="126"/>
    </row>
    <row r="135" spans="4:20">
      <c r="D135" s="132"/>
      <c r="E135" s="21" t="s">
        <v>2590</v>
      </c>
      <c r="F135" s="21">
        <v>1</v>
      </c>
      <c r="G135" s="21">
        <v>1</v>
      </c>
      <c r="H135" s="21" t="s">
        <v>2084</v>
      </c>
      <c r="I135" s="21" t="b">
        <v>1</v>
      </c>
      <c r="J135" s="133">
        <v>0</v>
      </c>
      <c r="S135" s="126"/>
      <c r="T135" s="126"/>
    </row>
    <row r="136" spans="4:20">
      <c r="D136" s="132"/>
      <c r="E136" s="21" t="s">
        <v>2591</v>
      </c>
      <c r="F136" s="21">
        <v>1</v>
      </c>
      <c r="G136" s="21">
        <v>1</v>
      </c>
      <c r="H136" s="21" t="s">
        <v>2085</v>
      </c>
      <c r="I136" s="21" t="b">
        <v>1</v>
      </c>
      <c r="J136" s="133">
        <v>0</v>
      </c>
      <c r="S136" s="126"/>
      <c r="T136" s="126"/>
    </row>
    <row r="137" spans="4:20">
      <c r="D137" s="132"/>
      <c r="E137" s="21" t="s">
        <v>2592</v>
      </c>
      <c r="F137" s="21">
        <v>1</v>
      </c>
      <c r="G137" s="21">
        <v>1</v>
      </c>
      <c r="H137" s="21" t="s">
        <v>1331</v>
      </c>
      <c r="I137" s="21" t="b">
        <v>1</v>
      </c>
      <c r="J137" s="133">
        <v>0</v>
      </c>
      <c r="S137" s="126"/>
      <c r="T137" s="126"/>
    </row>
    <row r="138" spans="4:20">
      <c r="D138" s="132"/>
      <c r="E138" s="21" t="s">
        <v>2593</v>
      </c>
      <c r="F138" s="21">
        <v>1</v>
      </c>
      <c r="G138" s="21">
        <v>1</v>
      </c>
      <c r="H138" s="21" t="s">
        <v>1332</v>
      </c>
      <c r="I138" s="21" t="b">
        <v>1</v>
      </c>
      <c r="J138" s="133">
        <v>0</v>
      </c>
      <c r="S138" s="126"/>
      <c r="T138" s="126"/>
    </row>
    <row r="139" spans="4:20">
      <c r="D139" s="132"/>
      <c r="E139" s="21" t="s">
        <v>2594</v>
      </c>
      <c r="F139" s="21">
        <v>1</v>
      </c>
      <c r="G139" s="21">
        <v>1</v>
      </c>
      <c r="H139" s="21" t="s">
        <v>1333</v>
      </c>
      <c r="I139" s="21" t="b">
        <v>1</v>
      </c>
      <c r="J139" s="133">
        <v>0</v>
      </c>
      <c r="S139" s="126"/>
      <c r="T139" s="126"/>
    </row>
    <row r="140" spans="4:20">
      <c r="D140" s="132"/>
      <c r="E140" s="21" t="s">
        <v>472</v>
      </c>
      <c r="F140" s="21">
        <v>1</v>
      </c>
      <c r="G140" s="21">
        <v>1</v>
      </c>
      <c r="H140" s="21" t="s">
        <v>698</v>
      </c>
      <c r="I140" s="21" t="b">
        <v>1</v>
      </c>
      <c r="J140" s="133">
        <v>0</v>
      </c>
      <c r="S140" s="126"/>
      <c r="T140" s="126"/>
    </row>
    <row r="141" spans="4:20">
      <c r="D141" s="132"/>
      <c r="E141" s="21" t="s">
        <v>2595</v>
      </c>
      <c r="F141" s="21">
        <v>1</v>
      </c>
      <c r="G141" s="21">
        <v>1</v>
      </c>
      <c r="H141" s="21" t="s">
        <v>1334</v>
      </c>
      <c r="I141" s="21" t="b">
        <v>1</v>
      </c>
      <c r="J141" s="133">
        <v>0</v>
      </c>
      <c r="S141" s="126"/>
      <c r="T141" s="126"/>
    </row>
    <row r="142" spans="4:20">
      <c r="D142" s="132"/>
      <c r="E142" s="21" t="s">
        <v>2596</v>
      </c>
      <c r="F142" s="21">
        <v>1</v>
      </c>
      <c r="G142" s="21">
        <v>1</v>
      </c>
      <c r="H142" s="21" t="s">
        <v>1335</v>
      </c>
      <c r="I142" s="21" t="b">
        <v>1</v>
      </c>
      <c r="J142" s="133">
        <v>0</v>
      </c>
      <c r="S142" s="126"/>
      <c r="T142" s="126"/>
    </row>
    <row r="143" spans="4:20">
      <c r="D143" s="132"/>
      <c r="E143" s="149" t="s">
        <v>47</v>
      </c>
      <c r="F143" s="149">
        <v>1</v>
      </c>
      <c r="G143" s="149">
        <v>2</v>
      </c>
      <c r="H143" s="149" t="s">
        <v>49</v>
      </c>
      <c r="I143" s="149" t="b">
        <v>1</v>
      </c>
      <c r="J143" s="133">
        <v>0</v>
      </c>
      <c r="S143" s="126"/>
      <c r="T143" s="126"/>
    </row>
    <row r="144" spans="4:20">
      <c r="D144" s="132"/>
      <c r="E144" s="149" t="s">
        <v>48</v>
      </c>
      <c r="F144" s="149">
        <v>1</v>
      </c>
      <c r="G144" s="149">
        <v>2</v>
      </c>
      <c r="H144" s="149" t="s">
        <v>50</v>
      </c>
      <c r="I144" s="149" t="b">
        <v>1</v>
      </c>
      <c r="J144" s="133">
        <v>0</v>
      </c>
      <c r="S144" s="126"/>
      <c r="T144" s="126"/>
    </row>
    <row r="145" spans="4:20">
      <c r="D145" s="132"/>
      <c r="E145" s="149" t="s">
        <v>2299</v>
      </c>
      <c r="F145" s="149">
        <v>1</v>
      </c>
      <c r="G145" s="149">
        <v>9</v>
      </c>
      <c r="H145" s="149" t="s">
        <v>2300</v>
      </c>
      <c r="I145" s="149" t="b">
        <v>1</v>
      </c>
      <c r="J145" s="133">
        <v>0</v>
      </c>
      <c r="S145" s="126"/>
      <c r="T145" s="126"/>
    </row>
    <row r="146" spans="4:20">
      <c r="D146" s="132"/>
      <c r="E146" s="21" t="s">
        <v>2597</v>
      </c>
      <c r="F146" s="21">
        <v>1</v>
      </c>
      <c r="G146" s="21">
        <v>9</v>
      </c>
      <c r="H146" s="21" t="s">
        <v>1341</v>
      </c>
      <c r="I146" s="21" t="b">
        <v>1</v>
      </c>
      <c r="J146" s="133" t="b">
        <v>1</v>
      </c>
      <c r="S146" s="126"/>
      <c r="T146" s="126"/>
    </row>
    <row r="147" spans="4:20">
      <c r="D147" s="132"/>
      <c r="E147" s="21" t="s">
        <v>2598</v>
      </c>
      <c r="F147" s="21">
        <v>1</v>
      </c>
      <c r="G147" s="21">
        <v>9</v>
      </c>
      <c r="H147" s="21" t="s">
        <v>1342</v>
      </c>
      <c r="I147" s="21" t="b">
        <v>1</v>
      </c>
      <c r="J147" s="133">
        <v>0</v>
      </c>
      <c r="S147" s="126"/>
      <c r="T147" s="126"/>
    </row>
    <row r="148" spans="4:20">
      <c r="D148" s="132"/>
      <c r="E148" s="21" t="s">
        <v>2599</v>
      </c>
      <c r="F148" s="21">
        <v>1</v>
      </c>
      <c r="G148" s="21">
        <v>9</v>
      </c>
      <c r="H148" s="21" t="s">
        <v>1343</v>
      </c>
      <c r="I148" s="21" t="b">
        <v>1</v>
      </c>
      <c r="J148" s="133">
        <v>0</v>
      </c>
      <c r="S148" s="126"/>
      <c r="T148" s="126"/>
    </row>
    <row r="149" spans="4:20">
      <c r="D149" s="132"/>
      <c r="E149" s="21" t="s">
        <v>1180</v>
      </c>
      <c r="F149" s="21">
        <v>1</v>
      </c>
      <c r="G149" s="21">
        <v>9</v>
      </c>
      <c r="H149" s="21" t="s">
        <v>1344</v>
      </c>
      <c r="I149" s="21" t="b">
        <v>1</v>
      </c>
      <c r="J149" s="133">
        <v>0</v>
      </c>
      <c r="S149" s="126"/>
      <c r="T149" s="126"/>
    </row>
    <row r="150" spans="4:20">
      <c r="D150" s="132"/>
      <c r="E150" s="21" t="s">
        <v>1181</v>
      </c>
      <c r="F150" s="21">
        <v>1</v>
      </c>
      <c r="G150" s="21">
        <v>9</v>
      </c>
      <c r="H150" s="21" t="s">
        <v>1345</v>
      </c>
      <c r="I150" s="21" t="b">
        <v>1</v>
      </c>
      <c r="J150" s="133">
        <v>0</v>
      </c>
      <c r="S150" s="126"/>
      <c r="T150" s="126"/>
    </row>
    <row r="151" spans="4:20">
      <c r="D151" s="132"/>
      <c r="E151" s="21" t="s">
        <v>1182</v>
      </c>
      <c r="F151" s="21">
        <v>1</v>
      </c>
      <c r="G151" s="21">
        <v>9</v>
      </c>
      <c r="H151" s="21" t="s">
        <v>1346</v>
      </c>
      <c r="I151" s="21" t="b">
        <v>1</v>
      </c>
      <c r="J151" s="133">
        <v>0</v>
      </c>
      <c r="S151" s="126"/>
      <c r="T151" s="126"/>
    </row>
    <row r="152" spans="4:20">
      <c r="D152" s="132"/>
      <c r="E152" s="21" t="s">
        <v>380</v>
      </c>
      <c r="F152" s="21">
        <v>1</v>
      </c>
      <c r="G152" s="21">
        <v>9</v>
      </c>
      <c r="H152" s="21" t="s">
        <v>1347</v>
      </c>
      <c r="I152" s="21" t="b">
        <v>1</v>
      </c>
      <c r="J152" s="133" t="b">
        <v>1</v>
      </c>
      <c r="S152" s="126"/>
      <c r="T152" s="126"/>
    </row>
    <row r="153" spans="4:20" ht="12" thickBot="1">
      <c r="D153" s="134"/>
      <c r="E153" s="371"/>
      <c r="F153" s="371"/>
      <c r="G153" s="371"/>
      <c r="H153" s="371"/>
      <c r="I153" s="371"/>
      <c r="J153" s="372"/>
      <c r="S153" s="126"/>
      <c r="T153" s="126"/>
    </row>
    <row r="154" spans="4:20">
      <c r="S154" s="126"/>
      <c r="T154" s="126"/>
    </row>
    <row r="156" spans="4:20" ht="12" thickBot="1">
      <c r="D156" s="2" t="s">
        <v>654</v>
      </c>
    </row>
    <row r="157" spans="4:20">
      <c r="D157" s="193"/>
      <c r="E157" s="194"/>
      <c r="F157" s="194"/>
      <c r="G157" s="194"/>
      <c r="H157" s="194"/>
      <c r="I157" s="194"/>
      <c r="J157" s="194"/>
      <c r="K157" s="195"/>
    </row>
    <row r="158" spans="4:20">
      <c r="D158" s="132"/>
      <c r="E158" s="21"/>
      <c r="F158" s="21"/>
      <c r="G158" s="21"/>
      <c r="H158" s="21"/>
      <c r="I158" s="21"/>
      <c r="J158" s="21"/>
      <c r="K158" s="133"/>
    </row>
    <row r="159" spans="4:20">
      <c r="E159" s="21"/>
      <c r="F159" s="21"/>
      <c r="G159" s="21"/>
      <c r="H159" s="21"/>
      <c r="I159" s="21"/>
      <c r="J159" s="21"/>
      <c r="K159" s="133"/>
    </row>
    <row r="160" spans="4:20">
      <c r="E160" s="21"/>
      <c r="F160" s="21"/>
      <c r="G160" s="21"/>
      <c r="H160" s="21"/>
      <c r="I160" s="21"/>
      <c r="J160" s="21"/>
      <c r="K160" s="133"/>
    </row>
    <row r="161" spans="4:11">
      <c r="E161" s="21"/>
      <c r="F161" s="21"/>
      <c r="G161" s="21"/>
      <c r="H161" s="21"/>
      <c r="I161" s="21"/>
      <c r="J161" s="21"/>
      <c r="K161" s="133"/>
    </row>
    <row r="162" spans="4:11">
      <c r="E162" s="21"/>
      <c r="F162" s="21"/>
      <c r="G162" s="21"/>
      <c r="H162" s="21"/>
      <c r="I162" s="21"/>
      <c r="J162" s="21"/>
      <c r="K162" s="133"/>
    </row>
    <row r="163" spans="4:11">
      <c r="E163" s="21"/>
      <c r="F163" s="21"/>
      <c r="G163" s="21"/>
      <c r="H163" s="21"/>
      <c r="I163" s="21"/>
      <c r="J163" s="21"/>
      <c r="K163" s="133"/>
    </row>
    <row r="164" spans="4:11">
      <c r="E164" s="21"/>
      <c r="F164" s="21"/>
      <c r="G164" s="21"/>
      <c r="H164" s="21"/>
      <c r="I164" s="21"/>
      <c r="J164" s="21"/>
      <c r="K164" s="133"/>
    </row>
    <row r="165" spans="4:11">
      <c r="D165" s="132"/>
      <c r="E165" s="21"/>
      <c r="F165" s="21"/>
      <c r="G165" s="21"/>
      <c r="H165" s="21"/>
      <c r="I165" s="21"/>
      <c r="J165" s="21"/>
      <c r="K165" s="133"/>
    </row>
    <row r="166" spans="4:11" hidden="1">
      <c r="D166" s="132"/>
      <c r="E166" s="21"/>
      <c r="F166" s="21"/>
      <c r="G166" s="21"/>
      <c r="H166" s="21"/>
      <c r="I166" s="21"/>
      <c r="J166" s="21"/>
      <c r="K166" s="133"/>
    </row>
    <row r="167" spans="4:11" hidden="1">
      <c r="D167" s="132"/>
      <c r="E167" s="21"/>
      <c r="F167" s="21"/>
      <c r="G167" s="21"/>
      <c r="H167" s="21"/>
      <c r="I167" s="21"/>
      <c r="J167" s="21"/>
      <c r="K167" s="133"/>
    </row>
    <row r="168" spans="4:11" hidden="1">
      <c r="D168" s="132"/>
      <c r="E168" s="21"/>
      <c r="F168" s="21"/>
      <c r="G168" s="21"/>
      <c r="H168" s="21"/>
      <c r="I168" s="21"/>
      <c r="J168" s="21"/>
      <c r="K168" s="133"/>
    </row>
    <row r="169" spans="4:11" hidden="1">
      <c r="D169" s="132"/>
      <c r="E169" s="21"/>
      <c r="F169" s="21"/>
      <c r="G169" s="21"/>
      <c r="H169" s="21"/>
      <c r="I169" s="21"/>
      <c r="J169" s="21"/>
      <c r="K169" s="133"/>
    </row>
    <row r="170" spans="4:11" hidden="1">
      <c r="D170" s="132"/>
      <c r="E170" s="21"/>
      <c r="F170" s="21"/>
      <c r="G170" s="21"/>
      <c r="H170" s="21"/>
      <c r="I170" s="21"/>
      <c r="J170" s="21"/>
      <c r="K170" s="133"/>
    </row>
    <row r="171" spans="4:11" ht="12" thickBot="1">
      <c r="D171" s="134"/>
      <c r="E171" s="135"/>
      <c r="F171" s="135"/>
      <c r="G171" s="135"/>
      <c r="H171" s="135"/>
      <c r="I171" s="135"/>
      <c r="J171" s="135"/>
      <c r="K171" s="136"/>
    </row>
    <row r="174" spans="4:11">
      <c r="D174" s="2" t="s">
        <v>2868</v>
      </c>
    </row>
    <row r="175" spans="4:11" ht="12" thickBot="1"/>
    <row r="176" spans="4:11" ht="12" thickBot="1">
      <c r="D176" s="2" t="s">
        <v>2638</v>
      </c>
      <c r="E176" s="920" t="str">
        <f ca="1">"Corporate:   Net Rev Growth: " &amp;TEXT(INDEX(finPNLNetRev,xxIndexTeam)/INDEX(obalNetRev,xxIndexTeam)-1,"#0.0%,")&amp;"   Op Margin: " &amp;TEXT(INDEX(finPNLoperEarnPct,xxIndexTeam),"#0.0%")&amp;"   ROIC: "&amp;TEXT(INDEX(finROIC, xxIndexTeam),"#0.0%")&amp;"   Sustainability: "&amp;TEXT(INDEX(paramSustainability,xxIndexTeam),"###.0")&amp;"   MTUs: "&amp;TEXT(INDEX(capEmp10Begin,xxIndexTeam)-INDEX(capEmp10req,xxIndexTeam),"###")</f>
        <v>Corporate:   Net Rev Growth: 0.3%,   Op Margin: 23.3%   ROIC: 22.9%   Sustainability: 100.5   MTUs: 81</v>
      </c>
    </row>
    <row r="177" spans="4:6">
      <c r="D177" s="905" t="s">
        <v>427</v>
      </c>
      <c r="E177" s="435">
        <f>INDEX(finPNLNetRev,xxIndexTeam)/INDEX(obalNetRev,xxIndexTeam)-1</f>
        <v>3.3954230875199443E-3</v>
      </c>
      <c r="F177" s="905" t="s">
        <v>4753</v>
      </c>
    </row>
    <row r="178" spans="4:6">
      <c r="D178" s="905" t="s">
        <v>4748</v>
      </c>
      <c r="E178" s="435">
        <f ca="1">INDEX(finPNLoperEarnPct,xxIndexTeam)</f>
        <v>0.23313640029477442</v>
      </c>
      <c r="F178" s="905" t="s">
        <v>4754</v>
      </c>
    </row>
    <row r="179" spans="4:6">
      <c r="D179" s="905" t="s">
        <v>3164</v>
      </c>
      <c r="E179" s="435">
        <f ca="1">INDEX(finROIC, xxIndexTeam)</f>
        <v>0.22933437001096038</v>
      </c>
      <c r="F179" s="905" t="s">
        <v>4755</v>
      </c>
    </row>
    <row r="180" spans="4:6">
      <c r="D180" s="905" t="s">
        <v>1767</v>
      </c>
      <c r="E180" s="459">
        <f ca="1">INDEX(paramSustainability,xxIndexTeam)</f>
        <v>100.46404932205822</v>
      </c>
      <c r="F180" s="905" t="s">
        <v>4756</v>
      </c>
    </row>
    <row r="181" spans="4:6">
      <c r="D181" s="905" t="s">
        <v>1259</v>
      </c>
      <c r="E181" s="438">
        <f>INDEX(capEmp10Begin,xxIndexTeam)-INDEX(capEmp10req,xxIndexTeam)</f>
        <v>80.949363061138371</v>
      </c>
      <c r="F181" s="905" t="s">
        <v>4757</v>
      </c>
    </row>
    <row r="182" spans="4:6" ht="12" thickBot="1"/>
    <row r="183" spans="4:6" ht="12" thickBot="1">
      <c r="D183" s="2" t="s">
        <v>2036</v>
      </c>
      <c r="E183" s="920" t="str">
        <f ca="1">"Vetera Market:   Beverage Rev: " &amp;TEXT(INDEX(finPNLReg1Prod1Rev,xxIndexTeam)+INDEX(finPNLReg1Prod3Rev,xxIndexTeam),"$#,###,")&amp;"   F&amp;S Rev: " &amp;TEXT(INDEX(finPNLReg1Prod4Rev,xxIndexTeam),"$#,###,")&amp;"   Op Margin: "&amp;TEXT(INDEX(finPNLReg1OpsMarginPct, xxIndexTeam),"#0.0%")</f>
        <v>Vetera Market:   Beverage Rev: $12,398,274   F&amp;S Rev: $6,771,250   Op Margin: 24.0%</v>
      </c>
    </row>
    <row r="184" spans="4:6">
      <c r="D184" s="905" t="s">
        <v>4749</v>
      </c>
      <c r="E184" s="2471">
        <f>INDEX(finPNLReg1Prod1Rev,xxIndexTeam)+INDEX(finPNLReg1Prod3Rev,xxIndexTeam)</f>
        <v>12398273699.5</v>
      </c>
      <c r="F184" s="905" t="s">
        <v>4758</v>
      </c>
    </row>
    <row r="185" spans="4:6">
      <c r="D185" s="905" t="s">
        <v>4750</v>
      </c>
      <c r="E185" s="2471">
        <f>INDEX(finPNLReg1Prod4Rev,xxIndexTeam)</f>
        <v>6771250000</v>
      </c>
      <c r="F185" s="905" t="s">
        <v>4759</v>
      </c>
    </row>
    <row r="186" spans="4:6">
      <c r="D186" s="905" t="s">
        <v>4748</v>
      </c>
      <c r="E186" s="435">
        <f ca="1">INDEX(finPNLReg1OpsMarginPct, xxIndexTeam)</f>
        <v>0.24008584776586239</v>
      </c>
      <c r="F186" s="905" t="s">
        <v>4760</v>
      </c>
    </row>
    <row r="187" spans="4:6" ht="12" thickBot="1"/>
    <row r="188" spans="4:6" ht="12" thickBot="1">
      <c r="D188" s="2" t="s">
        <v>1152</v>
      </c>
      <c r="E188" s="920" t="str">
        <f ca="1">"Escendia Market:   Beverage Rev: " &amp;TEXT(INDEX(finPNLReg2Prod1Rev,xxIndexTeam)+INDEX(finPNLReg2Prod3Rev,xxIndexTeam),"$#,###,")&amp;"   F&amp;S Rev: " &amp;TEXT(INDEX(finPNLReg2Prod4Rev,xxIndexTeam),"$#,###,")&amp;"   Op Margin: "&amp;TEXT(INDEX(finPNLReg2OpsMarginPct, xxIndexTeam),"#0.0%")</f>
        <v>Escendia Market:   Beverage Rev: $4,947,600   F&amp;S Rev: $2,025,000   Op Margin: 24.4%</v>
      </c>
    </row>
    <row r="189" spans="4:6">
      <c r="D189" s="905" t="s">
        <v>4749</v>
      </c>
      <c r="E189" s="2471">
        <f>INDEX(finPNLReg2Prod1Rev,xxIndexTeam)+INDEX(finPNLReg2Prod3Rev,xxIndexTeam)</f>
        <v>4947600000</v>
      </c>
      <c r="F189" s="905" t="s">
        <v>4761</v>
      </c>
    </row>
    <row r="190" spans="4:6">
      <c r="D190" s="905" t="s">
        <v>4750</v>
      </c>
      <c r="E190" s="2471">
        <f>INDEX(finPNLReg2Prod4Rev,xxIndexTeam)</f>
        <v>2025000000</v>
      </c>
      <c r="F190" s="905" t="s">
        <v>4762</v>
      </c>
    </row>
    <row r="191" spans="4:6">
      <c r="D191" s="905" t="s">
        <v>4748</v>
      </c>
      <c r="E191" s="435">
        <f ca="1">INDEX(finPNLReg2OpsMarginPct, xxIndexTeam)</f>
        <v>0.24394065367317938</v>
      </c>
      <c r="F191" s="905" t="s">
        <v>4763</v>
      </c>
    </row>
    <row r="192" spans="4:6" ht="12" thickBot="1"/>
    <row r="193" spans="4:6" ht="12" thickBot="1">
      <c r="D193" s="2" t="s">
        <v>4751</v>
      </c>
      <c r="E193" s="920" t="str">
        <f>IF(INDEX(capTotalRnDCost,xxIndexTeam)=0,"R&amp;D Focus:    CSD &amp; NCB: 0%    F&amp;S: 0%    Other: 0%","R&amp;D Focus:    CSD&amp;NCB: "&amp;TEXT((INDEX(capCSDRnD,xxIndexTeam)+INDEX(capNCBRnD,xxIndexTeam))/INDEX(capTotalRnDCost,xxIndexTeam),"#0.0%")&amp;"    F&amp;S: " &amp;TEXT(INDEX(capSnackRnD,xxIndexTeam)/INDEX(capTotalRnDCost,xxIndexTeam),"#0.0%")&amp;"    Other: "&amp;TEXT(INDEX(capDisruptRnD, xxIndexTeam)/INDEX(capTotalRnDCost,xxIndexTeam),"#0.0%"))</f>
        <v>R&amp;D Focus:    CSD &amp; NCB: 0%    F&amp;S: 0%    Other: 0%</v>
      </c>
    </row>
    <row r="194" spans="4:6">
      <c r="D194" s="905" t="s">
        <v>4752</v>
      </c>
      <c r="E194" s="15">
        <f>IF(INDEX(capTotalRnDCost,xxIndexTeam)=0,0,(INDEX(capCSDRnD,xxIndexTeam)+INDEX(capNCBRnD,xxIndexTeam))/INDEX(capTotalRnDCost,xxIndexTeam))</f>
        <v>0</v>
      </c>
      <c r="F194" s="905" t="s">
        <v>4764</v>
      </c>
    </row>
    <row r="195" spans="4:6">
      <c r="D195" s="905" t="s">
        <v>3173</v>
      </c>
      <c r="E195" s="15">
        <f>IF(INDEX(capTotalRnDCost,xxIndexTeam)=0,0,INDEX(capSnackRnD,xxIndexTeam)/INDEX(capTotalRnDCost,xxIndexTeam))</f>
        <v>0</v>
      </c>
      <c r="F195" s="905" t="s">
        <v>4765</v>
      </c>
    </row>
    <row r="196" spans="4:6">
      <c r="D196" s="905" t="s">
        <v>3535</v>
      </c>
      <c r="E196" s="15">
        <f>IF(INDEX(capTotalRnDCost,xxIndexTeam)=0,0,INDEX(capDisruptRnD, xxIndexTeam)/INDEX(capTotalRnDCost,xxIndexTeam))</f>
        <v>0</v>
      </c>
      <c r="F196" s="905" t="s">
        <v>4766</v>
      </c>
    </row>
    <row r="197" spans="4:6" ht="12" thickBot="1"/>
    <row r="198" spans="4:6" ht="12" thickBot="1">
      <c r="D198" s="2" t="s">
        <v>98</v>
      </c>
      <c r="E198" s="920" t="str">
        <f ca="1">"Operations:    Plant Lines: " &amp;TEXT(INDEX(cbalPlant1Units,xxIndexTeam),"#,###")&amp;"    Vetera: "&amp;TEXT(INDEX(capPlant1Reg1Alloc, xxIndexTeam),"#0%")&amp;"    Escendia: "&amp;TEXT(INDEX(capPlant1Reg2Alloc, xxIndexTeam),"#0%")&amp;"   Plant Efficiency: "&amp;TEXT(INDEX(paramPlant1Efficiency,xxIndexTeam),"##.0%")</f>
        <v>Operations:    Plant Lines: 931    Vetera: 66%    Escendia: 34%   Plant Efficiency: 76.5%</v>
      </c>
    </row>
    <row r="199" spans="4:6">
      <c r="D199" s="905" t="s">
        <v>4704</v>
      </c>
      <c r="E199">
        <f>INDEX(cbalPlant1Units,xxIndexTeam)</f>
        <v>931</v>
      </c>
      <c r="F199" s="905" t="s">
        <v>4767</v>
      </c>
    </row>
    <row r="200" spans="4:6">
      <c r="D200" s="905" t="s">
        <v>1598</v>
      </c>
      <c r="E200" s="435">
        <f>INDEX(capPlant1Reg1Alloc, xxIndexTeam)</f>
        <v>0.65915739890947411</v>
      </c>
      <c r="F200" s="905" t="s">
        <v>4768</v>
      </c>
    </row>
    <row r="201" spans="4:6">
      <c r="D201" s="905" t="s">
        <v>1599</v>
      </c>
      <c r="E201" s="435">
        <f>INDEX(capPlant1Reg2Alloc, xxIndexTeam)</f>
        <v>0.340842601090526</v>
      </c>
      <c r="F201" s="905" t="s">
        <v>4769</v>
      </c>
    </row>
    <row r="202" spans="4:6">
      <c r="D202" s="905" t="s">
        <v>3968</v>
      </c>
      <c r="E202" s="435">
        <f ca="1">INDEX(paramPlant1Efficiency,xxIndexTeam)</f>
        <v>0.76500000000000001</v>
      </c>
      <c r="F202" s="905" t="s">
        <v>4770</v>
      </c>
    </row>
    <row r="203" spans="4:6" ht="12" thickBot="1"/>
    <row r="204" spans="4:6" ht="12" thickBot="1">
      <c r="D204" s="2" t="s">
        <v>2430</v>
      </c>
      <c r="E204" s="920" t="str">
        <f ca="1">"Global Shared Services:   Ending Cash: " &amp;TEXT(INDEX(finCashClosingValue,xxIndexTeam),"$#,###,")&amp;"   MTU Turnover: "&amp;TEXT(INDEX(paramEmp10AttRate, xxIndexTeam),"#0.0%")</f>
        <v>Global Shared Services:   Ending Cash: $6,695,626   MTU Turnover: 14.4%</v>
      </c>
    </row>
    <row r="205" spans="4:6">
      <c r="D205" s="905" t="s">
        <v>3692</v>
      </c>
      <c r="E205" s="2471">
        <f ca="1">INDEX(finCashClosingValue,xxIndexTeam)</f>
        <v>6695625983.2060633</v>
      </c>
      <c r="F205" s="905" t="s">
        <v>4771</v>
      </c>
    </row>
    <row r="206" spans="4:6">
      <c r="D206" s="905" t="s">
        <v>4780</v>
      </c>
      <c r="E206" s="459">
        <f>INDEX(capSustTalent, xxIndexTeam)</f>
        <v>99.915162526483627</v>
      </c>
      <c r="F206" s="905" t="s">
        <v>4772</v>
      </c>
    </row>
    <row r="207" spans="4:6">
      <c r="D207" s="1594" t="s">
        <v>4781</v>
      </c>
      <c r="E207" s="2471">
        <f>-INDEX(finCashFlowInvest, xxIndexTeam)</f>
        <v>999556000</v>
      </c>
      <c r="F207" s="905" t="s">
        <v>4782</v>
      </c>
    </row>
    <row r="208" spans="4:6">
      <c r="D208" s="1594" t="s">
        <v>1433</v>
      </c>
      <c r="E208" s="2471">
        <f>INDEX(cbalLTDebtValue, xxIndexTeam)</f>
        <v>3110000000</v>
      </c>
      <c r="F208" s="905" t="s">
        <v>4783</v>
      </c>
    </row>
  </sheetData>
  <mergeCells count="3">
    <mergeCell ref="J2:K2"/>
    <mergeCell ref="M5:N5"/>
    <mergeCell ref="M2:N2"/>
  </mergeCells>
  <phoneticPr fontId="0" type="noConversion"/>
  <conditionalFormatting sqref="L21:L26">
    <cfRule type="containsText" dxfId="572" priority="1" operator="containsText" text="False">
      <formula>NOT(ISERROR(SEARCH("False",L21)))</formula>
    </cfRule>
  </conditionalFormatting>
  <pageMargins left="0.5" right="0.5" top="0.5" bottom="0.5" header="0.5" footer="0.5"/>
  <pageSetup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oolDataImportBalances">
                <anchor moveWithCells="1" sizeWithCells="1">
                  <from>
                    <xdr:col>4</xdr:col>
                    <xdr:colOff>47625</xdr:colOff>
                    <xdr:row>31</xdr:row>
                    <xdr:rowOff>133350</xdr:rowOff>
                  </from>
                  <to>
                    <xdr:col>6</xdr:col>
                    <xdr:colOff>0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oolZoomToFit">
                <anchor moveWithCells="1" sizeWithCells="1">
                  <from>
                    <xdr:col>4</xdr:col>
                    <xdr:colOff>0</xdr:colOff>
                    <xdr:row>34</xdr:row>
                    <xdr:rowOff>95250</xdr:rowOff>
                  </from>
                  <to>
                    <xdr:col>5</xdr:col>
                    <xdr:colOff>523875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2"/>
    <pageSetUpPr fitToPage="1"/>
  </sheetPr>
  <dimension ref="A1:M36"/>
  <sheetViews>
    <sheetView showGridLines="0" zoomScale="130" zoomScaleNormal="130" workbookViewId="0">
      <pane ySplit="3" topLeftCell="A13" activePane="bottomLeft" state="frozen"/>
      <selection pane="bottomLeft" activeCell="B22" sqref="B22:M30"/>
    </sheetView>
  </sheetViews>
  <sheetFormatPr defaultColWidth="10.6640625" defaultRowHeight="12.75"/>
  <cols>
    <col min="1" max="1" width="3" style="1486" customWidth="1"/>
    <col min="2" max="13" width="10" style="1486" customWidth="1"/>
    <col min="14" max="14" width="3.6640625" style="1486" customWidth="1"/>
    <col min="15" max="16384" width="10.6640625" style="1486"/>
  </cols>
  <sheetData>
    <row r="1" spans="1:13">
      <c r="L1" s="2512" t="str">
        <f>"Team " &amp;tlInputTeamNumber</f>
        <v>Team 1</v>
      </c>
      <c r="M1" s="2512"/>
    </row>
    <row r="2" spans="1:13" ht="20.25">
      <c r="A2" s="2416" t="s">
        <v>3946</v>
      </c>
    </row>
    <row r="3" spans="1:13" ht="3.75" customHeight="1">
      <c r="B3" s="1485"/>
    </row>
    <row r="4" spans="1:13" ht="13.5" thickBot="1"/>
    <row r="5" spans="1:13" ht="15" customHeight="1">
      <c r="B5" s="2513" t="s">
        <v>3520</v>
      </c>
      <c r="C5" s="2514"/>
      <c r="D5" s="2514"/>
      <c r="E5" s="2514"/>
      <c r="F5" s="2514"/>
      <c r="G5" s="2514"/>
      <c r="H5" s="2514"/>
      <c r="I5" s="2514"/>
      <c r="J5" s="2514"/>
      <c r="K5" s="2514"/>
      <c r="L5" s="2514"/>
      <c r="M5" s="2515"/>
    </row>
    <row r="6" spans="1:13" ht="18" customHeight="1" thickBot="1">
      <c r="B6" s="2516"/>
      <c r="C6" s="2517"/>
      <c r="D6" s="2517"/>
      <c r="E6" s="2517"/>
      <c r="F6" s="2517"/>
      <c r="G6" s="2517"/>
      <c r="H6" s="2517"/>
      <c r="I6" s="2517"/>
      <c r="J6" s="2517"/>
      <c r="K6" s="2517"/>
      <c r="L6" s="2517"/>
      <c r="M6" s="2518"/>
    </row>
    <row r="7" spans="1:13" ht="18" customHeight="1">
      <c r="B7" s="2557" t="s">
        <v>3521</v>
      </c>
      <c r="C7" s="2539"/>
      <c r="D7" s="2539"/>
      <c r="E7" s="2539"/>
      <c r="F7" s="2539"/>
      <c r="G7" s="2558"/>
      <c r="H7" s="2538" t="s">
        <v>3522</v>
      </c>
      <c r="I7" s="2539"/>
      <c r="J7" s="2539"/>
      <c r="K7" s="2539"/>
      <c r="L7" s="2539"/>
      <c r="M7" s="2540"/>
    </row>
    <row r="8" spans="1:13" ht="25.5" customHeight="1">
      <c r="B8" s="2559"/>
      <c r="C8" s="2542"/>
      <c r="D8" s="2542"/>
      <c r="E8" s="2542"/>
      <c r="F8" s="2542"/>
      <c r="G8" s="2556"/>
      <c r="H8" s="2541"/>
      <c r="I8" s="2542"/>
      <c r="J8" s="2542"/>
      <c r="K8" s="2542"/>
      <c r="L8" s="2542"/>
      <c r="M8" s="2543"/>
    </row>
    <row r="9" spans="1:13" ht="25.5" customHeight="1">
      <c r="B9" s="2531"/>
      <c r="C9" s="2520"/>
      <c r="D9" s="2520"/>
      <c r="E9" s="2520"/>
      <c r="F9" s="2520"/>
      <c r="G9" s="2532"/>
      <c r="H9" s="2519"/>
      <c r="I9" s="2520"/>
      <c r="J9" s="2520"/>
      <c r="K9" s="2520"/>
      <c r="L9" s="2520"/>
      <c r="M9" s="2521"/>
    </row>
    <row r="10" spans="1:13" ht="25.5" customHeight="1">
      <c r="B10" s="2531"/>
      <c r="C10" s="2520"/>
      <c r="D10" s="2520"/>
      <c r="E10" s="2520"/>
      <c r="F10" s="2520"/>
      <c r="G10" s="2532"/>
      <c r="H10" s="2519"/>
      <c r="I10" s="2520"/>
      <c r="J10" s="2520"/>
      <c r="K10" s="2520"/>
      <c r="L10" s="2520"/>
      <c r="M10" s="2521"/>
    </row>
    <row r="11" spans="1:13" ht="25.5" customHeight="1">
      <c r="B11" s="2531"/>
      <c r="C11" s="2520"/>
      <c r="D11" s="2520"/>
      <c r="E11" s="2520"/>
      <c r="F11" s="2520"/>
      <c r="G11" s="2532"/>
      <c r="H11" s="2519"/>
      <c r="I11" s="2520"/>
      <c r="J11" s="2520"/>
      <c r="K11" s="2520"/>
      <c r="L11" s="2520"/>
      <c r="M11" s="2521"/>
    </row>
    <row r="12" spans="1:13" ht="25.5" customHeight="1" thickBot="1">
      <c r="B12" s="2536"/>
      <c r="C12" s="2534"/>
      <c r="D12" s="2534"/>
      <c r="E12" s="2534"/>
      <c r="F12" s="2534"/>
      <c r="G12" s="2537"/>
      <c r="H12" s="2533"/>
      <c r="I12" s="2534"/>
      <c r="J12" s="2534"/>
      <c r="K12" s="2534"/>
      <c r="L12" s="2534"/>
      <c r="M12" s="2535"/>
    </row>
    <row r="13" spans="1:13" ht="18" customHeight="1">
      <c r="B13" s="2553" t="s">
        <v>3524</v>
      </c>
      <c r="C13" s="2545"/>
      <c r="D13" s="2545"/>
      <c r="E13" s="2545"/>
      <c r="F13" s="2545"/>
      <c r="G13" s="2554"/>
      <c r="H13" s="2544" t="s">
        <v>3523</v>
      </c>
      <c r="I13" s="2545"/>
      <c r="J13" s="2545"/>
      <c r="K13" s="2545"/>
      <c r="L13" s="2545"/>
      <c r="M13" s="2546"/>
    </row>
    <row r="14" spans="1:13" ht="25.5" customHeight="1">
      <c r="B14" s="2555"/>
      <c r="C14" s="2542"/>
      <c r="D14" s="2542"/>
      <c r="E14" s="2542"/>
      <c r="F14" s="2542"/>
      <c r="G14" s="2556"/>
      <c r="H14" s="2541"/>
      <c r="I14" s="2542"/>
      <c r="J14" s="2542"/>
      <c r="K14" s="2542"/>
      <c r="L14" s="2542"/>
      <c r="M14" s="2543"/>
    </row>
    <row r="15" spans="1:13" ht="25.5" customHeight="1">
      <c r="B15" s="2531"/>
      <c r="C15" s="2520"/>
      <c r="D15" s="2520"/>
      <c r="E15" s="2520"/>
      <c r="F15" s="2520"/>
      <c r="G15" s="2532"/>
      <c r="H15" s="2519"/>
      <c r="I15" s="2520"/>
      <c r="J15" s="2520"/>
      <c r="K15" s="2520"/>
      <c r="L15" s="2520"/>
      <c r="M15" s="2521"/>
    </row>
    <row r="16" spans="1:13" ht="25.5" customHeight="1">
      <c r="B16" s="2531"/>
      <c r="C16" s="2520"/>
      <c r="D16" s="2520"/>
      <c r="E16" s="2520"/>
      <c r="F16" s="2520"/>
      <c r="G16" s="2532"/>
      <c r="H16" s="2519"/>
      <c r="I16" s="2520"/>
      <c r="J16" s="2520"/>
      <c r="K16" s="2520"/>
      <c r="L16" s="2520"/>
      <c r="M16" s="2521"/>
    </row>
    <row r="17" spans="2:13" ht="25.5" customHeight="1">
      <c r="B17" s="2531"/>
      <c r="C17" s="2520"/>
      <c r="D17" s="2520"/>
      <c r="E17" s="2520"/>
      <c r="F17" s="2520"/>
      <c r="G17" s="2532"/>
      <c r="H17" s="2519"/>
      <c r="I17" s="2520"/>
      <c r="J17" s="2520"/>
      <c r="K17" s="2520"/>
      <c r="L17" s="2520"/>
      <c r="M17" s="2521"/>
    </row>
    <row r="18" spans="2:13" ht="25.5" customHeight="1" thickBot="1">
      <c r="B18" s="2536"/>
      <c r="C18" s="2534"/>
      <c r="D18" s="2534"/>
      <c r="E18" s="2534"/>
      <c r="F18" s="2534"/>
      <c r="G18" s="2537"/>
      <c r="H18" s="2533"/>
      <c r="I18" s="2534"/>
      <c r="J18" s="2534"/>
      <c r="K18" s="2534"/>
      <c r="L18" s="2534"/>
      <c r="M18" s="2535"/>
    </row>
    <row r="19" spans="2:13" ht="13.5" thickBot="1"/>
    <row r="20" spans="2:13" ht="15" customHeight="1">
      <c r="B20" s="2513" t="s">
        <v>3525</v>
      </c>
      <c r="C20" s="2514"/>
      <c r="D20" s="2514"/>
      <c r="E20" s="2514"/>
      <c r="F20" s="2514"/>
      <c r="G20" s="2514"/>
      <c r="H20" s="2514"/>
      <c r="I20" s="2514"/>
      <c r="J20" s="2514"/>
      <c r="K20" s="2514"/>
      <c r="L20" s="2514"/>
      <c r="M20" s="2515"/>
    </row>
    <row r="21" spans="2:13" ht="13.5" thickBot="1">
      <c r="B21" s="2516"/>
      <c r="C21" s="2517"/>
      <c r="D21" s="2517"/>
      <c r="E21" s="2517"/>
      <c r="F21" s="2517"/>
      <c r="G21" s="2517"/>
      <c r="H21" s="2517"/>
      <c r="I21" s="2517"/>
      <c r="J21" s="2517"/>
      <c r="K21" s="2517"/>
      <c r="L21" s="2517"/>
      <c r="M21" s="2518"/>
    </row>
    <row r="22" spans="2:13">
      <c r="B22" s="2522" t="s">
        <v>3995</v>
      </c>
      <c r="C22" s="2523"/>
      <c r="D22" s="2523"/>
      <c r="E22" s="2523"/>
      <c r="F22" s="2523"/>
      <c r="G22" s="2523"/>
      <c r="H22" s="2523"/>
      <c r="I22" s="2523"/>
      <c r="J22" s="2523"/>
      <c r="K22" s="2523"/>
      <c r="L22" s="2523"/>
      <c r="M22" s="2524"/>
    </row>
    <row r="23" spans="2:13">
      <c r="B23" s="2525"/>
      <c r="C23" s="2526"/>
      <c r="D23" s="2526"/>
      <c r="E23" s="2526"/>
      <c r="F23" s="2526"/>
      <c r="G23" s="2526"/>
      <c r="H23" s="2526"/>
      <c r="I23" s="2526"/>
      <c r="J23" s="2526"/>
      <c r="K23" s="2526"/>
      <c r="L23" s="2526"/>
      <c r="M23" s="2527"/>
    </row>
    <row r="24" spans="2:13">
      <c r="B24" s="2525"/>
      <c r="C24" s="2526"/>
      <c r="D24" s="2526"/>
      <c r="E24" s="2526"/>
      <c r="F24" s="2526"/>
      <c r="G24" s="2526"/>
      <c r="H24" s="2526"/>
      <c r="I24" s="2526"/>
      <c r="J24" s="2526"/>
      <c r="K24" s="2526"/>
      <c r="L24" s="2526"/>
      <c r="M24" s="2527"/>
    </row>
    <row r="25" spans="2:13">
      <c r="B25" s="2525"/>
      <c r="C25" s="2526"/>
      <c r="D25" s="2526"/>
      <c r="E25" s="2526"/>
      <c r="F25" s="2526"/>
      <c r="G25" s="2526"/>
      <c r="H25" s="2526"/>
      <c r="I25" s="2526"/>
      <c r="J25" s="2526"/>
      <c r="K25" s="2526"/>
      <c r="L25" s="2526"/>
      <c r="M25" s="2527"/>
    </row>
    <row r="26" spans="2:13">
      <c r="B26" s="2525"/>
      <c r="C26" s="2526"/>
      <c r="D26" s="2526"/>
      <c r="E26" s="2526"/>
      <c r="F26" s="2526"/>
      <c r="G26" s="2526"/>
      <c r="H26" s="2526"/>
      <c r="I26" s="2526"/>
      <c r="J26" s="2526"/>
      <c r="K26" s="2526"/>
      <c r="L26" s="2526"/>
      <c r="M26" s="2527"/>
    </row>
    <row r="27" spans="2:13">
      <c r="B27" s="2525"/>
      <c r="C27" s="2526"/>
      <c r="D27" s="2526"/>
      <c r="E27" s="2526"/>
      <c r="F27" s="2526"/>
      <c r="G27" s="2526"/>
      <c r="H27" s="2526"/>
      <c r="I27" s="2526"/>
      <c r="J27" s="2526"/>
      <c r="K27" s="2526"/>
      <c r="L27" s="2526"/>
      <c r="M27" s="2527"/>
    </row>
    <row r="28" spans="2:13">
      <c r="B28" s="2525"/>
      <c r="C28" s="2526"/>
      <c r="D28" s="2526"/>
      <c r="E28" s="2526"/>
      <c r="F28" s="2526"/>
      <c r="G28" s="2526"/>
      <c r="H28" s="2526"/>
      <c r="I28" s="2526"/>
      <c r="J28" s="2526"/>
      <c r="K28" s="2526"/>
      <c r="L28" s="2526"/>
      <c r="M28" s="2527"/>
    </row>
    <row r="29" spans="2:13">
      <c r="B29" s="2525"/>
      <c r="C29" s="2526"/>
      <c r="D29" s="2526"/>
      <c r="E29" s="2526"/>
      <c r="F29" s="2526"/>
      <c r="G29" s="2526"/>
      <c r="H29" s="2526"/>
      <c r="I29" s="2526"/>
      <c r="J29" s="2526"/>
      <c r="K29" s="2526"/>
      <c r="L29" s="2526"/>
      <c r="M29" s="2527"/>
    </row>
    <row r="30" spans="2:13" ht="13.5" thickBot="1">
      <c r="B30" s="2528"/>
      <c r="C30" s="2529"/>
      <c r="D30" s="2529"/>
      <c r="E30" s="2529"/>
      <c r="F30" s="2529"/>
      <c r="G30" s="2529"/>
      <c r="H30" s="2529"/>
      <c r="I30" s="2529"/>
      <c r="J30" s="2529"/>
      <c r="K30" s="2529"/>
      <c r="L30" s="2529"/>
      <c r="M30" s="2530"/>
    </row>
    <row r="31" spans="2:13" ht="13.5" thickBot="1">
      <c r="B31" s="2446"/>
      <c r="C31" s="2446"/>
      <c r="D31" s="2446"/>
      <c r="E31" s="2446"/>
      <c r="F31" s="2446"/>
      <c r="G31" s="2446"/>
      <c r="H31" s="2446"/>
      <c r="I31" s="2446"/>
      <c r="J31" s="2446"/>
      <c r="K31" s="2446"/>
      <c r="L31" s="2446"/>
      <c r="M31" s="2446"/>
    </row>
    <row r="32" spans="2:13" ht="15" customHeight="1">
      <c r="B32" s="2513" t="s">
        <v>3526</v>
      </c>
      <c r="C32" s="2514"/>
      <c r="D32" s="2514"/>
      <c r="E32" s="2514"/>
      <c r="F32" s="2514"/>
      <c r="G32" s="2514"/>
      <c r="H32" s="2514"/>
      <c r="I32" s="2514"/>
      <c r="J32" s="2514"/>
      <c r="K32" s="2514"/>
      <c r="L32" s="2514"/>
      <c r="M32" s="2515"/>
    </row>
    <row r="33" spans="2:13" ht="13.5" thickBot="1">
      <c r="B33" s="2516"/>
      <c r="C33" s="2517"/>
      <c r="D33" s="2517"/>
      <c r="E33" s="2517"/>
      <c r="F33" s="2517"/>
      <c r="G33" s="2517"/>
      <c r="H33" s="2517"/>
      <c r="I33" s="2517"/>
      <c r="J33" s="2517"/>
      <c r="K33" s="2517"/>
      <c r="L33" s="2517"/>
      <c r="M33" s="2518"/>
    </row>
    <row r="34" spans="2:13">
      <c r="B34" s="2547"/>
      <c r="C34" s="2548"/>
      <c r="D34" s="2548"/>
      <c r="E34" s="2548"/>
      <c r="F34" s="2548"/>
      <c r="G34" s="2548"/>
      <c r="H34" s="2548"/>
      <c r="I34" s="2548"/>
      <c r="J34" s="2548"/>
      <c r="K34" s="2548"/>
      <c r="L34" s="2548"/>
      <c r="M34" s="2549"/>
    </row>
    <row r="35" spans="2:13">
      <c r="B35" s="2547"/>
      <c r="C35" s="2548"/>
      <c r="D35" s="2548"/>
      <c r="E35" s="2548"/>
      <c r="F35" s="2548"/>
      <c r="G35" s="2548"/>
      <c r="H35" s="2548"/>
      <c r="I35" s="2548"/>
      <c r="J35" s="2548"/>
      <c r="K35" s="2548"/>
      <c r="L35" s="2548"/>
      <c r="M35" s="2549"/>
    </row>
    <row r="36" spans="2:13" ht="13.5" thickBot="1">
      <c r="B36" s="2550"/>
      <c r="C36" s="2551"/>
      <c r="D36" s="2551"/>
      <c r="E36" s="2551"/>
      <c r="F36" s="2551"/>
      <c r="G36" s="2551"/>
      <c r="H36" s="2551"/>
      <c r="I36" s="2551"/>
      <c r="J36" s="2551"/>
      <c r="K36" s="2551"/>
      <c r="L36" s="2551"/>
      <c r="M36" s="2552"/>
    </row>
  </sheetData>
  <mergeCells count="30">
    <mergeCell ref="B7:G7"/>
    <mergeCell ref="B8:G8"/>
    <mergeCell ref="B9:G9"/>
    <mergeCell ref="B10:G10"/>
    <mergeCell ref="B11:G11"/>
    <mergeCell ref="H11:M11"/>
    <mergeCell ref="H12:M12"/>
    <mergeCell ref="H13:M13"/>
    <mergeCell ref="H14:M14"/>
    <mergeCell ref="B34:M36"/>
    <mergeCell ref="B12:G12"/>
    <mergeCell ref="B20:M21"/>
    <mergeCell ref="B13:G13"/>
    <mergeCell ref="B14:G14"/>
    <mergeCell ref="L1:M1"/>
    <mergeCell ref="B32:M33"/>
    <mergeCell ref="H15:M15"/>
    <mergeCell ref="H16:M16"/>
    <mergeCell ref="H17:M17"/>
    <mergeCell ref="B22:M30"/>
    <mergeCell ref="B15:G15"/>
    <mergeCell ref="B16:G16"/>
    <mergeCell ref="H18:M18"/>
    <mergeCell ref="B18:G18"/>
    <mergeCell ref="B5:M6"/>
    <mergeCell ref="B17:G17"/>
    <mergeCell ref="H7:M7"/>
    <mergeCell ref="H8:M8"/>
    <mergeCell ref="H9:M9"/>
    <mergeCell ref="H10:M10"/>
  </mergeCells>
  <phoneticPr fontId="5" type="noConversion"/>
  <pageMargins left="0.78740157499999996" right="0.78740157499999996" top="0.984251969" bottom="0.984251969" header="0.5" footer="0.5"/>
  <pageSetup scale="83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2"/>
    <pageSetUpPr fitToPage="1"/>
  </sheetPr>
  <dimension ref="A1:O41"/>
  <sheetViews>
    <sheetView showGridLines="0" zoomScale="130" zoomScaleNormal="130" workbookViewId="0">
      <pane ySplit="3" topLeftCell="A15" activePane="bottomLeft" state="frozen"/>
      <selection pane="bottomLeft" activeCell="B32" sqref="B32"/>
    </sheetView>
  </sheetViews>
  <sheetFormatPr defaultColWidth="10.6640625" defaultRowHeight="12.75"/>
  <cols>
    <col min="1" max="1" width="2.6640625" style="1495" customWidth="1"/>
    <col min="2" max="2" width="10.6640625" style="1495" customWidth="1"/>
    <col min="3" max="3" width="5.33203125" style="1496" customWidth="1"/>
    <col min="4" max="4" width="16.6640625" style="1495" customWidth="1"/>
    <col min="5" max="5" width="2.1640625" style="1495" customWidth="1"/>
    <col min="6" max="6" width="27.6640625" style="1495" customWidth="1"/>
    <col min="7" max="10" width="14.33203125" style="1497" customWidth="1"/>
    <col min="11" max="11" width="2" style="1495" customWidth="1"/>
    <col min="12" max="12" width="3.1640625" style="1495" customWidth="1"/>
    <col min="13" max="13" width="24.1640625" customWidth="1"/>
    <col min="14" max="14" width="14" customWidth="1"/>
    <col min="15" max="15" width="10.6640625" style="1497" customWidth="1"/>
    <col min="16" max="16384" width="10.6640625" style="1495"/>
  </cols>
  <sheetData>
    <row r="1" spans="1:15" s="1486" customFormat="1">
      <c r="I1" s="2512" t="str">
        <f>"Team " &amp;tlInputTeamNumber</f>
        <v>Team 1</v>
      </c>
      <c r="J1" s="2512"/>
    </row>
    <row r="2" spans="1:15" s="1486" customFormat="1" ht="20.25">
      <c r="A2" s="2416" t="s">
        <v>3947</v>
      </c>
      <c r="B2" s="1485"/>
    </row>
    <row r="3" spans="1:15" s="1486" customFormat="1" ht="3.75" customHeight="1">
      <c r="B3" s="1485"/>
    </row>
    <row r="4" spans="1:15" s="1486" customFormat="1"/>
    <row r="5" spans="1:15">
      <c r="D5" s="2560" t="s">
        <v>3996</v>
      </c>
      <c r="E5" s="2443"/>
      <c r="F5" s="2562" t="s">
        <v>2622</v>
      </c>
      <c r="G5" s="2567" t="s">
        <v>2623</v>
      </c>
      <c r="H5" s="2567" t="s">
        <v>2624</v>
      </c>
      <c r="I5" s="2567" t="s">
        <v>288</v>
      </c>
      <c r="J5" s="2567" t="s">
        <v>2625</v>
      </c>
      <c r="K5" s="1498"/>
    </row>
    <row r="6" spans="1:15">
      <c r="D6" s="2561"/>
      <c r="E6" s="2444"/>
      <c r="F6" s="2563"/>
      <c r="G6" s="2568"/>
      <c r="H6" s="2568"/>
      <c r="I6" s="2568"/>
      <c r="J6" s="2568"/>
      <c r="K6" s="1499"/>
    </row>
    <row r="7" spans="1:15" ht="6" customHeight="1">
      <c r="H7" s="1500"/>
      <c r="I7" s="1500"/>
      <c r="J7" s="1500"/>
    </row>
    <row r="8" spans="1:15" ht="12.75" customHeight="1">
      <c r="B8" s="1559" t="s">
        <v>2626</v>
      </c>
      <c r="C8" s="1560"/>
      <c r="D8" s="2564" t="s">
        <v>2627</v>
      </c>
      <c r="E8" s="1501"/>
      <c r="F8" s="2434" t="s">
        <v>4056</v>
      </c>
      <c r="G8" s="2441">
        <v>0.2</v>
      </c>
      <c r="H8" s="2440">
        <v>0.24</v>
      </c>
      <c r="I8" s="2440">
        <v>0.27</v>
      </c>
      <c r="J8" s="2440">
        <v>0.3</v>
      </c>
      <c r="K8" s="1502"/>
      <c r="O8" s="2445">
        <f>INDEX(H8:J8,I9)</f>
        <v>0.27</v>
      </c>
    </row>
    <row r="9" spans="1:15">
      <c r="B9" s="1561"/>
      <c r="C9" s="1562"/>
      <c r="D9" s="2565"/>
      <c r="E9" s="1501"/>
      <c r="F9" s="1503"/>
      <c r="G9" s="1504"/>
      <c r="H9" s="1501"/>
      <c r="I9" s="1514">
        <v>2</v>
      </c>
      <c r="J9" s="1501"/>
      <c r="K9" s="1505"/>
      <c r="O9" s="2445"/>
    </row>
    <row r="10" spans="1:15">
      <c r="B10" s="1563"/>
      <c r="C10" s="1564"/>
      <c r="D10" s="2565"/>
      <c r="E10" s="1501"/>
      <c r="F10" s="2431" t="s">
        <v>4057</v>
      </c>
      <c r="G10" s="2432">
        <v>100</v>
      </c>
      <c r="H10" s="2442">
        <v>105</v>
      </c>
      <c r="I10" s="2442">
        <v>110</v>
      </c>
      <c r="J10" s="2442">
        <v>115</v>
      </c>
      <c r="K10" s="1505"/>
      <c r="O10" s="2445">
        <f>INDEX(H10:J10,I11)</f>
        <v>110</v>
      </c>
    </row>
    <row r="11" spans="1:15" ht="12.75" customHeight="1">
      <c r="B11" s="1565"/>
      <c r="C11" s="1566"/>
      <c r="D11" s="2566"/>
      <c r="E11" s="1501"/>
      <c r="F11" s="1506"/>
      <c r="G11" s="1507"/>
      <c r="H11" s="1508"/>
      <c r="I11" s="1515">
        <v>2</v>
      </c>
      <c r="J11" s="1508"/>
      <c r="K11" s="1509"/>
      <c r="O11" s="2445"/>
    </row>
    <row r="12" spans="1:15" ht="6" hidden="1" customHeight="1">
      <c r="B12" s="1563"/>
      <c r="C12" s="1564"/>
      <c r="F12" s="1496"/>
      <c r="G12" s="1510"/>
      <c r="O12" s="2445"/>
    </row>
    <row r="13" spans="1:15" ht="6" hidden="1" customHeight="1">
      <c r="B13" s="1563"/>
      <c r="C13" s="1564"/>
      <c r="F13" s="1496"/>
      <c r="G13" s="1510"/>
      <c r="O13" s="2445"/>
    </row>
    <row r="14" spans="1:15" ht="12.75" customHeight="1">
      <c r="B14" s="1561" t="s">
        <v>2628</v>
      </c>
      <c r="C14" s="1562"/>
      <c r="D14" s="2564" t="s">
        <v>2629</v>
      </c>
      <c r="E14" s="1501"/>
      <c r="F14" s="2434" t="s">
        <v>2830</v>
      </c>
      <c r="G14" s="2441">
        <v>0.2</v>
      </c>
      <c r="H14" s="2440">
        <v>0.21</v>
      </c>
      <c r="I14" s="2440">
        <v>0.22</v>
      </c>
      <c r="J14" s="2440">
        <v>0.23</v>
      </c>
      <c r="K14" s="1502"/>
      <c r="O14" s="2445">
        <f>INDEX(H14:J14,I15)</f>
        <v>0.22</v>
      </c>
    </row>
    <row r="15" spans="1:15" ht="12.75" customHeight="1">
      <c r="B15" s="1561"/>
      <c r="C15" s="1562"/>
      <c r="D15" s="2565"/>
      <c r="E15" s="1501"/>
      <c r="F15" s="1503"/>
      <c r="G15" s="1504"/>
      <c r="H15" s="1501"/>
      <c r="I15" s="1514">
        <v>2</v>
      </c>
      <c r="J15" s="1501"/>
      <c r="K15" s="1505"/>
      <c r="O15" s="2445"/>
    </row>
    <row r="16" spans="1:15" ht="12.75" customHeight="1">
      <c r="B16" s="1563"/>
      <c r="C16" s="1564"/>
      <c r="D16" s="2565"/>
      <c r="E16" s="1501"/>
      <c r="F16" s="2431" t="s">
        <v>174</v>
      </c>
      <c r="G16" s="2437">
        <v>0.21</v>
      </c>
      <c r="H16" s="2433">
        <v>0.2</v>
      </c>
      <c r="I16" s="2433">
        <v>0.23</v>
      </c>
      <c r="J16" s="2433">
        <v>0.25</v>
      </c>
      <c r="K16" s="1505"/>
      <c r="O16" s="2445">
        <f>INDEX(H16:J16,I17)</f>
        <v>0.23</v>
      </c>
    </row>
    <row r="17" spans="2:15" ht="12.75" customHeight="1">
      <c r="B17" s="1565"/>
      <c r="C17" s="1566"/>
      <c r="D17" s="2566"/>
      <c r="E17" s="1501"/>
      <c r="F17" s="1506"/>
      <c r="G17" s="1507"/>
      <c r="H17" s="1508"/>
      <c r="I17" s="1515">
        <v>2</v>
      </c>
      <c r="J17" s="1508"/>
      <c r="K17" s="1509"/>
      <c r="O17" s="2445"/>
    </row>
    <row r="18" spans="2:15" ht="6" hidden="1" customHeight="1">
      <c r="B18" s="1563"/>
      <c r="C18" s="1564"/>
      <c r="F18" s="1496"/>
      <c r="G18" s="1510"/>
      <c r="O18" s="2445"/>
    </row>
    <row r="19" spans="2:15" ht="6" hidden="1" customHeight="1">
      <c r="B19" s="1563"/>
      <c r="C19" s="1564"/>
      <c r="F19" s="1496"/>
      <c r="G19" s="1510"/>
      <c r="O19" s="2445"/>
    </row>
    <row r="20" spans="2:15" ht="12.75" customHeight="1">
      <c r="B20" s="1561" t="s">
        <v>2630</v>
      </c>
      <c r="C20" s="1562"/>
      <c r="D20" s="2569" t="s">
        <v>2629</v>
      </c>
      <c r="E20" s="1501"/>
      <c r="F20" s="2434" t="s">
        <v>2830</v>
      </c>
      <c r="G20" s="2441">
        <v>0.2</v>
      </c>
      <c r="H20" s="2440">
        <v>0.21</v>
      </c>
      <c r="I20" s="2440">
        <v>0.22</v>
      </c>
      <c r="J20" s="2440">
        <v>0.23</v>
      </c>
      <c r="K20" s="1502"/>
      <c r="O20" s="2445">
        <f>INDEX(H20:J20,I21)</f>
        <v>0.22</v>
      </c>
    </row>
    <row r="21" spans="2:15" ht="12.75" customHeight="1">
      <c r="B21" s="1561"/>
      <c r="C21" s="1562"/>
      <c r="D21" s="2570"/>
      <c r="E21" s="1501"/>
      <c r="F21" s="1503"/>
      <c r="G21" s="1504"/>
      <c r="H21" s="1501"/>
      <c r="I21" s="1514">
        <v>2</v>
      </c>
      <c r="J21" s="1501"/>
      <c r="K21" s="1505"/>
      <c r="O21" s="2445"/>
    </row>
    <row r="22" spans="2:15" ht="12.75" customHeight="1">
      <c r="B22" s="1563"/>
      <c r="C22" s="1564"/>
      <c r="D22" s="2570"/>
      <c r="E22" s="1501"/>
      <c r="F22" s="2431" t="s">
        <v>174</v>
      </c>
      <c r="G22" s="2437">
        <v>0.18</v>
      </c>
      <c r="H22" s="2433">
        <v>0.17</v>
      </c>
      <c r="I22" s="2433">
        <v>0.21</v>
      </c>
      <c r="J22" s="2433">
        <v>0.24</v>
      </c>
      <c r="K22" s="1505"/>
      <c r="O22" s="2445">
        <f>INDEX(H22:J22,I23)</f>
        <v>0.21</v>
      </c>
    </row>
    <row r="23" spans="2:15" ht="12.75" customHeight="1">
      <c r="B23" s="1565"/>
      <c r="C23" s="1566"/>
      <c r="D23" s="2571"/>
      <c r="E23" s="1501"/>
      <c r="F23" s="1506"/>
      <c r="G23" s="1507"/>
      <c r="H23" s="1508"/>
      <c r="I23" s="1515">
        <v>2</v>
      </c>
      <c r="J23" s="1508"/>
      <c r="K23" s="1509"/>
      <c r="O23" s="2445"/>
    </row>
    <row r="24" spans="2:15" ht="6.75" hidden="1" customHeight="1">
      <c r="B24" s="1563"/>
      <c r="C24" s="1564"/>
      <c r="F24" s="1496"/>
      <c r="G24" s="1510"/>
      <c r="O24" s="2445"/>
    </row>
    <row r="25" spans="2:15" ht="6" hidden="1" customHeight="1">
      <c r="B25" s="1563"/>
      <c r="C25" s="1564"/>
      <c r="F25" s="1496"/>
      <c r="G25" s="1510"/>
      <c r="O25" s="2445"/>
    </row>
    <row r="26" spans="2:15" ht="12.75" customHeight="1">
      <c r="B26" s="1561" t="s">
        <v>3997</v>
      </c>
      <c r="C26" s="1562"/>
      <c r="D26" s="2564" t="s">
        <v>2629</v>
      </c>
      <c r="E26" s="1501"/>
      <c r="F26" s="2434" t="s">
        <v>2244</v>
      </c>
      <c r="G26" s="2439">
        <v>4.5999999999999999E-2</v>
      </c>
      <c r="H26" s="2440">
        <v>0.04</v>
      </c>
      <c r="I26" s="2440">
        <v>0.05</v>
      </c>
      <c r="J26" s="2440">
        <v>0.06</v>
      </c>
      <c r="K26" s="1502"/>
      <c r="O26" s="2445">
        <f>INDEX(H26:J26,I27)</f>
        <v>0.05</v>
      </c>
    </row>
    <row r="27" spans="2:15" ht="12.75" customHeight="1">
      <c r="B27" s="1561" t="s">
        <v>3998</v>
      </c>
      <c r="C27" s="1562"/>
      <c r="D27" s="2565"/>
      <c r="E27" s="1501"/>
      <c r="F27" s="1503"/>
      <c r="G27" s="1504"/>
      <c r="H27" s="1501"/>
      <c r="I27" s="1514">
        <v>2</v>
      </c>
      <c r="J27" s="1501"/>
      <c r="K27" s="1505"/>
      <c r="O27" s="2445"/>
    </row>
    <row r="28" spans="2:15" ht="12.75" customHeight="1">
      <c r="B28" s="1563"/>
      <c r="C28" s="1564"/>
      <c r="D28" s="2565"/>
      <c r="E28" s="1501"/>
      <c r="F28" s="2431" t="s">
        <v>4058</v>
      </c>
      <c r="G28" s="2437">
        <v>0</v>
      </c>
      <c r="H28" s="2438">
        <v>0.03</v>
      </c>
      <c r="I28" s="2438">
        <v>0.05</v>
      </c>
      <c r="J28" s="2438">
        <v>7.0000000000000007E-2</v>
      </c>
      <c r="K28" s="1505"/>
      <c r="O28" s="2445">
        <f>INDEX(H28:J28,I29)</f>
        <v>0.05</v>
      </c>
    </row>
    <row r="29" spans="2:15" ht="12.75" customHeight="1">
      <c r="B29" s="1565"/>
      <c r="C29" s="1566"/>
      <c r="D29" s="2566"/>
      <c r="E29" s="1501"/>
      <c r="F29" s="1506"/>
      <c r="G29" s="1507"/>
      <c r="H29" s="1508"/>
      <c r="I29" s="1515">
        <v>2</v>
      </c>
      <c r="J29" s="1508"/>
      <c r="K29" s="1509"/>
      <c r="O29" s="2445"/>
    </row>
    <row r="30" spans="2:15" ht="6" hidden="1" customHeight="1">
      <c r="B30" s="1563"/>
      <c r="C30" s="1564"/>
      <c r="D30" s="1572"/>
      <c r="F30" s="1496"/>
      <c r="G30" s="1510"/>
      <c r="O30" s="2445"/>
    </row>
    <row r="31" spans="2:15" ht="6" hidden="1" customHeight="1">
      <c r="B31" s="1563"/>
      <c r="C31" s="1564"/>
      <c r="D31" s="1572"/>
      <c r="F31" s="1496"/>
      <c r="G31" s="1510"/>
      <c r="O31" s="2445"/>
    </row>
    <row r="32" spans="2:15" ht="12.75" customHeight="1">
      <c r="B32" s="1573" t="s">
        <v>4794</v>
      </c>
      <c r="C32" s="1562"/>
      <c r="D32" s="2564" t="s">
        <v>2629</v>
      </c>
      <c r="E32" s="1501"/>
      <c r="F32" s="2434" t="s">
        <v>2244</v>
      </c>
      <c r="G32" s="2439">
        <v>5.1999999999999998E-2</v>
      </c>
      <c r="H32" s="2440">
        <v>0.05</v>
      </c>
      <c r="I32" s="2440">
        <v>0.06</v>
      </c>
      <c r="J32" s="2440">
        <v>7.0000000000000007E-2</v>
      </c>
      <c r="K32" s="1502"/>
      <c r="O32" s="2445">
        <f>INDEX(H32:J32,I33)</f>
        <v>0.06</v>
      </c>
    </row>
    <row r="33" spans="2:15" ht="12.75" customHeight="1">
      <c r="B33" s="1561" t="s">
        <v>3998</v>
      </c>
      <c r="C33" s="1562"/>
      <c r="D33" s="2565"/>
      <c r="E33" s="1501"/>
      <c r="F33" s="1503"/>
      <c r="G33" s="1504"/>
      <c r="H33" s="1501"/>
      <c r="I33" s="1514">
        <v>2</v>
      </c>
      <c r="J33" s="1501"/>
      <c r="K33" s="1505"/>
      <c r="O33" s="2445"/>
    </row>
    <row r="34" spans="2:15" ht="12.75" customHeight="1">
      <c r="B34" s="1563"/>
      <c r="C34" s="1564"/>
      <c r="D34" s="2565"/>
      <c r="E34" s="1501"/>
      <c r="F34" s="2431" t="s">
        <v>4058</v>
      </c>
      <c r="G34" s="2437">
        <v>0</v>
      </c>
      <c r="H34" s="2438">
        <v>0.03</v>
      </c>
      <c r="I34" s="2438">
        <v>0.05</v>
      </c>
      <c r="J34" s="2438">
        <v>7.0000000000000007E-2</v>
      </c>
      <c r="K34" s="1505"/>
      <c r="O34" s="2445">
        <f>INDEX(H34:J34,I35)</f>
        <v>0.05</v>
      </c>
    </row>
    <row r="35" spans="2:15" ht="12.75" customHeight="1">
      <c r="B35" s="1565"/>
      <c r="C35" s="1566"/>
      <c r="D35" s="2566"/>
      <c r="E35" s="1501"/>
      <c r="F35" s="1506"/>
      <c r="G35" s="1507"/>
      <c r="H35" s="1508"/>
      <c r="I35" s="1515">
        <v>2</v>
      </c>
      <c r="J35" s="1508"/>
      <c r="K35" s="1509"/>
      <c r="O35" s="2445"/>
    </row>
    <row r="36" spans="2:15" ht="5.25" hidden="1" customHeight="1">
      <c r="B36" s="1563"/>
      <c r="C36" s="1564"/>
      <c r="D36" s="1572"/>
      <c r="F36" s="1496"/>
      <c r="G36" s="1510"/>
      <c r="O36" s="2445"/>
    </row>
    <row r="37" spans="2:15" ht="6" hidden="1" customHeight="1">
      <c r="B37" s="1563"/>
      <c r="C37" s="1564"/>
      <c r="D37" s="1572"/>
      <c r="F37" s="1496"/>
      <c r="G37" s="1510"/>
      <c r="O37" s="2445"/>
    </row>
    <row r="38" spans="2:15" ht="12.75" customHeight="1">
      <c r="B38" s="1561" t="s">
        <v>3999</v>
      </c>
      <c r="C38" s="1562"/>
      <c r="D38" s="2564" t="s">
        <v>2631</v>
      </c>
      <c r="E38" s="1501"/>
      <c r="F38" s="2434" t="s">
        <v>2632</v>
      </c>
      <c r="G38" s="2435">
        <v>100</v>
      </c>
      <c r="H38" s="2436">
        <v>102</v>
      </c>
      <c r="I38" s="2436">
        <v>104</v>
      </c>
      <c r="J38" s="2436">
        <v>105</v>
      </c>
      <c r="K38" s="1502"/>
      <c r="O38" s="2445">
        <f>INDEX(H38:J38,I39)</f>
        <v>104</v>
      </c>
    </row>
    <row r="39" spans="2:15" ht="12.75" customHeight="1">
      <c r="B39" s="1561" t="s">
        <v>4000</v>
      </c>
      <c r="C39" s="1562"/>
      <c r="D39" s="2565"/>
      <c r="E39" s="1501"/>
      <c r="F39" s="1503"/>
      <c r="G39" s="1504"/>
      <c r="H39" s="1501"/>
      <c r="I39" s="1514">
        <v>2</v>
      </c>
      <c r="J39" s="1501"/>
      <c r="K39" s="1505"/>
      <c r="O39" s="2445"/>
    </row>
    <row r="40" spans="2:15" ht="12.75" customHeight="1">
      <c r="B40" s="1563"/>
      <c r="C40" s="1564"/>
      <c r="D40" s="2565"/>
      <c r="E40" s="1501"/>
      <c r="F40" s="2431" t="s">
        <v>2633</v>
      </c>
      <c r="G40" s="2432" t="s">
        <v>2634</v>
      </c>
      <c r="H40" s="2433" t="s">
        <v>2635</v>
      </c>
      <c r="I40" s="2433" t="s">
        <v>2636</v>
      </c>
      <c r="J40" s="2433" t="s">
        <v>2637</v>
      </c>
      <c r="K40" s="1505"/>
      <c r="O40" s="2445" t="str">
        <f>INDEX(H40:J40,I41)</f>
        <v>$2B</v>
      </c>
    </row>
    <row r="41" spans="2:15" ht="12.75" customHeight="1">
      <c r="B41" s="1565"/>
      <c r="C41" s="1566"/>
      <c r="D41" s="2566"/>
      <c r="E41" s="1501"/>
      <c r="F41" s="1511"/>
      <c r="G41" s="1508"/>
      <c r="H41" s="1508"/>
      <c r="I41" s="1515">
        <v>2</v>
      </c>
      <c r="J41" s="1508"/>
      <c r="K41" s="1509"/>
    </row>
  </sheetData>
  <mergeCells count="13">
    <mergeCell ref="D38:D41"/>
    <mergeCell ref="D8:D11"/>
    <mergeCell ref="D14:D17"/>
    <mergeCell ref="D20:D23"/>
    <mergeCell ref="D26:D29"/>
    <mergeCell ref="I1:J1"/>
    <mergeCell ref="D5:D6"/>
    <mergeCell ref="F5:F6"/>
    <mergeCell ref="D32:D35"/>
    <mergeCell ref="G5:G6"/>
    <mergeCell ref="H5:H6"/>
    <mergeCell ref="I5:I6"/>
    <mergeCell ref="J5:J6"/>
  </mergeCells>
  <phoneticPr fontId="5" type="noConversion"/>
  <conditionalFormatting sqref="H8:J8">
    <cfRule type="cellIs" dxfId="571" priority="2" stopIfTrue="1" operator="equal">
      <formula>$O$8</formula>
    </cfRule>
  </conditionalFormatting>
  <conditionalFormatting sqref="H10:J10">
    <cfRule type="cellIs" dxfId="570" priority="4" stopIfTrue="1" operator="equal">
      <formula>$O$10</formula>
    </cfRule>
  </conditionalFormatting>
  <conditionalFormatting sqref="H14:J14">
    <cfRule type="cellIs" dxfId="569" priority="5" stopIfTrue="1" operator="equal">
      <formula>$O$14</formula>
    </cfRule>
  </conditionalFormatting>
  <conditionalFormatting sqref="H16:J16">
    <cfRule type="cellIs" dxfId="568" priority="6" stopIfTrue="1" operator="equal">
      <formula>$O$16</formula>
    </cfRule>
  </conditionalFormatting>
  <conditionalFormatting sqref="H20:J20">
    <cfRule type="cellIs" dxfId="567" priority="7" stopIfTrue="1" operator="equal">
      <formula>$O$20</formula>
    </cfRule>
  </conditionalFormatting>
  <conditionalFormatting sqref="H22:J22">
    <cfRule type="cellIs" dxfId="566" priority="8" stopIfTrue="1" operator="equal">
      <formula>$O$22</formula>
    </cfRule>
  </conditionalFormatting>
  <conditionalFormatting sqref="H26:J26">
    <cfRule type="cellIs" dxfId="565" priority="9" stopIfTrue="1" operator="equal">
      <formula>$O$26</formula>
    </cfRule>
  </conditionalFormatting>
  <conditionalFormatting sqref="H28:J28">
    <cfRule type="cellIs" dxfId="564" priority="10" stopIfTrue="1" operator="equal">
      <formula>$O$28</formula>
    </cfRule>
  </conditionalFormatting>
  <conditionalFormatting sqref="H32:J32">
    <cfRule type="cellIs" dxfId="563" priority="11" stopIfTrue="1" operator="equal">
      <formula>$O$32</formula>
    </cfRule>
  </conditionalFormatting>
  <conditionalFormatting sqref="H38:J38">
    <cfRule type="cellIs" dxfId="562" priority="13" stopIfTrue="1" operator="equal">
      <formula>$O$38</formula>
    </cfRule>
  </conditionalFormatting>
  <conditionalFormatting sqref="H40:J40">
    <cfRule type="cellIs" dxfId="561" priority="14" stopIfTrue="1" operator="equal">
      <formula>$O$40</formula>
    </cfRule>
  </conditionalFormatting>
  <conditionalFormatting sqref="H34:J34">
    <cfRule type="cellIs" dxfId="560" priority="1" stopIfTrue="1" operator="equal">
      <formula>$O$34</formula>
    </cfRule>
  </conditionalFormatting>
  <pageMargins left="0.78740157499999996" right="0.78740157499999996" top="0.984251969" bottom="0.984251969" header="0.5" footer="0.5"/>
  <pageSetup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2"/>
    <pageSetUpPr fitToPage="1"/>
  </sheetPr>
  <dimension ref="A1:U41"/>
  <sheetViews>
    <sheetView showGridLines="0" zoomScale="130" zoomScaleNormal="130" workbookViewId="0">
      <pane ySplit="3" topLeftCell="A23" activePane="bottomLeft" state="frozen"/>
      <selection pane="bottomLeft" activeCell="G33" sqref="G33"/>
    </sheetView>
  </sheetViews>
  <sheetFormatPr defaultColWidth="10.6640625" defaultRowHeight="12.75"/>
  <cols>
    <col min="1" max="1" width="3.1640625" style="1486" customWidth="1"/>
    <col min="2" max="2" width="14.83203125" style="1486" customWidth="1"/>
    <col min="3" max="5" width="9.1640625" style="1486" customWidth="1"/>
    <col min="6" max="6" width="10.6640625" style="1486" customWidth="1"/>
    <col min="7" max="7" width="16" style="1486" customWidth="1"/>
    <col min="8" max="9" width="12.83203125" style="1486" customWidth="1"/>
    <col min="10" max="10" width="15" style="1486" customWidth="1"/>
    <col min="11" max="11" width="10.83203125" style="1486" customWidth="1"/>
    <col min="12" max="12" width="2.83203125" style="1486" customWidth="1"/>
    <col min="13" max="16384" width="10.6640625" style="1486"/>
  </cols>
  <sheetData>
    <row r="1" spans="1:21">
      <c r="J1" s="2512" t="str">
        <f>"Team " &amp;tlInputTeamNumber</f>
        <v>Team 1</v>
      </c>
      <c r="K1" s="2512"/>
    </row>
    <row r="2" spans="1:21" ht="20.25">
      <c r="A2" s="2416" t="s">
        <v>3948</v>
      </c>
      <c r="B2" s="1485"/>
    </row>
    <row r="3" spans="1:21" ht="3.75" customHeight="1"/>
    <row r="5" spans="1:21" ht="14.25" customHeight="1">
      <c r="B5" s="2417" t="s">
        <v>4001</v>
      </c>
    </row>
    <row r="6" spans="1:21" ht="8.25" customHeight="1">
      <c r="B6" s="1487"/>
    </row>
    <row r="7" spans="1:21" ht="14.25" customHeight="1">
      <c r="B7" s="2418" t="s">
        <v>4002</v>
      </c>
    </row>
    <row r="8" spans="1:21">
      <c r="B8" s="1488"/>
    </row>
    <row r="9" spans="1:21" ht="24" customHeight="1">
      <c r="A9" s="1488"/>
      <c r="B9" s="1489"/>
      <c r="C9" s="2419" t="s">
        <v>3518</v>
      </c>
      <c r="D9" s="2419" t="s">
        <v>3519</v>
      </c>
      <c r="E9" s="2419" t="s">
        <v>3173</v>
      </c>
      <c r="F9" s="2419" t="s">
        <v>2377</v>
      </c>
    </row>
    <row r="10" spans="1:21" ht="24" customHeight="1">
      <c r="B10" s="1558" t="s">
        <v>1598</v>
      </c>
      <c r="C10" s="1490">
        <v>0</v>
      </c>
      <c r="D10" s="1490">
        <v>0</v>
      </c>
      <c r="E10" s="1490">
        <v>0</v>
      </c>
      <c r="F10" s="2419">
        <f>SUM(C10:E10)</f>
        <v>0</v>
      </c>
    </row>
    <row r="11" spans="1:21" ht="24" customHeight="1">
      <c r="B11" s="1558" t="s">
        <v>1599</v>
      </c>
      <c r="C11" s="1490">
        <v>0</v>
      </c>
      <c r="D11" s="1490">
        <v>0</v>
      </c>
      <c r="E11" s="1490">
        <v>0</v>
      </c>
      <c r="F11" s="2419">
        <f>SUM(C11:E11)</f>
        <v>0</v>
      </c>
    </row>
    <row r="12" spans="1:21" ht="24" customHeight="1">
      <c r="B12" s="1558" t="s">
        <v>2377</v>
      </c>
      <c r="C12" s="2419">
        <f>SUM(C10:C11)</f>
        <v>0</v>
      </c>
      <c r="D12" s="2419">
        <f>SUM(D10:D11)</f>
        <v>0</v>
      </c>
      <c r="E12" s="2419">
        <f>SUM(E10:E11)</f>
        <v>0</v>
      </c>
      <c r="F12" s="1491"/>
      <c r="G12" s="2420"/>
      <c r="H12" s="2421" t="s">
        <v>1598</v>
      </c>
      <c r="I12" s="2421" t="s">
        <v>1599</v>
      </c>
      <c r="J12" s="2421" t="s">
        <v>2638</v>
      </c>
      <c r="K12" s="2421" t="s">
        <v>974</v>
      </c>
      <c r="U12" s="1486">
        <v>1</v>
      </c>
    </row>
    <row r="13" spans="1:21" ht="24" customHeight="1">
      <c r="B13" s="2573" t="s">
        <v>4005</v>
      </c>
      <c r="C13" s="2573"/>
      <c r="D13" s="2573"/>
      <c r="E13" s="2573"/>
      <c r="F13" s="2574"/>
      <c r="G13" s="2419" t="s">
        <v>3442</v>
      </c>
      <c r="H13" s="2422">
        <v>0</v>
      </c>
      <c r="I13" s="2423">
        <v>0</v>
      </c>
      <c r="J13" s="2419">
        <f>SUM(H13:I13)</f>
        <v>0</v>
      </c>
      <c r="K13" s="2424">
        <f>RANK(J13,J$13:J$16,-1)</f>
        <v>1</v>
      </c>
      <c r="U13" s="1486">
        <v>2</v>
      </c>
    </row>
    <row r="14" spans="1:21" ht="24" customHeight="1">
      <c r="B14" s="2573"/>
      <c r="C14" s="2573"/>
      <c r="D14" s="2573"/>
      <c r="E14" s="2573"/>
      <c r="F14" s="2574"/>
      <c r="G14" s="2419" t="s">
        <v>1108</v>
      </c>
      <c r="H14" s="2422">
        <v>0</v>
      </c>
      <c r="I14" s="2423">
        <v>0</v>
      </c>
      <c r="J14" s="2419">
        <f>SUM(H14:I14)</f>
        <v>0</v>
      </c>
      <c r="K14" s="2424">
        <f>RANK(J14,J$13:J$16,-1)</f>
        <v>1</v>
      </c>
      <c r="U14" s="1486">
        <v>3</v>
      </c>
    </row>
    <row r="15" spans="1:21" ht="24" customHeight="1">
      <c r="B15" s="2575" t="s">
        <v>4006</v>
      </c>
      <c r="C15" s="2575"/>
      <c r="D15" s="2575"/>
      <c r="E15" s="2575"/>
      <c r="F15" s="2576"/>
      <c r="G15" s="2419" t="s">
        <v>4003</v>
      </c>
      <c r="H15" s="2422">
        <v>0</v>
      </c>
      <c r="I15" s="2423">
        <v>0</v>
      </c>
      <c r="J15" s="2419">
        <f>SUM(H15:I15)</f>
        <v>0</v>
      </c>
      <c r="K15" s="2424">
        <f>RANK(J15,J$13:J$16,-1)</f>
        <v>1</v>
      </c>
      <c r="U15" s="1486">
        <v>4</v>
      </c>
    </row>
    <row r="16" spans="1:21" ht="24" customHeight="1">
      <c r="B16" s="2575"/>
      <c r="C16" s="2575"/>
      <c r="D16" s="2575"/>
      <c r="E16" s="2575"/>
      <c r="F16" s="2576"/>
      <c r="G16" s="2419" t="s">
        <v>4004</v>
      </c>
      <c r="H16" s="2422">
        <v>0</v>
      </c>
      <c r="I16" s="2423">
        <v>0</v>
      </c>
      <c r="J16" s="2419">
        <f>SUM(H16:I16)</f>
        <v>0</v>
      </c>
      <c r="K16" s="2424">
        <f>RANK(J16,J$13:J$16,-1)</f>
        <v>1</v>
      </c>
    </row>
    <row r="17" spans="2:19" ht="24" customHeight="1">
      <c r="B17" s="1557"/>
      <c r="C17" s="1557"/>
      <c r="D17" s="1557"/>
      <c r="E17" s="1557"/>
      <c r="F17" s="1567"/>
      <c r="G17" s="2419" t="s">
        <v>2377</v>
      </c>
      <c r="H17" s="2419">
        <f>SUM(H13:H16)</f>
        <v>0</v>
      </c>
      <c r="I17" s="2419">
        <f t="shared" ref="I17" si="0">SUM(I13:I16)</f>
        <v>0</v>
      </c>
      <c r="J17" s="2425"/>
      <c r="K17" s="2425"/>
    </row>
    <row r="18" spans="2:19" ht="13.5" customHeight="1">
      <c r="B18" s="1512"/>
      <c r="C18" s="1512"/>
      <c r="D18" s="1512"/>
      <c r="E18" s="1512"/>
      <c r="H18" s="1569" t="str">
        <f>IF(H17=0,"",IF(COUNTA(H13:H16)&lt;4,"",IF(H17&lt;&gt;10,"Sorry! Please select each # only once!","")))</f>
        <v/>
      </c>
      <c r="I18" s="1569" t="str">
        <f>IF(I17=0,"",IF(COUNTA(I13:I16)&lt;4,"",IF(I17&lt;&gt;10,"Sorry! Please select each # only once!","")))</f>
        <v/>
      </c>
      <c r="J18" s="1488"/>
    </row>
    <row r="19" spans="2:19" ht="18" customHeight="1">
      <c r="B19" s="2580" t="s">
        <v>4007</v>
      </c>
      <c r="C19" s="2580"/>
      <c r="D19" s="2580"/>
      <c r="E19" s="2580"/>
      <c r="F19" s="2580"/>
      <c r="G19" s="2580"/>
      <c r="H19" s="2580"/>
      <c r="I19" s="2580"/>
      <c r="J19" s="2580"/>
    </row>
    <row r="20" spans="2:19" ht="9" customHeight="1">
      <c r="B20" s="2580"/>
      <c r="C20" s="2580"/>
      <c r="D20" s="2580"/>
      <c r="E20" s="2580"/>
      <c r="F20" s="2580"/>
      <c r="G20" s="2580"/>
      <c r="H20" s="2580"/>
      <c r="I20" s="2580"/>
      <c r="J20" s="2580"/>
    </row>
    <row r="21" spans="2:19" ht="24" customHeight="1">
      <c r="B21" s="2577" t="s">
        <v>4008</v>
      </c>
      <c r="C21" s="2577"/>
      <c r="D21" s="2577"/>
      <c r="E21" s="2577"/>
      <c r="F21" s="2577"/>
      <c r="G21" s="2577"/>
      <c r="H21" s="1513"/>
      <c r="I21" s="1513"/>
      <c r="J21" s="1488"/>
    </row>
    <row r="22" spans="2:19" ht="10.5" customHeight="1">
      <c r="B22" s="2577"/>
      <c r="C22" s="2577"/>
      <c r="D22" s="2577"/>
      <c r="E22" s="2577"/>
      <c r="F22" s="2577"/>
      <c r="G22" s="2577"/>
      <c r="H22" s="1494"/>
      <c r="I22" s="1493"/>
    </row>
    <row r="23" spans="2:19" ht="18" customHeight="1">
      <c r="C23" s="2426" t="s">
        <v>2639</v>
      </c>
      <c r="D23" s="2572" t="s">
        <v>3287</v>
      </c>
      <c r="E23" s="2572"/>
      <c r="F23" s="2572" t="s">
        <v>2640</v>
      </c>
      <c r="G23" s="2572"/>
      <c r="H23" s="2572" t="s">
        <v>2641</v>
      </c>
      <c r="I23" s="2572"/>
      <c r="J23" s="2572" t="s">
        <v>2642</v>
      </c>
      <c r="K23" s="2572"/>
      <c r="S23" s="1597" t="s">
        <v>4775</v>
      </c>
    </row>
    <row r="24" spans="2:19" ht="24" customHeight="1">
      <c r="B24" s="2427" t="s">
        <v>1598</v>
      </c>
      <c r="C24" s="2419">
        <v>1</v>
      </c>
      <c r="D24" s="2579" t="str">
        <f>IF(H$13=C24,G$13,IF(H$14=C24,G$14,IF(H$15=C24,G$15,IF(H$16=C24,G$16,"0"))))</f>
        <v>0</v>
      </c>
      <c r="E24" s="2579"/>
      <c r="F24" s="2481" t="s">
        <v>4775</v>
      </c>
      <c r="G24" s="2482"/>
      <c r="H24" s="2481" t="s">
        <v>4775</v>
      </c>
      <c r="I24" s="2482"/>
      <c r="J24" s="2481" t="s">
        <v>4775</v>
      </c>
      <c r="K24" s="2482"/>
      <c r="S24" s="1597" t="s">
        <v>4110</v>
      </c>
    </row>
    <row r="25" spans="2:19" ht="24" customHeight="1">
      <c r="B25" s="2428"/>
      <c r="C25" s="2419">
        <v>2</v>
      </c>
      <c r="D25" s="2579" t="str">
        <f>IF(H$13=C25,G$13,IF(H$14=C25,G$14,IF(H$15=C25,G$15,IF(H$16=C25,G$16,"0"))))</f>
        <v>0</v>
      </c>
      <c r="E25" s="2579"/>
      <c r="F25" s="2483"/>
      <c r="G25" s="2484"/>
      <c r="H25" s="2483"/>
      <c r="I25" s="2484"/>
      <c r="J25" s="2483"/>
      <c r="K25" s="2484"/>
      <c r="S25" s="1486" t="s">
        <v>2644</v>
      </c>
    </row>
    <row r="26" spans="2:19" ht="24" customHeight="1">
      <c r="B26" s="2429" t="s">
        <v>1599</v>
      </c>
      <c r="C26" s="2419">
        <v>1</v>
      </c>
      <c r="D26" s="2579" t="str">
        <f>IF(I$13=C26,G$13,IF(I$14=C26,G$14,IF(I$15=C26,G$15,IF(I$16=C26,G$16,"0"))))</f>
        <v>0</v>
      </c>
      <c r="E26" s="2579"/>
      <c r="F26" s="2481" t="s">
        <v>4775</v>
      </c>
      <c r="G26" s="2482"/>
      <c r="H26" s="2481" t="s">
        <v>4775</v>
      </c>
      <c r="I26" s="2482"/>
      <c r="J26" s="2481" t="s">
        <v>4775</v>
      </c>
      <c r="K26" s="2482"/>
      <c r="S26" s="1486" t="s">
        <v>2643</v>
      </c>
    </row>
    <row r="27" spans="2:19" ht="24" customHeight="1">
      <c r="B27" s="2428"/>
      <c r="C27" s="2419">
        <v>2</v>
      </c>
      <c r="D27" s="2579" t="str">
        <f>IF(I$13=C27,G$13,IF(I$14=C27,G$14,IF(I$15=C27,G$15,IF(I$16=C27,G$16,"0"))))</f>
        <v>0</v>
      </c>
      <c r="E27" s="2579"/>
      <c r="F27" s="2483"/>
      <c r="G27" s="2484"/>
      <c r="H27" s="2483"/>
      <c r="I27" s="2484"/>
      <c r="J27" s="2483"/>
      <c r="K27" s="2484"/>
      <c r="S27" s="1597" t="s">
        <v>4096</v>
      </c>
    </row>
    <row r="28" spans="2:19" ht="24" customHeight="1">
      <c r="B28" s="2430" t="s">
        <v>2638</v>
      </c>
      <c r="C28" s="1492">
        <v>1</v>
      </c>
      <c r="D28" s="2578" t="str">
        <f>IF(K$13=C28,G$13,IF(K$14=C28,G$14,IF(K$15=C28,G$15,IF(K$16=C28,G$16,"0"))))</f>
        <v>Brands</v>
      </c>
      <c r="E28" s="2578"/>
      <c r="F28" s="2481" t="s">
        <v>4775</v>
      </c>
      <c r="G28" s="2482"/>
      <c r="H28" s="2481" t="s">
        <v>4775</v>
      </c>
      <c r="I28" s="2482"/>
      <c r="J28" s="2481" t="s">
        <v>4775</v>
      </c>
      <c r="K28" s="2482"/>
      <c r="S28" s="1486" t="s">
        <v>2649</v>
      </c>
    </row>
    <row r="29" spans="2:19" ht="24" customHeight="1">
      <c r="B29" s="2428"/>
      <c r="C29" s="1492">
        <v>2</v>
      </c>
      <c r="D29" s="2578" t="str">
        <f>IF(K$13=C29,G$13,IF(K$14=C29,G$14,IF(K$15=C29,G$15,IF(K$16=C29,G$16,"0"))))</f>
        <v>0</v>
      </c>
      <c r="E29" s="2578"/>
      <c r="F29" s="2483"/>
      <c r="G29" s="2484"/>
      <c r="H29" s="2483"/>
      <c r="I29" s="2484"/>
      <c r="J29" s="2483"/>
      <c r="K29" s="2484"/>
      <c r="S29" s="1486" t="s">
        <v>2651</v>
      </c>
    </row>
    <row r="30" spans="2:19">
      <c r="S30" s="1486" t="s">
        <v>2652</v>
      </c>
    </row>
    <row r="31" spans="2:19">
      <c r="S31" s="1486" t="s">
        <v>2648</v>
      </c>
    </row>
    <row r="32" spans="2:19">
      <c r="S32" s="1486" t="s">
        <v>2653</v>
      </c>
    </row>
    <row r="33" spans="19:19">
      <c r="S33" s="1486" t="s">
        <v>2654</v>
      </c>
    </row>
    <row r="34" spans="19:19">
      <c r="S34" s="1486" t="s">
        <v>2655</v>
      </c>
    </row>
    <row r="35" spans="19:19">
      <c r="S35" s="1486" t="s">
        <v>2656</v>
      </c>
    </row>
    <row r="36" spans="19:19">
      <c r="S36" s="1486" t="s">
        <v>2657</v>
      </c>
    </row>
    <row r="37" spans="19:19">
      <c r="S37" s="1486" t="s">
        <v>2658</v>
      </c>
    </row>
    <row r="38" spans="19:19">
      <c r="S38" s="1486" t="s">
        <v>2647</v>
      </c>
    </row>
    <row r="39" spans="19:19">
      <c r="S39" s="1486" t="s">
        <v>2659</v>
      </c>
    </row>
    <row r="40" spans="19:19">
      <c r="S40" s="1486" t="s">
        <v>2650</v>
      </c>
    </row>
    <row r="41" spans="19:19">
      <c r="S41" s="1486" t="s">
        <v>2645</v>
      </c>
    </row>
  </sheetData>
  <mergeCells count="15">
    <mergeCell ref="D28:E28"/>
    <mergeCell ref="D29:E29"/>
    <mergeCell ref="D26:E26"/>
    <mergeCell ref="D27:E27"/>
    <mergeCell ref="B19:J20"/>
    <mergeCell ref="D23:E23"/>
    <mergeCell ref="D24:E24"/>
    <mergeCell ref="D25:E25"/>
    <mergeCell ref="J1:K1"/>
    <mergeCell ref="F23:G23"/>
    <mergeCell ref="H23:I23"/>
    <mergeCell ref="J23:K23"/>
    <mergeCell ref="B13:F14"/>
    <mergeCell ref="B15:F16"/>
    <mergeCell ref="B21:G22"/>
  </mergeCells>
  <phoneticPr fontId="5" type="noConversion"/>
  <conditionalFormatting sqref="C10:E11">
    <cfRule type="cellIs" dxfId="559" priority="5" stopIfTrue="1" operator="equal">
      <formula>1</formula>
    </cfRule>
    <cfRule type="cellIs" dxfId="558" priority="6" stopIfTrue="1" operator="between">
      <formula>2</formula>
      <formula>3</formula>
    </cfRule>
    <cfRule type="cellIs" dxfId="557" priority="7" stopIfTrue="1" operator="between">
      <formula>4</formula>
      <formula>5</formula>
    </cfRule>
  </conditionalFormatting>
  <conditionalFormatting sqref="H13:I15 K13:K15">
    <cfRule type="cellIs" dxfId="556" priority="8" stopIfTrue="1" operator="equal">
      <formula>1</formula>
    </cfRule>
    <cfRule type="cellIs" dxfId="555" priority="9" stopIfTrue="1" operator="equal">
      <formula>2</formula>
    </cfRule>
    <cfRule type="cellIs" dxfId="554" priority="10" stopIfTrue="1" operator="equal">
      <formula>3</formula>
    </cfRule>
  </conditionalFormatting>
  <conditionalFormatting sqref="H16:I16 K16">
    <cfRule type="cellIs" dxfId="553" priority="1" stopIfTrue="1" operator="equal">
      <formula>1</formula>
    </cfRule>
    <cfRule type="cellIs" dxfId="552" priority="2" stopIfTrue="1" operator="equal">
      <formula>2</formula>
    </cfRule>
    <cfRule type="cellIs" dxfId="551" priority="3" stopIfTrue="1" operator="equal">
      <formula>3</formula>
    </cfRule>
  </conditionalFormatting>
  <conditionalFormatting sqref="K13:K16 H13:I16">
    <cfRule type="cellIs" dxfId="550" priority="4" operator="equal">
      <formula>4</formula>
    </cfRule>
  </conditionalFormatting>
  <dataValidations count="4">
    <dataValidation type="list" allowBlank="1" showInputMessage="1" showErrorMessage="1" sqref="C10:E11">
      <formula1>dataList0to5</formula1>
    </dataValidation>
    <dataValidation type="list" allowBlank="1" showInputMessage="1" showErrorMessage="1" sqref="H13:I16">
      <formula1>dataList0to4</formula1>
    </dataValidation>
    <dataValidation type="list" allowBlank="1" showInputMessage="1" showErrorMessage="1" sqref="F29 G24:G29 H29 I24:I29 K24:K29 J25 H25 F25 F27 H27 J27 J29">
      <formula1>$S$23:$S$41</formula1>
    </dataValidation>
    <dataValidation type="list" allowBlank="1" showInputMessage="1" showErrorMessage="1" sqref="F24 H24 J24 J26 H26 F26 F28 H28 J28">
      <formula1>datalistdiffenablers</formula1>
    </dataValidation>
  </dataValidations>
  <pageMargins left="0.78740157499999996" right="0.78740157499999996" top="0.984251969" bottom="0.984251969" header="0.5" footer="0.5"/>
  <pageSetup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olIntro">
    <tabColor indexed="22"/>
    <pageSetUpPr fitToPage="1"/>
  </sheetPr>
  <dimension ref="B1:I22"/>
  <sheetViews>
    <sheetView showGridLines="0" zoomScale="116" workbookViewId="0">
      <selection activeCell="G14" sqref="G14"/>
    </sheetView>
  </sheetViews>
  <sheetFormatPr defaultRowHeight="10.5"/>
  <cols>
    <col min="1" max="1" width="1.6640625" style="1071" customWidth="1"/>
    <col min="2" max="2" width="1.83203125" style="1071" customWidth="1"/>
    <col min="3" max="3" width="7.6640625" style="1071" customWidth="1"/>
    <col min="4" max="4" width="20" style="1071" customWidth="1"/>
    <col min="5" max="5" width="19.33203125" style="1071" customWidth="1"/>
    <col min="6" max="6" width="15.5" style="1071" customWidth="1"/>
    <col min="7" max="7" width="58.6640625" style="1071" customWidth="1"/>
    <col min="8" max="8" width="12" style="1071" customWidth="1"/>
    <col min="9" max="9" width="1.83203125" style="1071" customWidth="1"/>
    <col min="10" max="10" width="1.5" style="1071" customWidth="1"/>
    <col min="11" max="16384" width="9.33203125" style="1071"/>
  </cols>
  <sheetData>
    <row r="1" spans="2:9" ht="7.5" customHeight="1" thickBot="1"/>
    <row r="2" spans="2:9" ht="23.25" customHeight="1" thickBot="1">
      <c r="B2" s="1672" t="s">
        <v>1569</v>
      </c>
      <c r="C2" s="865"/>
      <c r="D2" s="865"/>
      <c r="E2" s="865"/>
      <c r="F2" s="865"/>
      <c r="G2" s="865"/>
      <c r="H2" s="865"/>
      <c r="I2" s="866"/>
    </row>
    <row r="3" spans="2:9" ht="30.75" customHeight="1">
      <c r="B3" s="867"/>
      <c r="C3" s="868"/>
      <c r="D3" s="869"/>
      <c r="E3" s="869"/>
      <c r="F3" s="869"/>
      <c r="G3" s="869"/>
      <c r="H3" s="869"/>
      <c r="I3" s="870"/>
    </row>
    <row r="4" spans="2:9" ht="42">
      <c r="B4" s="871"/>
      <c r="C4" s="872"/>
      <c r="D4" s="1550"/>
      <c r="E4" s="873"/>
      <c r="F4" s="874"/>
      <c r="G4" s="1085"/>
      <c r="H4" s="863"/>
      <c r="I4" s="864"/>
    </row>
    <row r="5" spans="2:9">
      <c r="B5" s="871"/>
      <c r="C5" s="863"/>
      <c r="D5" s="863"/>
      <c r="E5" s="863"/>
      <c r="F5" s="863"/>
      <c r="G5" s="863"/>
      <c r="H5" s="863"/>
      <c r="I5" s="864"/>
    </row>
    <row r="6" spans="2:9" ht="10.5" customHeight="1">
      <c r="B6" s="871"/>
      <c r="C6" s="863"/>
      <c r="D6" s="875"/>
      <c r="E6" s="876"/>
      <c r="F6" s="876"/>
      <c r="G6" s="863"/>
      <c r="H6" s="863"/>
      <c r="I6" s="864"/>
    </row>
    <row r="7" spans="2:9" ht="11.25" customHeight="1">
      <c r="B7" s="871"/>
      <c r="C7" s="863"/>
      <c r="D7" s="863"/>
      <c r="E7" s="863"/>
      <c r="F7" s="863"/>
      <c r="G7" s="863"/>
      <c r="H7" s="863"/>
      <c r="I7" s="864"/>
    </row>
    <row r="8" spans="2:9" ht="23.25">
      <c r="B8" s="880"/>
      <c r="C8" s="881"/>
      <c r="D8" s="882"/>
      <c r="E8" s="882"/>
      <c r="F8" s="881"/>
      <c r="G8" s="2414" t="str">
        <f>"Year " &amp; xxYear</f>
        <v>Year 1</v>
      </c>
      <c r="H8" s="881"/>
      <c r="I8" s="885"/>
    </row>
    <row r="9" spans="2:9" ht="11.25">
      <c r="B9" s="880"/>
      <c r="C9" s="881"/>
      <c r="D9" s="882"/>
      <c r="E9" s="881"/>
      <c r="F9" s="881"/>
      <c r="G9" s="150"/>
      <c r="H9" s="881"/>
      <c r="I9" s="885"/>
    </row>
    <row r="10" spans="2:9" ht="21" thickBot="1">
      <c r="B10" s="880"/>
      <c r="C10" s="881"/>
      <c r="D10" s="882"/>
      <c r="E10" s="882"/>
      <c r="F10" s="881"/>
      <c r="G10" s="2415" t="s">
        <v>1849</v>
      </c>
      <c r="H10" s="881"/>
      <c r="I10" s="885"/>
    </row>
    <row r="11" spans="2:9" ht="18.75" customHeight="1" thickBot="1">
      <c r="B11" s="880"/>
      <c r="C11" s="881"/>
      <c r="D11" s="882"/>
      <c r="E11" s="882"/>
      <c r="F11" s="881"/>
      <c r="G11" s="1548">
        <v>1</v>
      </c>
      <c r="H11" s="881"/>
      <c r="I11" s="885"/>
    </row>
    <row r="12" spans="2:9" ht="18">
      <c r="B12" s="880"/>
      <c r="C12" s="881"/>
      <c r="D12" s="882"/>
      <c r="E12" s="883"/>
      <c r="F12" s="881"/>
      <c r="G12" s="150"/>
      <c r="H12" s="881"/>
      <c r="I12" s="885"/>
    </row>
    <row r="13" spans="2:9" ht="21" thickBot="1">
      <c r="B13" s="880"/>
      <c r="C13" s="881"/>
      <c r="D13" s="882"/>
      <c r="E13" s="882"/>
      <c r="F13" s="881"/>
      <c r="G13" s="2415" t="s">
        <v>1850</v>
      </c>
      <c r="H13" s="881"/>
      <c r="I13" s="885"/>
    </row>
    <row r="14" spans="2:9" ht="21" thickBot="1">
      <c r="B14" s="880"/>
      <c r="C14" s="881"/>
      <c r="D14" s="882"/>
      <c r="E14" s="882"/>
      <c r="F14" s="881"/>
      <c r="G14" s="1549" t="s">
        <v>1713</v>
      </c>
      <c r="H14" s="881"/>
      <c r="I14" s="885"/>
    </row>
    <row r="15" spans="2:9">
      <c r="B15" s="880"/>
      <c r="C15" s="881"/>
      <c r="D15" s="881"/>
      <c r="E15" s="881"/>
      <c r="F15" s="881"/>
      <c r="G15" s="881"/>
      <c r="H15" s="881"/>
      <c r="I15" s="885"/>
    </row>
    <row r="16" spans="2:9">
      <c r="B16" s="880"/>
      <c r="C16" s="881"/>
      <c r="D16" s="881"/>
      <c r="E16" s="881"/>
      <c r="F16" s="881"/>
      <c r="G16" s="881"/>
      <c r="H16" s="881"/>
      <c r="I16" s="885"/>
    </row>
    <row r="17" spans="2:9" ht="12" customHeight="1">
      <c r="B17" s="880"/>
      <c r="C17" s="881"/>
      <c r="D17" s="881"/>
      <c r="E17" s="881"/>
      <c r="F17" s="884"/>
      <c r="G17" s="881"/>
      <c r="H17" s="881"/>
      <c r="I17" s="885"/>
    </row>
    <row r="18" spans="2:9">
      <c r="B18" s="880"/>
      <c r="C18" s="881"/>
      <c r="D18" s="881"/>
      <c r="E18" s="881"/>
      <c r="F18" s="881"/>
      <c r="G18" s="881"/>
      <c r="H18" s="881"/>
      <c r="I18" s="885"/>
    </row>
    <row r="19" spans="2:9" ht="9" customHeight="1">
      <c r="B19" s="880"/>
      <c r="C19" s="881"/>
      <c r="D19" s="881"/>
      <c r="E19" s="881"/>
      <c r="F19" s="881"/>
      <c r="G19" s="881"/>
      <c r="H19" s="881"/>
      <c r="I19" s="885"/>
    </row>
    <row r="20" spans="2:9" ht="31.5" customHeight="1">
      <c r="B20" s="880"/>
      <c r="C20" s="881"/>
      <c r="D20" s="881"/>
      <c r="E20" s="881"/>
      <c r="F20" s="881"/>
      <c r="G20" s="881"/>
      <c r="H20" s="881"/>
      <c r="I20" s="885"/>
    </row>
    <row r="21" spans="2:9">
      <c r="B21" s="880"/>
      <c r="C21" s="881"/>
      <c r="D21" s="881"/>
      <c r="E21" s="881"/>
      <c r="F21" s="881"/>
      <c r="G21" s="881"/>
      <c r="H21" s="881"/>
      <c r="I21" s="885"/>
    </row>
    <row r="22" spans="2:9" ht="20.25" customHeight="1" thickBot="1">
      <c r="B22" s="877"/>
      <c r="C22" s="878"/>
      <c r="D22" s="878"/>
      <c r="E22" s="878"/>
      <c r="F22" s="878"/>
      <c r="G22" s="878"/>
      <c r="H22" s="878"/>
      <c r="I22" s="879"/>
    </row>
  </sheetData>
  <phoneticPr fontId="0" type="noConversion"/>
  <dataValidations count="1">
    <dataValidation type="textLength" operator="lessThanOrEqual" allowBlank="1" showInputMessage="1" showErrorMessage="1" errorTitle="Company Name" error="Please choose a shorter name." sqref="G14">
      <formula1>12</formula1>
    </dataValidation>
  </dataValidations>
  <printOptions horizontalCentered="1"/>
  <pageMargins left="0.25" right="0.25" top="1" bottom="1" header="0.5" footer="0.5"/>
  <pageSetup paperSize="9" scale="90" orientation="portrait" blackAndWhite="1" r:id="rId1"/>
  <headerFooter alignWithMargins="0">
    <oddFooter>&amp;CPage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22"/>
    <pageSetUpPr fitToPage="1"/>
  </sheetPr>
  <dimension ref="B1:T94"/>
  <sheetViews>
    <sheetView showGridLines="0" topLeftCell="A2" zoomScale="116" zoomScaleNormal="116" workbookViewId="0">
      <selection activeCell="M1" sqref="M1"/>
    </sheetView>
  </sheetViews>
  <sheetFormatPr defaultRowHeight="11.25"/>
  <cols>
    <col min="1" max="4" width="1.83203125" style="487" customWidth="1"/>
    <col min="5" max="5" width="30.33203125" style="487" customWidth="1"/>
    <col min="6" max="6" width="1.83203125" style="487" customWidth="1"/>
    <col min="7" max="7" width="17.33203125" style="487" customWidth="1"/>
    <col min="8" max="8" width="1.83203125" style="487" customWidth="1"/>
    <col min="9" max="9" width="17.33203125" style="487" customWidth="1"/>
    <col min="10" max="10" width="1.83203125" style="487" customWidth="1"/>
    <col min="11" max="11" width="17.33203125" style="487" customWidth="1"/>
    <col min="12" max="12" width="1.83203125" style="487" customWidth="1"/>
    <col min="13" max="13" width="17.33203125" style="487" customWidth="1"/>
    <col min="14" max="14" width="2.33203125" style="487" customWidth="1"/>
    <col min="15" max="15" width="18.5" style="487" customWidth="1"/>
    <col min="16" max="17" width="1.83203125" style="487" customWidth="1"/>
    <col min="18" max="18" width="17.83203125" style="487" bestFit="1" customWidth="1"/>
    <col min="19" max="19" width="12" style="487" customWidth="1"/>
    <col min="20" max="16384" width="9.33203125" style="487"/>
  </cols>
  <sheetData>
    <row r="1" spans="2:20" hidden="1">
      <c r="L1" s="487">
        <f>IF(COUNTIF(dataUnlockedList,"unlocked")&gt;0,0,5)</f>
        <v>5</v>
      </c>
      <c r="M1" s="487">
        <f>IF(COUNTIF(dataUnlockedList,"unlocked")&gt;0,0,5)</f>
        <v>5</v>
      </c>
    </row>
    <row r="2" spans="2:20" s="1072" customFormat="1" ht="7.5" customHeight="1" thickBot="1">
      <c r="L2" s="1000"/>
      <c r="M2" s="1000"/>
      <c r="T2" s="1000"/>
    </row>
    <row r="3" spans="2:20" ht="23.25" thickBot="1">
      <c r="B3" s="1672" t="s">
        <v>2553</v>
      </c>
      <c r="C3" s="2228"/>
      <c r="D3" s="2228"/>
      <c r="E3" s="2228"/>
      <c r="F3" s="2228"/>
      <c r="G3" s="2228"/>
      <c r="H3" s="2228"/>
      <c r="I3" s="2228"/>
      <c r="J3" s="2228"/>
      <c r="K3" s="2228"/>
      <c r="L3" s="2228"/>
      <c r="M3" s="2228"/>
      <c r="N3" s="2228"/>
      <c r="O3" s="2228"/>
      <c r="P3" s="1672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Q3" s="1073"/>
    </row>
    <row r="4" spans="2:20" ht="15">
      <c r="B4" s="1677" t="s">
        <v>1696</v>
      </c>
      <c r="C4" s="2376"/>
      <c r="D4" s="2376"/>
      <c r="E4" s="2376"/>
      <c r="F4" s="2376"/>
      <c r="G4" s="2377"/>
      <c r="H4" s="2377"/>
      <c r="I4" s="2377"/>
      <c r="J4" s="2377"/>
      <c r="K4" s="2377"/>
      <c r="L4" s="2377"/>
      <c r="M4" s="2377"/>
      <c r="N4" s="2377"/>
      <c r="O4" s="2377"/>
      <c r="P4" s="2378"/>
      <c r="Q4" s="499"/>
    </row>
    <row r="5" spans="2:20" ht="15.75" thickBot="1">
      <c r="B5" s="1678" t="s">
        <v>424</v>
      </c>
      <c r="C5" s="1831"/>
      <c r="D5" s="1831"/>
      <c r="E5" s="1831"/>
      <c r="F5" s="1831"/>
      <c r="G5" s="1673" t="str">
        <f>DataNameProd1</f>
        <v>CSD</v>
      </c>
      <c r="H5" s="2230"/>
      <c r="I5" s="1673" t="str">
        <f>DataNameProd3</f>
        <v>NCB</v>
      </c>
      <c r="J5" s="2230"/>
      <c r="K5" s="1673" t="str">
        <f>DataNameProd4</f>
        <v>F&amp;S</v>
      </c>
      <c r="L5" s="1953"/>
      <c r="M5" s="1673" t="str">
        <f>DataNameProd2</f>
        <v>Breakthrough</v>
      </c>
      <c r="N5" s="2379"/>
      <c r="O5" s="1674" t="s">
        <v>3794</v>
      </c>
      <c r="P5" s="2369"/>
      <c r="Q5" s="502"/>
    </row>
    <row r="6" spans="2:20" ht="5.0999999999999996" customHeight="1">
      <c r="B6" s="1830"/>
      <c r="C6" s="1831"/>
      <c r="D6" s="1831"/>
      <c r="E6" s="1831"/>
      <c r="F6" s="1831"/>
      <c r="G6" s="1831"/>
      <c r="H6" s="1831"/>
      <c r="I6" s="1831"/>
      <c r="J6" s="1831"/>
      <c r="K6" s="1831"/>
      <c r="L6" s="1831"/>
      <c r="M6" s="1831"/>
      <c r="N6" s="1831"/>
      <c r="O6" s="1831"/>
      <c r="P6" s="1835"/>
      <c r="Q6" s="486"/>
    </row>
    <row r="7" spans="2:20" ht="15" customHeight="1">
      <c r="B7" s="1830"/>
      <c r="C7" s="1676" t="s">
        <v>1447</v>
      </c>
      <c r="D7" s="1831"/>
      <c r="E7" s="1831"/>
      <c r="F7" s="1831"/>
      <c r="G7" s="1675">
        <f>INDEX(capReg1Prod1UnitsSold,xxIndexTeam)+INDEX(capReg2Prod1UnitsSold,xxIndexTeam)</f>
        <v>1098513021</v>
      </c>
      <c r="H7" s="1675"/>
      <c r="I7" s="1675">
        <f>INDEX(capReg1Prod3UnitsSold, xxIndexTeam)+INDEX(capReg2Prod3UnitsSold, xxIndexTeam)</f>
        <v>601800000</v>
      </c>
      <c r="J7" s="1831"/>
      <c r="K7" s="1675">
        <f>INDEX(capReg1Prod4UnitsSold, xxIndexTeam)+INDEX(capReg2Prod4UnitsSold, xxIndexTeam)</f>
        <v>766700000</v>
      </c>
      <c r="L7" s="2405"/>
      <c r="M7" s="1675">
        <f>INDEX(capReg1Prod2UnitsSold, xxIndexTeam)+INDEX(capReg2Prod2UnitsSold, xxIndexTeam)</f>
        <v>0</v>
      </c>
      <c r="N7" s="1831"/>
      <c r="O7" s="1675">
        <f>SUM(G7:M7)</f>
        <v>2467013021</v>
      </c>
      <c r="P7" s="1835"/>
      <c r="Q7" s="486"/>
    </row>
    <row r="8" spans="2:20" ht="5.0999999999999996" customHeight="1">
      <c r="B8" s="1830"/>
      <c r="C8" s="1831"/>
      <c r="D8" s="1831"/>
      <c r="E8" s="1831"/>
      <c r="F8" s="1831"/>
      <c r="G8" s="1831"/>
      <c r="H8" s="1831"/>
      <c r="I8" s="1831"/>
      <c r="J8" s="1831"/>
      <c r="K8" s="1831"/>
      <c r="L8" s="1831"/>
      <c r="M8" s="1831"/>
      <c r="N8" s="1831"/>
      <c r="O8" s="1831"/>
      <c r="P8" s="1835"/>
      <c r="Q8" s="486"/>
    </row>
    <row r="9" spans="2:20" ht="12.75" customHeight="1">
      <c r="B9" s="1903"/>
      <c r="C9" s="1676" t="s">
        <v>2546</v>
      </c>
      <c r="D9" s="1831"/>
      <c r="E9" s="1831"/>
      <c r="F9" s="1831"/>
      <c r="G9" s="2381">
        <f>INDEX(finPNLReg1Prod1Rev, xxIndexTeam)+INDEX(finPNLReg2Prod1Rev, xxIndexTeam)</f>
        <v>9543873699.5</v>
      </c>
      <c r="H9" s="1908"/>
      <c r="I9" s="1675">
        <f>INDEX(finPNLReg1Prod3Rev, xxIndexTeam)+INDEX(finPNLReg2Prod3Rev, xxIndexTeam)</f>
        <v>7802000000</v>
      </c>
      <c r="J9" s="2352"/>
      <c r="K9" s="1675">
        <f>INDEX(finPNLReg1Prod4Rev, xxIndexTeam)+INDEX(finPNLReg2Prod4Rev, xxIndexTeam)</f>
        <v>8796250000</v>
      </c>
      <c r="L9" s="1675"/>
      <c r="M9" s="1675">
        <f>INDEX(finPNLReg1Prod2Rev, xxIndexTeam)+INDEX(finPNLReg2Prod2Rev, xxIndexTeam)</f>
        <v>0</v>
      </c>
      <c r="N9" s="2352"/>
      <c r="O9" s="1675">
        <f>SUM(G9:M9)</f>
        <v>26142123699.5</v>
      </c>
      <c r="P9" s="2382"/>
      <c r="Q9" s="497"/>
    </row>
    <row r="10" spans="2:20" ht="12.75">
      <c r="B10" s="1830"/>
      <c r="C10" s="1886"/>
      <c r="D10" s="1831"/>
      <c r="E10" s="2147" t="s">
        <v>1448</v>
      </c>
      <c r="F10" s="1681"/>
      <c r="G10" s="2383">
        <f>G9/G7</f>
        <v>8.6879932390896979</v>
      </c>
      <c r="H10" s="2384"/>
      <c r="I10" s="2383">
        <f>I9/I7</f>
        <v>12.964440013293453</v>
      </c>
      <c r="J10" s="2384"/>
      <c r="K10" s="2383">
        <f>K9/K7</f>
        <v>11.472870744750228</v>
      </c>
      <c r="L10" s="2383"/>
      <c r="M10" s="2383">
        <f>IF(M7=0,0,M9/M7)</f>
        <v>0</v>
      </c>
      <c r="N10" s="2384"/>
      <c r="O10" s="2386"/>
      <c r="P10" s="2387"/>
      <c r="Q10" s="500"/>
    </row>
    <row r="11" spans="2:20" ht="6" customHeight="1">
      <c r="B11" s="1830"/>
      <c r="C11" s="1886"/>
      <c r="D11" s="1831"/>
      <c r="E11" s="2147"/>
      <c r="F11" s="1681"/>
      <c r="G11" s="2383"/>
      <c r="H11" s="2384"/>
      <c r="I11" s="2383"/>
      <c r="J11" s="2384"/>
      <c r="K11" s="2383"/>
      <c r="L11" s="2383"/>
      <c r="M11" s="2383"/>
      <c r="N11" s="2384"/>
      <c r="O11" s="2386"/>
      <c r="P11" s="2387"/>
      <c r="Q11" s="500"/>
    </row>
    <row r="12" spans="2:20">
      <c r="B12" s="1830"/>
      <c r="C12" s="1831"/>
      <c r="D12" s="1681"/>
      <c r="E12" s="1831" t="s">
        <v>2548</v>
      </c>
      <c r="F12" s="2388"/>
      <c r="G12" s="2389">
        <f>INDEX(finPNLReg1Prod1PromoExp, xxIndexTeam)+INDEX(finPNLReg2Prod1PromoExp, xxIndexTeam)</f>
        <v>1645000000</v>
      </c>
      <c r="H12" s="1831"/>
      <c r="I12" s="2389">
        <f>INDEX(finPNLReg1Prod3PromoExp, xxIndexTeam)+INDEX(finPNLReg2Prod3PromoExp, xxIndexTeam)</f>
        <v>1020000000</v>
      </c>
      <c r="J12" s="2390"/>
      <c r="K12" s="2389">
        <f>INDEX(finPNLReg1Prod4PromoExp, xxIndexTeam)+INDEX(finPNLReg2Prod4PromoExp, xxIndexTeam)</f>
        <v>855000000</v>
      </c>
      <c r="L12" s="2389"/>
      <c r="M12" s="2389">
        <f>INDEX(finPNLReg1Prod2PromoExp, xxIndexTeam)+INDEX(finPNLReg2Prod2PromoExp, xxIndexTeam)</f>
        <v>0</v>
      </c>
      <c r="N12" s="1831"/>
      <c r="O12" s="2391">
        <f>SUM(G12:M12)</f>
        <v>3520000000</v>
      </c>
      <c r="P12" s="1835"/>
      <c r="Q12" s="486"/>
    </row>
    <row r="13" spans="2:20" ht="5.0999999999999996" customHeight="1">
      <c r="B13" s="1830"/>
      <c r="C13" s="1831"/>
      <c r="D13" s="1831"/>
      <c r="E13" s="1831"/>
      <c r="F13" s="1831"/>
      <c r="G13" s="2392"/>
      <c r="H13" s="2393"/>
      <c r="I13" s="2392"/>
      <c r="J13" s="2393"/>
      <c r="K13" s="2392"/>
      <c r="L13" s="2393"/>
      <c r="M13" s="2392"/>
      <c r="N13" s="2393"/>
      <c r="O13" s="2392"/>
      <c r="P13" s="2387"/>
      <c r="Q13" s="500"/>
    </row>
    <row r="14" spans="2:20" ht="12.75">
      <c r="B14" s="1830"/>
      <c r="C14" s="1676" t="s">
        <v>2547</v>
      </c>
      <c r="D14" s="1831"/>
      <c r="E14" s="2147"/>
      <c r="F14" s="1681"/>
      <c r="G14" s="2381">
        <f>G9-G12</f>
        <v>7898873699.5</v>
      </c>
      <c r="H14" s="2384"/>
      <c r="I14" s="2381">
        <f>I9-I12</f>
        <v>6782000000</v>
      </c>
      <c r="J14" s="2384"/>
      <c r="K14" s="2381">
        <f>K9-K12</f>
        <v>7941250000</v>
      </c>
      <c r="L14" s="2383"/>
      <c r="M14" s="2381">
        <f>M9-M12</f>
        <v>0</v>
      </c>
      <c r="N14" s="2384"/>
      <c r="O14" s="2381">
        <f>O9-O12</f>
        <v>22622123699.5</v>
      </c>
      <c r="P14" s="2387"/>
      <c r="Q14" s="500"/>
      <c r="R14" s="1570"/>
    </row>
    <row r="15" spans="2:20" ht="6" customHeight="1">
      <c r="B15" s="1830"/>
      <c r="C15" s="1886"/>
      <c r="D15" s="1831"/>
      <c r="E15" s="1680"/>
      <c r="F15" s="1831"/>
      <c r="G15" s="2403"/>
      <c r="H15" s="2384"/>
      <c r="I15" s="2403"/>
      <c r="J15" s="2384"/>
      <c r="K15" s="2403"/>
      <c r="L15" s="2403"/>
      <c r="M15" s="2403"/>
      <c r="N15" s="2393"/>
      <c r="O15" s="2393"/>
      <c r="P15" s="2387"/>
      <c r="Q15" s="500"/>
    </row>
    <row r="16" spans="2:20" ht="12.75">
      <c r="B16" s="1830"/>
      <c r="C16" s="1676" t="s">
        <v>3537</v>
      </c>
      <c r="D16" s="1831"/>
      <c r="E16" s="1831"/>
      <c r="F16" s="1831"/>
      <c r="G16" s="2393"/>
      <c r="H16" s="2393"/>
      <c r="I16" s="2393"/>
      <c r="J16" s="2393"/>
      <c r="K16" s="2393"/>
      <c r="L16" s="2393"/>
      <c r="M16" s="2393"/>
      <c r="N16" s="2393"/>
      <c r="O16" s="2393"/>
      <c r="P16" s="2387"/>
      <c r="Q16" s="500"/>
    </row>
    <row r="17" spans="2:19" ht="12.75">
      <c r="B17" s="1830"/>
      <c r="C17" s="1676"/>
      <c r="D17" s="1681" t="s">
        <v>633</v>
      </c>
      <c r="E17" s="1831"/>
      <c r="F17" s="1831"/>
      <c r="G17" s="2393"/>
      <c r="H17" s="2393"/>
      <c r="I17" s="2393"/>
      <c r="J17" s="2393"/>
      <c r="K17" s="2393"/>
      <c r="L17" s="2393"/>
      <c r="M17" s="2393"/>
      <c r="N17" s="2393"/>
      <c r="O17" s="2393"/>
      <c r="P17" s="2387"/>
      <c r="Q17" s="500"/>
    </row>
    <row r="18" spans="2:19">
      <c r="B18" s="1830"/>
      <c r="C18" s="1831"/>
      <c r="D18" s="1831"/>
      <c r="E18" s="1831" t="s">
        <v>2545</v>
      </c>
      <c r="F18" s="2388"/>
      <c r="G18" s="2393">
        <f>INDEX(finPNLReg1Prod1COGSMatExp, xxIndexTeam)+INDEX(finPNLReg2Prod1COGSMatExp, xxIndexTeam)</f>
        <v>2547346818.0080857</v>
      </c>
      <c r="H18" s="2393"/>
      <c r="I18" s="2393">
        <f>INDEX(finPNLReg1Prod3COGSMatExp, xxIndexTeam)+INDEX(finPNLReg2Prod3COGSMatExp, xxIndexTeam)</f>
        <v>2410190401.9728003</v>
      </c>
      <c r="J18" s="2390"/>
      <c r="K18" s="2393">
        <f>INDEX(finPNLReg1Prod4COGSMatExp, xxIndexTeam)+INDEX(finPNLReg2Prod4COGSMatExp, xxIndexTeam)</f>
        <v>2541400848.9518003</v>
      </c>
      <c r="L18" s="2390"/>
      <c r="M18" s="2393">
        <f>INDEX(finPNLReg1Prod2COGSMatExp, xxIndexTeam)+INDEX(finPNLReg2Prod2COGSMatExp, xxIndexTeam)</f>
        <v>0</v>
      </c>
      <c r="N18" s="2390"/>
      <c r="O18" s="2393">
        <f>SUM(G18:M18)</f>
        <v>7498938068.9326868</v>
      </c>
      <c r="P18" s="2387"/>
      <c r="Q18" s="500"/>
    </row>
    <row r="19" spans="2:19">
      <c r="B19" s="1830"/>
      <c r="C19" s="1831"/>
      <c r="D19" s="1831"/>
      <c r="E19" s="1831" t="s">
        <v>1287</v>
      </c>
      <c r="F19" s="2388"/>
      <c r="G19" s="2393">
        <f>INDEX(finPNLReg1Prod1COGSEmp3Exp, xxIndexTeam)+INDEX(finPNLReg2Prod1COGSEmp3Exp, xxIndexTeam)</f>
        <v>1270232262.4069664</v>
      </c>
      <c r="H19" s="2393"/>
      <c r="I19" s="2393">
        <f>INDEX(finPNLReg1Prod3COGSEmp3Exp, xxIndexTeam)+INDEX(finPNLReg2Prod3COGSEmp3Exp, xxIndexTeam)</f>
        <v>717398667.70037842</v>
      </c>
      <c r="J19" s="2393"/>
      <c r="K19" s="2393">
        <f>INDEX(finPNLReg1Prod4COGSEmp3Exp, xxIndexTeam)+INDEX(finPNLReg2Prod4COGSEmp3Exp, xxIndexTeam)</f>
        <v>940986874.08951283</v>
      </c>
      <c r="L19" s="2393"/>
      <c r="M19" s="2393">
        <f>INDEX(finPNLReg1Prod2COGSEmp3Exp, xxIndexTeam)+INDEX(finPNLReg2Prod2COGSEmp3Exp, xxIndexTeam)</f>
        <v>0</v>
      </c>
      <c r="N19" s="2393"/>
      <c r="O19" s="2393">
        <f>SUM(G19:M19)</f>
        <v>2928617804.1968575</v>
      </c>
      <c r="P19" s="2387"/>
      <c r="Q19" s="500"/>
    </row>
    <row r="20" spans="2:19">
      <c r="B20" s="1830"/>
      <c r="C20" s="1831"/>
      <c r="D20" s="1831"/>
      <c r="E20" s="1831" t="s">
        <v>2994</v>
      </c>
      <c r="F20" s="2388"/>
      <c r="G20" s="2393">
        <f ca="1">INDEX(finPNLReg1Prod1COGSPlant1Exp, xxIndexTeam)+INDEX(finPNLReg2Prod1COGSPlant1Exp, xxIndexTeam)+INDEX(finPNLReg1Prod1COGSDepExp, xxIndexTeam)+INDEX(finPNLReg2Prod1COGSDepExp, xxIndexTeam)</f>
        <v>245581080.45042312</v>
      </c>
      <c r="H20" s="2393">
        <v>0</v>
      </c>
      <c r="I20" s="2393">
        <f ca="1">INDEX(finPNLReg1Prod3COGSPlant1Exp, xxIndexTeam)+INDEX(finPNLReg2Prod3COGSPlant1Exp, xxIndexTeam)+INDEX(finPNLReg1Prod3COGSDepExp, xxIndexTeam)+INDEX(finPNLReg2Prod3COGSDepExp, xxIndexTeam)</f>
        <v>274086813.21824229</v>
      </c>
      <c r="J20" s="2393">
        <v>0</v>
      </c>
      <c r="K20" s="2393">
        <f ca="1">INDEX(finPNLReg1Prod4COGSPlant1Exp, xxIndexTeam)+INDEX(finPNLReg2Prod4COGSPlant1Exp, xxIndexTeam)+INDEX(finPNLReg1Prod4COGSDepExp, xxIndexTeam)+INDEX(finPNLReg2Prod4COGSDepExp, xxIndexTeam)</f>
        <v>301687052.13065696</v>
      </c>
      <c r="L20" s="2393">
        <v>0</v>
      </c>
      <c r="M20" s="2393">
        <f>INDEX(finPNLReg1Prod2COGSPlant1Exp, xxIndexTeam)+INDEX(finPNLReg2Prod2COGSPlant1Exp, xxIndexTeam)+INDEX(finPNLReg1Prod2COGSDepExp, xxIndexTeam)+INDEX(finPNLReg2Prod2COGSDepExp, xxIndexTeam)</f>
        <v>0</v>
      </c>
      <c r="N20" s="2393"/>
      <c r="O20" s="2393">
        <f ca="1">SUM(G20:M20)</f>
        <v>821354945.79932237</v>
      </c>
      <c r="P20" s="2387"/>
      <c r="Q20" s="500"/>
    </row>
    <row r="21" spans="2:19" ht="5.0999999999999996" customHeight="1">
      <c r="B21" s="1830"/>
      <c r="C21" s="1831"/>
      <c r="D21" s="1831"/>
      <c r="E21" s="1831"/>
      <c r="F21" s="1831"/>
      <c r="G21" s="2392"/>
      <c r="H21" s="2393"/>
      <c r="I21" s="2393"/>
      <c r="J21" s="2393"/>
      <c r="K21" s="2393"/>
      <c r="L21" s="2393"/>
      <c r="M21" s="2393"/>
      <c r="N21" s="2393"/>
      <c r="O21" s="2393"/>
      <c r="P21" s="2387"/>
      <c r="Q21" s="500"/>
    </row>
    <row r="22" spans="2:19" ht="12.75" customHeight="1">
      <c r="B22" s="1830"/>
      <c r="C22" s="1676"/>
      <c r="D22" s="1681" t="s">
        <v>3127</v>
      </c>
      <c r="E22" s="1831"/>
      <c r="F22" s="2388"/>
      <c r="G22" s="2395">
        <f ca="1">SUM(G18:G20)</f>
        <v>4063160160.8654757</v>
      </c>
      <c r="H22" s="2393"/>
      <c r="I22" s="2395">
        <f ca="1">SUM(I18:I20)</f>
        <v>3401675882.8914208</v>
      </c>
      <c r="J22" s="2390"/>
      <c r="K22" s="2395">
        <f ca="1">SUM(K18:K20)</f>
        <v>3784074775.1719704</v>
      </c>
      <c r="L22" s="2346"/>
      <c r="M22" s="2395">
        <f>SUM(M18:M20)</f>
        <v>0</v>
      </c>
      <c r="N22" s="2393"/>
      <c r="O22" s="2395">
        <f ca="1">SUM(O18:O20)</f>
        <v>11248910818.928865</v>
      </c>
      <c r="P22" s="2387"/>
      <c r="Q22" s="500"/>
    </row>
    <row r="23" spans="2:19" ht="12.75" customHeight="1">
      <c r="B23" s="1830"/>
      <c r="C23" s="1676"/>
      <c r="D23" s="1681"/>
      <c r="E23" s="2147" t="s">
        <v>1449</v>
      </c>
      <c r="F23" s="2388"/>
      <c r="G23" s="2383">
        <f ca="1">G22/G7</f>
        <v>3.6987819745338055</v>
      </c>
      <c r="H23" s="2384"/>
      <c r="I23" s="2383">
        <f ca="1">I22/I7</f>
        <v>5.6525022979252588</v>
      </c>
      <c r="J23" s="1682"/>
      <c r="K23" s="2383">
        <f ca="1">K22/K7</f>
        <v>4.9355351182626457</v>
      </c>
      <c r="L23" s="2383"/>
      <c r="M23" s="2383">
        <f>IF(M7=0,0,M22/M7)</f>
        <v>0</v>
      </c>
      <c r="N23" s="2393"/>
      <c r="O23" s="2386"/>
      <c r="P23" s="2387"/>
      <c r="Q23" s="500"/>
    </row>
    <row r="24" spans="2:19" ht="6" customHeight="1">
      <c r="B24" s="1830"/>
      <c r="C24" s="1831"/>
      <c r="D24" s="1681"/>
      <c r="E24" s="1831"/>
      <c r="F24" s="2388"/>
      <c r="G24" s="2346"/>
      <c r="H24" s="2393"/>
      <c r="I24" s="2393"/>
      <c r="J24" s="2393"/>
      <c r="K24" s="2393"/>
      <c r="L24" s="2393"/>
      <c r="M24" s="2393"/>
      <c r="N24" s="2393"/>
      <c r="O24" s="2393"/>
      <c r="P24" s="2387"/>
      <c r="Q24" s="500"/>
    </row>
    <row r="25" spans="2:19" ht="12.75" customHeight="1">
      <c r="B25" s="1903"/>
      <c r="C25" s="1676" t="s">
        <v>3800</v>
      </c>
      <c r="D25" s="1676"/>
      <c r="E25" s="1831"/>
      <c r="F25" s="1831"/>
      <c r="G25" s="2352">
        <f ca="1">G14-G22</f>
        <v>3835713538.6345243</v>
      </c>
      <c r="H25" s="1912"/>
      <c r="I25" s="2352">
        <f ca="1">I14-I22</f>
        <v>3380324117.1085792</v>
      </c>
      <c r="J25" s="1912"/>
      <c r="K25" s="2352">
        <f ca="1">K14-K22</f>
        <v>4157175224.8280296</v>
      </c>
      <c r="L25" s="2352"/>
      <c r="M25" s="2352">
        <f>M14-M22</f>
        <v>0</v>
      </c>
      <c r="N25" s="1912"/>
      <c r="O25" s="2352">
        <f ca="1">O14-O22</f>
        <v>11373212880.571135</v>
      </c>
      <c r="P25" s="2396"/>
      <c r="Q25" s="501"/>
    </row>
    <row r="26" spans="2:19">
      <c r="B26" s="1830"/>
      <c r="C26" s="1831"/>
      <c r="D26" s="1680" t="s">
        <v>1427</v>
      </c>
      <c r="E26" s="1831"/>
      <c r="F26" s="1831"/>
      <c r="G26" s="1976">
        <f ca="1">G25/G$14</f>
        <v>0.48560259152862839</v>
      </c>
      <c r="H26" s="1831"/>
      <c r="I26" s="1976">
        <f ca="1">I25/I$14</f>
        <v>0.49842585035514292</v>
      </c>
      <c r="J26" s="1831"/>
      <c r="K26" s="1976">
        <f ca="1">K25/K$14</f>
        <v>0.52349129228119373</v>
      </c>
      <c r="L26" s="1976"/>
      <c r="M26" s="1976">
        <f>IF(M14=0,0,M25/M$14)</f>
        <v>0</v>
      </c>
      <c r="N26" s="1831"/>
      <c r="O26" s="1976">
        <f ca="1">O25/O$14</f>
        <v>0.5027473561565976</v>
      </c>
      <c r="P26" s="1835"/>
      <c r="Q26" s="486"/>
    </row>
    <row r="27" spans="2:19" ht="6" customHeight="1">
      <c r="B27" s="1830"/>
      <c r="C27" s="1831"/>
      <c r="D27" s="1831"/>
      <c r="E27" s="1831"/>
      <c r="F27" s="1831"/>
      <c r="G27" s="1831"/>
      <c r="H27" s="1831"/>
      <c r="I27" s="1831"/>
      <c r="J27" s="1831"/>
      <c r="K27" s="1831"/>
      <c r="L27" s="1831"/>
      <c r="M27" s="1831"/>
      <c r="N27" s="1831"/>
      <c r="O27" s="2388"/>
      <c r="P27" s="1835"/>
      <c r="Q27" s="486"/>
    </row>
    <row r="28" spans="2:19">
      <c r="B28" s="1830"/>
      <c r="C28" s="1831"/>
      <c r="D28" s="1681" t="s">
        <v>3168</v>
      </c>
      <c r="E28" s="1831"/>
      <c r="F28" s="1831"/>
      <c r="G28" s="1831"/>
      <c r="H28" s="1831"/>
      <c r="I28" s="1831"/>
      <c r="J28" s="1831"/>
      <c r="K28" s="1831"/>
      <c r="L28" s="1831"/>
      <c r="M28" s="1831"/>
      <c r="N28" s="1831"/>
      <c r="O28" s="1831"/>
      <c r="P28" s="1835"/>
      <c r="Q28" s="486"/>
    </row>
    <row r="29" spans="2:19">
      <c r="B29" s="1830"/>
      <c r="C29" s="1831"/>
      <c r="D29" s="1681"/>
      <c r="E29" s="1831" t="s">
        <v>2579</v>
      </c>
      <c r="F29" s="2388"/>
      <c r="G29" s="2389">
        <f>INDEX(finPNLReg1Prod1Emp1Exp, xxIndexTeam)+INDEX(finPNLReg2Prod1Emp1Exp, xxIndexTeam)+INDEX(capProd1Emp1ChanLevelRamp,xxIndexTeam)</f>
        <v>144902959.21333045</v>
      </c>
      <c r="H29" s="1831"/>
      <c r="I29" s="2389">
        <f>INDEX(finPNLReg1Prod3Emp1Exp, xxIndexTeam)+INDEX(finPNLReg2Prod3Emp1Exp, xxIndexTeam)+INDEX(capProd3Emp1ChanLevelRamp,xxIndexTeam)</f>
        <v>123124742.91665551</v>
      </c>
      <c r="J29" s="2390"/>
      <c r="K29" s="2389">
        <f>INDEX(finPNLReg1Prod4Emp1Exp, xxIndexTeam)+INDEX(finPNLReg2Prod4Emp1Exp, xxIndexTeam)+INDEX(capProd4Emp1ChanLevelRamp,xxIndexTeam)</f>
        <v>167472297.87001404</v>
      </c>
      <c r="L29" s="2389"/>
      <c r="M29" s="2389">
        <f>INDEX(finPNLReg1Prod2Emp1Exp, xxIndexTeam)+INDEX(finPNLReg2Prod2Emp2Exp, xxIndexTeam)</f>
        <v>0</v>
      </c>
      <c r="N29" s="1831"/>
      <c r="O29" s="2391">
        <f>SUM(G29:M29)</f>
        <v>435500000</v>
      </c>
      <c r="P29" s="1835"/>
      <c r="Q29" s="486"/>
      <c r="R29" s="1518"/>
      <c r="S29" s="1077"/>
    </row>
    <row r="30" spans="2:19">
      <c r="B30" s="1830"/>
      <c r="C30" s="1831"/>
      <c r="D30" s="1681"/>
      <c r="E30" s="1831" t="s">
        <v>1534</v>
      </c>
      <c r="F30" s="2388"/>
      <c r="G30" s="2389">
        <f>INDEX(finPNLReg1Prod1AdvExp, xxIndexTeam)+INDEX(finPNLReg2Prod1AdvExp, xxIndexTeam)</f>
        <v>490000000</v>
      </c>
      <c r="H30" s="1831"/>
      <c r="I30" s="2389">
        <f>INDEX(finPNLReg1Prod3AdvExp, xxIndexTeam)+INDEX(finPNLReg2Prod3AdvExp, xxIndexTeam)</f>
        <v>560000000</v>
      </c>
      <c r="J30" s="2390"/>
      <c r="K30" s="2389">
        <f>INDEX(finPNLReg1Prod4AdvExp, xxIndexTeam)+INDEX(finPNLReg2Prod4AdvExp, xxIndexTeam)</f>
        <v>377000000</v>
      </c>
      <c r="L30" s="2389"/>
      <c r="M30" s="2389">
        <f>INDEX(finPNLReg1Prod2AdvExp, xxIndexTeam)+INDEX(finPNLReg2Prod2AdvExp, xxIndexTeam)</f>
        <v>0</v>
      </c>
      <c r="N30" s="1831"/>
      <c r="O30" s="2391">
        <f>SUM(G30:M30)</f>
        <v>1427000000</v>
      </c>
      <c r="P30" s="1835"/>
      <c r="Q30" s="486"/>
      <c r="R30" s="1518"/>
      <c r="S30" s="1077"/>
    </row>
    <row r="31" spans="2:19" ht="5.0999999999999996" customHeight="1">
      <c r="B31" s="1830"/>
      <c r="C31" s="1831"/>
      <c r="D31" s="1831"/>
      <c r="E31" s="1831"/>
      <c r="F31" s="1831"/>
      <c r="G31" s="2393"/>
      <c r="H31" s="2393"/>
      <c r="I31" s="2393"/>
      <c r="J31" s="2393"/>
      <c r="K31" s="2393"/>
      <c r="L31" s="2393"/>
      <c r="M31" s="2393"/>
      <c r="N31" s="2393"/>
      <c r="O31" s="2393"/>
      <c r="P31" s="2387"/>
      <c r="Q31" s="500"/>
    </row>
    <row r="32" spans="2:19" ht="11.25" customHeight="1">
      <c r="B32" s="1830"/>
      <c r="C32" s="1831"/>
      <c r="D32" s="1681" t="s">
        <v>3169</v>
      </c>
      <c r="E32" s="1831"/>
      <c r="F32" s="2388"/>
      <c r="G32" s="2346">
        <f>SUM(G29:G30)</f>
        <v>634902959.21333051</v>
      </c>
      <c r="H32" s="2393"/>
      <c r="I32" s="2346">
        <f>SUM(I29:I30)</f>
        <v>683124742.91665554</v>
      </c>
      <c r="J32" s="2390"/>
      <c r="K32" s="2346">
        <f>SUM(K29:K30)</f>
        <v>544472297.87001407</v>
      </c>
      <c r="L32" s="2346"/>
      <c r="M32" s="2346">
        <f>SUM(M29:M30)</f>
        <v>0</v>
      </c>
      <c r="N32" s="2393"/>
      <c r="O32" s="2346">
        <f>SUM(O29:O30)</f>
        <v>1862500000</v>
      </c>
      <c r="P32" s="2387"/>
      <c r="Q32" s="500"/>
      <c r="R32" s="1518"/>
      <c r="S32" s="1077"/>
    </row>
    <row r="33" spans="2:19" ht="6" customHeight="1">
      <c r="B33" s="1830"/>
      <c r="C33" s="1831"/>
      <c r="D33" s="1831"/>
      <c r="E33" s="1831"/>
      <c r="F33" s="1831"/>
      <c r="G33" s="2393"/>
      <c r="H33" s="2393"/>
      <c r="I33" s="2393"/>
      <c r="J33" s="2393"/>
      <c r="K33" s="2393"/>
      <c r="L33" s="2393"/>
      <c r="M33" s="2393"/>
      <c r="N33" s="2393"/>
      <c r="O33" s="2393"/>
      <c r="P33" s="2387"/>
      <c r="Q33" s="500"/>
    </row>
    <row r="34" spans="2:19">
      <c r="B34" s="1830"/>
      <c r="C34" s="1831"/>
      <c r="D34" s="1681" t="s">
        <v>1394</v>
      </c>
      <c r="E34" s="1831"/>
      <c r="F34" s="1831"/>
      <c r="G34" s="2393"/>
      <c r="H34" s="2393"/>
      <c r="I34" s="2393"/>
      <c r="J34" s="2393"/>
      <c r="K34" s="2393"/>
      <c r="L34" s="2393"/>
      <c r="M34" s="2393"/>
      <c r="N34" s="2393"/>
      <c r="O34" s="2393"/>
      <c r="P34" s="2387"/>
      <c r="Q34" s="500"/>
    </row>
    <row r="35" spans="2:19">
      <c r="B35" s="1830"/>
      <c r="C35" s="1831"/>
      <c r="D35" s="1831"/>
      <c r="E35" s="1831" t="s">
        <v>1535</v>
      </c>
      <c r="F35" s="2406"/>
      <c r="G35" s="2393">
        <f ca="1">INDEX(finPNLReg1Prod1InventoryHndlgExp, xxIndexTeam)+INDEX(finPNLReg2Prod1InventoryHndlgExp, xxIndexTeam)</f>
        <v>41762854.397715703</v>
      </c>
      <c r="H35" s="2393"/>
      <c r="I35" s="2393">
        <f ca="1">INDEX(finPNLReg1Prod3InventoryHndlgExp, xxIndexTeam)+INDEX(finPNLReg2Prod3InventoryHndlgExp, xxIndexTeam)</f>
        <v>44687637.050633609</v>
      </c>
      <c r="J35" s="2393"/>
      <c r="K35" s="2393">
        <f ca="1">INDEX(finPNLReg1Prod4InventoryHndlgExp, xxIndexTeam)+INDEX(finPNLReg2Prod4InventoryHndlgExp, xxIndexTeam)</f>
        <v>51945587.613856167</v>
      </c>
      <c r="L35" s="2393"/>
      <c r="M35" s="2393">
        <f>INDEX(finPNLReg1Prod2InventoryHndlgExp, xxIndexTeam)+INDEX(finPNLReg2Prod2InventoryHndlgExp, xxIndexTeam)</f>
        <v>0</v>
      </c>
      <c r="N35" s="2393"/>
      <c r="O35" s="2393">
        <f ca="1">SUM(G35:M35)</f>
        <v>138396079.06220549</v>
      </c>
      <c r="P35" s="2387"/>
      <c r="Q35" s="500"/>
      <c r="R35" s="1518"/>
      <c r="S35" s="1077"/>
    </row>
    <row r="36" spans="2:19">
      <c r="B36" s="1830"/>
      <c r="C36" s="1831"/>
      <c r="D36" s="1831"/>
      <c r="E36" s="1831" t="s">
        <v>2544</v>
      </c>
      <c r="F36" s="1831"/>
      <c r="G36" s="2393">
        <f>INDEX(finPNLReg1Prod1COGSDistExp, xxIndexTeam)+INDEX(finPNLReg2Prod1COGSDistExp, xxIndexTeam)</f>
        <v>962898151.28871751</v>
      </c>
      <c r="H36" s="2393"/>
      <c r="I36" s="2393">
        <f>INDEX(finPNLReg1Prod3COGSDistExp, xxIndexTeam)+INDEX(finPNLReg2Prod3COGSDistExp, xxIndexTeam)</f>
        <v>596030532.35615993</v>
      </c>
      <c r="J36" s="2390"/>
      <c r="K36" s="2393">
        <f>INDEX(finPNLReg1Prod4COGSDistExp, xxIndexTeam)+INDEX(finPNLReg2Prod4COGSDistExp, xxIndexTeam)</f>
        <v>719510044.62964964</v>
      </c>
      <c r="L36" s="2393"/>
      <c r="M36" s="2393">
        <f>INDEX(finPNLReg1Prod2COGSDistExp, xxIndexTeam)+INDEX(finPNLReg2Prod2COGSDistExp, xxIndexTeam)</f>
        <v>0</v>
      </c>
      <c r="N36" s="2393"/>
      <c r="O36" s="2393">
        <f>SUM(G36:M36)</f>
        <v>2278438728.2745271</v>
      </c>
      <c r="P36" s="2387"/>
      <c r="Q36" s="500"/>
      <c r="R36" s="1518"/>
      <c r="S36" s="1077"/>
    </row>
    <row r="37" spans="2:19" ht="5.0999999999999996" customHeight="1">
      <c r="B37" s="1830"/>
      <c r="C37" s="1831"/>
      <c r="D37" s="1831"/>
      <c r="E37" s="1831"/>
      <c r="F37" s="1831"/>
      <c r="G37" s="2393"/>
      <c r="H37" s="2393"/>
      <c r="I37" s="2393"/>
      <c r="J37" s="2393"/>
      <c r="K37" s="2393"/>
      <c r="L37" s="2393"/>
      <c r="M37" s="2393"/>
      <c r="N37" s="2393"/>
      <c r="O37" s="2393"/>
      <c r="P37" s="2387"/>
      <c r="Q37" s="500"/>
    </row>
    <row r="38" spans="2:19" ht="11.25" customHeight="1">
      <c r="B38" s="1830"/>
      <c r="C38" s="1831"/>
      <c r="D38" s="1681" t="s">
        <v>2995</v>
      </c>
      <c r="E38" s="1831"/>
      <c r="F38" s="2388"/>
      <c r="G38" s="2346">
        <f ca="1">SUM(G35:G36)</f>
        <v>1004661005.6864332</v>
      </c>
      <c r="H38" s="2393"/>
      <c r="I38" s="2346">
        <f ca="1">SUM(I35:I36)</f>
        <v>640718169.40679359</v>
      </c>
      <c r="J38" s="2390"/>
      <c r="K38" s="2346">
        <f ca="1">SUM(K35:K36)</f>
        <v>771455632.24350584</v>
      </c>
      <c r="L38" s="2346"/>
      <c r="M38" s="2346">
        <f>SUM(M35:M36)</f>
        <v>0</v>
      </c>
      <c r="N38" s="2393"/>
      <c r="O38" s="2346">
        <f ca="1">SUM(O35:O36)</f>
        <v>2416834807.3367324</v>
      </c>
      <c r="P38" s="2387"/>
      <c r="Q38" s="500"/>
      <c r="R38" s="1518"/>
      <c r="S38" s="1077"/>
    </row>
    <row r="39" spans="2:19" ht="6" customHeight="1">
      <c r="B39" s="1830"/>
      <c r="C39" s="1831"/>
      <c r="D39" s="1831"/>
      <c r="E39" s="1831"/>
      <c r="F39" s="1831"/>
      <c r="G39" s="2393"/>
      <c r="H39" s="2393"/>
      <c r="I39" s="2393"/>
      <c r="J39" s="2393"/>
      <c r="K39" s="2393"/>
      <c r="L39" s="2393"/>
      <c r="M39" s="2393"/>
      <c r="N39" s="2393"/>
      <c r="O39" s="2393"/>
      <c r="P39" s="2387"/>
      <c r="Q39" s="500"/>
    </row>
    <row r="40" spans="2:19">
      <c r="B40" s="1830"/>
      <c r="C40" s="1831"/>
      <c r="D40" s="1681" t="s">
        <v>3242</v>
      </c>
      <c r="E40" s="1831"/>
      <c r="F40" s="1831"/>
      <c r="G40" s="2393"/>
      <c r="H40" s="2393"/>
      <c r="I40" s="2393"/>
      <c r="J40" s="2393"/>
      <c r="K40" s="2393"/>
      <c r="L40" s="2393"/>
      <c r="M40" s="2393"/>
      <c r="N40" s="2393"/>
      <c r="O40" s="2393"/>
      <c r="P40" s="2387"/>
      <c r="Q40" s="500"/>
    </row>
    <row r="41" spans="2:19">
      <c r="B41" s="1830"/>
      <c r="C41" s="1831"/>
      <c r="D41" s="1831"/>
      <c r="E41" s="1831" t="s">
        <v>3243</v>
      </c>
      <c r="F41" s="1831"/>
      <c r="G41" s="2393">
        <f>INDEX(finPNLReg1Prod1EmpAdminExp, xxIndexTeam)+INDEX(finPNLReg2Prod1EmpAdminExp, xxIndexTeam)</f>
        <v>243774526.85962492</v>
      </c>
      <c r="H41" s="2393"/>
      <c r="I41" s="2393">
        <f>INDEX(finPNLReg1Prod3EmpAdminExp, xxIndexTeam)+INDEX(finPNLReg2Prod3EmpAdminExp, xxIndexTeam)</f>
        <v>145387119.50678599</v>
      </c>
      <c r="J41" s="2393"/>
      <c r="K41" s="2393">
        <f>INDEX(finPNLReg1Prod4EmpAdminExp, xxIndexTeam)+INDEX(finPNLReg2Prod4EmpAdminExp, xxIndexTeam)</f>
        <v>192026970.73010892</v>
      </c>
      <c r="L41" s="2393"/>
      <c r="M41" s="2393">
        <f>INDEX(finPNLReg1Prod2EmpAdminExp, xxIndexTeam)+INDEX(finPNLReg2Prod2EmpAdminExp, xxIndexTeam)</f>
        <v>0</v>
      </c>
      <c r="N41" s="2393"/>
      <c r="O41" s="2393">
        <f>SUM(G41:M41)</f>
        <v>581188617.09651983</v>
      </c>
      <c r="P41" s="2387"/>
      <c r="Q41" s="500"/>
      <c r="R41" s="1518"/>
      <c r="S41" s="1077"/>
    </row>
    <row r="42" spans="2:19">
      <c r="B42" s="1830"/>
      <c r="C42" s="1831"/>
      <c r="D42" s="1831"/>
      <c r="E42" s="1831" t="s">
        <v>3244</v>
      </c>
      <c r="F42" s="1831"/>
      <c r="G42" s="2393">
        <f>INDEX(finPNLReg1Prod1EmpRecDismExp, xxIndexTeam)+INDEX(finPNLReg2Prod1EmpRecDismExp, xxIndexTeam)</f>
        <v>12250029.956331633</v>
      </c>
      <c r="H42" s="2393"/>
      <c r="I42" s="2393">
        <f>INDEX(finPNLReg1Prod3EmpRecDismExp, xxIndexTeam)+INDEX(finPNLReg2Prod3EmpRecDismExp, xxIndexTeam)</f>
        <v>8607149.7648045868</v>
      </c>
      <c r="J42" s="2393"/>
      <c r="K42" s="2393">
        <f>INDEX(finPNLReg1Prod4EmpRecDismExp, xxIndexTeam)+INDEX(finPNLReg2Prod4EmpRecDismExp, xxIndexTeam)</f>
        <v>11407325.935489139</v>
      </c>
      <c r="L42" s="2393"/>
      <c r="M42" s="2393">
        <f>INDEX(finPNLReg1Prod2EmpRecDismExp, xxIndexTeam)+INDEX(finPNLReg2Prod2EmpRecDismExp, xxIndexTeam)</f>
        <v>0</v>
      </c>
      <c r="N42" s="2393"/>
      <c r="O42" s="2393">
        <f>SUM(G42:M42)</f>
        <v>32264505.65662536</v>
      </c>
      <c r="P42" s="2387"/>
      <c r="Q42" s="500"/>
      <c r="R42" s="1518"/>
      <c r="S42" s="1077"/>
    </row>
    <row r="43" spans="2:19">
      <c r="B43" s="1830"/>
      <c r="C43" s="1831"/>
      <c r="D43" s="1831"/>
      <c r="E43" s="1831" t="s">
        <v>2767</v>
      </c>
      <c r="F43" s="1831"/>
      <c r="G43" s="2393"/>
      <c r="H43" s="2393"/>
      <c r="I43" s="2393"/>
      <c r="J43" s="2393"/>
      <c r="K43" s="2393"/>
      <c r="L43" s="2393"/>
      <c r="M43" s="2393"/>
      <c r="N43" s="2393"/>
      <c r="O43" s="2393">
        <f>INDEX(finPNLempDevCosts,xxIndexTeam)+INDEX(paramRecruitLevelCost,xxIndexTeam)+INDEX(paramRecruitLevelRamp,xxIndexTeam)</f>
        <v>39838016.52892562</v>
      </c>
      <c r="P43" s="2387"/>
      <c r="Q43" s="500"/>
      <c r="R43" s="1518"/>
      <c r="S43" s="1077"/>
    </row>
    <row r="44" spans="2:19">
      <c r="B44" s="1830"/>
      <c r="C44" s="1831"/>
      <c r="D44" s="1831"/>
      <c r="E44" s="1831" t="s">
        <v>1937</v>
      </c>
      <c r="F44" s="2388"/>
      <c r="G44" s="2393">
        <f>INDEX(finPNLReg1Prod1FixedAdminExp, xxIndexTeam)+INDEX(finPNLReg2Prod1FixedAdminExp, xxIndexTeam)</f>
        <v>240465441.2024</v>
      </c>
      <c r="H44" s="2393"/>
      <c r="I44" s="2393">
        <f>INDEX(finPNLReg1Prod3FixedAdminExp, xxIndexTeam)+INDEX(finPNLReg2Prod3FixedAdminExp, xxIndexTeam)</f>
        <v>240726016</v>
      </c>
      <c r="J44" s="2393"/>
      <c r="K44" s="2393">
        <f>INDEX(finPNLReg1Prod4FixedAdminExp, xxIndexTeam)+INDEX(finPNLReg2Prod4FixedAdminExp, xxIndexTeam)</f>
        <v>176657251.84</v>
      </c>
      <c r="L44" s="2393"/>
      <c r="M44" s="2393">
        <f>INDEX(finPNLReg1Prod2FixedAdminExp, xxIndexTeam)+INDEX(finPNLReg2Prod2FixedAdminExp, xxIndexTeam)</f>
        <v>0</v>
      </c>
      <c r="N44" s="2393"/>
      <c r="O44" s="2393">
        <f>SUM(G44:M44)</f>
        <v>657848709.0424</v>
      </c>
      <c r="P44" s="2387"/>
      <c r="Q44" s="500"/>
      <c r="R44" s="1518"/>
      <c r="S44" s="1077"/>
    </row>
    <row r="45" spans="2:19" ht="5.0999999999999996" customHeight="1">
      <c r="B45" s="1830"/>
      <c r="C45" s="1831"/>
      <c r="D45" s="1831"/>
      <c r="E45" s="1831"/>
      <c r="F45" s="1831"/>
      <c r="G45" s="2393"/>
      <c r="H45" s="2393"/>
      <c r="I45" s="2393"/>
      <c r="J45" s="2393"/>
      <c r="K45" s="2393"/>
      <c r="L45" s="2393"/>
      <c r="M45" s="2393"/>
      <c r="N45" s="2393"/>
      <c r="O45" s="2393"/>
      <c r="P45" s="2387"/>
      <c r="Q45" s="500"/>
    </row>
    <row r="46" spans="2:19">
      <c r="B46" s="1830"/>
      <c r="C46" s="1831"/>
      <c r="D46" s="1681" t="s">
        <v>3245</v>
      </c>
      <c r="E46" s="1681"/>
      <c r="F46" s="2388"/>
      <c r="G46" s="2346">
        <f>SUM(G41:G44)</f>
        <v>496489998.01835656</v>
      </c>
      <c r="H46" s="2393"/>
      <c r="I46" s="2346">
        <f>SUM(I41:I44)</f>
        <v>394720285.27159059</v>
      </c>
      <c r="J46" s="2390"/>
      <c r="K46" s="2346">
        <f>SUM(K41:K44)</f>
        <v>380091548.50559807</v>
      </c>
      <c r="L46" s="2346"/>
      <c r="M46" s="2346">
        <f>SUM(M41:M44)</f>
        <v>0</v>
      </c>
      <c r="N46" s="2393"/>
      <c r="O46" s="2346">
        <f>SUM(O41:O44)</f>
        <v>1311139848.324471</v>
      </c>
      <c r="P46" s="2387"/>
      <c r="Q46" s="500"/>
      <c r="R46" s="1518"/>
      <c r="S46" s="1077"/>
    </row>
    <row r="47" spans="2:19" ht="6" customHeight="1">
      <c r="B47" s="1830"/>
      <c r="C47" s="1831"/>
      <c r="D47" s="1831"/>
      <c r="E47" s="1831"/>
      <c r="F47" s="1831"/>
      <c r="G47" s="2393"/>
      <c r="H47" s="2393"/>
      <c r="I47" s="2393"/>
      <c r="J47" s="2393"/>
      <c r="K47" s="2393"/>
      <c r="L47" s="2393"/>
      <c r="M47" s="2393"/>
      <c r="N47" s="2393"/>
      <c r="O47" s="2393"/>
      <c r="P47" s="2387"/>
      <c r="Q47" s="500"/>
    </row>
    <row r="48" spans="2:19" ht="12.75">
      <c r="B48" s="1830"/>
      <c r="C48" s="1936"/>
      <c r="D48" s="1683" t="s">
        <v>2088</v>
      </c>
      <c r="E48" s="1831"/>
      <c r="F48" s="2388"/>
      <c r="G48" s="2399">
        <f ca="1">SUM(G46,G38,G32)</f>
        <v>2136053962.9181201</v>
      </c>
      <c r="H48" s="2393"/>
      <c r="I48" s="2399">
        <f ca="1">SUM(I46,I38,I32)</f>
        <v>1718563197.5950398</v>
      </c>
      <c r="J48" s="2388"/>
      <c r="K48" s="2399">
        <f ca="1">SUM(K46,K38,K32)</f>
        <v>1696019478.6191182</v>
      </c>
      <c r="L48" s="2352"/>
      <c r="M48" s="2399">
        <f>SUM(M46,M38,M32)</f>
        <v>0</v>
      </c>
      <c r="N48" s="2393"/>
      <c r="O48" s="2399">
        <f ca="1">SUM(O46,O38,O32)</f>
        <v>5590474655.6612034</v>
      </c>
      <c r="P48" s="2387"/>
      <c r="Q48" s="500"/>
      <c r="R48" s="1518"/>
      <c r="S48" s="1077"/>
    </row>
    <row r="49" spans="2:18">
      <c r="B49" s="1830"/>
      <c r="C49" s="1831"/>
      <c r="D49" s="1680" t="s">
        <v>2549</v>
      </c>
      <c r="E49" s="1831"/>
      <c r="F49" s="1831"/>
      <c r="G49" s="1976">
        <f ca="1">G48/G$14</f>
        <v>0.27042513201006529</v>
      </c>
      <c r="H49" s="1831"/>
      <c r="I49" s="1976">
        <f ca="1">I48/I$14</f>
        <v>0.25340064842156296</v>
      </c>
      <c r="J49" s="1831"/>
      <c r="K49" s="1976">
        <f ca="1">K48/K$14</f>
        <v>0.2135708457256878</v>
      </c>
      <c r="L49" s="1976"/>
      <c r="M49" s="1976">
        <f>IF(M37=0,0,M48/M$14)</f>
        <v>0</v>
      </c>
      <c r="N49" s="1831"/>
      <c r="O49" s="1976">
        <f ca="1">O48/O$14</f>
        <v>0.24712421919011809</v>
      </c>
      <c r="P49" s="1835"/>
      <c r="Q49" s="486"/>
      <c r="R49" s="1518"/>
    </row>
    <row r="50" spans="2:18" ht="12.75">
      <c r="B50" s="1830"/>
      <c r="C50" s="1936"/>
      <c r="D50" s="1683"/>
      <c r="E50" s="2147" t="s">
        <v>1450</v>
      </c>
      <c r="F50" s="2388"/>
      <c r="G50" s="2383">
        <f ca="1">G48/G7</f>
        <v>1.9444958066802198</v>
      </c>
      <c r="H50" s="2384"/>
      <c r="I50" s="2383">
        <f ca="1">I48/I7</f>
        <v>2.8557048813476902</v>
      </c>
      <c r="J50" s="1682"/>
      <c r="K50" s="2383">
        <f ca="1">K48/K7</f>
        <v>2.2121031415405219</v>
      </c>
      <c r="L50" s="2383"/>
      <c r="M50" s="2383">
        <f>IF(M7=0,0,M48/M7)</f>
        <v>0</v>
      </c>
      <c r="N50" s="2393"/>
      <c r="O50" s="2352"/>
      <c r="P50" s="2387"/>
      <c r="Q50" s="500"/>
    </row>
    <row r="51" spans="2:18" ht="6" customHeight="1">
      <c r="B51" s="1830"/>
      <c r="C51" s="1831"/>
      <c r="D51" s="1831"/>
      <c r="E51" s="1676"/>
      <c r="F51" s="1831"/>
      <c r="G51" s="2393"/>
      <c r="H51" s="2393"/>
      <c r="I51" s="2393"/>
      <c r="J51" s="2393"/>
      <c r="K51" s="2393"/>
      <c r="L51" s="2393"/>
      <c r="M51" s="2393"/>
      <c r="N51" s="2393"/>
      <c r="O51" s="2393"/>
      <c r="P51" s="2387"/>
      <c r="Q51" s="500"/>
    </row>
    <row r="52" spans="2:18">
      <c r="B52" s="1830"/>
      <c r="C52" s="1831"/>
      <c r="D52" s="1681" t="s">
        <v>3246</v>
      </c>
      <c r="E52" s="1681"/>
      <c r="F52" s="1681"/>
      <c r="G52" s="2346"/>
      <c r="H52" s="2393"/>
      <c r="I52" s="2393"/>
      <c r="J52" s="2393"/>
      <c r="K52" s="2393"/>
      <c r="L52" s="2393"/>
      <c r="M52" s="2393"/>
      <c r="N52" s="2393"/>
      <c r="O52" s="2393"/>
      <c r="P52" s="2387"/>
      <c r="Q52" s="500"/>
    </row>
    <row r="53" spans="2:18">
      <c r="B53" s="1830"/>
      <c r="C53" s="1831"/>
      <c r="D53" s="1681"/>
      <c r="E53" s="1831" t="s">
        <v>3181</v>
      </c>
      <c r="F53" s="1681"/>
      <c r="G53" s="2357">
        <f>INDEX(finPNLReg1Prod1RDlt,xxIndexTeam)+INDEX(finPNLReg2Prod1RDlt,xxIndexTeam)</f>
        <v>60000000</v>
      </c>
      <c r="H53" s="2357"/>
      <c r="I53" s="2357">
        <f>INDEX(finPNLReg1Prod3RDlt,xxIndexTeam)+INDEX(finPNLReg2Prod3RDlt,xxIndexTeam)</f>
        <v>37000000</v>
      </c>
      <c r="J53" s="2357"/>
      <c r="K53" s="2357">
        <f>INDEX(finPNLReg1Prod4RDlt,xxIndexTeam)+INDEX(finPNLReg2Prod4RDlt,xxIndexTeam)</f>
        <v>37000000</v>
      </c>
      <c r="L53" s="2357"/>
      <c r="M53" s="2357">
        <f>INDEX(finPNLReg1Prod2RDlt,xxIndexTeam)+INDEX(finPNLReg2Prod2RDlt,xxIndexTeam)</f>
        <v>0</v>
      </c>
      <c r="N53" s="2357"/>
      <c r="O53" s="2357">
        <f>SUM(G53:M53)</f>
        <v>134000000</v>
      </c>
      <c r="P53" s="2387"/>
      <c r="Q53" s="500"/>
    </row>
    <row r="54" spans="2:18">
      <c r="B54" s="1830"/>
      <c r="C54" s="1831"/>
      <c r="D54" s="1681"/>
      <c r="E54" s="1831" t="s">
        <v>3824</v>
      </c>
      <c r="F54" s="1681"/>
      <c r="G54" s="2357">
        <f>INDEX(finPNLReg1Prod1RDFtr4Exp, xxIndexTeam)+INDEX(finPNLReg2Prod1RDFtr4Exp, xxIndexTeam)</f>
        <v>2928884.4444988016</v>
      </c>
      <c r="H54" s="2357"/>
      <c r="I54" s="2357">
        <f>INDEX(finPNLReg1Prod3RDFtr4Exp, xxIndexTeam)+INDEX(finPNLReg2Prod3RDFtr4Exp, xxIndexTeam)</f>
        <v>1088899.3560143933</v>
      </c>
      <c r="J54" s="2357"/>
      <c r="K54" s="2357">
        <f>INDEX(finPNLReg1Prod4RDFtr4Exp, xxIndexTeam)+INDEX(finPNLReg2Prod4RDFtr4Exp, xxIndexTeam)</f>
        <v>4479542.9862205759</v>
      </c>
      <c r="L54" s="2357"/>
      <c r="M54" s="2357">
        <f>INDEX(finPNLReg1Prod2RDFtr4Exp,xxIndexTeam)+INDEX(finPNLReg2Prod2RDFtr4Exp,xxIndexTeam)</f>
        <v>0</v>
      </c>
      <c r="N54" s="2407"/>
      <c r="O54" s="2357">
        <f>SUM(G54:M54)</f>
        <v>8497326.7867337707</v>
      </c>
      <c r="P54" s="2387"/>
      <c r="Q54" s="500"/>
    </row>
    <row r="55" spans="2:18">
      <c r="B55" s="1830"/>
      <c r="C55" s="1831"/>
      <c r="D55" s="1681"/>
      <c r="E55" s="1832" t="s">
        <v>3825</v>
      </c>
      <c r="F55" s="1681"/>
      <c r="G55" s="2357">
        <f>INDEX(finPNLCSDRnD,xxIndexTeam)</f>
        <v>0</v>
      </c>
      <c r="H55" s="2357"/>
      <c r="I55" s="2357">
        <f>INDEX(finPNLNCBRnD,xxIndexTeam)</f>
        <v>0</v>
      </c>
      <c r="J55" s="2357"/>
      <c r="K55" s="2357">
        <f>INDEX(finPNLSnackRND,xxIndexTeam)</f>
        <v>0</v>
      </c>
      <c r="L55" s="2357"/>
      <c r="M55" s="2357">
        <f>INDEX(finPNLDisruptiveRND,xxIndexTeam)</f>
        <v>0</v>
      </c>
      <c r="N55" s="2393"/>
      <c r="O55" s="2357">
        <f>SUM(G55:M55)</f>
        <v>0</v>
      </c>
      <c r="P55" s="2387"/>
      <c r="Q55" s="500"/>
    </row>
    <row r="56" spans="2:18" ht="5.0999999999999996" customHeight="1">
      <c r="B56" s="1830"/>
      <c r="C56" s="1831"/>
      <c r="D56" s="1831"/>
      <c r="E56" s="1831"/>
      <c r="F56" s="1831"/>
      <c r="G56" s="2393"/>
      <c r="H56" s="2393"/>
      <c r="I56" s="2393"/>
      <c r="J56" s="2393"/>
      <c r="K56" s="2393"/>
      <c r="L56" s="2393"/>
      <c r="M56" s="2393"/>
      <c r="N56" s="2393"/>
      <c r="O56" s="2393"/>
      <c r="P56" s="2387"/>
      <c r="Q56" s="500"/>
    </row>
    <row r="57" spans="2:18" ht="11.25" customHeight="1">
      <c r="B57" s="1830"/>
      <c r="C57" s="1936"/>
      <c r="D57" s="1683" t="s">
        <v>3542</v>
      </c>
      <c r="E57" s="1831"/>
      <c r="F57" s="2388"/>
      <c r="G57" s="2346">
        <f>SUM(G53:G55)</f>
        <v>62928884.4444988</v>
      </c>
      <c r="H57" s="2393"/>
      <c r="I57" s="2346">
        <f>SUM(I53:I55)</f>
        <v>38088899.356014393</v>
      </c>
      <c r="J57" s="2390"/>
      <c r="K57" s="2346">
        <f>SUM(K53:K55)</f>
        <v>41479542.986220576</v>
      </c>
      <c r="L57" s="2346"/>
      <c r="M57" s="2346">
        <f>SUM(M53:M55)</f>
        <v>0</v>
      </c>
      <c r="N57" s="2393"/>
      <c r="O57" s="2346">
        <f>SUM(O53:O55)</f>
        <v>142497326.78673378</v>
      </c>
      <c r="P57" s="2387"/>
      <c r="Q57" s="500"/>
    </row>
    <row r="58" spans="2:18" ht="6" customHeight="1">
      <c r="B58" s="1830"/>
      <c r="C58" s="1831"/>
      <c r="D58" s="1681"/>
      <c r="E58" s="1681"/>
      <c r="F58" s="1681"/>
      <c r="G58" s="2346"/>
      <c r="H58" s="2393"/>
      <c r="I58" s="2393"/>
      <c r="J58" s="2393"/>
      <c r="K58" s="2393"/>
      <c r="L58" s="2393"/>
      <c r="M58" s="2393"/>
      <c r="N58" s="2393"/>
      <c r="O58" s="2393"/>
      <c r="P58" s="2387"/>
      <c r="Q58" s="500"/>
    </row>
    <row r="59" spans="2:18">
      <c r="B59" s="1830"/>
      <c r="C59" s="1831"/>
      <c r="D59" s="1681" t="s">
        <v>2875</v>
      </c>
      <c r="E59" s="1681"/>
      <c r="F59" s="1681"/>
      <c r="G59" s="2393"/>
      <c r="H59" s="2393"/>
      <c r="I59" s="2393"/>
      <c r="J59" s="2393"/>
      <c r="K59" s="2393"/>
      <c r="L59" s="2393"/>
      <c r="M59" s="2393"/>
      <c r="N59" s="2393"/>
      <c r="O59" s="2408"/>
      <c r="P59" s="2387"/>
      <c r="Q59" s="500"/>
    </row>
    <row r="60" spans="2:18">
      <c r="B60" s="1830"/>
      <c r="C60" s="1831"/>
      <c r="D60" s="1681"/>
      <c r="E60" s="1832" t="s">
        <v>2498</v>
      </c>
      <c r="F60" s="1681"/>
      <c r="G60" s="2393"/>
      <c r="H60" s="2393"/>
      <c r="I60" s="2393"/>
      <c r="J60" s="2393"/>
      <c r="K60" s="2393"/>
      <c r="L60" s="2393"/>
      <c r="M60" s="2393"/>
      <c r="N60" s="2393"/>
      <c r="O60" s="2393">
        <f ca="1">INDEX(finPNLReg1InEffExp, xxIndexTeam)+INDEX(finPNLReg2InEffExp, xxIndexTeam)</f>
        <v>193253963.15000004</v>
      </c>
      <c r="P60" s="2387"/>
      <c r="Q60" s="500"/>
    </row>
    <row r="61" spans="2:18">
      <c r="B61" s="1830"/>
      <c r="C61" s="1831"/>
      <c r="D61" s="1681"/>
      <c r="E61" s="1832" t="s">
        <v>2472</v>
      </c>
      <c r="F61" s="1681"/>
      <c r="G61" s="2393"/>
      <c r="H61" s="2393"/>
      <c r="I61" s="2393"/>
      <c r="J61" s="2393"/>
      <c r="K61" s="2393"/>
      <c r="L61" s="2393"/>
      <c r="M61" s="2393"/>
      <c r="N61" s="2393"/>
      <c r="O61" s="2393">
        <f ca="1">INDEX(finPNLReg1ExcapExp, xxIndexTeam)+INDEX(finPNLReg2ExcapExp, xxIndexTeam)</f>
        <v>0</v>
      </c>
      <c r="P61" s="2387"/>
      <c r="Q61" s="500"/>
    </row>
    <row r="62" spans="2:18" ht="11.25" customHeight="1">
      <c r="B62" s="1830"/>
      <c r="C62" s="1831"/>
      <c r="D62" s="1681"/>
      <c r="E62" s="1832" t="s">
        <v>284</v>
      </c>
      <c r="F62" s="1681"/>
      <c r="G62" s="2393">
        <f ca="1">INDEX(finPNLReg1Prod1DisposalExp, xxIndexTeam)+INDEX(finPNLReg2Prod1DisposalExp, xxIndexTeam)</f>
        <v>4875250.8117562346</v>
      </c>
      <c r="H62" s="2393"/>
      <c r="I62" s="2393">
        <f ca="1">INDEX(finPNLReg1Prod3DisposalExp, xxIndexTeam)+INDEX(finPNLReg2Prod3DisposalExp, xxIndexTeam)</f>
        <v>98887174.000408739</v>
      </c>
      <c r="J62" s="2393"/>
      <c r="K62" s="2393">
        <f ca="1">INDEX(finPNLReg1Prod4DisposalExp, xxIndexTeam)+INDEX(finPNLReg2Prod4DisposalExp, xxIndexTeam)</f>
        <v>69184023.836498126</v>
      </c>
      <c r="L62" s="2393"/>
      <c r="M62" s="2393">
        <f>INDEX(finPNLReg1Prod2DisposalExp, xxIndexTeam)+INDEX(finPNLReg2Prod2DisposalExp, xxIndexTeam)</f>
        <v>0</v>
      </c>
      <c r="N62" s="2393"/>
      <c r="O62" s="2393">
        <f ca="1">SUM(G62:M62)</f>
        <v>172946448.6486631</v>
      </c>
      <c r="P62" s="2387"/>
      <c r="Q62" s="500"/>
    </row>
    <row r="63" spans="2:18" ht="11.25" customHeight="1">
      <c r="B63" s="1830"/>
      <c r="C63" s="1831"/>
      <c r="D63" s="1681"/>
      <c r="E63" s="1832" t="s">
        <v>1829</v>
      </c>
      <c r="F63" s="1681"/>
      <c r="G63" s="2393">
        <f ca="1">INDEX(finPNLReg1Prod1SpecProgExp, xxIndexTeam)+INDEX(finPNLReg2Prod1SpecProgExp, xxIndexTeam)</f>
        <v>0</v>
      </c>
      <c r="H63" s="2393"/>
      <c r="I63" s="2393">
        <f ca="1">INDEX(finPNLReg1Prod3SpecProgExp, xxIndexTeam)+INDEX(finPNLReg2Prod3SpecProgExp, xxIndexTeam)</f>
        <v>0</v>
      </c>
      <c r="J63" s="2393"/>
      <c r="K63" s="2393">
        <f ca="1">INDEX(finPNLReg1Prod4SpecProgExp, xxIndexTeam)+INDEX(finPNLReg2Prod4SpecProgExp, xxIndexTeam)</f>
        <v>0</v>
      </c>
      <c r="L63" s="2393"/>
      <c r="M63" s="2393">
        <v>0</v>
      </c>
      <c r="N63" s="2393"/>
      <c r="O63" s="2393">
        <f ca="1">INDEX(finPNLRegionalSpecProgExp, xxIndexTeam)</f>
        <v>0</v>
      </c>
      <c r="P63" s="2387"/>
      <c r="Q63" s="500"/>
    </row>
    <row r="64" spans="2:18" ht="11.25" customHeight="1">
      <c r="B64" s="1830"/>
      <c r="C64" s="1831"/>
      <c r="D64" s="1681"/>
      <c r="E64" s="1832" t="s">
        <v>1830</v>
      </c>
      <c r="F64" s="1681"/>
      <c r="G64" s="2393"/>
      <c r="H64" s="2393"/>
      <c r="I64" s="2393"/>
      <c r="J64" s="2393"/>
      <c r="K64" s="2393"/>
      <c r="L64" s="2393"/>
      <c r="M64" s="2393"/>
      <c r="N64" s="2393"/>
      <c r="O64" s="2393">
        <f>INDEX(paramSpecProgExp, xxIndexTeam)</f>
        <v>0</v>
      </c>
      <c r="P64" s="2387"/>
      <c r="Q64" s="500"/>
    </row>
    <row r="65" spans="2:19" ht="5.0999999999999996" customHeight="1">
      <c r="B65" s="1830"/>
      <c r="C65" s="1831"/>
      <c r="D65" s="1831"/>
      <c r="E65" s="1831"/>
      <c r="F65" s="1831"/>
      <c r="G65" s="2393"/>
      <c r="H65" s="2393"/>
      <c r="I65" s="2393"/>
      <c r="J65" s="2393"/>
      <c r="K65" s="2393"/>
      <c r="L65" s="2393"/>
      <c r="M65" s="2393"/>
      <c r="N65" s="2393"/>
      <c r="O65" s="2393"/>
      <c r="P65" s="2387"/>
      <c r="Q65" s="500"/>
    </row>
    <row r="66" spans="2:19" ht="11.25" customHeight="1">
      <c r="B66" s="1830"/>
      <c r="C66" s="1831"/>
      <c r="D66" s="1681" t="s">
        <v>3757</v>
      </c>
      <c r="E66" s="1831"/>
      <c r="F66" s="1831"/>
      <c r="G66" s="2346">
        <f ca="1">SUM(G60:G64)</f>
        <v>4875250.8117562346</v>
      </c>
      <c r="H66" s="2346"/>
      <c r="I66" s="2346">
        <f ca="1">SUM(I60:I64)</f>
        <v>98887174.000408739</v>
      </c>
      <c r="J66" s="2346"/>
      <c r="K66" s="2346">
        <f ca="1">SUM(K60:K64)</f>
        <v>69184023.836498126</v>
      </c>
      <c r="L66" s="2346"/>
      <c r="M66" s="2346">
        <f>SUM(M60:M64)</f>
        <v>0</v>
      </c>
      <c r="N66" s="2346"/>
      <c r="O66" s="2346">
        <f ca="1">SUM(O60:O64)</f>
        <v>366200411.79866314</v>
      </c>
      <c r="P66" s="2387"/>
      <c r="Q66" s="500"/>
      <c r="S66" s="1626"/>
    </row>
    <row r="67" spans="2:19" ht="5.0999999999999996" customHeight="1">
      <c r="B67" s="1830"/>
      <c r="C67" s="1831"/>
      <c r="D67" s="1831"/>
      <c r="E67" s="1831"/>
      <c r="F67" s="1831"/>
      <c r="G67" s="2393"/>
      <c r="H67" s="2393"/>
      <c r="I67" s="2393"/>
      <c r="J67" s="2393"/>
      <c r="K67" s="2393"/>
      <c r="L67" s="2393"/>
      <c r="M67" s="2393"/>
      <c r="N67" s="2393"/>
      <c r="O67" s="2393"/>
      <c r="P67" s="2387"/>
      <c r="Q67" s="500"/>
    </row>
    <row r="68" spans="2:19" ht="12.75" customHeight="1">
      <c r="B68" s="1830"/>
      <c r="C68" s="1676" t="s">
        <v>3131</v>
      </c>
      <c r="D68" s="1831"/>
      <c r="E68" s="1831"/>
      <c r="F68" s="1831"/>
      <c r="G68" s="2399">
        <f ca="1">G48+G57+G66</f>
        <v>2203858098.1743751</v>
      </c>
      <c r="H68" s="2352"/>
      <c r="I68" s="2399">
        <f ca="1">I48+I57+I66</f>
        <v>1855539270.951463</v>
      </c>
      <c r="J68" s="2352"/>
      <c r="K68" s="2399">
        <f ca="1">K48+K57+K66</f>
        <v>1806683045.4418368</v>
      </c>
      <c r="L68" s="2352"/>
      <c r="M68" s="2399">
        <f>M48+M57+M66</f>
        <v>0</v>
      </c>
      <c r="N68" s="2352"/>
      <c r="O68" s="2399">
        <f ca="1">O48+O57+O66</f>
        <v>6099172394.2466002</v>
      </c>
      <c r="P68" s="2387"/>
      <c r="Q68" s="500"/>
    </row>
    <row r="69" spans="2:19" ht="12.75" customHeight="1">
      <c r="B69" s="1830"/>
      <c r="C69" s="1676"/>
      <c r="D69" s="1831"/>
      <c r="E69" s="2147" t="s">
        <v>1451</v>
      </c>
      <c r="F69" s="1831"/>
      <c r="G69" s="2383">
        <f ca="1">G68/G7</f>
        <v>2.0062193674938471</v>
      </c>
      <c r="H69" s="2409"/>
      <c r="I69" s="2383">
        <f ca="1">I68/I7</f>
        <v>3.0833155050705598</v>
      </c>
      <c r="J69" s="2409"/>
      <c r="K69" s="2383">
        <f ca="1">K68/K7</f>
        <v>2.3564406488089693</v>
      </c>
      <c r="L69" s="2383"/>
      <c r="M69" s="2383">
        <f>IF(M7=0,0,M68/M7)</f>
        <v>0</v>
      </c>
      <c r="N69" s="2352"/>
      <c r="O69" s="2352"/>
      <c r="P69" s="2387"/>
      <c r="Q69" s="500"/>
    </row>
    <row r="70" spans="2:19" ht="5.25" customHeight="1">
      <c r="B70" s="1830"/>
      <c r="C70" s="1831"/>
      <c r="D70" s="1831"/>
      <c r="E70" s="1831"/>
      <c r="F70" s="1831"/>
      <c r="G70" s="2393"/>
      <c r="H70" s="2393"/>
      <c r="I70" s="2393"/>
      <c r="J70" s="2393"/>
      <c r="K70" s="2393"/>
      <c r="L70" s="2393"/>
      <c r="M70" s="2393"/>
      <c r="N70" s="2393"/>
      <c r="O70" s="2393"/>
      <c r="P70" s="2387"/>
      <c r="Q70" s="500"/>
    </row>
    <row r="71" spans="2:19" ht="12.75">
      <c r="B71" s="1903"/>
      <c r="C71" s="1679" t="s">
        <v>3763</v>
      </c>
      <c r="D71" s="1676"/>
      <c r="E71" s="1886"/>
      <c r="F71" s="1886"/>
      <c r="G71" s="2401">
        <f ca="1">G25-G68</f>
        <v>1631855440.4601493</v>
      </c>
      <c r="H71" s="2401"/>
      <c r="I71" s="2401">
        <f ca="1">I25-I68</f>
        <v>1524784846.1571162</v>
      </c>
      <c r="J71" s="2401"/>
      <c r="K71" s="2401">
        <f ca="1">K25-K68</f>
        <v>2350492179.3861928</v>
      </c>
      <c r="L71" s="2401"/>
      <c r="M71" s="2401">
        <f>M25-M68</f>
        <v>0</v>
      </c>
      <c r="N71" s="2401"/>
      <c r="O71" s="2401">
        <f ca="1">O25-O68</f>
        <v>5274040486.3245344</v>
      </c>
      <c r="P71" s="2396"/>
      <c r="Q71" s="501"/>
    </row>
    <row r="72" spans="2:19">
      <c r="B72" s="1830"/>
      <c r="C72" s="1831"/>
      <c r="D72" s="1682" t="s">
        <v>1428</v>
      </c>
      <c r="E72" s="1682"/>
      <c r="F72" s="1682"/>
      <c r="G72" s="1976">
        <f ca="1">G71/G14</f>
        <v>0.20659343376555647</v>
      </c>
      <c r="H72" s="1976"/>
      <c r="I72" s="1976">
        <f ca="1">I71/I14</f>
        <v>0.22482819907949222</v>
      </c>
      <c r="J72" s="1976"/>
      <c r="K72" s="1976">
        <f ca="1">K71/K14</f>
        <v>0.29598516346748849</v>
      </c>
      <c r="L72" s="1976"/>
      <c r="M72" s="1976">
        <f>IF(M14=0,0,M71/M14)</f>
        <v>0</v>
      </c>
      <c r="N72" s="1976"/>
      <c r="O72" s="1976">
        <f ca="1">O71/O14</f>
        <v>0.23313640029477439</v>
      </c>
      <c r="P72" s="2402"/>
      <c r="Q72" s="484"/>
    </row>
    <row r="73" spans="2:19">
      <c r="B73" s="1830"/>
      <c r="C73" s="1831"/>
      <c r="D73" s="1682"/>
      <c r="E73" s="2403" t="s">
        <v>3764</v>
      </c>
      <c r="F73" s="1682"/>
      <c r="G73" s="2383">
        <f ca="1">G71/G7</f>
        <v>1.4855130610783622</v>
      </c>
      <c r="H73" s="1976"/>
      <c r="I73" s="2383">
        <f ca="1">I71/I7</f>
        <v>2.533706956060346</v>
      </c>
      <c r="J73" s="1976"/>
      <c r="K73" s="2383">
        <f ca="1">K71/K7</f>
        <v>3.0657260719788613</v>
      </c>
      <c r="L73" s="2383"/>
      <c r="M73" s="2383">
        <f>IF(M7=0,0,M71/M7)</f>
        <v>0</v>
      </c>
      <c r="N73" s="1976"/>
      <c r="O73" s="1976"/>
      <c r="P73" s="2402"/>
      <c r="Q73" s="484"/>
    </row>
    <row r="74" spans="2:19" ht="6" customHeight="1">
      <c r="B74" s="1830"/>
      <c r="C74" s="1831"/>
      <c r="D74" s="1831"/>
      <c r="E74" s="1831"/>
      <c r="F74" s="1831"/>
      <c r="G74" s="2408"/>
      <c r="H74" s="1831"/>
      <c r="I74" s="1831"/>
      <c r="J74" s="1831"/>
      <c r="K74" s="1831"/>
      <c r="L74" s="1831"/>
      <c r="M74" s="1831"/>
      <c r="N74" s="1831"/>
      <c r="O74" s="1831"/>
      <c r="P74" s="1835"/>
      <c r="Q74" s="486"/>
    </row>
    <row r="75" spans="2:19">
      <c r="B75" s="1830"/>
      <c r="C75" s="1831"/>
      <c r="D75" s="1681" t="s">
        <v>3129</v>
      </c>
      <c r="E75" s="1831"/>
      <c r="F75" s="1831"/>
      <c r="G75" s="1831"/>
      <c r="H75" s="1831"/>
      <c r="I75" s="1831"/>
      <c r="J75" s="1831"/>
      <c r="K75" s="1831"/>
      <c r="L75" s="1831"/>
      <c r="M75" s="1831"/>
      <c r="N75" s="1831"/>
      <c r="O75" s="1831"/>
      <c r="P75" s="1835"/>
      <c r="Q75" s="486"/>
    </row>
    <row r="76" spans="2:19">
      <c r="B76" s="1830"/>
      <c r="C76" s="1831"/>
      <c r="D76" s="1831"/>
      <c r="E76" s="1831" t="s">
        <v>2307</v>
      </c>
      <c r="F76" s="1831"/>
      <c r="G76" s="2391"/>
      <c r="H76" s="2391"/>
      <c r="I76" s="2391"/>
      <c r="J76" s="2391"/>
      <c r="K76" s="2391"/>
      <c r="L76" s="2391"/>
      <c r="M76" s="2391"/>
      <c r="N76" s="2391"/>
      <c r="O76" s="2389">
        <f>INDEX(finPNLCapLossExp, xxIndexTeam)</f>
        <v>0</v>
      </c>
      <c r="P76" s="1835"/>
      <c r="Q76" s="486"/>
    </row>
    <row r="77" spans="2:19">
      <c r="B77" s="1830"/>
      <c r="C77" s="1831"/>
      <c r="D77" s="1831"/>
      <c r="E77" s="1831" t="s">
        <v>2308</v>
      </c>
      <c r="F77" s="1831"/>
      <c r="G77" s="2391"/>
      <c r="H77" s="2391"/>
      <c r="I77" s="2391"/>
      <c r="J77" s="2391"/>
      <c r="K77" s="2391"/>
      <c r="L77" s="2391"/>
      <c r="M77" s="2391"/>
      <c r="N77" s="2391"/>
      <c r="O77" s="2391">
        <f>INDEX(finPNLSpecLoansExp, xxIndexTeam)</f>
        <v>0</v>
      </c>
      <c r="P77" s="1835"/>
      <c r="Q77" s="486"/>
    </row>
    <row r="78" spans="2:19" ht="5.0999999999999996" customHeight="1">
      <c r="B78" s="1830"/>
      <c r="C78" s="1831"/>
      <c r="D78" s="1831"/>
      <c r="E78" s="1831"/>
      <c r="F78" s="1831"/>
      <c r="G78" s="2391"/>
      <c r="H78" s="2391"/>
      <c r="I78" s="2391"/>
      <c r="J78" s="2391"/>
      <c r="K78" s="2391"/>
      <c r="L78" s="2391"/>
      <c r="M78" s="2391"/>
      <c r="N78" s="2391"/>
      <c r="O78" s="2391"/>
      <c r="P78" s="1835"/>
      <c r="Q78" s="486"/>
    </row>
    <row r="79" spans="2:19">
      <c r="B79" s="1830"/>
      <c r="C79" s="1831"/>
      <c r="D79" s="1681" t="s">
        <v>2311</v>
      </c>
      <c r="E79" s="1831"/>
      <c r="F79" s="1831"/>
      <c r="G79" s="2391">
        <f>SUM(G76:G77)</f>
        <v>0</v>
      </c>
      <c r="H79" s="2391"/>
      <c r="I79" s="2391">
        <f>SUM(I76:I77)</f>
        <v>0</v>
      </c>
      <c r="J79" s="2391"/>
      <c r="K79" s="2391">
        <f>SUM(K76:K77)</f>
        <v>0</v>
      </c>
      <c r="L79" s="2391"/>
      <c r="M79" s="2391">
        <f>SUM(M76:M77)</f>
        <v>0</v>
      </c>
      <c r="N79" s="2391"/>
      <c r="O79" s="2391">
        <f>SUM(O76:O77)</f>
        <v>0</v>
      </c>
      <c r="P79" s="1835"/>
      <c r="Q79" s="486"/>
    </row>
    <row r="80" spans="2:19" ht="6" customHeight="1">
      <c r="B80" s="1830"/>
      <c r="C80" s="1831"/>
      <c r="D80" s="1831"/>
      <c r="E80" s="1831"/>
      <c r="F80" s="1831"/>
      <c r="G80" s="2391"/>
      <c r="H80" s="2391"/>
      <c r="I80" s="2391"/>
      <c r="J80" s="2391"/>
      <c r="K80" s="2391"/>
      <c r="L80" s="2391"/>
      <c r="M80" s="2391"/>
      <c r="N80" s="2391"/>
      <c r="O80" s="2391"/>
      <c r="P80" s="1835"/>
      <c r="Q80" s="486"/>
    </row>
    <row r="81" spans="2:17" ht="12.75">
      <c r="B81" s="1903"/>
      <c r="C81" s="1676" t="s">
        <v>3763</v>
      </c>
      <c r="D81" s="1676"/>
      <c r="E81" s="1831"/>
      <c r="F81" s="1831"/>
      <c r="G81" s="2410">
        <f ca="1">G71-G79</f>
        <v>1631855440.4601493</v>
      </c>
      <c r="H81" s="2401"/>
      <c r="I81" s="2410">
        <f ca="1">I71-I79</f>
        <v>1524784846.1571162</v>
      </c>
      <c r="J81" s="2401"/>
      <c r="K81" s="2410">
        <f ca="1">K71-K79</f>
        <v>2350492179.3861928</v>
      </c>
      <c r="L81" s="2401"/>
      <c r="M81" s="2410">
        <f>M71-M79</f>
        <v>0</v>
      </c>
      <c r="N81" s="2401"/>
      <c r="O81" s="2410">
        <f ca="1">O71-O79</f>
        <v>5274040486.3245344</v>
      </c>
      <c r="P81" s="1835"/>
      <c r="Q81" s="486"/>
    </row>
    <row r="82" spans="2:17" ht="6" customHeight="1">
      <c r="B82" s="1830"/>
      <c r="C82" s="1831"/>
      <c r="D82" s="1681"/>
      <c r="E82" s="1831"/>
      <c r="F82" s="1831"/>
      <c r="G82" s="1831"/>
      <c r="H82" s="1831"/>
      <c r="I82" s="1831"/>
      <c r="J82" s="1831"/>
      <c r="K82" s="1831"/>
      <c r="L82" s="1831"/>
      <c r="M82" s="1831"/>
      <c r="N82" s="1831"/>
      <c r="O82" s="1831"/>
      <c r="P82" s="1835"/>
      <c r="Q82" s="486"/>
    </row>
    <row r="83" spans="2:17">
      <c r="B83" s="1830"/>
      <c r="C83" s="1831"/>
      <c r="D83" s="1681" t="s">
        <v>3130</v>
      </c>
      <c r="E83" s="1831"/>
      <c r="F83" s="1831"/>
      <c r="G83" s="1831"/>
      <c r="H83" s="1831"/>
      <c r="I83" s="1831"/>
      <c r="J83" s="1831"/>
      <c r="K83" s="1831"/>
      <c r="L83" s="1831"/>
      <c r="M83" s="1831"/>
      <c r="N83" s="1831"/>
      <c r="O83" s="1831"/>
      <c r="P83" s="1835"/>
      <c r="Q83" s="486"/>
    </row>
    <row r="84" spans="2:17">
      <c r="B84" s="1830"/>
      <c r="C84" s="1831"/>
      <c r="D84" s="1831"/>
      <c r="E84" s="1831" t="s">
        <v>2312</v>
      </c>
      <c r="F84" s="1831"/>
      <c r="G84" s="2391"/>
      <c r="H84" s="2391"/>
      <c r="I84" s="2391"/>
      <c r="J84" s="2391"/>
      <c r="K84" s="2391"/>
      <c r="L84" s="2391"/>
      <c r="M84" s="2391"/>
      <c r="N84" s="2391"/>
      <c r="O84" s="2391">
        <f>INDEX(finPNLIntInc, xxIndexTeam)</f>
        <v>-495971905.25716424</v>
      </c>
      <c r="P84" s="1835"/>
      <c r="Q84" s="486"/>
    </row>
    <row r="85" spans="2:17">
      <c r="B85" s="1830"/>
      <c r="C85" s="1831"/>
      <c r="D85" s="1831"/>
      <c r="E85" s="1831" t="s">
        <v>2313</v>
      </c>
      <c r="F85" s="1831"/>
      <c r="G85" s="2391"/>
      <c r="H85" s="2391"/>
      <c r="I85" s="2391"/>
      <c r="J85" s="2391"/>
      <c r="K85" s="2391"/>
      <c r="L85" s="2391"/>
      <c r="M85" s="2391"/>
      <c r="N85" s="2388"/>
      <c r="O85" s="2391">
        <f>INDEX(finPNLIntExp, xxIndexTeam)</f>
        <v>373200000</v>
      </c>
      <c r="P85" s="1835"/>
      <c r="Q85" s="486"/>
    </row>
    <row r="86" spans="2:17" ht="5.0999999999999996" customHeight="1">
      <c r="B86" s="1830"/>
      <c r="C86" s="1676"/>
      <c r="D86" s="1831"/>
      <c r="E86" s="1831"/>
      <c r="F86" s="1831"/>
      <c r="G86" s="2391"/>
      <c r="H86" s="2391"/>
      <c r="I86" s="2391"/>
      <c r="J86" s="2391"/>
      <c r="K86" s="2391"/>
      <c r="L86" s="2391"/>
      <c r="M86" s="2391"/>
      <c r="N86" s="2391"/>
      <c r="O86" s="2391"/>
      <c r="P86" s="1835"/>
      <c r="Q86" s="486"/>
    </row>
    <row r="87" spans="2:17">
      <c r="B87" s="1830"/>
      <c r="C87" s="1831"/>
      <c r="D87" s="1681" t="s">
        <v>3534</v>
      </c>
      <c r="E87" s="1831"/>
      <c r="F87" s="1831"/>
      <c r="G87" s="2411"/>
      <c r="H87" s="2411"/>
      <c r="I87" s="2411"/>
      <c r="J87" s="2411"/>
      <c r="K87" s="2411"/>
      <c r="L87" s="2411"/>
      <c r="M87" s="2411"/>
      <c r="N87" s="2411"/>
      <c r="O87" s="2411">
        <f>SUM(O84:O85)</f>
        <v>-122771905.25716424</v>
      </c>
      <c r="P87" s="1835"/>
      <c r="Q87" s="486"/>
    </row>
    <row r="88" spans="2:17" ht="6.75" customHeight="1">
      <c r="B88" s="1830"/>
      <c r="C88" s="1831"/>
      <c r="D88" s="1831"/>
      <c r="E88" s="1831"/>
      <c r="F88" s="1831"/>
      <c r="G88" s="1831"/>
      <c r="H88" s="1831"/>
      <c r="I88" s="1831"/>
      <c r="J88" s="1831"/>
      <c r="K88" s="1831"/>
      <c r="L88" s="1831"/>
      <c r="M88" s="1831"/>
      <c r="N88" s="1831"/>
      <c r="O88" s="1831"/>
      <c r="P88" s="1835"/>
      <c r="Q88" s="486"/>
    </row>
    <row r="89" spans="2:17" ht="12.75">
      <c r="B89" s="1830"/>
      <c r="C89" s="1831"/>
      <c r="D89" s="1681" t="s">
        <v>1470</v>
      </c>
      <c r="E89" s="1676"/>
      <c r="F89" s="1676"/>
      <c r="G89" s="1964"/>
      <c r="H89" s="1964"/>
      <c r="I89" s="1964"/>
      <c r="J89" s="1964"/>
      <c r="K89" s="1964"/>
      <c r="L89" s="1964"/>
      <c r="M89" s="1964"/>
      <c r="N89" s="1908"/>
      <c r="O89" s="2412">
        <f ca="1">INDEX(finPNLTaxExp, xxIndexTeam)</f>
        <v>1996820584.8852286</v>
      </c>
      <c r="P89" s="2353"/>
      <c r="Q89" s="483"/>
    </row>
    <row r="90" spans="2:17" ht="6.75" customHeight="1">
      <c r="B90" s="1830"/>
      <c r="C90" s="1831"/>
      <c r="D90" s="1831"/>
      <c r="E90" s="1831"/>
      <c r="F90" s="1831"/>
      <c r="G90" s="1831"/>
      <c r="H90" s="1831"/>
      <c r="I90" s="1831"/>
      <c r="J90" s="1831"/>
      <c r="K90" s="1831"/>
      <c r="L90" s="1831"/>
      <c r="M90" s="1831"/>
      <c r="N90" s="1831"/>
      <c r="O90" s="1976"/>
      <c r="P90" s="1835"/>
      <c r="Q90" s="486"/>
    </row>
    <row r="91" spans="2:17" ht="13.5" thickBot="1">
      <c r="B91" s="1830"/>
      <c r="C91" s="1676" t="s">
        <v>3762</v>
      </c>
      <c r="D91" s="1676"/>
      <c r="E91" s="1831"/>
      <c r="F91" s="1831"/>
      <c r="G91" s="1831"/>
      <c r="H91" s="1831"/>
      <c r="I91" s="1831"/>
      <c r="J91" s="1831"/>
      <c r="K91" s="1831"/>
      <c r="L91" s="1831"/>
      <c r="M91" s="1831"/>
      <c r="N91" s="1831"/>
      <c r="O91" s="2413">
        <f ca="1">O81-O87-O89</f>
        <v>3399991806.6964698</v>
      </c>
      <c r="P91" s="1835"/>
      <c r="Q91" s="486"/>
    </row>
    <row r="92" spans="2:17">
      <c r="B92" s="1830"/>
      <c r="C92" s="1831"/>
      <c r="D92" s="1680" t="s">
        <v>3872</v>
      </c>
      <c r="E92" s="1680"/>
      <c r="F92" s="1831"/>
      <c r="G92" s="1831"/>
      <c r="H92" s="1831"/>
      <c r="I92" s="1831"/>
      <c r="J92" s="1831"/>
      <c r="K92" s="1831"/>
      <c r="L92" s="1831"/>
      <c r="M92" s="1831"/>
      <c r="N92" s="1831"/>
      <c r="O92" s="1976">
        <f ca="1">O91/$O$9</f>
        <v>0.13005798020768675</v>
      </c>
      <c r="P92" s="1835"/>
      <c r="Q92" s="486"/>
    </row>
    <row r="93" spans="2:17" ht="7.5" customHeight="1" thickBot="1">
      <c r="B93" s="1854"/>
      <c r="C93" s="1850"/>
      <c r="D93" s="1850"/>
      <c r="E93" s="1850"/>
      <c r="F93" s="1850"/>
      <c r="G93" s="1850"/>
      <c r="H93" s="1850"/>
      <c r="I93" s="1850"/>
      <c r="J93" s="1850"/>
      <c r="K93" s="1850"/>
      <c r="L93" s="1850"/>
      <c r="M93" s="1850"/>
      <c r="N93" s="1850"/>
      <c r="O93" s="1850"/>
      <c r="P93" s="1856"/>
      <c r="Q93" s="486"/>
    </row>
    <row r="94" spans="2:17" ht="20.25" customHeight="1" thickBot="1">
      <c r="B94" s="1857"/>
      <c r="C94" s="1858"/>
      <c r="D94" s="1858"/>
      <c r="E94" s="1858"/>
      <c r="F94" s="1858"/>
      <c r="G94" s="1858"/>
      <c r="H94" s="1858"/>
      <c r="I94" s="1858"/>
      <c r="J94" s="1858"/>
      <c r="K94" s="1858"/>
      <c r="L94" s="1858"/>
      <c r="M94" s="1858"/>
      <c r="N94" s="1858"/>
      <c r="O94" s="1858"/>
      <c r="P94" s="1859"/>
    </row>
  </sheetData>
  <phoneticPr fontId="0" type="noConversion"/>
  <printOptions horizontalCentered="1"/>
  <pageMargins left="0.38" right="0.34" top="0.78" bottom="1" header="0.35" footer="0.5"/>
  <pageSetup paperSize="9" scale="84" orientation="portrait" blackAndWhite="1" r:id="rId1"/>
  <headerFooter alignWithMargins="0">
    <oddFooter>&amp;CPage &amp;P of &amp;N</oddFooter>
  </headerFooter>
  <ignoredErrors>
    <ignoredError sqref="O43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indexed="22"/>
    <pageSetUpPr fitToPage="1"/>
  </sheetPr>
  <dimension ref="A1:X95"/>
  <sheetViews>
    <sheetView showGridLines="0" topLeftCell="A2" zoomScale="116" workbookViewId="0">
      <selection activeCell="M1" sqref="M1"/>
    </sheetView>
  </sheetViews>
  <sheetFormatPr defaultRowHeight="11.25"/>
  <cols>
    <col min="1" max="4" width="1.83203125" style="487" customWidth="1"/>
    <col min="5" max="5" width="30.33203125" style="487" customWidth="1"/>
    <col min="6" max="6" width="1.83203125" style="487" customWidth="1"/>
    <col min="7" max="7" width="17.33203125" style="487" customWidth="1"/>
    <col min="8" max="8" width="1.83203125" style="487" customWidth="1"/>
    <col min="9" max="9" width="17.33203125" style="487" customWidth="1"/>
    <col min="10" max="10" width="1.83203125" style="487" customWidth="1"/>
    <col min="11" max="11" width="17.33203125" style="487" customWidth="1"/>
    <col min="12" max="12" width="1.83203125" style="487" customWidth="1"/>
    <col min="13" max="13" width="17.33203125" style="487" customWidth="1"/>
    <col min="14" max="14" width="2.33203125" style="487" customWidth="1"/>
    <col min="15" max="15" width="18.5" style="487" customWidth="1"/>
    <col min="16" max="17" width="1.83203125" style="487" customWidth="1"/>
    <col min="18" max="18" width="4.6640625" style="487" customWidth="1"/>
    <col min="19" max="19" width="11.1640625" style="356" bestFit="1" customWidth="1"/>
    <col min="20" max="20" width="13.1640625" style="356" customWidth="1"/>
    <col min="21" max="24" width="9.33203125" style="356" customWidth="1"/>
    <col min="25" max="16384" width="9.33203125" style="487"/>
  </cols>
  <sheetData>
    <row r="1" spans="1:24" hidden="1">
      <c r="A1" s="1076"/>
      <c r="L1" s="487">
        <f>IF(COUNTIF(dataUnlockedList,"unlocked")&gt;0,0,5)</f>
        <v>5</v>
      </c>
      <c r="M1" s="487">
        <f>IF(COUNTIF(dataUnlockedList,"unlocked")&gt;0,0,5)</f>
        <v>5</v>
      </c>
      <c r="S1"/>
      <c r="T1"/>
      <c r="U1"/>
      <c r="V1"/>
      <c r="W1"/>
      <c r="X1"/>
    </row>
    <row r="2" spans="1:24" ht="7.5" customHeight="1" thickBot="1">
      <c r="A2" s="1076"/>
      <c r="L2" s="1000"/>
      <c r="M2" s="1000"/>
    </row>
    <row r="3" spans="1:24" ht="23.25" thickBot="1">
      <c r="B3" s="1672" t="s">
        <v>2554</v>
      </c>
      <c r="C3" s="2228"/>
      <c r="D3" s="2228"/>
      <c r="E3" s="2228"/>
      <c r="F3" s="2228"/>
      <c r="G3" s="2228"/>
      <c r="H3" s="2228"/>
      <c r="I3" s="2228"/>
      <c r="J3" s="2228"/>
      <c r="K3" s="2228"/>
      <c r="L3" s="2228"/>
      <c r="M3" s="2228"/>
      <c r="N3" s="2228"/>
      <c r="O3" s="2228"/>
      <c r="P3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Q3" s="1073"/>
      <c r="W3" s="487"/>
      <c r="X3" s="487"/>
    </row>
    <row r="4" spans="1:24" ht="15">
      <c r="B4" s="1677" t="s">
        <v>1696</v>
      </c>
      <c r="C4" s="2376"/>
      <c r="D4" s="2376"/>
      <c r="E4" s="2376"/>
      <c r="F4" s="2376"/>
      <c r="G4" s="2377"/>
      <c r="H4" s="2377"/>
      <c r="I4" s="2377"/>
      <c r="J4" s="2377"/>
      <c r="K4" s="2377"/>
      <c r="L4" s="2377"/>
      <c r="M4" s="2377"/>
      <c r="N4" s="2377"/>
      <c r="O4" s="2377"/>
      <c r="P4" s="2378"/>
      <c r="Q4" s="499"/>
    </row>
    <row r="5" spans="1:24" ht="15.75" thickBot="1">
      <c r="B5" s="1678" t="s">
        <v>424</v>
      </c>
      <c r="C5" s="1831"/>
      <c r="D5" s="1831"/>
      <c r="E5" s="1831"/>
      <c r="F5" s="1831"/>
      <c r="G5" s="1673" t="str">
        <f>DataNameProd1</f>
        <v>CSD</v>
      </c>
      <c r="H5" s="2230"/>
      <c r="I5" s="1673" t="str">
        <f>DataNameProd3</f>
        <v>NCB</v>
      </c>
      <c r="J5" s="2230"/>
      <c r="K5" s="1673" t="str">
        <f>DataNameProd4</f>
        <v>F&amp;S</v>
      </c>
      <c r="L5" s="1953"/>
      <c r="M5" s="1673" t="str">
        <f>DataNameProd2</f>
        <v>Breakthrough</v>
      </c>
      <c r="N5" s="2379"/>
      <c r="O5" s="1674" t="s">
        <v>3794</v>
      </c>
      <c r="P5" s="2369"/>
      <c r="Q5" s="502"/>
    </row>
    <row r="6" spans="1:24" ht="5.0999999999999996" customHeight="1">
      <c r="B6" s="1830"/>
      <c r="C6" s="1831"/>
      <c r="D6" s="1831"/>
      <c r="E6" s="1831"/>
      <c r="F6" s="1831"/>
      <c r="G6" s="1953"/>
      <c r="H6" s="2230"/>
      <c r="I6" s="1953"/>
      <c r="J6" s="2230"/>
      <c r="K6" s="1953"/>
      <c r="L6" s="1953"/>
      <c r="M6" s="1953"/>
      <c r="N6" s="2379"/>
      <c r="O6" s="2379"/>
      <c r="P6" s="2369"/>
      <c r="Q6" s="502"/>
    </row>
    <row r="7" spans="1:24" ht="15">
      <c r="B7" s="1830"/>
      <c r="C7" s="1676" t="s">
        <v>1447</v>
      </c>
      <c r="D7" s="1831"/>
      <c r="E7" s="1831"/>
      <c r="F7" s="1831"/>
      <c r="G7" s="1964">
        <f>INDEX(capReg1Prod1UnitsSold,xxIndexTeam)</f>
        <v>741713021</v>
      </c>
      <c r="H7" s="1831"/>
      <c r="I7" s="1964">
        <f>INDEX(capReg1Prod3UnitsSold, xxIndexTeam)</f>
        <v>356800000</v>
      </c>
      <c r="J7" s="1831"/>
      <c r="K7" s="1964">
        <f>INDEX(capReg1Prod4UnitsSold, xxIndexTeam)</f>
        <v>541700000</v>
      </c>
      <c r="L7" s="1964"/>
      <c r="M7" s="1675">
        <f>HLOOKUP(INDEX(cbalDisrupt1,xxIndexTeam),dataDisruptWeight,2,0)*INDEX(capReg1Prod2UnitsSold, xxIndexTeam)+HLOOKUP(INDEX(cbalDisrupt2,xxIndexTeam),dataDisruptWeight,2,0)*INDEX(capReg2Prod2UnitsSold, xxIndexTeam)</f>
        <v>0</v>
      </c>
      <c r="N7" s="2379"/>
      <c r="O7" s="2380">
        <f>SUM(G7:M7)</f>
        <v>1640213021</v>
      </c>
      <c r="P7" s="2369"/>
      <c r="Q7" s="502"/>
    </row>
    <row r="8" spans="1:24" ht="5.0999999999999996" customHeight="1">
      <c r="B8" s="1830"/>
      <c r="C8" s="1831"/>
      <c r="D8" s="1831"/>
      <c r="E8" s="1831"/>
      <c r="F8" s="1831"/>
      <c r="G8" s="1831"/>
      <c r="H8" s="1831"/>
      <c r="I8" s="1831"/>
      <c r="J8" s="1831"/>
      <c r="K8" s="1831"/>
      <c r="L8" s="1831"/>
      <c r="M8" s="1831"/>
      <c r="N8" s="1831"/>
      <c r="O8" s="1831"/>
      <c r="P8" s="1835"/>
      <c r="Q8" s="486"/>
    </row>
    <row r="9" spans="1:24" ht="12.75" customHeight="1">
      <c r="B9" s="1903"/>
      <c r="C9" s="1676" t="s">
        <v>2546</v>
      </c>
      <c r="D9" s="1831"/>
      <c r="E9" s="1831"/>
      <c r="F9" s="1831"/>
      <c r="G9" s="2381">
        <f>INDEX(finPNLReg1Prod1Rev, xxIndexTeam)</f>
        <v>7046273699.5</v>
      </c>
      <c r="H9" s="2352"/>
      <c r="I9" s="1675">
        <f>INDEX(finPNLReg1Prod3Rev, xxIndexTeam)</f>
        <v>5352000000</v>
      </c>
      <c r="J9" s="2352"/>
      <c r="K9" s="1675">
        <f>INDEX(finPNLReg1Prod4Rev, xxIndexTeam)</f>
        <v>6771250000</v>
      </c>
      <c r="L9" s="1675"/>
      <c r="M9" s="1675">
        <f>INDEX(finPNLReg1Prod2Rev, xxIndexTeam)</f>
        <v>0</v>
      </c>
      <c r="N9" s="2352"/>
      <c r="O9" s="1675">
        <f>SUM(G9:M9)</f>
        <v>19169523699.5</v>
      </c>
      <c r="P9" s="2382"/>
      <c r="Q9" s="497"/>
    </row>
    <row r="10" spans="1:24" ht="12.75">
      <c r="B10" s="1903"/>
      <c r="C10" s="1676"/>
      <c r="D10" s="1831"/>
      <c r="E10" s="2147" t="s">
        <v>1448</v>
      </c>
      <c r="F10" s="1681"/>
      <c r="G10" s="2383">
        <f>G9/G7</f>
        <v>9.5</v>
      </c>
      <c r="H10" s="2384"/>
      <c r="I10" s="2383">
        <f>I9/I7</f>
        <v>15</v>
      </c>
      <c r="J10" s="2385"/>
      <c r="K10" s="2383">
        <f>K9/K7</f>
        <v>12.5</v>
      </c>
      <c r="L10" s="2383"/>
      <c r="M10" s="2383">
        <f>IF(M7=0,0,M9/M7)</f>
        <v>0</v>
      </c>
      <c r="N10" s="2352"/>
      <c r="O10" s="1675"/>
      <c r="P10" s="2382"/>
      <c r="Q10" s="500"/>
    </row>
    <row r="11" spans="1:24" ht="6" customHeight="1">
      <c r="B11" s="1830"/>
      <c r="C11" s="1886"/>
      <c r="D11" s="1831"/>
      <c r="E11" s="2147"/>
      <c r="F11" s="1681"/>
      <c r="G11" s="2383"/>
      <c r="H11" s="2384"/>
      <c r="I11" s="2383"/>
      <c r="J11" s="2384"/>
      <c r="K11" s="2383"/>
      <c r="L11" s="2383"/>
      <c r="M11" s="2383"/>
      <c r="N11" s="2384"/>
      <c r="O11" s="2386"/>
      <c r="P11" s="2387"/>
      <c r="Q11" s="500"/>
    </row>
    <row r="12" spans="1:24">
      <c r="B12" s="1830"/>
      <c r="C12" s="1831"/>
      <c r="D12" s="1681"/>
      <c r="E12" s="1831" t="s">
        <v>2548</v>
      </c>
      <c r="F12" s="2388"/>
      <c r="G12" s="2389">
        <f>INDEX(finPNLReg1Prod1PromoExp, xxIndexTeam)</f>
        <v>1450000000</v>
      </c>
      <c r="H12" s="1831"/>
      <c r="I12" s="2389">
        <f>INDEX(finPNLReg1Prod3PromoExp, xxIndexTeam)</f>
        <v>855000000</v>
      </c>
      <c r="J12" s="2390"/>
      <c r="K12" s="2389">
        <f>INDEX(finPNLReg1Prod4PromoExp, xxIndexTeam)</f>
        <v>760000000</v>
      </c>
      <c r="L12" s="2389"/>
      <c r="M12" s="2389">
        <f>INDEX(finPNLReg1Prod2PromoExp, xxIndexTeam)</f>
        <v>0</v>
      </c>
      <c r="N12" s="1831"/>
      <c r="O12" s="2391">
        <f>SUM(G12:M12)</f>
        <v>3065000000</v>
      </c>
      <c r="P12" s="1835"/>
      <c r="Q12" s="486"/>
    </row>
    <row r="13" spans="1:24" ht="5.0999999999999996" customHeight="1">
      <c r="B13" s="1830"/>
      <c r="C13" s="1831"/>
      <c r="D13" s="1831"/>
      <c r="E13" s="1831"/>
      <c r="F13" s="1831"/>
      <c r="G13" s="2392"/>
      <c r="H13" s="2393"/>
      <c r="I13" s="2392"/>
      <c r="J13" s="2393"/>
      <c r="K13" s="2392"/>
      <c r="L13" s="2393"/>
      <c r="M13" s="2392"/>
      <c r="N13" s="2393"/>
      <c r="O13" s="2392"/>
      <c r="P13" s="2387"/>
      <c r="Q13" s="500"/>
    </row>
    <row r="14" spans="1:24" ht="12.75">
      <c r="B14" s="1830"/>
      <c r="C14" s="1676" t="s">
        <v>2547</v>
      </c>
      <c r="D14" s="1831"/>
      <c r="E14" s="2147"/>
      <c r="F14" s="1681"/>
      <c r="G14" s="2381">
        <f>G9-G12</f>
        <v>5596273699.5</v>
      </c>
      <c r="H14" s="2384"/>
      <c r="I14" s="2381">
        <f>I9-I12</f>
        <v>4497000000</v>
      </c>
      <c r="J14" s="2384"/>
      <c r="K14" s="2381">
        <f>K9-K12</f>
        <v>6011250000</v>
      </c>
      <c r="L14" s="2383"/>
      <c r="M14" s="2381">
        <f>M9-M12</f>
        <v>0</v>
      </c>
      <c r="N14" s="2384"/>
      <c r="O14" s="2381">
        <f>O9-O12</f>
        <v>16104523699.5</v>
      </c>
      <c r="P14" s="2387"/>
      <c r="Q14" s="500"/>
    </row>
    <row r="15" spans="1:24" ht="12.75">
      <c r="B15" s="1830"/>
      <c r="C15" s="1676"/>
      <c r="D15" s="1831"/>
      <c r="E15" s="1680" t="s">
        <v>2816</v>
      </c>
      <c r="F15" s="1681"/>
      <c r="G15" s="2381"/>
      <c r="H15" s="2384"/>
      <c r="I15" s="2381"/>
      <c r="J15" s="2384"/>
      <c r="K15" s="2381"/>
      <c r="L15" s="2383"/>
      <c r="M15" s="2381"/>
      <c r="N15" s="2384"/>
      <c r="O15" s="1976">
        <f>O14/INDEX(obalReg1NetRev,xxIndexTeam)-1</f>
        <v>-3.5758784007366984E-3</v>
      </c>
      <c r="P15" s="2387"/>
      <c r="Q15" s="500"/>
    </row>
    <row r="16" spans="1:24" ht="12.75">
      <c r="B16" s="1830"/>
      <c r="C16" s="1886"/>
      <c r="D16" s="1831"/>
      <c r="E16" s="1831"/>
      <c r="F16" s="1831"/>
      <c r="G16" s="2393"/>
      <c r="H16" s="2393"/>
      <c r="I16" s="2393"/>
      <c r="J16" s="2393"/>
      <c r="K16" s="2393"/>
      <c r="L16" s="2393"/>
      <c r="M16" s="2393"/>
      <c r="N16" s="2393"/>
      <c r="O16" s="2393"/>
      <c r="P16" s="2387"/>
      <c r="Q16" s="500"/>
    </row>
    <row r="17" spans="2:24" ht="12.75">
      <c r="B17" s="1830"/>
      <c r="C17" s="1676" t="s">
        <v>3537</v>
      </c>
      <c r="D17" s="1831"/>
      <c r="E17" s="1831"/>
      <c r="F17" s="1831"/>
      <c r="G17" s="2393"/>
      <c r="H17" s="2393"/>
      <c r="I17" s="2393"/>
      <c r="J17" s="2393"/>
      <c r="K17" s="2393"/>
      <c r="L17" s="2393"/>
      <c r="M17" s="2393"/>
      <c r="N17" s="2393"/>
      <c r="O17" s="2393"/>
      <c r="P17" s="2387"/>
      <c r="Q17" s="500"/>
    </row>
    <row r="18" spans="2:24" ht="12.75">
      <c r="B18" s="1830"/>
      <c r="C18" s="1676"/>
      <c r="D18" s="1681" t="s">
        <v>633</v>
      </c>
      <c r="E18" s="1831"/>
      <c r="F18" s="1831"/>
      <c r="G18" s="2394"/>
      <c r="H18" s="2393"/>
      <c r="I18" s="2393"/>
      <c r="J18" s="2393"/>
      <c r="K18" s="2393"/>
      <c r="L18" s="2393"/>
      <c r="M18" s="2393"/>
      <c r="N18" s="2393"/>
      <c r="O18" s="2393"/>
      <c r="P18" s="2387"/>
      <c r="Q18" s="500"/>
    </row>
    <row r="19" spans="2:24">
      <c r="B19" s="1830"/>
      <c r="C19" s="1831"/>
      <c r="D19" s="1831"/>
      <c r="E19" s="1831" t="s">
        <v>2545</v>
      </c>
      <c r="F19" s="1831"/>
      <c r="G19" s="2393">
        <f>INDEX(finPNLReg1Prod1COGSMatExp, xxIndexTeam)</f>
        <v>1719961682.5657222</v>
      </c>
      <c r="H19" s="2393"/>
      <c r="I19" s="2393">
        <f>INDEX(finPNLReg1Prod3COGSMatExp, xxIndexTeam)</f>
        <v>1428972973.4528</v>
      </c>
      <c r="J19" s="2393"/>
      <c r="K19" s="2393">
        <f>INDEX(finPNLReg1Prod4COGSMatExp, xxIndexTeam)</f>
        <v>1795587374.3018003</v>
      </c>
      <c r="L19" s="2393"/>
      <c r="M19" s="2393">
        <f>INDEX(finPNLReg1Prod2COGSMatExp, xxIndexTeam)</f>
        <v>0</v>
      </c>
      <c r="N19" s="2393"/>
      <c r="O19" s="2393">
        <f>SUM(G19:M19)</f>
        <v>4944522030.320322</v>
      </c>
      <c r="P19" s="2387"/>
      <c r="Q19" s="500"/>
      <c r="V19" s="487"/>
    </row>
    <row r="20" spans="2:24">
      <c r="B20" s="1830"/>
      <c r="C20" s="1831"/>
      <c r="D20" s="1831"/>
      <c r="E20" s="1831" t="s">
        <v>1287</v>
      </c>
      <c r="F20" s="1831"/>
      <c r="G20" s="2393">
        <f>INDEX(finPNLReg1Prod1COGSEmp3Exp, xxIndexTeam)</f>
        <v>1125062918.9920943</v>
      </c>
      <c r="H20" s="2393"/>
      <c r="I20" s="2393">
        <f>INDEX(finPNLReg1Prod3COGSEmp3Exp, xxIndexTeam)</f>
        <v>605816752.95284975</v>
      </c>
      <c r="J20" s="2393"/>
      <c r="K20" s="2393">
        <f>INDEX(finPNLReg1Prod4COGSEmp3Exp, xxIndexTeam)</f>
        <v>846658223.48294163</v>
      </c>
      <c r="L20" s="2393"/>
      <c r="M20" s="2393">
        <f>INDEX(finPNLReg1Prod2COGSEmp3Exp, xxIndexTeam)</f>
        <v>0</v>
      </c>
      <c r="N20" s="2393"/>
      <c r="O20" s="2393">
        <f>SUM(G20:M20)</f>
        <v>2577537895.4278855</v>
      </c>
      <c r="P20" s="2387"/>
      <c r="Q20" s="500"/>
      <c r="S20" s="487"/>
      <c r="T20" s="487"/>
      <c r="U20" s="487"/>
      <c r="V20" s="487"/>
      <c r="W20" s="487"/>
      <c r="X20" s="487"/>
    </row>
    <row r="21" spans="2:24">
      <c r="B21" s="1830"/>
      <c r="C21" s="1831"/>
      <c r="D21" s="1831"/>
      <c r="E21" s="1831" t="s">
        <v>2994</v>
      </c>
      <c r="F21" s="1831"/>
      <c r="G21" s="2393">
        <f ca="1">INDEX(finPNLReg1Prod1COGSPlant1Exp, xxIndexTeam)+INDEX(finPNLReg1Prod1COGSDepExp, xxIndexTeam)</f>
        <v>165815681.35497943</v>
      </c>
      <c r="H21" s="2393"/>
      <c r="I21" s="2393">
        <f ca="1">INDEX(finPNLReg1Prod3COGSPlant1Exp, xxIndexTeam)+INDEX(finPNLReg1Prod3COGSDepExp, xxIndexTeam)</f>
        <v>162502783.17415339</v>
      </c>
      <c r="J21" s="2393"/>
      <c r="K21" s="2393">
        <f ca="1">INDEX(finPNLReg1Prod4COGSPlant1Exp, xxIndexTeam)+INDEX(finPNLReg1Prod4COGSDepExp, xxIndexTeam)</f>
        <v>213152301.91993874</v>
      </c>
      <c r="L21" s="2393"/>
      <c r="M21" s="2393">
        <f>INDEX(finPNLReg1Prod2COGSPlant1Exp, xxIndexTeam)+INDEX(finPNLReg1Prod2COGSDepExp, xxIndexTeam)</f>
        <v>0</v>
      </c>
      <c r="N21" s="2393"/>
      <c r="O21" s="2393">
        <f ca="1">SUM(G21:M21)</f>
        <v>541470766.44907165</v>
      </c>
      <c r="P21" s="2387"/>
      <c r="Q21" s="500"/>
      <c r="S21" s="487"/>
      <c r="T21" s="487"/>
      <c r="U21" s="487"/>
      <c r="V21" s="487"/>
      <c r="W21" s="487"/>
      <c r="X21" s="487"/>
    </row>
    <row r="22" spans="2:24" ht="5.0999999999999996" customHeight="1">
      <c r="B22" s="1830"/>
      <c r="C22" s="1831"/>
      <c r="D22" s="1831"/>
      <c r="E22" s="1831"/>
      <c r="F22" s="1831"/>
      <c r="G22" s="2392"/>
      <c r="H22" s="2393"/>
      <c r="I22" s="2393"/>
      <c r="J22" s="2393"/>
      <c r="K22" s="2393"/>
      <c r="L22" s="2393"/>
      <c r="M22" s="2393"/>
      <c r="N22" s="2393"/>
      <c r="O22" s="2393"/>
      <c r="P22" s="2387"/>
      <c r="Q22" s="500"/>
      <c r="S22" s="487"/>
      <c r="T22" s="487"/>
      <c r="U22" s="487"/>
      <c r="V22" s="487"/>
      <c r="W22" s="487"/>
      <c r="X22" s="487"/>
    </row>
    <row r="23" spans="2:24" ht="12.75" customHeight="1">
      <c r="B23" s="1830"/>
      <c r="C23" s="1676"/>
      <c r="D23" s="1681" t="s">
        <v>3127</v>
      </c>
      <c r="E23" s="1831"/>
      <c r="F23" s="1831"/>
      <c r="G23" s="2395">
        <f ca="1">SUM(G19:G21)</f>
        <v>3010840282.912796</v>
      </c>
      <c r="H23" s="2393"/>
      <c r="I23" s="2395">
        <f ca="1">SUM(I19:I21)</f>
        <v>2197292509.579803</v>
      </c>
      <c r="J23" s="2393"/>
      <c r="K23" s="2395">
        <f ca="1">SUM(K19:K21)</f>
        <v>2855397899.7046804</v>
      </c>
      <c r="L23" s="2346"/>
      <c r="M23" s="2395">
        <f>SUM(M19:M21)</f>
        <v>0</v>
      </c>
      <c r="N23" s="2393"/>
      <c r="O23" s="2395">
        <f ca="1">SUM(O19:O21)</f>
        <v>8063530692.197279</v>
      </c>
      <c r="P23" s="2387"/>
      <c r="Q23" s="500"/>
      <c r="S23" s="487"/>
      <c r="T23" s="487"/>
      <c r="U23" s="487"/>
      <c r="V23" s="487"/>
      <c r="W23" s="487"/>
      <c r="X23" s="487"/>
    </row>
    <row r="24" spans="2:24" ht="12.75" customHeight="1">
      <c r="B24" s="1830"/>
      <c r="C24" s="1676"/>
      <c r="D24" s="1681"/>
      <c r="E24" s="2147" t="s">
        <v>1449</v>
      </c>
      <c r="F24" s="1831"/>
      <c r="G24" s="2383">
        <f ca="1">G23/G7</f>
        <v>4.0593062244660203</v>
      </c>
      <c r="H24" s="2384"/>
      <c r="I24" s="2383">
        <f ca="1">I23/I7</f>
        <v>6.1583310246070715</v>
      </c>
      <c r="J24" s="2384"/>
      <c r="K24" s="2383">
        <f ca="1">K23/K7</f>
        <v>5.2711794345665135</v>
      </c>
      <c r="L24" s="2383"/>
      <c r="M24" s="2383">
        <f>IF(M7=0,0,M23/M7)</f>
        <v>0</v>
      </c>
      <c r="N24" s="2393"/>
      <c r="O24" s="2346"/>
      <c r="P24" s="2387"/>
      <c r="Q24" s="500"/>
      <c r="S24" s="487"/>
      <c r="T24" s="487"/>
      <c r="U24" s="487"/>
      <c r="V24" s="487"/>
      <c r="W24" s="487"/>
      <c r="X24" s="487"/>
    </row>
    <row r="25" spans="2:24">
      <c r="B25" s="1830"/>
      <c r="C25" s="1831"/>
      <c r="D25" s="1681"/>
      <c r="E25" s="1831"/>
      <c r="F25" s="1831"/>
      <c r="G25" s="2346"/>
      <c r="H25" s="2393"/>
      <c r="I25" s="2393"/>
      <c r="J25" s="2393"/>
      <c r="K25" s="2393"/>
      <c r="L25" s="2393"/>
      <c r="M25" s="2393"/>
      <c r="N25" s="2393"/>
      <c r="O25" s="2393"/>
      <c r="P25" s="2387"/>
      <c r="Q25" s="500"/>
      <c r="S25" s="487"/>
      <c r="T25" s="487"/>
      <c r="U25" s="487"/>
      <c r="V25" s="487"/>
      <c r="W25" s="487"/>
      <c r="X25" s="487"/>
    </row>
    <row r="26" spans="2:24" ht="12.75" customHeight="1">
      <c r="B26" s="1903"/>
      <c r="C26" s="1676" t="s">
        <v>3800</v>
      </c>
      <c r="D26" s="1676"/>
      <c r="E26" s="1831"/>
      <c r="F26" s="1831"/>
      <c r="G26" s="2352">
        <f ca="1">G14-G23</f>
        <v>2585433416.587204</v>
      </c>
      <c r="H26" s="1912"/>
      <c r="I26" s="2352">
        <f ca="1">I14-I23</f>
        <v>2299707490.420197</v>
      </c>
      <c r="J26" s="1912"/>
      <c r="K26" s="2352">
        <f ca="1">K14-K23</f>
        <v>3155852100.2953196</v>
      </c>
      <c r="L26" s="2352"/>
      <c r="M26" s="2352">
        <f>M14-M23</f>
        <v>0</v>
      </c>
      <c r="N26" s="1912"/>
      <c r="O26" s="2352">
        <f ca="1">O14-O23</f>
        <v>8040993007.302721</v>
      </c>
      <c r="P26" s="2396"/>
      <c r="Q26" s="501"/>
      <c r="S26" s="487"/>
      <c r="T26" s="487"/>
      <c r="U26" s="487"/>
      <c r="V26" s="487"/>
      <c r="W26" s="487"/>
      <c r="X26" s="487"/>
    </row>
    <row r="27" spans="2:24">
      <c r="B27" s="1830"/>
      <c r="C27" s="1831"/>
      <c r="D27" s="1680" t="s">
        <v>1427</v>
      </c>
      <c r="E27" s="1831"/>
      <c r="F27" s="1831"/>
      <c r="G27" s="1976">
        <f ca="1">G26/G14</f>
        <v>0.46199195311305091</v>
      </c>
      <c r="H27" s="2397"/>
      <c r="I27" s="1976">
        <f ca="1">I26/I14</f>
        <v>0.51138703367138028</v>
      </c>
      <c r="J27" s="2397"/>
      <c r="K27" s="1976">
        <f ca="1">K26/K14</f>
        <v>0.52499099193933363</v>
      </c>
      <c r="L27" s="1976"/>
      <c r="M27" s="1976">
        <f>IF(M14=0,0,M26/M14)</f>
        <v>0</v>
      </c>
      <c r="N27" s="2397"/>
      <c r="O27" s="1976">
        <f ca="1">O26/O14</f>
        <v>0.49930026850482834</v>
      </c>
      <c r="P27" s="1835"/>
      <c r="Q27" s="486"/>
      <c r="S27" s="487"/>
      <c r="T27" s="487"/>
      <c r="U27" s="487"/>
      <c r="V27" s="487"/>
      <c r="W27" s="487"/>
      <c r="X27" s="487"/>
    </row>
    <row r="28" spans="2:24">
      <c r="B28" s="1830"/>
      <c r="C28" s="1831"/>
      <c r="D28" s="1831"/>
      <c r="E28" s="1831"/>
      <c r="F28" s="1831"/>
      <c r="G28" s="1831"/>
      <c r="H28" s="1831"/>
      <c r="I28" s="1831"/>
      <c r="J28" s="1831"/>
      <c r="K28" s="1831"/>
      <c r="L28" s="1831"/>
      <c r="M28" s="1831"/>
      <c r="N28" s="1831"/>
      <c r="O28" s="1831"/>
      <c r="P28" s="1835"/>
      <c r="Q28" s="486"/>
      <c r="S28" s="487"/>
      <c r="T28" s="487"/>
      <c r="U28" s="487"/>
      <c r="V28" s="487"/>
      <c r="W28" s="487"/>
      <c r="X28" s="487"/>
    </row>
    <row r="29" spans="2:24">
      <c r="B29" s="1830"/>
      <c r="C29" s="1831"/>
      <c r="D29" s="1681" t="s">
        <v>3170</v>
      </c>
      <c r="E29" s="1831"/>
      <c r="F29" s="1831"/>
      <c r="G29" s="1831"/>
      <c r="H29" s="1831"/>
      <c r="I29" s="1831"/>
      <c r="J29" s="1831"/>
      <c r="K29" s="1831"/>
      <c r="L29" s="1831"/>
      <c r="M29" s="1831"/>
      <c r="N29" s="1831"/>
      <c r="O29" s="1831"/>
      <c r="P29" s="1835"/>
      <c r="Q29" s="486"/>
      <c r="S29" s="487"/>
      <c r="T29" s="487"/>
      <c r="U29" s="487"/>
      <c r="V29" s="487"/>
      <c r="W29" s="487"/>
      <c r="X29" s="487"/>
    </row>
    <row r="30" spans="2:24">
      <c r="B30" s="1830"/>
      <c r="C30" s="1831"/>
      <c r="D30" s="1681"/>
      <c r="E30" s="1831" t="s">
        <v>2579</v>
      </c>
      <c r="F30" s="1831"/>
      <c r="G30" s="2398">
        <f>INDEX(finPNLReg1Prod1Emp1Exp, xxIndexTeam)</f>
        <v>106752246.38237321</v>
      </c>
      <c r="H30" s="1831"/>
      <c r="I30" s="2398">
        <f>INDEX(finPNLReg1Prod3Emp1Exp, xxIndexTeam)</f>
        <v>83306005.645779744</v>
      </c>
      <c r="J30" s="1831"/>
      <c r="K30" s="2398">
        <f>INDEX(finPNLReg1Prod4Emp1Exp, xxIndexTeam)</f>
        <v>129941747.97184703</v>
      </c>
      <c r="L30" s="2398"/>
      <c r="M30" s="2398">
        <f>INDEX(finPNLReg1Prod2Emp1Exp, xxIndexTeam)</f>
        <v>0</v>
      </c>
      <c r="N30" s="1831"/>
      <c r="O30" s="2391">
        <f>SUM(G30:M30)</f>
        <v>320000000</v>
      </c>
      <c r="P30" s="1835"/>
      <c r="Q30" s="486"/>
      <c r="S30" s="487"/>
      <c r="T30" s="487"/>
      <c r="U30" s="487"/>
      <c r="V30" s="487"/>
      <c r="W30" s="487"/>
      <c r="X30" s="487"/>
    </row>
    <row r="31" spans="2:24">
      <c r="B31" s="1830"/>
      <c r="C31" s="1831"/>
      <c r="D31" s="1681"/>
      <c r="E31" s="1831" t="s">
        <v>1534</v>
      </c>
      <c r="F31" s="1831"/>
      <c r="G31" s="2398">
        <f>INDEX(finPNLReg1Prod1AdvExp, xxIndexTeam)</f>
        <v>410000000</v>
      </c>
      <c r="H31" s="1831"/>
      <c r="I31" s="2398">
        <f>INDEX(finPNLReg1Prod3AdvExp, xxIndexTeam)</f>
        <v>495000000</v>
      </c>
      <c r="J31" s="1831"/>
      <c r="K31" s="2398">
        <f>INDEX(finPNLReg1Prod4AdvExp, xxIndexTeam)</f>
        <v>325000000</v>
      </c>
      <c r="L31" s="2398"/>
      <c r="M31" s="2398">
        <f>INDEX(finPNLReg1Prod2AdvExp, xxIndexTeam)</f>
        <v>0</v>
      </c>
      <c r="N31" s="1831"/>
      <c r="O31" s="2391">
        <f>SUM(G31:M31)</f>
        <v>1230000000</v>
      </c>
      <c r="P31" s="1835"/>
      <c r="Q31" s="486"/>
      <c r="S31" s="487"/>
      <c r="T31" s="487"/>
      <c r="U31" s="487"/>
      <c r="V31" s="487"/>
      <c r="W31" s="487"/>
      <c r="X31" s="487"/>
    </row>
    <row r="32" spans="2:24" ht="5.0999999999999996" customHeight="1">
      <c r="B32" s="1830"/>
      <c r="C32" s="1831"/>
      <c r="D32" s="1831"/>
      <c r="E32" s="1831"/>
      <c r="F32" s="1831"/>
      <c r="G32" s="2393"/>
      <c r="H32" s="2393"/>
      <c r="I32" s="2393"/>
      <c r="J32" s="2393"/>
      <c r="K32" s="2393"/>
      <c r="L32" s="2393"/>
      <c r="M32" s="2393"/>
      <c r="N32" s="2393"/>
      <c r="O32" s="2393"/>
      <c r="P32" s="2387"/>
      <c r="Q32" s="500"/>
      <c r="S32" s="487"/>
      <c r="T32" s="487"/>
      <c r="U32" s="487"/>
      <c r="V32" s="487"/>
      <c r="W32" s="487"/>
      <c r="X32" s="487"/>
    </row>
    <row r="33" spans="2:24" ht="11.25" customHeight="1">
      <c r="B33" s="1830"/>
      <c r="C33" s="1831"/>
      <c r="D33" s="1681" t="s">
        <v>3169</v>
      </c>
      <c r="E33" s="1831"/>
      <c r="F33" s="1831"/>
      <c r="G33" s="2346">
        <f>SUM(G30:G31)</f>
        <v>516752246.38237321</v>
      </c>
      <c r="H33" s="2393"/>
      <c r="I33" s="2346">
        <f>SUM(I30:I31)</f>
        <v>578306005.64577973</v>
      </c>
      <c r="J33" s="2393"/>
      <c r="K33" s="2346">
        <f>SUM(K30:K31)</f>
        <v>454941747.97184706</v>
      </c>
      <c r="L33" s="2346"/>
      <c r="M33" s="2346">
        <f>SUM(M30:M31)</f>
        <v>0</v>
      </c>
      <c r="N33" s="2393"/>
      <c r="O33" s="2346">
        <f>SUM(O30:O31)</f>
        <v>1550000000</v>
      </c>
      <c r="P33" s="2387"/>
      <c r="Q33" s="500"/>
      <c r="R33" s="1077"/>
      <c r="S33" s="487"/>
      <c r="T33" s="1077"/>
      <c r="U33" s="487"/>
      <c r="V33" s="487"/>
      <c r="W33" s="487"/>
      <c r="X33" s="487"/>
    </row>
    <row r="34" spans="2:24">
      <c r="B34" s="1830"/>
      <c r="C34" s="1831"/>
      <c r="D34" s="1831"/>
      <c r="E34" s="1831"/>
      <c r="F34" s="1831"/>
      <c r="G34" s="2393"/>
      <c r="H34" s="2393"/>
      <c r="I34" s="2393"/>
      <c r="J34" s="2393"/>
      <c r="K34" s="2393"/>
      <c r="L34" s="2393"/>
      <c r="M34" s="2393"/>
      <c r="N34" s="2393"/>
      <c r="O34" s="2393"/>
      <c r="P34" s="2387"/>
      <c r="Q34" s="500"/>
      <c r="S34" s="487"/>
      <c r="T34" s="487"/>
      <c r="U34" s="487"/>
      <c r="V34" s="487"/>
      <c r="W34" s="487"/>
      <c r="X34" s="487"/>
    </row>
    <row r="35" spans="2:24">
      <c r="B35" s="1830"/>
      <c r="C35" s="1831"/>
      <c r="D35" s="1681" t="s">
        <v>1394</v>
      </c>
      <c r="E35" s="1831"/>
      <c r="F35" s="1831"/>
      <c r="G35" s="2393"/>
      <c r="H35" s="2393"/>
      <c r="I35" s="2393"/>
      <c r="J35" s="2393"/>
      <c r="K35" s="2393"/>
      <c r="L35" s="2393"/>
      <c r="M35" s="2393"/>
      <c r="N35" s="2393"/>
      <c r="O35" s="2393"/>
      <c r="P35" s="2387"/>
      <c r="Q35" s="500"/>
      <c r="S35" s="487"/>
      <c r="T35" s="487"/>
      <c r="U35" s="487"/>
      <c r="V35" s="487"/>
      <c r="W35" s="487"/>
      <c r="X35" s="487"/>
    </row>
    <row r="36" spans="2:24">
      <c r="B36" s="1830"/>
      <c r="C36" s="1831"/>
      <c r="D36" s="1831"/>
      <c r="E36" s="1831" t="s">
        <v>1535</v>
      </c>
      <c r="F36" s="1831"/>
      <c r="G36" s="2393">
        <f ca="1">INDEX(finPNLReg1Prod1InventoryHndlgExp, xxIndexTeam)</f>
        <v>27486018.205468059</v>
      </c>
      <c r="H36" s="2393"/>
      <c r="I36" s="2393">
        <f ca="1">INDEX(finPNLReg1Prod3InventoryHndlgExp, xxIndexTeam)</f>
        <v>26348719.300598618</v>
      </c>
      <c r="J36" s="2393"/>
      <c r="K36" s="2393">
        <f ca="1">INDEX(finPNLReg1Prod4InventoryHndlgExp, xxIndexTeam)</f>
        <v>35618612.684410341</v>
      </c>
      <c r="L36" s="2393"/>
      <c r="M36" s="2393">
        <f>INDEX(finPNLReg1Prod2InventoryHndlgExp, xxIndexTeam)</f>
        <v>0</v>
      </c>
      <c r="N36" s="2393"/>
      <c r="O36" s="2393">
        <f ca="1">SUM(G36:M36)</f>
        <v>89453350.190477014</v>
      </c>
      <c r="P36" s="2387"/>
      <c r="Q36" s="500"/>
      <c r="S36" s="487"/>
      <c r="T36" s="487"/>
      <c r="U36" s="487"/>
      <c r="V36" s="487"/>
      <c r="W36" s="487"/>
      <c r="X36" s="487"/>
    </row>
    <row r="37" spans="2:24">
      <c r="B37" s="1830"/>
      <c r="C37" s="1831"/>
      <c r="D37" s="1831"/>
      <c r="E37" s="1831" t="s">
        <v>2544</v>
      </c>
      <c r="F37" s="1831"/>
      <c r="G37" s="2393">
        <f>INDEX(finPNLReg1Prod1COGSDistExp, xxIndexTeam)</f>
        <v>625301776.95914698</v>
      </c>
      <c r="H37" s="2393"/>
      <c r="I37" s="2393">
        <f>INDEX(finPNLReg1Prod3COGSDistExp, xxIndexTeam)</f>
        <v>333802431.45216</v>
      </c>
      <c r="J37" s="2393"/>
      <c r="K37" s="2393">
        <f>INDEX(finPNLReg1Prod4COGSDistExp, xxIndexTeam)</f>
        <v>477857058.11200237</v>
      </c>
      <c r="L37" s="2393"/>
      <c r="M37" s="2393">
        <f>INDEX(finPNLReg1Prod2COGSDistExp, xxIndexTeam)</f>
        <v>0</v>
      </c>
      <c r="N37" s="2393"/>
      <c r="O37" s="2393">
        <f>SUM(G37:M37)</f>
        <v>1436961266.5233092</v>
      </c>
      <c r="P37" s="2387"/>
      <c r="Q37" s="500"/>
      <c r="S37" s="487"/>
      <c r="T37" s="487"/>
      <c r="U37" s="487"/>
      <c r="V37" s="487"/>
      <c r="W37" s="487"/>
      <c r="X37" s="487"/>
    </row>
    <row r="38" spans="2:24" ht="5.0999999999999996" customHeight="1">
      <c r="B38" s="1830"/>
      <c r="C38" s="1831"/>
      <c r="D38" s="1831"/>
      <c r="E38" s="1831"/>
      <c r="F38" s="1831"/>
      <c r="G38" s="2393"/>
      <c r="H38" s="2393"/>
      <c r="I38" s="2393"/>
      <c r="J38" s="2393"/>
      <c r="K38" s="2393"/>
      <c r="L38" s="2393"/>
      <c r="M38" s="2393"/>
      <c r="N38" s="2393"/>
      <c r="O38" s="2393"/>
      <c r="P38" s="2387"/>
      <c r="Q38" s="500"/>
      <c r="S38" s="487"/>
      <c r="T38" s="487"/>
      <c r="U38" s="487"/>
      <c r="V38" s="487"/>
      <c r="W38" s="487"/>
      <c r="X38" s="487"/>
    </row>
    <row r="39" spans="2:24" ht="11.25" customHeight="1">
      <c r="B39" s="1830"/>
      <c r="C39" s="1831"/>
      <c r="D39" s="1681" t="s">
        <v>2995</v>
      </c>
      <c r="E39" s="1831"/>
      <c r="F39" s="1831"/>
      <c r="G39" s="2346">
        <f ca="1">SUM(G36:G37)</f>
        <v>652787795.16461504</v>
      </c>
      <c r="H39" s="2393" t="s">
        <v>3795</v>
      </c>
      <c r="I39" s="2346">
        <f ca="1">SUM(I36:I37)</f>
        <v>360151150.75275862</v>
      </c>
      <c r="J39" s="2393"/>
      <c r="K39" s="2346">
        <f ca="1">SUM(K36:K37)</f>
        <v>513475670.79641271</v>
      </c>
      <c r="L39" s="2346"/>
      <c r="M39" s="2346">
        <f>SUM(M36:M37)</f>
        <v>0</v>
      </c>
      <c r="N39" s="2393"/>
      <c r="O39" s="2346">
        <f ca="1">SUM(O36:O37)</f>
        <v>1526414616.7137861</v>
      </c>
      <c r="P39" s="2387"/>
      <c r="Q39" s="500"/>
      <c r="S39" s="487"/>
      <c r="T39" s="487"/>
      <c r="U39" s="487"/>
      <c r="V39" s="487"/>
      <c r="W39" s="487"/>
      <c r="X39" s="487"/>
    </row>
    <row r="40" spans="2:24">
      <c r="B40" s="1830"/>
      <c r="C40" s="1831"/>
      <c r="D40" s="1831"/>
      <c r="E40" s="1831"/>
      <c r="F40" s="1831"/>
      <c r="G40" s="2393"/>
      <c r="H40" s="2393"/>
      <c r="I40" s="2393"/>
      <c r="J40" s="2393"/>
      <c r="K40" s="2393"/>
      <c r="L40" s="2393"/>
      <c r="M40" s="2393"/>
      <c r="N40" s="2393"/>
      <c r="O40" s="2393"/>
      <c r="P40" s="2387"/>
      <c r="Q40" s="500"/>
      <c r="S40" s="487"/>
      <c r="T40" s="487"/>
      <c r="U40" s="487"/>
      <c r="V40" s="487"/>
      <c r="W40" s="487"/>
      <c r="X40" s="487"/>
    </row>
    <row r="41" spans="2:24">
      <c r="B41" s="1830"/>
      <c r="C41" s="1831"/>
      <c r="D41" s="1681" t="s">
        <v>3242</v>
      </c>
      <c r="E41" s="1831"/>
      <c r="F41" s="1831"/>
      <c r="G41" s="2393"/>
      <c r="H41" s="2393"/>
      <c r="I41" s="2393"/>
      <c r="J41" s="2393"/>
      <c r="K41" s="2393"/>
      <c r="L41" s="2393"/>
      <c r="M41" s="2393"/>
      <c r="N41" s="2393"/>
      <c r="O41" s="2393"/>
      <c r="P41" s="2387"/>
      <c r="Q41" s="500"/>
      <c r="S41" s="487"/>
      <c r="T41" s="487"/>
      <c r="U41" s="487"/>
      <c r="V41" s="487"/>
      <c r="W41" s="487"/>
      <c r="X41" s="487"/>
    </row>
    <row r="42" spans="2:24">
      <c r="B42" s="1830"/>
      <c r="C42" s="1831"/>
      <c r="D42" s="1831"/>
      <c r="E42" s="1831" t="s">
        <v>3243</v>
      </c>
      <c r="F42" s="1831"/>
      <c r="G42" s="2393">
        <f>INDEX(finPNLReg1Prod1EmpAdminExp, xxIndexTeam)</f>
        <v>212610221.78729534</v>
      </c>
      <c r="H42" s="2393"/>
      <c r="I42" s="2393">
        <f>INDEX(finPNLReg1Prod3EmpAdminExp, xxIndexTeam)</f>
        <v>119649159.62972438</v>
      </c>
      <c r="J42" s="2393"/>
      <c r="K42" s="2393">
        <f>INDEX(finPNLReg1Prod4EmpAdminExp, xxIndexTeam)</f>
        <v>169626458.61446869</v>
      </c>
      <c r="L42" s="2393"/>
      <c r="M42" s="2393">
        <f>INDEX(finPNLReg1Prod2EmpAdminExp, xxIndexTeam)</f>
        <v>0</v>
      </c>
      <c r="N42" s="2393"/>
      <c r="O42" s="2393">
        <f>SUM(G42:M42)</f>
        <v>501885840.03148842</v>
      </c>
      <c r="P42" s="2387"/>
      <c r="Q42" s="500"/>
      <c r="S42" s="487"/>
      <c r="T42" s="487"/>
      <c r="U42" s="487"/>
      <c r="V42" s="487"/>
      <c r="W42" s="487"/>
      <c r="X42" s="487"/>
    </row>
    <row r="43" spans="2:24">
      <c r="B43" s="1830"/>
      <c r="C43" s="1831"/>
      <c r="D43" s="1831"/>
      <c r="E43" s="1831" t="s">
        <v>3244</v>
      </c>
      <c r="F43" s="1831"/>
      <c r="G43" s="2393">
        <f>INDEX(finPNLReg1Prod1EmpRecDismExp, xxIndexTeam)</f>
        <v>9798205.5433864854</v>
      </c>
      <c r="H43" s="2393"/>
      <c r="I43" s="2393">
        <f>INDEX(finPNLReg1Prod3EmpRecDismExp, xxIndexTeam)</f>
        <v>6257327.7034041844</v>
      </c>
      <c r="J43" s="2393"/>
      <c r="K43" s="2393">
        <f>INDEX(finPNLReg1Prod4EmpRecDismExp, xxIndexTeam)</f>
        <v>9249803.8151038662</v>
      </c>
      <c r="L43" s="2393"/>
      <c r="M43" s="2393">
        <f>INDEX(finPNLReg1Prod2EmpRecDismExp, xxIndexTeam)</f>
        <v>0</v>
      </c>
      <c r="N43" s="2393"/>
      <c r="O43" s="2393">
        <f>SUM(G43:M43)</f>
        <v>25305337.061894536</v>
      </c>
      <c r="P43" s="2387"/>
      <c r="Q43" s="500"/>
      <c r="S43" s="487"/>
      <c r="T43" s="487"/>
      <c r="U43" s="487"/>
      <c r="V43" s="487"/>
      <c r="W43" s="487"/>
      <c r="X43" s="487"/>
    </row>
    <row r="44" spans="2:24">
      <c r="B44" s="1830"/>
      <c r="C44" s="1831"/>
      <c r="D44" s="1831"/>
      <c r="E44" s="1831" t="s">
        <v>1937</v>
      </c>
      <c r="F44" s="1831"/>
      <c r="G44" s="2393">
        <f>INDEX(finPNLReg1Prod1FixedAdminExp, xxIndexTeam)</f>
        <v>120232720.6012</v>
      </c>
      <c r="H44" s="2393"/>
      <c r="I44" s="2393">
        <f>INDEX(finPNLReg1Prod3FixedAdminExp, xxIndexTeam)</f>
        <v>120363008</v>
      </c>
      <c r="J44" s="2393"/>
      <c r="K44" s="2393">
        <f>INDEX(finPNLReg1Prod4FixedAdminExp, xxIndexTeam)</f>
        <v>88328625.920000002</v>
      </c>
      <c r="L44" s="2393"/>
      <c r="M44" s="2393">
        <f>INDEX(finPNLReg1Prod2FixedAdminExp, xxIndexTeam)</f>
        <v>0</v>
      </c>
      <c r="N44" s="2393"/>
      <c r="O44" s="2393">
        <f>SUM(G44:M44)</f>
        <v>328924354.5212</v>
      </c>
      <c r="P44" s="2387"/>
      <c r="Q44" s="500"/>
      <c r="S44" s="487"/>
      <c r="T44" s="487"/>
      <c r="U44" s="487"/>
      <c r="V44" s="487"/>
      <c r="W44" s="487"/>
      <c r="X44" s="487"/>
    </row>
    <row r="45" spans="2:24" ht="5.0999999999999996" customHeight="1">
      <c r="B45" s="1830"/>
      <c r="C45" s="1831"/>
      <c r="D45" s="1831"/>
      <c r="E45" s="1831"/>
      <c r="F45" s="1831"/>
      <c r="G45" s="2393"/>
      <c r="H45" s="2393"/>
      <c r="I45" s="2393"/>
      <c r="J45" s="2393"/>
      <c r="K45" s="2393"/>
      <c r="L45" s="2393"/>
      <c r="M45" s="2393"/>
      <c r="N45" s="2393"/>
      <c r="O45" s="2393"/>
      <c r="P45" s="2387"/>
      <c r="Q45" s="500"/>
      <c r="S45" s="487"/>
      <c r="T45" s="487"/>
      <c r="U45" s="487"/>
      <c r="V45" s="487"/>
      <c r="W45" s="487"/>
      <c r="X45" s="487"/>
    </row>
    <row r="46" spans="2:24">
      <c r="B46" s="1830"/>
      <c r="C46" s="1831"/>
      <c r="D46" s="1681" t="s">
        <v>3245</v>
      </c>
      <c r="E46" s="1681"/>
      <c r="F46" s="1681"/>
      <c r="G46" s="2346">
        <f>SUM(G42:G44)</f>
        <v>342641147.93188184</v>
      </c>
      <c r="H46" s="2393"/>
      <c r="I46" s="2346">
        <f>SUM(I42:I44)</f>
        <v>246269495.33312857</v>
      </c>
      <c r="J46" s="2393"/>
      <c r="K46" s="2346">
        <f>SUM(K42:K44)</f>
        <v>267204888.34957254</v>
      </c>
      <c r="L46" s="2346"/>
      <c r="M46" s="2346">
        <f>SUM(M42:M44)</f>
        <v>0</v>
      </c>
      <c r="N46" s="2393"/>
      <c r="O46" s="2346">
        <f>SUM(O42:O44)</f>
        <v>856115531.61458302</v>
      </c>
      <c r="P46" s="2387"/>
      <c r="Q46" s="500"/>
      <c r="S46" s="487"/>
      <c r="T46" s="1077"/>
      <c r="U46" s="487"/>
      <c r="V46" s="487"/>
      <c r="W46" s="487"/>
      <c r="X46" s="487"/>
    </row>
    <row r="47" spans="2:24">
      <c r="B47" s="1830"/>
      <c r="C47" s="1831"/>
      <c r="D47" s="1831"/>
      <c r="E47" s="1831"/>
      <c r="F47" s="1831"/>
      <c r="G47" s="2393"/>
      <c r="H47" s="2393"/>
      <c r="I47" s="2393"/>
      <c r="J47" s="2393"/>
      <c r="K47" s="2393"/>
      <c r="L47" s="2393"/>
      <c r="M47" s="2393"/>
      <c r="N47" s="2393"/>
      <c r="O47" s="2393"/>
      <c r="P47" s="2387"/>
      <c r="Q47" s="500"/>
      <c r="S47" s="487"/>
      <c r="T47" s="487"/>
      <c r="U47" s="487"/>
      <c r="V47" s="487"/>
      <c r="W47" s="487"/>
      <c r="X47" s="487"/>
    </row>
    <row r="48" spans="2:24" ht="12.75">
      <c r="B48" s="1830"/>
      <c r="C48" s="1936"/>
      <c r="D48" s="1683" t="s">
        <v>2088</v>
      </c>
      <c r="E48" s="1831"/>
      <c r="F48" s="1681"/>
      <c r="G48" s="2399">
        <f ca="1">SUM(G46,G39,G33)</f>
        <v>1512181189.4788699</v>
      </c>
      <c r="H48" s="2393"/>
      <c r="I48" s="2399">
        <f ca="1">SUM(I46,I39,I33)</f>
        <v>1184726651.731667</v>
      </c>
      <c r="J48" s="2393"/>
      <c r="K48" s="2399">
        <f ca="1">SUM(K46,K39,K33)</f>
        <v>1235622307.1178322</v>
      </c>
      <c r="L48" s="2352"/>
      <c r="M48" s="2399">
        <f>SUM(M46,M39,M33)</f>
        <v>0</v>
      </c>
      <c r="N48" s="2393"/>
      <c r="O48" s="2399">
        <f ca="1">SUM(O46,O39,O33)</f>
        <v>3932530148.3283691</v>
      </c>
      <c r="P48" s="2387"/>
      <c r="Q48" s="500"/>
      <c r="S48" s="487"/>
      <c r="T48" s="1077"/>
      <c r="U48" s="487"/>
      <c r="V48" s="487"/>
      <c r="W48" s="487"/>
      <c r="X48" s="487"/>
    </row>
    <row r="49" spans="2:24" ht="12.75">
      <c r="B49" s="1830"/>
      <c r="C49" s="1936"/>
      <c r="D49" s="1683"/>
      <c r="E49" s="2147" t="s">
        <v>1450</v>
      </c>
      <c r="F49" s="1681"/>
      <c r="G49" s="2383">
        <f ca="1">G48/G7</f>
        <v>2.0387685623209113</v>
      </c>
      <c r="H49" s="2384"/>
      <c r="I49" s="2383">
        <f ca="1">I48/I7</f>
        <v>3.3204222301896498</v>
      </c>
      <c r="J49" s="2384"/>
      <c r="K49" s="2383">
        <f ca="1">K48/K7</f>
        <v>2.2810085049249258</v>
      </c>
      <c r="L49" s="2383"/>
      <c r="M49" s="2383">
        <f>IF(M7=0,0,M48/M7)</f>
        <v>0</v>
      </c>
      <c r="N49" s="2393"/>
      <c r="O49" s="2352"/>
      <c r="P49" s="2387"/>
      <c r="Q49" s="500"/>
      <c r="S49" s="487"/>
      <c r="T49" s="487"/>
      <c r="U49" s="487"/>
      <c r="V49" s="487"/>
      <c r="W49" s="487"/>
      <c r="X49" s="487"/>
    </row>
    <row r="50" spans="2:24">
      <c r="B50" s="1830"/>
      <c r="C50" s="1831"/>
      <c r="D50" s="1681"/>
      <c r="E50" s="1681"/>
      <c r="F50" s="1681"/>
      <c r="G50" s="2346"/>
      <c r="H50" s="2393"/>
      <c r="I50" s="2393"/>
      <c r="J50" s="2393"/>
      <c r="K50" s="2393"/>
      <c r="L50" s="2393"/>
      <c r="M50" s="2393"/>
      <c r="N50" s="2393"/>
      <c r="O50" s="2393"/>
      <c r="P50" s="2387"/>
      <c r="Q50" s="500"/>
      <c r="S50" s="487"/>
      <c r="T50" s="487"/>
      <c r="U50" s="487"/>
      <c r="V50" s="487"/>
      <c r="W50" s="487"/>
      <c r="X50" s="487"/>
    </row>
    <row r="51" spans="2:24">
      <c r="B51" s="1830"/>
      <c r="C51" s="1831"/>
      <c r="D51" s="1681" t="s">
        <v>2875</v>
      </c>
      <c r="E51" s="1681"/>
      <c r="F51" s="1681"/>
      <c r="G51" s="2393"/>
      <c r="H51" s="2393"/>
      <c r="I51" s="2393"/>
      <c r="J51" s="2393"/>
      <c r="K51" s="2393"/>
      <c r="L51" s="2393"/>
      <c r="M51" s="2393"/>
      <c r="N51" s="2393"/>
      <c r="O51" s="2393"/>
      <c r="P51" s="2387"/>
      <c r="Q51" s="500"/>
      <c r="S51" s="487"/>
      <c r="T51" s="487"/>
      <c r="U51" s="487"/>
      <c r="V51" s="487"/>
      <c r="W51" s="487"/>
      <c r="X51" s="487"/>
    </row>
    <row r="52" spans="2:24">
      <c r="B52" s="1830"/>
      <c r="C52" s="1831"/>
      <c r="D52" s="1681"/>
      <c r="E52" s="1832" t="s">
        <v>2498</v>
      </c>
      <c r="F52" s="1681"/>
      <c r="G52" s="2393"/>
      <c r="H52" s="2393"/>
      <c r="I52" s="2393"/>
      <c r="J52" s="2393"/>
      <c r="K52" s="2393"/>
      <c r="L52" s="2393"/>
      <c r="M52" s="2393"/>
      <c r="N52" s="2393"/>
      <c r="O52" s="2393">
        <f ca="1">INDEX(finPNLReg1InEffExp, xxIndexTeam)</f>
        <v>127384779.67890136</v>
      </c>
      <c r="P52" s="2387"/>
      <c r="Q52" s="500"/>
      <c r="S52" s="487"/>
      <c r="T52" s="487"/>
      <c r="U52" s="487"/>
      <c r="V52" s="487"/>
      <c r="W52" s="487"/>
      <c r="X52" s="487"/>
    </row>
    <row r="53" spans="2:24">
      <c r="B53" s="1830"/>
      <c r="C53" s="1831"/>
      <c r="D53" s="1681"/>
      <c r="E53" s="1832" t="s">
        <v>2472</v>
      </c>
      <c r="F53" s="1681"/>
      <c r="G53" s="2393"/>
      <c r="H53" s="2393"/>
      <c r="I53" s="2393"/>
      <c r="J53" s="2393"/>
      <c r="K53" s="2393"/>
      <c r="L53" s="2393"/>
      <c r="M53" s="2393"/>
      <c r="N53" s="2393"/>
      <c r="O53" s="2393">
        <f ca="1">INDEX(finPNLReg1ExcapExp, xxIndexTeam)</f>
        <v>0</v>
      </c>
      <c r="P53" s="2387"/>
      <c r="Q53" s="500"/>
      <c r="S53" s="487"/>
      <c r="T53" s="487"/>
      <c r="U53" s="487"/>
      <c r="V53" s="487"/>
      <c r="W53" s="487"/>
      <c r="X53" s="487"/>
    </row>
    <row r="54" spans="2:24" ht="11.25" customHeight="1">
      <c r="B54" s="1830"/>
      <c r="C54" s="1831"/>
      <c r="D54" s="1681"/>
      <c r="E54" s="1832" t="s">
        <v>284</v>
      </c>
      <c r="F54" s="1681"/>
      <c r="G54" s="2393">
        <f ca="1">INDEX(finPNLReg1Prod1DisposalExp, xxIndexTeam)</f>
        <v>0</v>
      </c>
      <c r="H54" s="2393"/>
      <c r="I54" s="2393">
        <f ca="1">INDEX(finPNLReg1Prod3DisposalExp, xxIndexTeam)</f>
        <v>72321404.896117449</v>
      </c>
      <c r="J54" s="2393"/>
      <c r="K54" s="2393">
        <f ca="1">INDEX(finPNLReg1Prod4DisposalExp, xxIndexTeam)</f>
        <v>42288449.139453106</v>
      </c>
      <c r="L54" s="2393"/>
      <c r="M54" s="2393">
        <f>INDEX(finPNLReg1Prod2DisposalExp, xxIndexTeam)</f>
        <v>0</v>
      </c>
      <c r="N54" s="2393"/>
      <c r="O54" s="2393">
        <f ca="1">SUM(G54:M54)</f>
        <v>114609854.03557056</v>
      </c>
      <c r="P54" s="2387"/>
      <c r="Q54" s="500"/>
      <c r="S54" s="487"/>
      <c r="T54" s="487"/>
      <c r="U54" s="487"/>
      <c r="V54" s="487"/>
      <c r="W54" s="487"/>
      <c r="X54" s="487"/>
    </row>
    <row r="55" spans="2:24" ht="11.25" customHeight="1">
      <c r="B55" s="1830"/>
      <c r="C55" s="1831"/>
      <c r="D55" s="1681"/>
      <c r="E55" s="1832" t="s">
        <v>1829</v>
      </c>
      <c r="F55" s="1681"/>
      <c r="G55" s="2400">
        <f>INDEX(finPNLReg1Prod1SpecProgExp, xxIndexTeam)</f>
        <v>0</v>
      </c>
      <c r="H55" s="2393"/>
      <c r="I55" s="2400">
        <f>INDEX(finPNLReg1Prod3SpecProgExp, xxIndexTeam)</f>
        <v>0</v>
      </c>
      <c r="J55" s="2393"/>
      <c r="K55" s="2400">
        <f>INDEX(finPNLReg1Prod4SpecProgExp, xxIndexTeam)</f>
        <v>0</v>
      </c>
      <c r="L55" s="2400"/>
      <c r="M55" s="2400">
        <v>0</v>
      </c>
      <c r="N55" s="2393"/>
      <c r="O55" s="2393">
        <f>SUM(G55:M55)</f>
        <v>0</v>
      </c>
      <c r="P55" s="2387"/>
      <c r="Q55" s="500"/>
      <c r="S55" s="487"/>
      <c r="T55" s="487"/>
      <c r="U55" s="487"/>
      <c r="V55" s="487"/>
      <c r="W55" s="487"/>
      <c r="X55" s="487"/>
    </row>
    <row r="56" spans="2:24" ht="5.0999999999999996" customHeight="1">
      <c r="B56" s="1830"/>
      <c r="C56" s="1831"/>
      <c r="D56" s="1831"/>
      <c r="E56" s="1831"/>
      <c r="F56" s="1831"/>
      <c r="G56" s="2393"/>
      <c r="H56" s="2393"/>
      <c r="I56" s="2393"/>
      <c r="J56" s="2393"/>
      <c r="K56" s="2393"/>
      <c r="L56" s="2393"/>
      <c r="M56" s="2393"/>
      <c r="N56" s="2393"/>
      <c r="O56" s="2393"/>
      <c r="P56" s="2387"/>
      <c r="Q56" s="500"/>
      <c r="S56" s="487"/>
      <c r="T56" s="487"/>
      <c r="U56" s="487"/>
      <c r="V56" s="487"/>
      <c r="W56" s="487"/>
      <c r="X56" s="487"/>
    </row>
    <row r="57" spans="2:24" ht="11.25" customHeight="1">
      <c r="B57" s="1830"/>
      <c r="C57" s="1831"/>
      <c r="D57" s="1681" t="s">
        <v>3757</v>
      </c>
      <c r="E57" s="1831"/>
      <c r="F57" s="1831"/>
      <c r="G57" s="2346">
        <f ca="1">SUM(G52:G55)</f>
        <v>0</v>
      </c>
      <c r="H57" s="2346">
        <f>SUM(H52:H55)</f>
        <v>0</v>
      </c>
      <c r="I57" s="2346">
        <f ca="1">SUM(I52:I55)</f>
        <v>72321404.896117449</v>
      </c>
      <c r="J57" s="2346"/>
      <c r="K57" s="2346">
        <f ca="1">SUM(K52:K55)</f>
        <v>42288449.139453106</v>
      </c>
      <c r="L57" s="2346"/>
      <c r="M57" s="2346">
        <f>SUM(M52:M55)</f>
        <v>0</v>
      </c>
      <c r="N57" s="2346"/>
      <c r="O57" s="2346">
        <f ca="1">SUM(O52:O55)</f>
        <v>241994633.71447194</v>
      </c>
      <c r="P57" s="2387"/>
      <c r="Q57" s="500"/>
      <c r="S57" s="487"/>
      <c r="T57" s="487"/>
      <c r="U57" s="487"/>
      <c r="V57" s="487"/>
      <c r="W57" s="487"/>
      <c r="X57" s="487"/>
    </row>
    <row r="58" spans="2:24" ht="4.5" customHeight="1">
      <c r="B58" s="1830"/>
      <c r="C58" s="1831"/>
      <c r="D58" s="1681"/>
      <c r="E58" s="1831"/>
      <c r="F58" s="1831"/>
      <c r="G58" s="2346"/>
      <c r="H58" s="2346"/>
      <c r="I58" s="2346"/>
      <c r="J58" s="2346"/>
      <c r="K58" s="2346"/>
      <c r="L58" s="2346"/>
      <c r="M58" s="2346"/>
      <c r="N58" s="2346"/>
      <c r="O58" s="2346"/>
      <c r="P58" s="2387"/>
      <c r="Q58" s="500"/>
      <c r="S58" s="487"/>
      <c r="T58" s="487"/>
      <c r="U58" s="487"/>
      <c r="V58" s="487"/>
      <c r="W58" s="487"/>
      <c r="X58" s="487"/>
    </row>
    <row r="59" spans="2:24" ht="12.75" customHeight="1">
      <c r="B59" s="1830"/>
      <c r="C59" s="1676" t="s">
        <v>3131</v>
      </c>
      <c r="D59" s="1831"/>
      <c r="E59" s="1831"/>
      <c r="F59" s="1831"/>
      <c r="G59" s="2399">
        <f ca="1">G48+G57</f>
        <v>1512181189.4788699</v>
      </c>
      <c r="H59" s="2352"/>
      <c r="I59" s="2399">
        <f ca="1">I48+I57</f>
        <v>1257048056.6277845</v>
      </c>
      <c r="J59" s="2352"/>
      <c r="K59" s="2399">
        <f ca="1">K48+K57</f>
        <v>1277910756.2572854</v>
      </c>
      <c r="L59" s="2352"/>
      <c r="M59" s="2399">
        <f>M48+M57</f>
        <v>0</v>
      </c>
      <c r="N59" s="2352"/>
      <c r="O59" s="2399">
        <f ca="1">O48+O57</f>
        <v>4174524782.042841</v>
      </c>
      <c r="P59" s="2387"/>
      <c r="Q59" s="500"/>
      <c r="S59" s="487"/>
      <c r="T59" s="487"/>
      <c r="U59" s="487"/>
      <c r="V59" s="487"/>
      <c r="W59" s="487"/>
      <c r="X59" s="487"/>
    </row>
    <row r="60" spans="2:24" ht="12.75" customHeight="1">
      <c r="B60" s="1830"/>
      <c r="C60" s="1676"/>
      <c r="D60" s="1831"/>
      <c r="E60" s="2147" t="s">
        <v>1451</v>
      </c>
      <c r="F60" s="1831"/>
      <c r="G60" s="2383">
        <f ca="1">G59/G7</f>
        <v>2.0387685623209113</v>
      </c>
      <c r="H60" s="2385"/>
      <c r="I60" s="2383">
        <f ca="1">I59/I7</f>
        <v>3.5231167506384096</v>
      </c>
      <c r="J60" s="2385"/>
      <c r="K60" s="2383">
        <f ca="1">K59/K7</f>
        <v>2.3590746838790575</v>
      </c>
      <c r="L60" s="2383"/>
      <c r="M60" s="2383">
        <f>IF(M7=0,0,M59/M7)</f>
        <v>0</v>
      </c>
      <c r="N60" s="2352"/>
      <c r="O60" s="2352"/>
      <c r="P60" s="2387"/>
      <c r="Q60" s="500"/>
      <c r="S60" s="487"/>
      <c r="T60" s="487"/>
      <c r="U60" s="487"/>
      <c r="V60" s="487"/>
      <c r="W60" s="487"/>
      <c r="X60" s="487"/>
    </row>
    <row r="61" spans="2:24" ht="7.5" customHeight="1">
      <c r="B61" s="1830"/>
      <c r="C61" s="1676"/>
      <c r="D61" s="1831"/>
      <c r="E61" s="2147"/>
      <c r="F61" s="1831"/>
      <c r="G61" s="2383"/>
      <c r="H61" s="2385"/>
      <c r="I61" s="2383"/>
      <c r="J61" s="2385"/>
      <c r="K61" s="2383"/>
      <c r="L61" s="2383"/>
      <c r="M61" s="2383"/>
      <c r="N61" s="2352"/>
      <c r="O61" s="2352"/>
      <c r="P61" s="2387"/>
      <c r="Q61" s="500"/>
      <c r="S61" s="487"/>
      <c r="T61" s="487"/>
      <c r="U61" s="487"/>
      <c r="V61" s="487"/>
      <c r="W61" s="487"/>
      <c r="X61" s="487"/>
    </row>
    <row r="62" spans="2:24" ht="12.75">
      <c r="B62" s="1903"/>
      <c r="C62" s="1679" t="s">
        <v>3763</v>
      </c>
      <c r="D62" s="1676"/>
      <c r="E62" s="1886"/>
      <c r="F62" s="1886"/>
      <c r="G62" s="2352">
        <f ca="1">G26-G59</f>
        <v>1073252227.1083341</v>
      </c>
      <c r="H62" s="2352"/>
      <c r="I62" s="2352">
        <f ca="1">I26-I59</f>
        <v>1042659433.7924125</v>
      </c>
      <c r="J62" s="2352"/>
      <c r="K62" s="2352">
        <f ca="1">K26-K59</f>
        <v>1877941344.0380342</v>
      </c>
      <c r="L62" s="2401"/>
      <c r="M62" s="2352">
        <f>M26-M59</f>
        <v>0</v>
      </c>
      <c r="N62" s="2352"/>
      <c r="O62" s="2352">
        <f ca="1">O26-O59</f>
        <v>3866468225.2598801</v>
      </c>
      <c r="P62" s="2396"/>
      <c r="Q62" s="501"/>
      <c r="S62" s="487"/>
      <c r="T62" s="487"/>
      <c r="U62" s="487"/>
      <c r="V62" s="487"/>
      <c r="W62" s="487"/>
      <c r="X62" s="487"/>
    </row>
    <row r="63" spans="2:24">
      <c r="B63" s="1830"/>
      <c r="C63" s="1831"/>
      <c r="D63" s="1682" t="s">
        <v>1428</v>
      </c>
      <c r="E63" s="1682"/>
      <c r="F63" s="1682"/>
      <c r="G63" s="1976">
        <f ca="1">G62/G14</f>
        <v>0.19177979576020807</v>
      </c>
      <c r="H63" s="1976"/>
      <c r="I63" s="1976">
        <f ca="1">I62/I14</f>
        <v>0.23185666750998721</v>
      </c>
      <c r="J63" s="1976"/>
      <c r="K63" s="1976">
        <f ca="1">K62/K14</f>
        <v>0.31240446563327662</v>
      </c>
      <c r="L63" s="1976"/>
      <c r="M63" s="1976">
        <f>IF(M14=0,0,M62/M14)</f>
        <v>0</v>
      </c>
      <c r="N63" s="1976"/>
      <c r="O63" s="1976">
        <f ca="1">O62/O14</f>
        <v>0.24008584776586239</v>
      </c>
      <c r="P63" s="2402"/>
      <c r="Q63" s="484"/>
      <c r="S63" s="487"/>
      <c r="T63" s="487"/>
      <c r="U63" s="487"/>
      <c r="V63" s="487"/>
      <c r="W63" s="487"/>
      <c r="X63" s="487"/>
    </row>
    <row r="64" spans="2:24">
      <c r="B64" s="1830"/>
      <c r="C64" s="1831"/>
      <c r="D64" s="1682"/>
      <c r="E64" s="2403" t="s">
        <v>3764</v>
      </c>
      <c r="F64" s="1682"/>
      <c r="G64" s="2383">
        <f ca="1">G62/G7</f>
        <v>1.446991217251846</v>
      </c>
      <c r="H64" s="1682"/>
      <c r="I64" s="2383">
        <f ca="1">I62/I7</f>
        <v>2.9222517763240261</v>
      </c>
      <c r="J64" s="1682"/>
      <c r="K64" s="2383">
        <f ca="1">K62/K7</f>
        <v>3.4667552963596719</v>
      </c>
      <c r="L64" s="2383"/>
      <c r="M64" s="2383">
        <f>IF(M7=0,0,M62/M7)</f>
        <v>0</v>
      </c>
      <c r="N64" s="1682"/>
      <c r="O64" s="1682"/>
      <c r="P64" s="2402"/>
      <c r="Q64" s="484"/>
      <c r="S64" s="487"/>
      <c r="T64" s="487"/>
      <c r="U64" s="487"/>
      <c r="V64" s="487"/>
      <c r="W64" s="487"/>
      <c r="X64" s="487"/>
    </row>
    <row r="65" spans="2:24" ht="7.5" customHeight="1" thickBot="1">
      <c r="B65" s="1854"/>
      <c r="C65" s="1850"/>
      <c r="D65" s="1850"/>
      <c r="E65" s="1850"/>
      <c r="F65" s="1850"/>
      <c r="G65" s="2404"/>
      <c r="H65" s="1850"/>
      <c r="I65" s="1850"/>
      <c r="J65" s="1850"/>
      <c r="K65" s="1850"/>
      <c r="L65" s="1850"/>
      <c r="M65" s="1850"/>
      <c r="N65" s="1850"/>
      <c r="O65" s="1850"/>
      <c r="P65" s="1856"/>
      <c r="Q65" s="486"/>
      <c r="S65" s="487"/>
      <c r="T65" s="487"/>
      <c r="U65" s="487"/>
      <c r="V65" s="487"/>
      <c r="W65" s="487"/>
      <c r="X65" s="487"/>
    </row>
    <row r="66" spans="2:24" ht="20.25" customHeight="1" thickBot="1">
      <c r="B66" s="1857"/>
      <c r="C66" s="1858"/>
      <c r="D66" s="1858"/>
      <c r="E66" s="1858"/>
      <c r="F66" s="1858"/>
      <c r="G66" s="1858"/>
      <c r="H66" s="1858"/>
      <c r="I66" s="1858"/>
      <c r="J66" s="1858"/>
      <c r="K66" s="1858"/>
      <c r="L66" s="1858"/>
      <c r="M66" s="1858"/>
      <c r="N66" s="1858"/>
      <c r="O66" s="1858"/>
      <c r="P66" s="1859"/>
      <c r="S66" s="487"/>
      <c r="T66" s="487"/>
      <c r="U66" s="487"/>
      <c r="V66" s="487"/>
      <c r="W66" s="487"/>
      <c r="X66" s="487"/>
    </row>
    <row r="67" spans="2:24">
      <c r="S67" s="487"/>
      <c r="T67" s="487"/>
      <c r="U67" s="487"/>
      <c r="V67" s="487"/>
      <c r="W67" s="487"/>
      <c r="X67" s="487"/>
    </row>
    <row r="68" spans="2:24">
      <c r="S68" s="487"/>
      <c r="T68" s="487"/>
      <c r="U68" s="487"/>
      <c r="V68" s="487"/>
      <c r="W68" s="487"/>
      <c r="X68" s="487"/>
    </row>
    <row r="69" spans="2:24">
      <c r="S69" s="487"/>
      <c r="T69" s="487"/>
      <c r="U69" s="487"/>
      <c r="V69" s="487"/>
      <c r="W69" s="487"/>
      <c r="X69" s="487"/>
    </row>
    <row r="70" spans="2:24">
      <c r="S70" s="487"/>
      <c r="T70" s="487"/>
      <c r="U70" s="487"/>
      <c r="V70" s="487"/>
      <c r="W70" s="487"/>
      <c r="X70" s="487"/>
    </row>
    <row r="71" spans="2:24">
      <c r="S71" s="487"/>
      <c r="T71" s="487"/>
      <c r="U71" s="487"/>
      <c r="V71" s="487"/>
      <c r="W71" s="487"/>
      <c r="X71" s="487"/>
    </row>
    <row r="72" spans="2:24">
      <c r="S72" s="487"/>
      <c r="T72" s="487"/>
      <c r="U72" s="487"/>
      <c r="V72" s="487"/>
      <c r="W72" s="487"/>
      <c r="X72" s="487"/>
    </row>
    <row r="73" spans="2:24">
      <c r="S73" s="487"/>
      <c r="T73" s="487"/>
      <c r="U73" s="487"/>
      <c r="V73" s="487"/>
      <c r="W73" s="487"/>
      <c r="X73" s="487"/>
    </row>
    <row r="74" spans="2:24">
      <c r="S74" s="487"/>
      <c r="T74" s="487"/>
      <c r="U74" s="487"/>
      <c r="V74" s="487"/>
      <c r="W74" s="487"/>
      <c r="X74" s="487"/>
    </row>
    <row r="75" spans="2:24">
      <c r="S75" s="487"/>
      <c r="T75" s="487"/>
      <c r="U75" s="487"/>
      <c r="V75" s="487"/>
      <c r="W75" s="487"/>
      <c r="X75" s="487"/>
    </row>
    <row r="76" spans="2:24">
      <c r="S76" s="487"/>
      <c r="T76" s="487"/>
      <c r="U76" s="487"/>
      <c r="V76" s="487"/>
      <c r="W76" s="487"/>
      <c r="X76" s="487"/>
    </row>
    <row r="77" spans="2:24">
      <c r="S77" s="487"/>
      <c r="T77" s="487"/>
      <c r="U77" s="487"/>
      <c r="V77" s="487"/>
      <c r="W77" s="487"/>
      <c r="X77" s="487"/>
    </row>
    <row r="78" spans="2:24">
      <c r="S78" s="487"/>
      <c r="T78" s="487"/>
      <c r="U78" s="487"/>
      <c r="V78" s="487"/>
      <c r="W78" s="487"/>
      <c r="X78" s="487"/>
    </row>
    <row r="79" spans="2:24">
      <c r="S79" s="487"/>
      <c r="T79" s="487"/>
      <c r="U79" s="487"/>
      <c r="V79" s="487"/>
      <c r="W79" s="487"/>
      <c r="X79" s="487"/>
    </row>
    <row r="80" spans="2:24">
      <c r="S80" s="487"/>
      <c r="T80" s="487"/>
      <c r="U80" s="487"/>
      <c r="V80" s="487"/>
      <c r="W80" s="487"/>
      <c r="X80" s="487"/>
    </row>
    <row r="81" spans="19:24">
      <c r="S81" s="487"/>
      <c r="T81" s="487"/>
      <c r="U81" s="487"/>
      <c r="V81" s="487"/>
      <c r="W81" s="487"/>
      <c r="X81" s="487"/>
    </row>
    <row r="82" spans="19:24">
      <c r="S82" s="487"/>
      <c r="T82" s="487"/>
      <c r="U82" s="487"/>
      <c r="V82" s="487"/>
      <c r="W82" s="487"/>
      <c r="X82" s="487"/>
    </row>
    <row r="83" spans="19:24">
      <c r="S83" s="487"/>
      <c r="T83" s="487"/>
      <c r="U83" s="487"/>
      <c r="V83" s="487"/>
      <c r="W83" s="487"/>
      <c r="X83" s="487"/>
    </row>
    <row r="84" spans="19:24">
      <c r="S84" s="487"/>
      <c r="T84" s="487"/>
      <c r="U84" s="487"/>
      <c r="V84" s="487"/>
      <c r="W84" s="487"/>
      <c r="X84" s="487"/>
    </row>
    <row r="85" spans="19:24">
      <c r="S85" s="487"/>
      <c r="T85" s="487"/>
      <c r="U85" s="487"/>
      <c r="V85" s="487"/>
      <c r="W85" s="487"/>
      <c r="X85" s="487"/>
    </row>
    <row r="86" spans="19:24">
      <c r="S86" s="487"/>
      <c r="T86" s="487"/>
      <c r="U86" s="487"/>
      <c r="V86" s="487"/>
      <c r="W86" s="487"/>
      <c r="X86" s="487"/>
    </row>
    <row r="87" spans="19:24">
      <c r="S87" s="487"/>
      <c r="T87" s="487"/>
      <c r="U87" s="487"/>
      <c r="V87" s="487"/>
      <c r="W87" s="487"/>
      <c r="X87" s="487"/>
    </row>
    <row r="88" spans="19:24">
      <c r="S88" s="487"/>
      <c r="T88" s="487"/>
      <c r="U88" s="487"/>
      <c r="V88" s="487"/>
      <c r="W88" s="487"/>
      <c r="X88" s="487"/>
    </row>
    <row r="89" spans="19:24">
      <c r="S89" s="487"/>
      <c r="T89" s="487"/>
      <c r="U89" s="487"/>
      <c r="V89" s="487"/>
      <c r="W89" s="487"/>
      <c r="X89" s="487"/>
    </row>
    <row r="90" spans="19:24">
      <c r="S90" s="487"/>
      <c r="T90" s="487"/>
      <c r="U90" s="487"/>
      <c r="V90" s="487"/>
      <c r="W90" s="487"/>
      <c r="X90" s="487"/>
    </row>
    <row r="91" spans="19:24">
      <c r="S91" s="487"/>
      <c r="T91" s="487"/>
      <c r="U91" s="487"/>
      <c r="V91" s="487"/>
      <c r="W91" s="487"/>
      <c r="X91" s="487"/>
    </row>
    <row r="92" spans="19:24">
      <c r="S92" s="487"/>
      <c r="T92" s="487"/>
      <c r="U92" s="487"/>
      <c r="V92" s="487"/>
      <c r="W92" s="487"/>
      <c r="X92" s="487"/>
    </row>
    <row r="93" spans="19:24">
      <c r="S93" s="487"/>
      <c r="T93" s="487"/>
      <c r="U93" s="487"/>
      <c r="V93" s="487"/>
      <c r="W93" s="487"/>
      <c r="X93" s="487"/>
    </row>
    <row r="94" spans="19:24">
      <c r="S94" s="487"/>
      <c r="T94" s="487"/>
      <c r="U94" s="487"/>
      <c r="V94" s="487"/>
      <c r="W94" s="487"/>
      <c r="X94" s="487"/>
    </row>
    <row r="95" spans="19:24">
      <c r="S95" s="487"/>
      <c r="T95" s="487"/>
      <c r="U95" s="487"/>
      <c r="W95" s="487"/>
      <c r="X95" s="487"/>
    </row>
  </sheetData>
  <phoneticPr fontId="0" type="noConversion"/>
  <printOptions horizontalCentered="1"/>
  <pageMargins left="0.38" right="0.34" top="0.78" bottom="1" header="0.35" footer="0.5"/>
  <pageSetup paperSize="9" scale="90" orientation="portrait" blackAndWhite="1" r:id="rId1"/>
  <headerFooter alignWithMargins="0">
    <oddFooter>&amp;CPage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indexed="22"/>
    <pageSetUpPr fitToPage="1"/>
  </sheetPr>
  <dimension ref="A1:R66"/>
  <sheetViews>
    <sheetView showGridLines="0" topLeftCell="A2" zoomScale="116" workbookViewId="0">
      <selection activeCell="M1" sqref="M1"/>
    </sheetView>
  </sheetViews>
  <sheetFormatPr defaultRowHeight="11.25"/>
  <cols>
    <col min="1" max="4" width="1.83203125" style="487" customWidth="1"/>
    <col min="5" max="5" width="30.33203125" style="487" customWidth="1"/>
    <col min="6" max="6" width="1.83203125" style="487" customWidth="1"/>
    <col min="7" max="7" width="17.33203125" style="487" customWidth="1"/>
    <col min="8" max="8" width="1.83203125" style="487" customWidth="1"/>
    <col min="9" max="9" width="17.33203125" style="487" customWidth="1"/>
    <col min="10" max="10" width="1.83203125" style="487" customWidth="1"/>
    <col min="11" max="11" width="17.33203125" style="487" customWidth="1"/>
    <col min="12" max="12" width="1.83203125" style="487" customWidth="1"/>
    <col min="13" max="13" width="17.33203125" style="487" customWidth="1"/>
    <col min="14" max="14" width="2.33203125" style="487" customWidth="1"/>
    <col min="15" max="15" width="18.5" style="487" customWidth="1"/>
    <col min="16" max="17" width="1.83203125" style="487" customWidth="1"/>
    <col min="18" max="16384" width="9.33203125" style="487"/>
  </cols>
  <sheetData>
    <row r="1" spans="1:17" hidden="1">
      <c r="A1" s="1076"/>
      <c r="L1" s="487">
        <f>IF(COUNTIF(dataUnlockedList,"unlocked")&gt;0,0,5)</f>
        <v>5</v>
      </c>
      <c r="M1" s="487">
        <f>IF(COUNTIF(dataUnlockedList,"unlocked")&gt;0,0,5)</f>
        <v>5</v>
      </c>
    </row>
    <row r="2" spans="1:17" ht="7.5" customHeight="1" thickBot="1">
      <c r="A2" s="1076"/>
      <c r="L2" s="1000"/>
      <c r="M2" s="1000"/>
    </row>
    <row r="3" spans="1:17" ht="23.25" thickBot="1">
      <c r="B3" s="1672" t="s">
        <v>2555</v>
      </c>
      <c r="C3" s="2228"/>
      <c r="D3" s="2228"/>
      <c r="E3" s="2228"/>
      <c r="F3" s="2228"/>
      <c r="G3" s="2228"/>
      <c r="H3" s="2228"/>
      <c r="I3" s="2228"/>
      <c r="J3" s="2228"/>
      <c r="K3" s="2228"/>
      <c r="L3" s="2228"/>
      <c r="M3" s="2228"/>
      <c r="N3" s="2228"/>
      <c r="O3" s="2228"/>
      <c r="P3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Q3" s="1073"/>
    </row>
    <row r="4" spans="1:17" ht="15">
      <c r="B4" s="1677" t="s">
        <v>1696</v>
      </c>
      <c r="C4" s="2376"/>
      <c r="D4" s="2376"/>
      <c r="E4" s="2376"/>
      <c r="F4" s="2376"/>
      <c r="G4" s="2377"/>
      <c r="H4" s="2377"/>
      <c r="I4" s="2377"/>
      <c r="J4" s="2377"/>
      <c r="K4" s="2377"/>
      <c r="L4" s="2377"/>
      <c r="M4" s="2377"/>
      <c r="N4" s="2377"/>
      <c r="O4" s="2377"/>
      <c r="P4" s="2378"/>
      <c r="Q4" s="499"/>
    </row>
    <row r="5" spans="1:17" ht="15.75" thickBot="1">
      <c r="B5" s="1830"/>
      <c r="C5" s="1831"/>
      <c r="D5" s="1831"/>
      <c r="E5" s="1831"/>
      <c r="F5" s="1831"/>
      <c r="G5" s="1673" t="str">
        <f>DataNameProd1</f>
        <v>CSD</v>
      </c>
      <c r="H5" s="2230"/>
      <c r="I5" s="1673" t="str">
        <f>DataNameProd3</f>
        <v>NCB</v>
      </c>
      <c r="J5" s="2230"/>
      <c r="K5" s="1673" t="str">
        <f>DataNameProd4</f>
        <v>F&amp;S</v>
      </c>
      <c r="L5" s="1953"/>
      <c r="M5" s="1673" t="str">
        <f>DataNameProd2</f>
        <v>Breakthrough</v>
      </c>
      <c r="N5" s="2379"/>
      <c r="O5" s="1674" t="s">
        <v>3794</v>
      </c>
      <c r="P5" s="2369"/>
      <c r="Q5" s="502"/>
    </row>
    <row r="6" spans="1:17" ht="5.0999999999999996" customHeight="1">
      <c r="B6" s="1830"/>
      <c r="C6" s="1831"/>
      <c r="D6" s="1831"/>
      <c r="E6" s="1831"/>
      <c r="F6" s="1831"/>
      <c r="G6" s="1953"/>
      <c r="H6" s="2230"/>
      <c r="I6" s="1953"/>
      <c r="J6" s="2230"/>
      <c r="K6" s="1953"/>
      <c r="L6" s="1953"/>
      <c r="M6" s="1953"/>
      <c r="N6" s="2379"/>
      <c r="O6" s="2379"/>
      <c r="P6" s="2369"/>
      <c r="Q6" s="502"/>
    </row>
    <row r="7" spans="1:17" ht="15">
      <c r="B7" s="1830"/>
      <c r="C7" s="1676" t="s">
        <v>1447</v>
      </c>
      <c r="D7" s="1831"/>
      <c r="E7" s="1831"/>
      <c r="F7" s="1831"/>
      <c r="G7" s="1964">
        <f>INDEX(capReg2Prod1UnitsSold,xxIndexTeam)</f>
        <v>356800000</v>
      </c>
      <c r="H7" s="1831"/>
      <c r="I7" s="1964">
        <f>INDEX(capReg2Prod3UnitsSold, xxIndexTeam)</f>
        <v>245000000</v>
      </c>
      <c r="J7" s="1831"/>
      <c r="K7" s="1964">
        <f>INDEX(capReg2Prod4UnitsSold, xxIndexTeam)</f>
        <v>225000000</v>
      </c>
      <c r="L7" s="1964"/>
      <c r="M7" s="1675">
        <f>HLOOKUP(INDEX(cbalDisrupt1,xxIndexTeam),dataDisruptWeight,3,0)*INDEX(capReg1Prod2UnitsSold, xxIndexTeam)+HLOOKUP(INDEX(cbalDisrupt2,xxIndexTeam),dataDisruptWeight,3,0)*INDEX(capReg2Prod2UnitsSold, xxIndexTeam)</f>
        <v>0</v>
      </c>
      <c r="N7" s="2379"/>
      <c r="O7" s="2380">
        <f>SUM(G7:M7)</f>
        <v>826800000</v>
      </c>
      <c r="P7" s="2369"/>
      <c r="Q7" s="502"/>
    </row>
    <row r="8" spans="1:17" ht="5.0999999999999996" customHeight="1">
      <c r="B8" s="1830"/>
      <c r="C8" s="1831"/>
      <c r="D8" s="1831"/>
      <c r="E8" s="1831"/>
      <c r="F8" s="1831"/>
      <c r="G8" s="1831"/>
      <c r="H8" s="1831"/>
      <c r="I8" s="1831"/>
      <c r="J8" s="1831"/>
      <c r="K8" s="1831"/>
      <c r="L8" s="1831"/>
      <c r="M8" s="1831"/>
      <c r="N8" s="1831"/>
      <c r="O8" s="1831"/>
      <c r="P8" s="1835"/>
      <c r="Q8" s="486"/>
    </row>
    <row r="9" spans="1:17" ht="12.75" customHeight="1">
      <c r="B9" s="1903"/>
      <c r="C9" s="1676" t="s">
        <v>2546</v>
      </c>
      <c r="D9" s="1831"/>
      <c r="E9" s="1831"/>
      <c r="F9" s="1831"/>
      <c r="G9" s="2381">
        <f>INDEX(finPNLReg2Prod1Rev, xxIndexTeam)</f>
        <v>2497600000</v>
      </c>
      <c r="H9" s="2352"/>
      <c r="I9" s="1675">
        <f>INDEX(finPNLReg2Prod3Rev, xxIndexTeam)</f>
        <v>2450000000</v>
      </c>
      <c r="J9" s="2352"/>
      <c r="K9" s="1675">
        <f>INDEX(finPNLReg2Prod4Rev, xxIndexTeam)</f>
        <v>2025000000</v>
      </c>
      <c r="L9" s="1675"/>
      <c r="M9" s="1675">
        <f>INDEX(finPNLReg2Prod2Rev, xxIndexTeam)</f>
        <v>0</v>
      </c>
      <c r="N9" s="2352"/>
      <c r="O9" s="1675">
        <f>SUM(G9:M9)</f>
        <v>6972600000</v>
      </c>
      <c r="P9" s="2382"/>
      <c r="Q9" s="497"/>
    </row>
    <row r="10" spans="1:17" ht="12.75">
      <c r="B10" s="1903"/>
      <c r="C10" s="1676"/>
      <c r="D10" s="1831"/>
      <c r="E10" s="2147" t="s">
        <v>1448</v>
      </c>
      <c r="F10" s="1681"/>
      <c r="G10" s="2383">
        <f>G9/G7</f>
        <v>7</v>
      </c>
      <c r="H10" s="2384"/>
      <c r="I10" s="2383">
        <f>I9/I7</f>
        <v>10</v>
      </c>
      <c r="J10" s="2385"/>
      <c r="K10" s="2383">
        <f>K9/K7</f>
        <v>9</v>
      </c>
      <c r="L10" s="2383"/>
      <c r="M10" s="2383">
        <f>IF(M7=0,0,M9/M7)</f>
        <v>0</v>
      </c>
      <c r="N10" s="2352"/>
      <c r="O10" s="1675"/>
      <c r="P10" s="2382"/>
      <c r="Q10" s="500"/>
    </row>
    <row r="11" spans="1:17" ht="6" customHeight="1">
      <c r="B11" s="1830"/>
      <c r="C11" s="1886"/>
      <c r="D11" s="1831"/>
      <c r="E11" s="2147"/>
      <c r="F11" s="1681"/>
      <c r="G11" s="2383"/>
      <c r="H11" s="2384"/>
      <c r="I11" s="2383"/>
      <c r="J11" s="2384"/>
      <c r="K11" s="2383"/>
      <c r="L11" s="2383"/>
      <c r="M11" s="2383"/>
      <c r="N11" s="2384"/>
      <c r="O11" s="2386"/>
      <c r="P11" s="2387"/>
      <c r="Q11" s="500"/>
    </row>
    <row r="12" spans="1:17">
      <c r="B12" s="1830"/>
      <c r="C12" s="1831"/>
      <c r="D12" s="1681"/>
      <c r="E12" s="1831" t="s">
        <v>2548</v>
      </c>
      <c r="F12" s="2388"/>
      <c r="G12" s="2389">
        <f>INDEX(finPNLReg2Prod1PromoExp, xxIndexTeam)</f>
        <v>195000000</v>
      </c>
      <c r="H12" s="1831"/>
      <c r="I12" s="2389">
        <f>INDEX(finPNLReg2Prod3PromoExp, xxIndexTeam)</f>
        <v>165000000</v>
      </c>
      <c r="J12" s="2390"/>
      <c r="K12" s="2389">
        <f>INDEX(finPNLReg2Prod4PromoExp, xxIndexTeam)</f>
        <v>95000000</v>
      </c>
      <c r="L12" s="2389"/>
      <c r="M12" s="2389">
        <f>INDEX(finPNLReg2Prod2PromoExp, xxIndexTeam)</f>
        <v>0</v>
      </c>
      <c r="N12" s="1831"/>
      <c r="O12" s="2391">
        <f>SUM(G12:M12)</f>
        <v>455000000</v>
      </c>
      <c r="P12" s="1835"/>
      <c r="Q12" s="486"/>
    </row>
    <row r="13" spans="1:17" ht="5.0999999999999996" customHeight="1">
      <c r="B13" s="1830"/>
      <c r="C13" s="1831"/>
      <c r="D13" s="1831"/>
      <c r="E13" s="1831"/>
      <c r="F13" s="1831"/>
      <c r="G13" s="2392"/>
      <c r="H13" s="2393"/>
      <c r="I13" s="2392"/>
      <c r="J13" s="2393"/>
      <c r="K13" s="2392"/>
      <c r="L13" s="2393"/>
      <c r="M13" s="2392"/>
      <c r="N13" s="2393"/>
      <c r="O13" s="2392"/>
      <c r="P13" s="2387"/>
      <c r="Q13" s="500"/>
    </row>
    <row r="14" spans="1:17" ht="12.75">
      <c r="B14" s="1830"/>
      <c r="C14" s="1676" t="s">
        <v>2547</v>
      </c>
      <c r="D14" s="1831"/>
      <c r="E14" s="2147"/>
      <c r="F14" s="1681"/>
      <c r="G14" s="2381">
        <f>G9-G12</f>
        <v>2302600000</v>
      </c>
      <c r="H14" s="2384"/>
      <c r="I14" s="2381">
        <f>I9-I12</f>
        <v>2285000000</v>
      </c>
      <c r="J14" s="2384"/>
      <c r="K14" s="2381">
        <f>K9-K12</f>
        <v>1930000000</v>
      </c>
      <c r="L14" s="2383"/>
      <c r="M14" s="2381">
        <f>M9-M12</f>
        <v>0</v>
      </c>
      <c r="N14" s="2384"/>
      <c r="O14" s="2381">
        <f>O9-O12</f>
        <v>6517600000</v>
      </c>
      <c r="P14" s="2387"/>
      <c r="Q14" s="500"/>
    </row>
    <row r="15" spans="1:17" ht="12.75">
      <c r="B15" s="1830"/>
      <c r="C15" s="1676"/>
      <c r="D15" s="1831"/>
      <c r="E15" s="1680" t="s">
        <v>2816</v>
      </c>
      <c r="F15" s="1681"/>
      <c r="G15" s="2381"/>
      <c r="H15" s="2384"/>
      <c r="I15" s="2381"/>
      <c r="J15" s="2384"/>
      <c r="K15" s="2381"/>
      <c r="L15" s="2383"/>
      <c r="M15" s="2381"/>
      <c r="N15" s="2384"/>
      <c r="O15" s="1976">
        <f>O14/INDEX(obalReg2NetRev,xxIndexTeam)-1</f>
        <v>2.1046670718602334E-2</v>
      </c>
      <c r="P15" s="2387"/>
      <c r="Q15" s="500"/>
    </row>
    <row r="16" spans="1:17" ht="12.75">
      <c r="B16" s="1830"/>
      <c r="C16" s="1886"/>
      <c r="D16" s="1831"/>
      <c r="E16" s="1831"/>
      <c r="F16" s="1831"/>
      <c r="G16" s="2393"/>
      <c r="H16" s="2393"/>
      <c r="I16" s="2393"/>
      <c r="J16" s="2393"/>
      <c r="K16" s="2393"/>
      <c r="L16" s="2393"/>
      <c r="M16" s="2393"/>
      <c r="N16" s="2393"/>
      <c r="O16" s="2393"/>
      <c r="P16" s="2387"/>
      <c r="Q16" s="500"/>
    </row>
    <row r="17" spans="2:17" ht="12.75">
      <c r="B17" s="1830"/>
      <c r="C17" s="1676" t="s">
        <v>3537</v>
      </c>
      <c r="D17" s="1831"/>
      <c r="E17" s="1831"/>
      <c r="F17" s="1831"/>
      <c r="G17" s="2393"/>
      <c r="H17" s="2393"/>
      <c r="I17" s="2393"/>
      <c r="J17" s="2393"/>
      <c r="K17" s="2393"/>
      <c r="L17" s="2393"/>
      <c r="M17" s="2393"/>
      <c r="N17" s="2393"/>
      <c r="O17" s="2393"/>
      <c r="P17" s="2387"/>
      <c r="Q17" s="500"/>
    </row>
    <row r="18" spans="2:17" ht="12.75">
      <c r="B18" s="1830"/>
      <c r="C18" s="1676"/>
      <c r="D18" s="1681" t="s">
        <v>633</v>
      </c>
      <c r="E18" s="1831"/>
      <c r="F18" s="1831"/>
      <c r="G18" s="2394"/>
      <c r="H18" s="2393"/>
      <c r="I18" s="2393"/>
      <c r="J18" s="2393"/>
      <c r="K18" s="2393"/>
      <c r="L18" s="2393"/>
      <c r="M18" s="2393"/>
      <c r="N18" s="2393"/>
      <c r="O18" s="2393"/>
      <c r="P18" s="2387"/>
      <c r="Q18" s="500"/>
    </row>
    <row r="19" spans="2:17">
      <c r="B19" s="1830"/>
      <c r="C19" s="1831"/>
      <c r="D19" s="1831"/>
      <c r="E19" s="1831" t="s">
        <v>2545</v>
      </c>
      <c r="F19" s="2388"/>
      <c r="G19" s="2393">
        <f>INDEX(finPNLReg2Prod1COGSMatExp, xxIndexTeam)</f>
        <v>827385135.44236362</v>
      </c>
      <c r="H19" s="2393"/>
      <c r="I19" s="2393">
        <f>INDEX(finPNLReg2Prod3COGSMatExp, xxIndexTeam)</f>
        <v>981217428.51999998</v>
      </c>
      <c r="J19" s="2393"/>
      <c r="K19" s="2393">
        <f>INDEX(finPNLReg2Prod4COGSMatExp, xxIndexTeam)</f>
        <v>745813474.6500001</v>
      </c>
      <c r="L19" s="2393"/>
      <c r="M19" s="2393">
        <f>INDEX(finPNLReg2Prod2COGSMatExp, xxIndexTeam)</f>
        <v>0</v>
      </c>
      <c r="N19" s="2393"/>
      <c r="O19" s="2393">
        <f>SUM(G19:M19)</f>
        <v>2554416038.6123638</v>
      </c>
      <c r="P19" s="2387"/>
      <c r="Q19" s="500"/>
    </row>
    <row r="20" spans="2:17">
      <c r="B20" s="1830"/>
      <c r="C20" s="1831"/>
      <c r="D20" s="1831"/>
      <c r="E20" s="1831" t="s">
        <v>1287</v>
      </c>
      <c r="F20" s="2388"/>
      <c r="G20" s="2393">
        <f>INDEX(finPNLReg2Prod1COGSEmp3Exp, xxIndexTeam)</f>
        <v>145169343.41487217</v>
      </c>
      <c r="H20" s="2393"/>
      <c r="I20" s="2393">
        <f>INDEX(finPNLReg2Prod3COGSEmp3Exp, xxIndexTeam)</f>
        <v>111581914.74752869</v>
      </c>
      <c r="J20" s="2393"/>
      <c r="K20" s="2393">
        <f>INDEX(finPNLReg2Prod4COGSEmp3Exp, xxIndexTeam)</f>
        <v>94328650.606571242</v>
      </c>
      <c r="L20" s="2393"/>
      <c r="M20" s="2393">
        <f>INDEX(finPNLReg2Prod2COGSEmp3Exp, xxIndexTeam)</f>
        <v>0</v>
      </c>
      <c r="N20" s="2393"/>
      <c r="O20" s="2393">
        <f>SUM(G20:M20)</f>
        <v>351079908.7689721</v>
      </c>
      <c r="P20" s="2387"/>
      <c r="Q20" s="500"/>
    </row>
    <row r="21" spans="2:17">
      <c r="B21" s="1830"/>
      <c r="C21" s="1831"/>
      <c r="D21" s="1831"/>
      <c r="E21" s="1831" t="s">
        <v>2994</v>
      </c>
      <c r="F21" s="2388"/>
      <c r="G21" s="2393">
        <f ca="1">INDEX(finPNLReg2Prod1COGSPlant1Exp, xxIndexTeam)+INDEX(finPNLReg2Prod1COGSDepExp, xxIndexTeam)</f>
        <v>79765399.095443666</v>
      </c>
      <c r="H21" s="2393"/>
      <c r="I21" s="2393">
        <f ca="1">INDEX(finPNLReg2Prod3COGSPlant1Exp, xxIndexTeam)+INDEX(finPNLReg2Prod3COGSDepExp, xxIndexTeam)</f>
        <v>111584030.0440889</v>
      </c>
      <c r="J21" s="2393"/>
      <c r="K21" s="2393">
        <f ca="1">INDEX(finPNLReg2Prod4COGSPlant1Exp, xxIndexTeam)+INDEX(finPNLReg2Prod4COGSDepExp, xxIndexTeam)</f>
        <v>88534750.210718229</v>
      </c>
      <c r="L21" s="2393"/>
      <c r="M21" s="2393">
        <f>INDEX(finPNLReg2Prod2COGSPlant1Exp, xxIndexTeam)+INDEX(finPNLReg2Prod2COGSDepExp, xxIndexTeam)</f>
        <v>0</v>
      </c>
      <c r="N21" s="2393"/>
      <c r="O21" s="2393">
        <f ca="1">SUM(G21:M21)</f>
        <v>279884179.35025078</v>
      </c>
      <c r="P21" s="2387"/>
      <c r="Q21" s="500"/>
    </row>
    <row r="22" spans="2:17" ht="5.0999999999999996" customHeight="1">
      <c r="B22" s="1830"/>
      <c r="C22" s="1831"/>
      <c r="D22" s="1831"/>
      <c r="E22" s="1831"/>
      <c r="F22" s="1831"/>
      <c r="G22" s="2392"/>
      <c r="H22" s="2393"/>
      <c r="I22" s="2393"/>
      <c r="J22" s="2393"/>
      <c r="K22" s="2393"/>
      <c r="L22" s="2393"/>
      <c r="M22" s="2393"/>
      <c r="N22" s="2393"/>
      <c r="O22" s="2393"/>
      <c r="P22" s="2387"/>
      <c r="Q22" s="500"/>
    </row>
    <row r="23" spans="2:17" ht="12.75" customHeight="1">
      <c r="B23" s="1830"/>
      <c r="C23" s="1676"/>
      <c r="D23" s="1681" t="s">
        <v>3127</v>
      </c>
      <c r="E23" s="1831"/>
      <c r="F23" s="1831"/>
      <c r="G23" s="2395">
        <f ca="1">SUM(G19:G21)</f>
        <v>1052319877.9526794</v>
      </c>
      <c r="H23" s="2393"/>
      <c r="I23" s="2395">
        <f ca="1">SUM(I19:I21)</f>
        <v>1204383373.3116176</v>
      </c>
      <c r="J23" s="2393"/>
      <c r="K23" s="2395">
        <f ca="1">SUM(K19:K21)</f>
        <v>928676875.46728957</v>
      </c>
      <c r="L23" s="2346"/>
      <c r="M23" s="2395">
        <f>SUM(M19:M21)</f>
        <v>0</v>
      </c>
      <c r="N23" s="2393"/>
      <c r="O23" s="2395">
        <f ca="1">SUM(O19:O21)</f>
        <v>3185380126.7315865</v>
      </c>
      <c r="P23" s="2387"/>
      <c r="Q23" s="500"/>
    </row>
    <row r="24" spans="2:17" ht="12.75" customHeight="1">
      <c r="B24" s="1830"/>
      <c r="C24" s="1676"/>
      <c r="D24" s="1681"/>
      <c r="E24" s="2147" t="s">
        <v>1449</v>
      </c>
      <c r="F24" s="1831"/>
      <c r="G24" s="2383">
        <f ca="1">G23/G7</f>
        <v>2.9493270121992134</v>
      </c>
      <c r="H24" s="2384"/>
      <c r="I24" s="2383">
        <f ca="1">I23/I7</f>
        <v>4.9158505033127247</v>
      </c>
      <c r="J24" s="2384"/>
      <c r="K24" s="2383">
        <f ca="1">K23/K7</f>
        <v>4.1274527798546199</v>
      </c>
      <c r="L24" s="2383"/>
      <c r="M24" s="2383">
        <f>IF(M7=0,0,M23/M7)</f>
        <v>0</v>
      </c>
      <c r="N24" s="2393"/>
      <c r="O24" s="2346"/>
      <c r="P24" s="2387"/>
      <c r="Q24" s="500"/>
    </row>
    <row r="25" spans="2:17">
      <c r="B25" s="1830"/>
      <c r="C25" s="1831"/>
      <c r="D25" s="1681"/>
      <c r="E25" s="1831"/>
      <c r="F25" s="1831"/>
      <c r="G25" s="2346"/>
      <c r="H25" s="2393"/>
      <c r="I25" s="2393"/>
      <c r="J25" s="2393"/>
      <c r="K25" s="2393"/>
      <c r="L25" s="2393"/>
      <c r="M25" s="2393"/>
      <c r="N25" s="2393"/>
      <c r="O25" s="2393"/>
      <c r="P25" s="2387"/>
      <c r="Q25" s="500"/>
    </row>
    <row r="26" spans="2:17" ht="12.75" customHeight="1">
      <c r="B26" s="1903"/>
      <c r="C26" s="1676" t="s">
        <v>3800</v>
      </c>
      <c r="D26" s="1676"/>
      <c r="E26" s="1831"/>
      <c r="F26" s="1831"/>
      <c r="G26" s="2352">
        <f ca="1">G14-G23</f>
        <v>1250280122.0473206</v>
      </c>
      <c r="H26" s="1912"/>
      <c r="I26" s="2352">
        <f ca="1">I14-I23</f>
        <v>1080616626.6883824</v>
      </c>
      <c r="J26" s="1912"/>
      <c r="K26" s="2352">
        <f ca="1">K14-K23</f>
        <v>1001323124.5327104</v>
      </c>
      <c r="L26" s="2352"/>
      <c r="M26" s="2352">
        <f>M14-M23</f>
        <v>0</v>
      </c>
      <c r="N26" s="1912"/>
      <c r="O26" s="2352">
        <f ca="1">O14-O23</f>
        <v>3332219873.2684135</v>
      </c>
      <c r="P26" s="2396"/>
      <c r="Q26" s="501"/>
    </row>
    <row r="27" spans="2:17">
      <c r="B27" s="1830"/>
      <c r="C27" s="1831"/>
      <c r="D27" s="1680" t="s">
        <v>1427</v>
      </c>
      <c r="E27" s="1831"/>
      <c r="F27" s="1831"/>
      <c r="G27" s="1976">
        <f ca="1">G26/G14</f>
        <v>0.54298624252901961</v>
      </c>
      <c r="H27" s="2397"/>
      <c r="I27" s="1976">
        <f ca="1">I26/I14</f>
        <v>0.47291756091395293</v>
      </c>
      <c r="J27" s="2397"/>
      <c r="K27" s="1976">
        <f ca="1">K26/K14</f>
        <v>0.51882027177860646</v>
      </c>
      <c r="L27" s="1976"/>
      <c r="M27" s="1976">
        <f>IF(M14=0,0,M26/M14)</f>
        <v>0</v>
      </c>
      <c r="N27" s="2397"/>
      <c r="O27" s="1976">
        <f ca="1">O26/O14</f>
        <v>0.51126486333441967</v>
      </c>
      <c r="P27" s="1835"/>
      <c r="Q27" s="486"/>
    </row>
    <row r="28" spans="2:17">
      <c r="B28" s="1830"/>
      <c r="C28" s="1831"/>
      <c r="D28" s="1831"/>
      <c r="E28" s="1831"/>
      <c r="F28" s="1831"/>
      <c r="G28" s="1831"/>
      <c r="H28" s="1831"/>
      <c r="I28" s="1831"/>
      <c r="J28" s="1831"/>
      <c r="K28" s="1831"/>
      <c r="L28" s="1831"/>
      <c r="M28" s="1831"/>
      <c r="N28" s="1831"/>
      <c r="O28" s="1831"/>
      <c r="P28" s="1835"/>
      <c r="Q28" s="486"/>
    </row>
    <row r="29" spans="2:17">
      <c r="B29" s="1830"/>
      <c r="C29" s="1831"/>
      <c r="D29" s="1681" t="s">
        <v>3170</v>
      </c>
      <c r="E29" s="1831"/>
      <c r="F29" s="1831"/>
      <c r="G29" s="1831"/>
      <c r="H29" s="1831"/>
      <c r="I29" s="1831"/>
      <c r="J29" s="1831"/>
      <c r="K29" s="1831"/>
      <c r="L29" s="1831"/>
      <c r="M29" s="1831"/>
      <c r="N29" s="1831"/>
      <c r="O29" s="1831"/>
      <c r="P29" s="1835"/>
      <c r="Q29" s="486"/>
    </row>
    <row r="30" spans="2:17">
      <c r="B30" s="1830"/>
      <c r="C30" s="1831"/>
      <c r="D30" s="1681"/>
      <c r="E30" s="1831" t="s">
        <v>2579</v>
      </c>
      <c r="F30" s="1831"/>
      <c r="G30" s="2398">
        <f>INDEX(finPNLReg2Prod1Emp2Exp, xxIndexTeam)</f>
        <v>118150712.83095723</v>
      </c>
      <c r="H30" s="1831"/>
      <c r="I30" s="2398">
        <f>INDEX(finPNLReg2Prod3Emp2Exp, xxIndexTeam)</f>
        <v>104818737.27087577</v>
      </c>
      <c r="J30" s="1831"/>
      <c r="K30" s="2398">
        <f>INDEX(finPNLReg2Prod4Emp2Exp, xxIndexTeam)</f>
        <v>89530549.898167014</v>
      </c>
      <c r="L30" s="2398"/>
      <c r="M30" s="2398">
        <f>INDEX(finPNLReg2Prod2Emp2Exp, xxIndexTeam)</f>
        <v>0</v>
      </c>
      <c r="N30" s="1831"/>
      <c r="O30" s="2391">
        <f>SUM(G30:M30)</f>
        <v>312500000</v>
      </c>
      <c r="P30" s="1835"/>
      <c r="Q30" s="486"/>
    </row>
    <row r="31" spans="2:17">
      <c r="B31" s="1830"/>
      <c r="C31" s="1831"/>
      <c r="D31" s="1681"/>
      <c r="E31" s="1831" t="s">
        <v>1534</v>
      </c>
      <c r="F31" s="1831"/>
      <c r="G31" s="2398">
        <f>INDEX(finPNLReg2Prod1AdvExp, xxIndexTeam)</f>
        <v>80000000</v>
      </c>
      <c r="H31" s="1831"/>
      <c r="I31" s="2398">
        <f>INDEX(finPNLReg2Prod3AdvExp, xxIndexTeam)</f>
        <v>65000000</v>
      </c>
      <c r="J31" s="1831"/>
      <c r="K31" s="2398">
        <f>INDEX(finPNLReg2Prod4AdvExp, xxIndexTeam)</f>
        <v>52000000</v>
      </c>
      <c r="L31" s="2398"/>
      <c r="M31" s="2398">
        <f>INDEX(finPNLReg2Prod2AdvExp, xxIndexTeam)</f>
        <v>0</v>
      </c>
      <c r="N31" s="1831"/>
      <c r="O31" s="2391">
        <f>SUM(G31:M31)</f>
        <v>197000000</v>
      </c>
      <c r="P31" s="1835"/>
      <c r="Q31" s="486"/>
    </row>
    <row r="32" spans="2:17" ht="5.0999999999999996" customHeight="1">
      <c r="B32" s="1830"/>
      <c r="C32" s="1831"/>
      <c r="D32" s="1831"/>
      <c r="E32" s="1831"/>
      <c r="F32" s="1831"/>
      <c r="G32" s="2393"/>
      <c r="H32" s="2393"/>
      <c r="I32" s="2393"/>
      <c r="J32" s="2393"/>
      <c r="K32" s="2393"/>
      <c r="L32" s="2393"/>
      <c r="M32" s="2393"/>
      <c r="N32" s="2393"/>
      <c r="O32" s="2393"/>
      <c r="P32" s="2387"/>
      <c r="Q32" s="500"/>
    </row>
    <row r="33" spans="2:18" ht="11.25" customHeight="1">
      <c r="B33" s="1830"/>
      <c r="C33" s="1831"/>
      <c r="D33" s="1681" t="s">
        <v>3169</v>
      </c>
      <c r="E33" s="1831"/>
      <c r="F33" s="1831"/>
      <c r="G33" s="2346">
        <f>SUM(G30:G31)</f>
        <v>198150712.83095723</v>
      </c>
      <c r="H33" s="2393"/>
      <c r="I33" s="2346">
        <f>SUM(I30:I31)</f>
        <v>169818737.27087575</v>
      </c>
      <c r="J33" s="2393"/>
      <c r="K33" s="2346">
        <f>SUM(K30:K31)</f>
        <v>141530549.89816701</v>
      </c>
      <c r="L33" s="2346"/>
      <c r="M33" s="2346">
        <f>SUM(M30:M31)</f>
        <v>0</v>
      </c>
      <c r="N33" s="2393"/>
      <c r="O33" s="2346">
        <f>SUM(O30:O31)</f>
        <v>509500000</v>
      </c>
      <c r="P33" s="2387"/>
      <c r="Q33" s="500"/>
      <c r="R33" s="1077"/>
    </row>
    <row r="34" spans="2:18">
      <c r="B34" s="1830"/>
      <c r="C34" s="1831"/>
      <c r="D34" s="1831"/>
      <c r="E34" s="1831"/>
      <c r="F34" s="1831"/>
      <c r="G34" s="2393"/>
      <c r="H34" s="2393"/>
      <c r="I34" s="2393"/>
      <c r="J34" s="2393"/>
      <c r="K34" s="2393"/>
      <c r="L34" s="2393"/>
      <c r="M34" s="2393"/>
      <c r="N34" s="2393"/>
      <c r="O34" s="2393"/>
      <c r="P34" s="2387"/>
      <c r="Q34" s="500"/>
    </row>
    <row r="35" spans="2:18">
      <c r="B35" s="1830"/>
      <c r="C35" s="1831"/>
      <c r="D35" s="1681" t="s">
        <v>1394</v>
      </c>
      <c r="E35" s="1831"/>
      <c r="F35" s="1831"/>
      <c r="G35" s="2393"/>
      <c r="H35" s="2393"/>
      <c r="I35" s="2393"/>
      <c r="J35" s="2393"/>
      <c r="K35" s="2393"/>
      <c r="L35" s="2393"/>
      <c r="M35" s="2393"/>
      <c r="N35" s="2393"/>
      <c r="O35" s="2393"/>
      <c r="P35" s="2387"/>
      <c r="Q35" s="500"/>
    </row>
    <row r="36" spans="2:18">
      <c r="B36" s="1830"/>
      <c r="C36" s="1831"/>
      <c r="D36" s="1831"/>
      <c r="E36" s="1831" t="s">
        <v>1535</v>
      </c>
      <c r="F36" s="1831"/>
      <c r="G36" s="2393">
        <f ca="1">INDEX(finPNLReg2Prod1InventoryHndlgExp, xxIndexTeam)</f>
        <v>14276836.192247644</v>
      </c>
      <c r="H36" s="2393"/>
      <c r="I36" s="2393">
        <f ca="1">INDEX(finPNLReg2Prod3InventoryHndlgExp, xxIndexTeam)</f>
        <v>18338917.750034995</v>
      </c>
      <c r="J36" s="2393"/>
      <c r="K36" s="2393">
        <f ca="1">INDEX(finPNLReg2Prod4InventoryHndlgExp, xxIndexTeam)</f>
        <v>16326974.929445829</v>
      </c>
      <c r="L36" s="2393"/>
      <c r="M36" s="2393">
        <f>INDEX(finPNLReg2Prod2InventoryHndlgExp, xxIndexTeam)</f>
        <v>0</v>
      </c>
      <c r="N36" s="2393"/>
      <c r="O36" s="2393">
        <f ca="1">SUM(G36:M36)</f>
        <v>48942728.871728465</v>
      </c>
      <c r="P36" s="2387"/>
      <c r="Q36" s="500"/>
    </row>
    <row r="37" spans="2:18">
      <c r="B37" s="1830"/>
      <c r="C37" s="1831"/>
      <c r="D37" s="1831"/>
      <c r="E37" s="1831" t="s">
        <v>2544</v>
      </c>
      <c r="F37" s="1831"/>
      <c r="G37" s="2393">
        <f>INDEX(finPNLReg2Prod1COGSDistExp, xxIndexTeam)</f>
        <v>337596374.32957047</v>
      </c>
      <c r="H37" s="2393"/>
      <c r="I37" s="2393">
        <f>INDEX(finPNLReg2Prod3COGSDistExp, xxIndexTeam)</f>
        <v>262228100.90399998</v>
      </c>
      <c r="J37" s="2393"/>
      <c r="K37" s="2393">
        <f>INDEX(finPNLReg2Prod4COGSDistExp, xxIndexTeam)</f>
        <v>241652986.51764721</v>
      </c>
      <c r="L37" s="2393"/>
      <c r="M37" s="2393">
        <f>INDEX(finPNLReg2Prod2COGSDistExp, xxIndexTeam)</f>
        <v>0</v>
      </c>
      <c r="N37" s="2393"/>
      <c r="O37" s="2393">
        <f>SUM(G37:M37)</f>
        <v>841477461.7512176</v>
      </c>
      <c r="P37" s="2387"/>
      <c r="Q37" s="500"/>
    </row>
    <row r="38" spans="2:18" ht="5.0999999999999996" customHeight="1">
      <c r="B38" s="1830"/>
      <c r="C38" s="1831"/>
      <c r="D38" s="1831"/>
      <c r="E38" s="1831"/>
      <c r="F38" s="1831"/>
      <c r="G38" s="2393"/>
      <c r="H38" s="2393"/>
      <c r="I38" s="2393"/>
      <c r="J38" s="2393"/>
      <c r="K38" s="2393"/>
      <c r="L38" s="2393"/>
      <c r="M38" s="2393"/>
      <c r="N38" s="2393"/>
      <c r="O38" s="2393"/>
      <c r="P38" s="2387"/>
      <c r="Q38" s="500"/>
    </row>
    <row r="39" spans="2:18" ht="11.25" customHeight="1">
      <c r="B39" s="1830"/>
      <c r="C39" s="1831"/>
      <c r="D39" s="1681" t="s">
        <v>2995</v>
      </c>
      <c r="E39" s="1831"/>
      <c r="F39" s="1831"/>
      <c r="G39" s="2346">
        <f ca="1">SUM(G36:G37)</f>
        <v>351873210.5218181</v>
      </c>
      <c r="H39" s="2393" t="s">
        <v>3795</v>
      </c>
      <c r="I39" s="2346">
        <f ca="1">SUM(I36:I37)</f>
        <v>280567018.65403497</v>
      </c>
      <c r="J39" s="2393"/>
      <c r="K39" s="2346">
        <f ca="1">SUM(K36:K37)</f>
        <v>257979961.44709304</v>
      </c>
      <c r="L39" s="2346"/>
      <c r="M39" s="2346">
        <f>SUM(M36:M37)</f>
        <v>0</v>
      </c>
      <c r="N39" s="2393"/>
      <c r="O39" s="2346">
        <f ca="1">SUM(O36:O37)</f>
        <v>890420190.62294602</v>
      </c>
      <c r="P39" s="2387"/>
      <c r="Q39" s="500"/>
    </row>
    <row r="40" spans="2:18">
      <c r="B40" s="1830"/>
      <c r="C40" s="1831"/>
      <c r="D40" s="1831"/>
      <c r="E40" s="1831"/>
      <c r="F40" s="1831"/>
      <c r="G40" s="2393"/>
      <c r="H40" s="2393"/>
      <c r="I40" s="2393"/>
      <c r="J40" s="2393"/>
      <c r="K40" s="2393"/>
      <c r="L40" s="2393"/>
      <c r="M40" s="2393"/>
      <c r="N40" s="2393"/>
      <c r="O40" s="2393"/>
      <c r="P40" s="2387"/>
      <c r="Q40" s="500"/>
    </row>
    <row r="41" spans="2:18">
      <c r="B41" s="1830"/>
      <c r="C41" s="1831"/>
      <c r="D41" s="1681" t="s">
        <v>3242</v>
      </c>
      <c r="E41" s="1831"/>
      <c r="F41" s="1831"/>
      <c r="G41" s="2393"/>
      <c r="H41" s="2393"/>
      <c r="I41" s="2393"/>
      <c r="J41" s="2393"/>
      <c r="K41" s="2393"/>
      <c r="L41" s="2393"/>
      <c r="M41" s="2393"/>
      <c r="N41" s="2393"/>
      <c r="O41" s="2393"/>
      <c r="P41" s="2387"/>
      <c r="Q41" s="500"/>
    </row>
    <row r="42" spans="2:18">
      <c r="B42" s="1830"/>
      <c r="C42" s="1831"/>
      <c r="D42" s="1831"/>
      <c r="E42" s="1831" t="s">
        <v>3243</v>
      </c>
      <c r="F42" s="1831"/>
      <c r="G42" s="2393">
        <f>INDEX(finPNLReg2Prod1EmpAdminExp, xxIndexTeam)</f>
        <v>31164305.072329596</v>
      </c>
      <c r="H42" s="2393"/>
      <c r="I42" s="2393">
        <f>INDEX(finPNLReg2Prod3EmpAdminExp, xxIndexTeam)</f>
        <v>25737959.877061605</v>
      </c>
      <c r="J42" s="2393"/>
      <c r="K42" s="2393">
        <f>INDEX(finPNLReg2Prod4EmpAdminExp, xxIndexTeam)</f>
        <v>22400512.115640223</v>
      </c>
      <c r="L42" s="2393"/>
      <c r="M42" s="2393">
        <f>INDEX(finPNLReg2Prod2EmpAdminExp, xxIndexTeam)</f>
        <v>0</v>
      </c>
      <c r="N42" s="2393"/>
      <c r="O42" s="2393">
        <f>SUM(G42:M42)</f>
        <v>79302777.065031424</v>
      </c>
      <c r="P42" s="2387"/>
      <c r="Q42" s="500"/>
    </row>
    <row r="43" spans="2:18">
      <c r="B43" s="1830"/>
      <c r="C43" s="1831"/>
      <c r="D43" s="1831"/>
      <c r="E43" s="1831" t="s">
        <v>3244</v>
      </c>
      <c r="F43" s="1831"/>
      <c r="G43" s="2393">
        <f>INDEX(finPNLReg2Prod1EmpRecDismExp, xxIndexTeam)</f>
        <v>2451824.4129451467</v>
      </c>
      <c r="H43" s="2393"/>
      <c r="I43" s="2393">
        <f>INDEX(finPNLReg2Prod3EmpRecDismExp, xxIndexTeam)</f>
        <v>2349822.0614004023</v>
      </c>
      <c r="J43" s="2393"/>
      <c r="K43" s="2393">
        <f>INDEX(finPNLReg2Prod4EmpRecDismExp, xxIndexTeam)</f>
        <v>2157522.120385272</v>
      </c>
      <c r="L43" s="2393"/>
      <c r="M43" s="2393">
        <f>INDEX(finPNLReg2Prod2EmpRecDismExp, xxIndexTeam)</f>
        <v>0</v>
      </c>
      <c r="N43" s="2393"/>
      <c r="O43" s="2393">
        <f>SUM(G43:M43)</f>
        <v>6959168.5947308205</v>
      </c>
      <c r="P43" s="2387"/>
      <c r="Q43" s="500"/>
    </row>
    <row r="44" spans="2:18">
      <c r="B44" s="1830"/>
      <c r="C44" s="1831"/>
      <c r="D44" s="1831"/>
      <c r="E44" s="1831" t="s">
        <v>1937</v>
      </c>
      <c r="F44" s="1831"/>
      <c r="G44" s="2393">
        <f>INDEX(finPNLReg2Prod1FixedAdminExp, xxIndexTeam)</f>
        <v>120232720.6012</v>
      </c>
      <c r="H44" s="2393"/>
      <c r="I44" s="2393">
        <f>INDEX(finPNLReg2Prod3FixedAdminExp, xxIndexTeam)</f>
        <v>120363008</v>
      </c>
      <c r="J44" s="2393"/>
      <c r="K44" s="2393">
        <f>INDEX(finPNLReg2Prod4FixedAdminExp, xxIndexTeam)</f>
        <v>88328625.920000002</v>
      </c>
      <c r="L44" s="2393"/>
      <c r="M44" s="2393">
        <f>INDEX(finPNLReg2Prod2FixedAdminExp, xxIndexTeam)</f>
        <v>0</v>
      </c>
      <c r="N44" s="2393"/>
      <c r="O44" s="2393">
        <f>SUM(G44:M44)</f>
        <v>328924354.5212</v>
      </c>
      <c r="P44" s="2387"/>
      <c r="Q44" s="500"/>
    </row>
    <row r="45" spans="2:18" ht="5.0999999999999996" customHeight="1">
      <c r="B45" s="1830"/>
      <c r="C45" s="1831"/>
      <c r="D45" s="1831"/>
      <c r="E45" s="1831"/>
      <c r="F45" s="1831"/>
      <c r="G45" s="2393"/>
      <c r="H45" s="2393"/>
      <c r="I45" s="2393"/>
      <c r="J45" s="2393"/>
      <c r="K45" s="2393"/>
      <c r="L45" s="2393"/>
      <c r="M45" s="2393"/>
      <c r="N45" s="2393"/>
      <c r="O45" s="2393"/>
      <c r="P45" s="2387"/>
      <c r="Q45" s="500"/>
    </row>
    <row r="46" spans="2:18">
      <c r="B46" s="1830"/>
      <c r="C46" s="1831"/>
      <c r="D46" s="1681" t="s">
        <v>3245</v>
      </c>
      <c r="E46" s="1681"/>
      <c r="F46" s="1681"/>
      <c r="G46" s="2346">
        <f>SUM(G42:G44)</f>
        <v>153848850.08647475</v>
      </c>
      <c r="H46" s="2393"/>
      <c r="I46" s="2346">
        <f>SUM(I42:I44)</f>
        <v>148450789.93846202</v>
      </c>
      <c r="J46" s="2393"/>
      <c r="K46" s="2346">
        <f>SUM(K42:K44)</f>
        <v>112886660.1560255</v>
      </c>
      <c r="L46" s="2346"/>
      <c r="M46" s="2346">
        <f>SUM(M42:M44)</f>
        <v>0</v>
      </c>
      <c r="N46" s="2393"/>
      <c r="O46" s="2346">
        <f>SUM(O42:O44)</f>
        <v>415186300.18096226</v>
      </c>
      <c r="P46" s="2387"/>
      <c r="Q46" s="500"/>
    </row>
    <row r="47" spans="2:18">
      <c r="B47" s="1830"/>
      <c r="C47" s="1831"/>
      <c r="D47" s="1831"/>
      <c r="E47" s="1831"/>
      <c r="F47" s="1831"/>
      <c r="G47" s="2393"/>
      <c r="H47" s="2393"/>
      <c r="I47" s="2393"/>
      <c r="J47" s="2393"/>
      <c r="K47" s="2393"/>
      <c r="L47" s="2393"/>
      <c r="M47" s="2393"/>
      <c r="N47" s="2393"/>
      <c r="O47" s="2393"/>
      <c r="P47" s="2387"/>
      <c r="Q47" s="500"/>
    </row>
    <row r="48" spans="2:18" ht="12.75">
      <c r="B48" s="1830"/>
      <c r="C48" s="1936"/>
      <c r="D48" s="1683" t="s">
        <v>2088</v>
      </c>
      <c r="E48" s="1831"/>
      <c r="F48" s="1681"/>
      <c r="G48" s="2399">
        <f ca="1">SUM(G46,G39,G33)</f>
        <v>703872773.43924999</v>
      </c>
      <c r="H48" s="2393"/>
      <c r="I48" s="2399">
        <f ca="1">SUM(I46,I39,I33)</f>
        <v>598836545.8633728</v>
      </c>
      <c r="J48" s="2393"/>
      <c r="K48" s="2399">
        <f ca="1">SUM(K46,K39,K33)</f>
        <v>512397171.50128555</v>
      </c>
      <c r="L48" s="2352"/>
      <c r="M48" s="2399">
        <f>SUM(M46,M39,M33)</f>
        <v>0</v>
      </c>
      <c r="N48" s="2393"/>
      <c r="O48" s="2399">
        <f ca="1">SUM(O46,O39,O33)</f>
        <v>1815106490.8039083</v>
      </c>
      <c r="P48" s="2387"/>
      <c r="Q48" s="500"/>
    </row>
    <row r="49" spans="2:17" ht="12.75">
      <c r="B49" s="1830"/>
      <c r="C49" s="1936"/>
      <c r="D49" s="1683"/>
      <c r="E49" s="2147" t="s">
        <v>1450</v>
      </c>
      <c r="F49" s="1681"/>
      <c r="G49" s="2383">
        <f ca="1">G48/G7</f>
        <v>1.972737593719871</v>
      </c>
      <c r="H49" s="2384"/>
      <c r="I49" s="2383">
        <f ca="1">I48/I7</f>
        <v>2.4442307994423378</v>
      </c>
      <c r="J49" s="2384"/>
      <c r="K49" s="2383">
        <f ca="1">K48/K7</f>
        <v>2.2773207622279359</v>
      </c>
      <c r="L49" s="2383"/>
      <c r="M49" s="2383">
        <f>IF(M7=0,0,M48/M7)</f>
        <v>0</v>
      </c>
      <c r="N49" s="2393"/>
      <c r="O49" s="2352"/>
      <c r="P49" s="2387"/>
      <c r="Q49" s="500"/>
    </row>
    <row r="50" spans="2:17">
      <c r="B50" s="1830"/>
      <c r="C50" s="1831"/>
      <c r="D50" s="1681"/>
      <c r="E50" s="1681"/>
      <c r="F50" s="1681"/>
      <c r="G50" s="2346"/>
      <c r="H50" s="2393"/>
      <c r="I50" s="2393"/>
      <c r="J50" s="2393"/>
      <c r="K50" s="2393"/>
      <c r="L50" s="2393"/>
      <c r="M50" s="2393"/>
      <c r="N50" s="2393"/>
      <c r="O50" s="2393"/>
      <c r="P50" s="2387"/>
      <c r="Q50" s="500"/>
    </row>
    <row r="51" spans="2:17">
      <c r="B51" s="1830"/>
      <c r="C51" s="1831"/>
      <c r="D51" s="1681" t="s">
        <v>2875</v>
      </c>
      <c r="E51" s="1681"/>
      <c r="F51" s="1681"/>
      <c r="G51" s="2393"/>
      <c r="H51" s="2393"/>
      <c r="I51" s="2393"/>
      <c r="J51" s="2393"/>
      <c r="K51" s="2393"/>
      <c r="L51" s="2393"/>
      <c r="M51" s="2393"/>
      <c r="N51" s="2393"/>
      <c r="O51" s="2393"/>
      <c r="P51" s="2387"/>
      <c r="Q51" s="500"/>
    </row>
    <row r="52" spans="2:17">
      <c r="B52" s="1830"/>
      <c r="C52" s="1831"/>
      <c r="D52" s="1681"/>
      <c r="E52" s="1832" t="s">
        <v>2498</v>
      </c>
      <c r="F52" s="1681"/>
      <c r="G52" s="2393"/>
      <c r="H52" s="2393"/>
      <c r="I52" s="2393"/>
      <c r="J52" s="2393"/>
      <c r="K52" s="2393"/>
      <c r="L52" s="2393"/>
      <c r="M52" s="2393"/>
      <c r="N52" s="2393"/>
      <c r="O52" s="2393">
        <f ca="1">INDEX(finPNLReg2InEffExp, xxIndexTeam)</f>
        <v>65869183.471098661</v>
      </c>
      <c r="P52" s="2387"/>
      <c r="Q52" s="500"/>
    </row>
    <row r="53" spans="2:17">
      <c r="B53" s="1830"/>
      <c r="C53" s="1831"/>
      <c r="D53" s="1681"/>
      <c r="E53" s="1832" t="s">
        <v>2472</v>
      </c>
      <c r="F53" s="1681"/>
      <c r="G53" s="2393"/>
      <c r="H53" s="2393"/>
      <c r="I53" s="2393"/>
      <c r="J53" s="2393"/>
      <c r="K53" s="2393"/>
      <c r="L53" s="2393"/>
      <c r="M53" s="2393"/>
      <c r="N53" s="2393"/>
      <c r="O53" s="2393">
        <f ca="1">INDEX(finPNLReg2ExcapExp, xxIndexTeam)</f>
        <v>0</v>
      </c>
      <c r="P53" s="2387"/>
      <c r="Q53" s="500"/>
    </row>
    <row r="54" spans="2:17" ht="11.25" customHeight="1">
      <c r="B54" s="1830"/>
      <c r="C54" s="1831"/>
      <c r="D54" s="1681"/>
      <c r="E54" s="1832" t="s">
        <v>284</v>
      </c>
      <c r="F54" s="1681"/>
      <c r="G54" s="2393">
        <f ca="1">INDEX(finPNLReg2Prod1DisposalExp, xxIndexTeam)</f>
        <v>4875250.8117562346</v>
      </c>
      <c r="H54" s="2393"/>
      <c r="I54" s="2393">
        <f ca="1">INDEX(finPNLReg2Prod3DisposalExp, xxIndexTeam)</f>
        <v>26565769.104291297</v>
      </c>
      <c r="J54" s="2393"/>
      <c r="K54" s="2393">
        <f ca="1">INDEX(finPNLReg2Prod4DisposalExp, xxIndexTeam)</f>
        <v>26895574.697045017</v>
      </c>
      <c r="L54" s="2393"/>
      <c r="M54" s="2393">
        <f>INDEX(finPNLReg2Prod2DisposalExp, xxIndexTeam)</f>
        <v>0</v>
      </c>
      <c r="N54" s="2393"/>
      <c r="O54" s="2393">
        <f ca="1">SUM(G54:M54)</f>
        <v>58336594.613092549</v>
      </c>
      <c r="P54" s="2387"/>
      <c r="Q54" s="500"/>
    </row>
    <row r="55" spans="2:17" ht="11.25" customHeight="1">
      <c r="B55" s="1830"/>
      <c r="C55" s="1831"/>
      <c r="D55" s="1681"/>
      <c r="E55" s="1832" t="s">
        <v>1829</v>
      </c>
      <c r="F55" s="1681"/>
      <c r="G55" s="2400">
        <f ca="1">INDEX(finPNLReg2Prod1SpecProgExp, xxIndexTeam)</f>
        <v>0</v>
      </c>
      <c r="H55" s="2393"/>
      <c r="I55" s="2400">
        <f ca="1">INDEX(finPNLReg2Prod3SpecProgExp, xxIndexTeam)</f>
        <v>0</v>
      </c>
      <c r="J55" s="2393"/>
      <c r="K55" s="2400">
        <f ca="1">INDEX(finPNLReg2Prod4SpecProgExp, xxIndexTeam)</f>
        <v>0</v>
      </c>
      <c r="L55" s="2400"/>
      <c r="M55" s="2400">
        <v>0</v>
      </c>
      <c r="N55" s="2393"/>
      <c r="O55" s="2393">
        <f ca="1">SUM(G55:M55)</f>
        <v>0</v>
      </c>
      <c r="P55" s="2387"/>
      <c r="Q55" s="500"/>
    </row>
    <row r="56" spans="2:17" ht="5.0999999999999996" customHeight="1">
      <c r="B56" s="1830"/>
      <c r="C56" s="1831"/>
      <c r="D56" s="1831"/>
      <c r="E56" s="1831"/>
      <c r="F56" s="1831"/>
      <c r="G56" s="2393"/>
      <c r="H56" s="2393"/>
      <c r="I56" s="2393"/>
      <c r="J56" s="2393"/>
      <c r="K56" s="2393"/>
      <c r="L56" s="2393"/>
      <c r="M56" s="2393"/>
      <c r="N56" s="2393"/>
      <c r="O56" s="2393"/>
      <c r="P56" s="2387"/>
      <c r="Q56" s="500"/>
    </row>
    <row r="57" spans="2:17" ht="11.25" customHeight="1">
      <c r="B57" s="1830"/>
      <c r="C57" s="1831"/>
      <c r="D57" s="1681" t="s">
        <v>3757</v>
      </c>
      <c r="E57" s="1831"/>
      <c r="F57" s="1831"/>
      <c r="G57" s="2346">
        <f ca="1">SUM(G52:G55)</f>
        <v>4875250.8117562346</v>
      </c>
      <c r="H57" s="2346"/>
      <c r="I57" s="2346">
        <f ca="1">SUM(I52:I55)</f>
        <v>26565769.104291297</v>
      </c>
      <c r="J57" s="2346"/>
      <c r="K57" s="2346">
        <f ca="1">SUM(K52:K55)</f>
        <v>26895574.697045017</v>
      </c>
      <c r="L57" s="2346"/>
      <c r="M57" s="2346">
        <f>SUM(M52:M55)</f>
        <v>0</v>
      </c>
      <c r="N57" s="2346"/>
      <c r="O57" s="2346">
        <f ca="1">SUM(O52:O55)</f>
        <v>124205778.0841912</v>
      </c>
      <c r="P57" s="2387"/>
      <c r="Q57" s="500"/>
    </row>
    <row r="58" spans="2:17" ht="5.0999999999999996" customHeight="1">
      <c r="B58" s="1830"/>
      <c r="C58" s="1831"/>
      <c r="D58" s="1831"/>
      <c r="E58" s="1831"/>
      <c r="F58" s="1831"/>
      <c r="G58" s="2393"/>
      <c r="H58" s="2393"/>
      <c r="I58" s="2393"/>
      <c r="J58" s="2393"/>
      <c r="K58" s="2393"/>
      <c r="L58" s="2393"/>
      <c r="M58" s="2393"/>
      <c r="N58" s="2393"/>
      <c r="O58" s="2393"/>
      <c r="P58" s="2387"/>
      <c r="Q58" s="500"/>
    </row>
    <row r="59" spans="2:17" ht="12.75" customHeight="1">
      <c r="B59" s="1830"/>
      <c r="C59" s="1676" t="s">
        <v>3131</v>
      </c>
      <c r="D59" s="1831"/>
      <c r="E59" s="1831"/>
      <c r="F59" s="1831"/>
      <c r="G59" s="2399">
        <f ca="1">G48+G57</f>
        <v>708748024.25100625</v>
      </c>
      <c r="H59" s="2352"/>
      <c r="I59" s="2399">
        <f ca="1">I48+I57</f>
        <v>625402314.96766412</v>
      </c>
      <c r="J59" s="2352"/>
      <c r="K59" s="2399">
        <f ca="1">K48+K57</f>
        <v>539292746.19833052</v>
      </c>
      <c r="L59" s="2352"/>
      <c r="M59" s="2399">
        <f>M48+M57</f>
        <v>0</v>
      </c>
      <c r="N59" s="2352"/>
      <c r="O59" s="2399">
        <f ca="1">O48+O57</f>
        <v>1939312268.8880997</v>
      </c>
      <c r="P59" s="2387"/>
      <c r="Q59" s="500"/>
    </row>
    <row r="60" spans="2:17" ht="12.75" customHeight="1">
      <c r="B60" s="1830"/>
      <c r="C60" s="1676"/>
      <c r="D60" s="1831"/>
      <c r="E60" s="2147" t="s">
        <v>1451</v>
      </c>
      <c r="F60" s="1831"/>
      <c r="G60" s="2383">
        <f ca="1">G59/G7</f>
        <v>1.9864014132595467</v>
      </c>
      <c r="H60" s="2385"/>
      <c r="I60" s="2383">
        <f ca="1">I59/I7</f>
        <v>2.5526625100720985</v>
      </c>
      <c r="J60" s="2385"/>
      <c r="K60" s="2383">
        <f ca="1">K59/K7</f>
        <v>2.3968566497703581</v>
      </c>
      <c r="L60" s="2383"/>
      <c r="M60" s="2383">
        <f>IF(M7=0,0,M59/M7)</f>
        <v>0</v>
      </c>
      <c r="N60" s="2352"/>
      <c r="O60" s="2352"/>
      <c r="P60" s="2387"/>
      <c r="Q60" s="500"/>
    </row>
    <row r="61" spans="2:17" ht="7.5" customHeight="1">
      <c r="B61" s="1830"/>
      <c r="C61" s="1676"/>
      <c r="D61" s="1831"/>
      <c r="E61" s="2147"/>
      <c r="F61" s="1831"/>
      <c r="G61" s="2383"/>
      <c r="H61" s="2385"/>
      <c r="I61" s="2383"/>
      <c r="J61" s="2385"/>
      <c r="K61" s="2383"/>
      <c r="L61" s="2383"/>
      <c r="M61" s="2383"/>
      <c r="N61" s="2352"/>
      <c r="O61" s="2352"/>
      <c r="P61" s="2387"/>
      <c r="Q61" s="500"/>
    </row>
    <row r="62" spans="2:17" ht="12.75">
      <c r="B62" s="1903"/>
      <c r="C62" s="1679" t="s">
        <v>3763</v>
      </c>
      <c r="D62" s="1676"/>
      <c r="E62" s="1886"/>
      <c r="F62" s="1886"/>
      <c r="G62" s="2401">
        <f ca="1">G26-G59</f>
        <v>541532097.79631436</v>
      </c>
      <c r="H62" s="2352"/>
      <c r="I62" s="2401">
        <f ca="1">I26-I59</f>
        <v>455214311.72071826</v>
      </c>
      <c r="J62" s="2352"/>
      <c r="K62" s="2401">
        <f ca="1">K26-K59</f>
        <v>462030378.33437991</v>
      </c>
      <c r="L62" s="2401"/>
      <c r="M62" s="2401">
        <f>M26-M59</f>
        <v>0</v>
      </c>
      <c r="N62" s="2352"/>
      <c r="O62" s="2401">
        <f ca="1">O26-O59</f>
        <v>1392907604.3803139</v>
      </c>
      <c r="P62" s="2396"/>
      <c r="Q62" s="501"/>
    </row>
    <row r="63" spans="2:17">
      <c r="B63" s="1830"/>
      <c r="C63" s="1831"/>
      <c r="D63" s="1682" t="s">
        <v>1428</v>
      </c>
      <c r="E63" s="1682"/>
      <c r="F63" s="1682"/>
      <c r="G63" s="1976">
        <f ca="1">G62/G14</f>
        <v>0.235182879265315</v>
      </c>
      <c r="H63" s="1976"/>
      <c r="I63" s="1976">
        <f ca="1">I62/I14</f>
        <v>0.19921851716442812</v>
      </c>
      <c r="J63" s="1976"/>
      <c r="K63" s="1976">
        <f ca="1">K62/K14</f>
        <v>0.23939397841159582</v>
      </c>
      <c r="L63" s="1976"/>
      <c r="M63" s="1976">
        <f>IF(M14=0,0,M62/M14)</f>
        <v>0</v>
      </c>
      <c r="N63" s="1976"/>
      <c r="O63" s="1976">
        <f ca="1">O62/O14</f>
        <v>0.21371480366704215</v>
      </c>
      <c r="P63" s="2402"/>
      <c r="Q63" s="484"/>
    </row>
    <row r="64" spans="2:17">
      <c r="B64" s="1830"/>
      <c r="C64" s="1831"/>
      <c r="D64" s="1682"/>
      <c r="E64" s="2403" t="s">
        <v>3764</v>
      </c>
      <c r="F64" s="1682"/>
      <c r="G64" s="2383">
        <f ca="1">G62/G7</f>
        <v>1.5177469108641097</v>
      </c>
      <c r="H64" s="1682"/>
      <c r="I64" s="2383">
        <f ca="1">I62/I7</f>
        <v>1.8580175988600744</v>
      </c>
      <c r="J64" s="1682"/>
      <c r="K64" s="2383">
        <f ca="1">K62/K7</f>
        <v>2.0534683481527995</v>
      </c>
      <c r="L64" s="2383"/>
      <c r="M64" s="2383">
        <f>IF(M7=0,0,M62/M7)</f>
        <v>0</v>
      </c>
      <c r="N64" s="1682"/>
      <c r="O64" s="1682"/>
      <c r="P64" s="2402"/>
      <c r="Q64" s="484"/>
    </row>
    <row r="65" spans="2:17" ht="7.5" customHeight="1" thickBot="1">
      <c r="B65" s="1854"/>
      <c r="C65" s="1850"/>
      <c r="D65" s="1850"/>
      <c r="E65" s="1850"/>
      <c r="F65" s="1850"/>
      <c r="G65" s="2404"/>
      <c r="H65" s="1850"/>
      <c r="I65" s="1850"/>
      <c r="J65" s="1850"/>
      <c r="K65" s="1850"/>
      <c r="L65" s="1850"/>
      <c r="M65" s="1850"/>
      <c r="N65" s="1850"/>
      <c r="O65" s="1850"/>
      <c r="P65" s="1856"/>
      <c r="Q65" s="486"/>
    </row>
    <row r="66" spans="2:17" ht="20.25" customHeight="1" thickBot="1">
      <c r="B66" s="1857"/>
      <c r="C66" s="1858"/>
      <c r="D66" s="1858"/>
      <c r="E66" s="1858"/>
      <c r="F66" s="1858"/>
      <c r="G66" s="1858"/>
      <c r="H66" s="1858"/>
      <c r="I66" s="1858"/>
      <c r="J66" s="1858"/>
      <c r="K66" s="1858"/>
      <c r="L66" s="1858"/>
      <c r="M66" s="1858"/>
      <c r="N66" s="1858"/>
      <c r="O66" s="1858"/>
      <c r="P66" s="1859"/>
    </row>
  </sheetData>
  <phoneticPr fontId="0" type="noConversion"/>
  <printOptions horizontalCentered="1"/>
  <pageMargins left="0.38" right="0.34" top="0.78" bottom="1" header="0.35" footer="0.5"/>
  <pageSetup paperSize="9" scale="90" orientation="portrait" blackAndWhite="1" r:id="rId1"/>
  <headerFooter alignWithMargins="0">
    <oddFooter>&amp;CPage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olBalSheet">
    <tabColor indexed="22"/>
    <pageSetUpPr fitToPage="1"/>
  </sheetPr>
  <dimension ref="B1:V29"/>
  <sheetViews>
    <sheetView showGridLines="0" zoomScale="116" workbookViewId="0">
      <selection activeCell="P14" sqref="P14"/>
    </sheetView>
  </sheetViews>
  <sheetFormatPr defaultRowHeight="11.25"/>
  <cols>
    <col min="1" max="4" width="1.83203125" style="487" customWidth="1"/>
    <col min="5" max="5" width="23.33203125" style="487" customWidth="1"/>
    <col min="6" max="6" width="1.83203125" style="487" customWidth="1"/>
    <col min="7" max="7" width="14.83203125" style="487" customWidth="1"/>
    <col min="8" max="8" width="2.83203125" style="487" customWidth="1"/>
    <col min="9" max="9" width="14.83203125" style="487" customWidth="1"/>
    <col min="10" max="10" width="5" style="487" customWidth="1"/>
    <col min="11" max="13" width="1.83203125" style="487" customWidth="1"/>
    <col min="14" max="14" width="23.33203125" style="487" customWidth="1"/>
    <col min="15" max="15" width="1.83203125" style="487" customWidth="1"/>
    <col min="16" max="16" width="14.83203125" style="487" customWidth="1"/>
    <col min="17" max="17" width="2.83203125" style="487" customWidth="1"/>
    <col min="18" max="18" width="14.83203125" style="487" customWidth="1"/>
    <col min="19" max="19" width="1.83203125" style="487" customWidth="1"/>
    <col min="20" max="16384" width="9.33203125" style="487"/>
  </cols>
  <sheetData>
    <row r="1" spans="2:19" ht="7.5" customHeight="1" thickBot="1"/>
    <row r="2" spans="2:19" ht="23.25" thickBot="1">
      <c r="B2" s="2336" t="str">
        <f xml:space="preserve"> "Balance Sheet Year "&amp;xxYear</f>
        <v>Balance Sheet Year 1</v>
      </c>
      <c r="C2" s="2337"/>
      <c r="D2" s="2337"/>
      <c r="E2" s="2337"/>
      <c r="F2" s="2337"/>
      <c r="G2" s="2337"/>
      <c r="H2" s="2337"/>
      <c r="I2" s="2337"/>
      <c r="J2" s="2337"/>
      <c r="K2" s="2337"/>
      <c r="L2" s="2337"/>
      <c r="M2" s="2337"/>
      <c r="N2" s="2337"/>
      <c r="O2" s="2337"/>
      <c r="P2" s="2337"/>
      <c r="Q2" s="2337"/>
      <c r="R2" s="2337"/>
      <c r="S2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3" spans="2:19">
      <c r="B3" s="2338" t="s">
        <v>3247</v>
      </c>
      <c r="C3" s="2339"/>
      <c r="D3" s="2339"/>
      <c r="E3" s="2339"/>
      <c r="F3" s="2339"/>
      <c r="G3" s="2339"/>
      <c r="H3" s="2339"/>
      <c r="I3" s="2339"/>
      <c r="J3" s="2339"/>
      <c r="K3" s="2339"/>
      <c r="L3" s="2339"/>
      <c r="M3" s="2339"/>
      <c r="N3" s="2339"/>
      <c r="O3" s="2339"/>
      <c r="P3" s="2339"/>
      <c r="Q3" s="2339"/>
      <c r="R3" s="2339"/>
      <c r="S3" s="2340"/>
    </row>
    <row r="4" spans="2:19">
      <c r="B4" s="1851"/>
      <c r="C4" s="1681"/>
      <c r="D4" s="1681"/>
      <c r="E4" s="1681"/>
      <c r="F4" s="1681"/>
      <c r="G4" s="1681"/>
      <c r="H4" s="1681"/>
      <c r="I4" s="1681"/>
      <c r="J4" s="1681"/>
      <c r="K4" s="1681"/>
      <c r="L4" s="1681"/>
      <c r="M4" s="1681"/>
      <c r="N4" s="1681"/>
      <c r="O4" s="1681"/>
      <c r="P4" s="1681"/>
      <c r="Q4" s="1681"/>
      <c r="R4" s="1681"/>
      <c r="S4" s="2341"/>
    </row>
    <row r="5" spans="2:19" s="1082" customFormat="1" ht="15.75" thickBot="1">
      <c r="B5" s="2366"/>
      <c r="C5" s="2367" t="s">
        <v>1429</v>
      </c>
      <c r="D5" s="2367"/>
      <c r="E5" s="2367"/>
      <c r="F5" s="1925"/>
      <c r="G5" s="2368" t="str">
        <f>"Year  " &amp;xxYear</f>
        <v>Year  1</v>
      </c>
      <c r="H5" s="1925"/>
      <c r="I5" s="2368" t="str">
        <f>"Year  " &amp;xxYear-1</f>
        <v>Year  0</v>
      </c>
      <c r="J5" s="1925"/>
      <c r="K5" s="2367" t="s">
        <v>3672</v>
      </c>
      <c r="L5" s="2367"/>
      <c r="M5" s="2367"/>
      <c r="N5" s="2367"/>
      <c r="O5" s="2367"/>
      <c r="P5" s="2368" t="str">
        <f>"Year  " &amp;xxYear</f>
        <v>Year  1</v>
      </c>
      <c r="Q5" s="1925"/>
      <c r="R5" s="2368" t="str">
        <f>"Year  " &amp;xxYear-1</f>
        <v>Year  0</v>
      </c>
      <c r="S5" s="2369"/>
    </row>
    <row r="6" spans="2:19">
      <c r="B6" s="1851"/>
      <c r="C6" s="1681"/>
      <c r="D6" s="1681"/>
      <c r="E6" s="1681"/>
      <c r="F6" s="1681"/>
      <c r="G6" s="1681"/>
      <c r="H6" s="1681"/>
      <c r="I6" s="1681"/>
      <c r="J6" s="1681"/>
      <c r="K6" s="1681"/>
      <c r="L6" s="1681"/>
      <c r="M6" s="1681"/>
      <c r="N6" s="1681"/>
      <c r="O6" s="1681"/>
      <c r="P6" s="1681"/>
      <c r="Q6" s="1681"/>
      <c r="R6" s="1681"/>
      <c r="S6" s="2341"/>
    </row>
    <row r="7" spans="2:19">
      <c r="B7" s="1851"/>
      <c r="C7" s="1681"/>
      <c r="D7" s="1681" t="s">
        <v>1842</v>
      </c>
      <c r="E7" s="1681"/>
      <c r="F7" s="1681"/>
      <c r="G7" s="1681"/>
      <c r="H7" s="1681"/>
      <c r="I7" s="1681"/>
      <c r="J7" s="1681"/>
      <c r="K7" s="1681"/>
      <c r="L7" s="1681" t="s">
        <v>1432</v>
      </c>
      <c r="M7" s="1681"/>
      <c r="N7" s="1681"/>
      <c r="O7" s="1681"/>
      <c r="P7" s="1681"/>
      <c r="Q7" s="1681"/>
      <c r="R7" s="1681"/>
      <c r="S7" s="2341"/>
    </row>
    <row r="8" spans="2:19">
      <c r="B8" s="1851"/>
      <c r="C8" s="1681"/>
      <c r="D8" s="1681"/>
      <c r="E8" s="1681" t="s">
        <v>1840</v>
      </c>
      <c r="F8" s="1681"/>
      <c r="G8" s="2346">
        <f ca="1">INDEX(cbalCashValue,xxIndexTeam)</f>
        <v>6695625983.2060633</v>
      </c>
      <c r="H8" s="2370"/>
      <c r="I8" s="2346">
        <f>INDEX(obalCashValue,xxIndexTeam)</f>
        <v>4959719052.5716419</v>
      </c>
      <c r="J8" s="1681"/>
      <c r="K8" s="1681"/>
      <c r="L8" s="1681"/>
      <c r="M8" s="1681" t="s">
        <v>1847</v>
      </c>
      <c r="N8" s="1681"/>
      <c r="O8" s="1681"/>
      <c r="P8" s="1681"/>
      <c r="Q8" s="1681"/>
      <c r="R8" s="1681"/>
      <c r="S8" s="2341"/>
    </row>
    <row r="9" spans="2:19">
      <c r="B9" s="1851"/>
      <c r="C9" s="1681"/>
      <c r="D9" s="1681"/>
      <c r="E9" s="1681" t="s">
        <v>1430</v>
      </c>
      <c r="F9" s="1681"/>
      <c r="G9" s="2346"/>
      <c r="H9" s="2346"/>
      <c r="I9" s="2346"/>
      <c r="J9" s="1681"/>
      <c r="K9" s="1681"/>
      <c r="L9" s="1681"/>
      <c r="M9" s="1681"/>
      <c r="N9" s="1681" t="s">
        <v>3505</v>
      </c>
      <c r="O9" s="1681"/>
      <c r="P9" s="2346">
        <f ca="1">INDEX(cbalAPValue,xxIndexTeam)</f>
        <v>2290770901.6469336</v>
      </c>
      <c r="Q9" s="2346"/>
      <c r="R9" s="2346">
        <f>INDEX(obalAPValue,xxIndexTeam)</f>
        <v>2287916269.7719607</v>
      </c>
      <c r="S9" s="2341"/>
    </row>
    <row r="10" spans="2:19">
      <c r="B10" s="1851"/>
      <c r="C10" s="1831"/>
      <c r="D10" s="1831"/>
      <c r="E10" s="2371" t="s">
        <v>1598</v>
      </c>
      <c r="F10" s="1831"/>
      <c r="G10" s="2346">
        <f>INDEX(cbalReg1ARValue,xxIndexTeam)</f>
        <v>3194920616.583333</v>
      </c>
      <c r="H10" s="2370"/>
      <c r="I10" s="2346">
        <f>INDEX(obalReg1ARValue,xxIndexTeam)</f>
        <v>3204553030.6666665</v>
      </c>
      <c r="J10" s="1681"/>
      <c r="K10" s="1681"/>
      <c r="L10" s="1681"/>
      <c r="M10" s="1681"/>
      <c r="N10" s="1681" t="s">
        <v>2339</v>
      </c>
      <c r="O10" s="1681"/>
      <c r="P10" s="2346">
        <f>INDEX(cbalOtherCurrLiabValue,xxIndexTeam)</f>
        <v>3630000000.000001</v>
      </c>
      <c r="Q10" s="2346"/>
      <c r="R10" s="2346">
        <f>INDEX(obalOtherCurrLiabValue,xxIndexTeam)</f>
        <v>3300000000.0000005</v>
      </c>
      <c r="S10" s="2341"/>
    </row>
    <row r="11" spans="2:19" ht="12" thickBot="1">
      <c r="B11" s="1851"/>
      <c r="C11" s="1831"/>
      <c r="D11" s="1831"/>
      <c r="E11" s="2371" t="s">
        <v>1599</v>
      </c>
      <c r="F11" s="1831"/>
      <c r="G11" s="2346">
        <f>INDEX(cbalReg2ARValue,xxIndexTeam)</f>
        <v>1162100000</v>
      </c>
      <c r="H11" s="2370"/>
      <c r="I11" s="2346">
        <f>INDEX(obalReg2ARValue,xxIndexTeam)</f>
        <v>1139708960</v>
      </c>
      <c r="J11" s="1681"/>
      <c r="K11" s="1681"/>
      <c r="L11" s="1681"/>
      <c r="M11" s="1849"/>
      <c r="N11" s="1849" t="s">
        <v>2340</v>
      </c>
      <c r="O11" s="1681"/>
      <c r="P11" s="2351">
        <f ca="1">INDEX(cbalSpecLoansValue,xxIndexTeam)</f>
        <v>0</v>
      </c>
      <c r="Q11" s="2346"/>
      <c r="R11" s="2351">
        <f>INDEX(obalSpecLoansValue,xxIndexTeam)</f>
        <v>0</v>
      </c>
      <c r="S11" s="2341"/>
    </row>
    <row r="12" spans="2:19">
      <c r="B12" s="1851"/>
      <c r="C12" s="1681"/>
      <c r="D12" s="2339" t="s">
        <v>1841</v>
      </c>
      <c r="E12" s="2339"/>
      <c r="F12" s="1681"/>
      <c r="G12" s="2372">
        <f ca="1">SUM(G8:G11)</f>
        <v>11052646599.789396</v>
      </c>
      <c r="H12" s="2370"/>
      <c r="I12" s="2372">
        <f>SUM(I8:I11)</f>
        <v>9303981043.238308</v>
      </c>
      <c r="J12" s="1681"/>
      <c r="K12" s="1681"/>
      <c r="L12" s="1681"/>
      <c r="M12" s="1681" t="s">
        <v>2341</v>
      </c>
      <c r="N12" s="1681"/>
      <c r="O12" s="1681"/>
      <c r="P12" s="2346">
        <f ca="1">SUM(P9:P11)</f>
        <v>5920770901.6469345</v>
      </c>
      <c r="Q12" s="2346"/>
      <c r="R12" s="2346">
        <f>SUM(R9:R11)</f>
        <v>5587916269.7719612</v>
      </c>
      <c r="S12" s="2341"/>
    </row>
    <row r="13" spans="2:19">
      <c r="B13" s="1851"/>
      <c r="C13" s="1681"/>
      <c r="D13" s="1681"/>
      <c r="E13" s="1681"/>
      <c r="F13" s="1681"/>
      <c r="G13" s="2346"/>
      <c r="H13" s="2346"/>
      <c r="I13" s="2346"/>
      <c r="J13" s="1681"/>
      <c r="K13" s="1681"/>
      <c r="L13" s="1681"/>
      <c r="M13" s="1681"/>
      <c r="N13" s="1681"/>
      <c r="O13" s="1681"/>
      <c r="P13" s="2346"/>
      <c r="Q13" s="2346"/>
      <c r="R13" s="2346"/>
      <c r="S13" s="2341"/>
    </row>
    <row r="14" spans="2:19">
      <c r="B14" s="1851"/>
      <c r="C14" s="1681"/>
      <c r="D14" s="1681" t="s">
        <v>1935</v>
      </c>
      <c r="E14" s="1681"/>
      <c r="F14" s="1681"/>
      <c r="G14" s="2346"/>
      <c r="H14" s="2346"/>
      <c r="I14" s="2346"/>
      <c r="J14" s="1681"/>
      <c r="K14" s="1681"/>
      <c r="L14" s="1681"/>
      <c r="M14" s="1681" t="s">
        <v>1433</v>
      </c>
      <c r="N14" s="1681"/>
      <c r="O14" s="1681"/>
      <c r="P14" s="2346">
        <f>INDEX(cbalLTDebtValue,xxIndexTeam)</f>
        <v>3110000000</v>
      </c>
      <c r="Q14" s="2346"/>
      <c r="R14" s="2346">
        <f>INDEX(obalLTDebtValue,xxIndexTeam)</f>
        <v>3110000000</v>
      </c>
      <c r="S14" s="2341"/>
    </row>
    <row r="15" spans="2:19" ht="12" thickBot="1">
      <c r="B15" s="1851"/>
      <c r="C15" s="1681"/>
      <c r="D15" s="1681"/>
      <c r="E15" s="1681" t="s">
        <v>1286</v>
      </c>
      <c r="F15" s="1681"/>
      <c r="G15" s="2346">
        <f>INDEX(cbalReg1MatValue,xxIndexTeam)+INDEX(cbalReg2MatValue,xxIndexTeam)</f>
        <v>838765585.65826595</v>
      </c>
      <c r="H15" s="2346"/>
      <c r="I15" s="2346">
        <f>INDEX(obalReg1MatValue,xxIndexTeam)+INDEX(obalReg2MatValue,xxIndexTeam)</f>
        <v>835790000.79959786</v>
      </c>
      <c r="J15" s="1681"/>
      <c r="K15" s="1681"/>
      <c r="L15" s="1849"/>
      <c r="M15" s="1849"/>
      <c r="N15" s="1849"/>
      <c r="O15" s="1681"/>
      <c r="P15" s="2351"/>
      <c r="Q15" s="2346"/>
      <c r="R15" s="2351"/>
      <c r="S15" s="2341"/>
    </row>
    <row r="16" spans="2:19">
      <c r="B16" s="1851"/>
      <c r="C16" s="1681"/>
      <c r="D16" s="1681"/>
      <c r="E16" s="1681" t="s">
        <v>3673</v>
      </c>
      <c r="F16" s="1681"/>
      <c r="G16" s="2346">
        <f>INDEX(cbalReg1WIPValue,xxIndexTeam)+INDEX(cbalReg2WIPValue,xxIndexTeam)</f>
        <v>5028652.1487114169</v>
      </c>
      <c r="H16" s="2346"/>
      <c r="I16" s="2346">
        <f>INDEX(obalReg1WIPValue,xxIndexTeam)+INDEX(obalReg2WIPValue,xxIndexTeam)</f>
        <v>5016882.7814950701</v>
      </c>
      <c r="J16" s="1681"/>
      <c r="K16" s="1681"/>
      <c r="L16" s="1681" t="s">
        <v>2343</v>
      </c>
      <c r="M16" s="1681"/>
      <c r="N16" s="1681"/>
      <c r="O16" s="1681"/>
      <c r="P16" s="2346">
        <f ca="1">SUM(P14,P12)</f>
        <v>9030770901.6469345</v>
      </c>
      <c r="Q16" s="2346"/>
      <c r="R16" s="2346">
        <f>SUM(R14,R12)</f>
        <v>8697916269.7719612</v>
      </c>
      <c r="S16" s="2341"/>
    </row>
    <row r="17" spans="2:22" ht="12" thickBot="1">
      <c r="B17" s="1851"/>
      <c r="C17" s="1681"/>
      <c r="D17" s="1849"/>
      <c r="E17" s="1849" t="s">
        <v>3415</v>
      </c>
      <c r="F17" s="1681"/>
      <c r="G17" s="2351">
        <f ca="1">INDEX(cbalReg1FGValue,xxIndexTeam)+INDEX(cbalReg2FGValue,xxIndexTeam)</f>
        <v>78846289.274392664</v>
      </c>
      <c r="H17" s="2346"/>
      <c r="I17" s="2351">
        <f>INDEX(obalReg1FGValue,xxIndexTeam)+INDEX(obalReg2FGValue,xxIndexTeam)</f>
        <v>6474521.4799219957</v>
      </c>
      <c r="J17" s="1681"/>
      <c r="K17" s="1681"/>
      <c r="L17" s="1681"/>
      <c r="M17" s="1681"/>
      <c r="N17" s="1681"/>
      <c r="O17" s="1681"/>
      <c r="P17" s="2346"/>
      <c r="Q17" s="2346"/>
      <c r="R17" s="2346"/>
      <c r="S17" s="2341"/>
    </row>
    <row r="18" spans="2:22">
      <c r="B18" s="1851"/>
      <c r="C18" s="1681"/>
      <c r="D18" s="1681" t="s">
        <v>3674</v>
      </c>
      <c r="E18" s="1681"/>
      <c r="F18" s="1681"/>
      <c r="G18" s="2346">
        <f ca="1">SUM(G15:G17)</f>
        <v>922640527.08137012</v>
      </c>
      <c r="H18" s="2370"/>
      <c r="I18" s="2346">
        <f>SUM(I15:I17)</f>
        <v>847281405.06101489</v>
      </c>
      <c r="J18" s="1681"/>
      <c r="K18" s="1681"/>
      <c r="L18" s="1681" t="s">
        <v>2344</v>
      </c>
      <c r="M18" s="1681"/>
      <c r="N18" s="1681"/>
      <c r="O18" s="1681"/>
      <c r="P18" s="2346"/>
      <c r="Q18" s="2346"/>
      <c r="R18" s="2346"/>
      <c r="S18" s="2341"/>
    </row>
    <row r="19" spans="2:22">
      <c r="B19" s="1851"/>
      <c r="C19" s="1681"/>
      <c r="D19" s="1681"/>
      <c r="E19" s="1681"/>
      <c r="F19" s="1681"/>
      <c r="G19" s="2346"/>
      <c r="H19" s="2346"/>
      <c r="I19" s="2346"/>
      <c r="J19" s="1681"/>
      <c r="K19" s="1681"/>
      <c r="L19" s="1681"/>
      <c r="M19" s="1681" t="s">
        <v>499</v>
      </c>
      <c r="N19" s="1681"/>
      <c r="O19" s="1681"/>
      <c r="P19" s="2346">
        <f>INDEX(cbalCStockValue,xxIndexTeam)</f>
        <v>5223400000</v>
      </c>
      <c r="Q19" s="2346"/>
      <c r="R19" s="2346">
        <f>INDEX(obalCStockValue,xxIndexTeam)</f>
        <v>5223400000</v>
      </c>
      <c r="S19" s="2341"/>
    </row>
    <row r="20" spans="2:22">
      <c r="B20" s="1851"/>
      <c r="C20" s="1681"/>
      <c r="D20" s="1681" t="s">
        <v>1843</v>
      </c>
      <c r="E20" s="1681"/>
      <c r="F20" s="1681"/>
      <c r="G20" s="2346">
        <f ca="1">INDEX(cbalPlantValue,xxIndexTeam)</f>
        <v>6373894260</v>
      </c>
      <c r="H20" s="2370"/>
      <c r="I20" s="2346">
        <f>INDEX(obalPlantValue,xxIndexTeam)</f>
        <v>6384672000</v>
      </c>
      <c r="J20" s="1681"/>
      <c r="K20" s="1681"/>
      <c r="L20" s="1681"/>
      <c r="M20" s="1681" t="s">
        <v>323</v>
      </c>
      <c r="N20" s="1681"/>
      <c r="O20" s="1681"/>
      <c r="P20" s="2346">
        <f>INDEX(cbalRetEarnValue,xxIndexTeam)</f>
        <v>3495018678.5273628</v>
      </c>
      <c r="Q20" s="2346"/>
      <c r="R20" s="2346">
        <f>INDEX(obalRetEarnValue,xxIndexTeam)</f>
        <v>2193401853.4580445</v>
      </c>
      <c r="S20" s="2341"/>
      <c r="V20" s="1077"/>
    </row>
    <row r="21" spans="2:22" ht="12" thickBot="1">
      <c r="B21" s="1851"/>
      <c r="C21" s="1681"/>
      <c r="D21" s="1681"/>
      <c r="E21" s="1681"/>
      <c r="F21" s="1681"/>
      <c r="G21" s="2346"/>
      <c r="H21" s="2346"/>
      <c r="I21" s="2346"/>
      <c r="J21" s="1681"/>
      <c r="K21" s="1681"/>
      <c r="L21" s="1849"/>
      <c r="M21" s="1849" t="s">
        <v>3762</v>
      </c>
      <c r="N21" s="1849"/>
      <c r="O21" s="1681"/>
      <c r="P21" s="2351">
        <f ca="1">INDEX(cbalNetEarnValue,xxIndexTeam)</f>
        <v>3399991806.6964707</v>
      </c>
      <c r="Q21" s="2346"/>
      <c r="R21" s="2351">
        <f>INDEX(obalNetEarnValue,xxIndexTeam)</f>
        <v>3221216325.0693178</v>
      </c>
      <c r="S21" s="2341"/>
    </row>
    <row r="22" spans="2:22">
      <c r="B22" s="1851"/>
      <c r="C22" s="1681"/>
      <c r="D22" s="1681" t="s">
        <v>764</v>
      </c>
      <c r="E22" s="1681"/>
      <c r="F22" s="1681"/>
      <c r="G22" s="2346">
        <f>INDEX(cbalGoodwillValue, xxIndexTeam)</f>
        <v>2800000000</v>
      </c>
      <c r="H22" s="2370"/>
      <c r="I22" s="2346">
        <f>INDEX(obalGoodWillValue, xxIndexTeam)</f>
        <v>2800000000</v>
      </c>
      <c r="J22" s="1681"/>
      <c r="K22" s="1681"/>
      <c r="L22" s="1681" t="s">
        <v>325</v>
      </c>
      <c r="M22" s="1681"/>
      <c r="N22" s="1681"/>
      <c r="O22" s="1681"/>
      <c r="P22" s="2346">
        <f ca="1">SUM(P19:P21)</f>
        <v>12118410485.223833</v>
      </c>
      <c r="Q22" s="2346"/>
      <c r="R22" s="2346">
        <f>SUM(R19:R21)</f>
        <v>10638018178.527363</v>
      </c>
      <c r="S22" s="2341"/>
    </row>
    <row r="23" spans="2:22" ht="12" thickBot="1">
      <c r="B23" s="1851"/>
      <c r="C23" s="1681"/>
      <c r="D23" s="1849"/>
      <c r="E23" s="1849"/>
      <c r="F23" s="1681"/>
      <c r="G23" s="2351"/>
      <c r="H23" s="2346"/>
      <c r="I23" s="2351"/>
      <c r="J23" s="1681"/>
      <c r="K23" s="1849"/>
      <c r="L23" s="1849"/>
      <c r="M23" s="1849"/>
      <c r="N23" s="1849"/>
      <c r="O23" s="1681"/>
      <c r="P23" s="2351"/>
      <c r="Q23" s="2346"/>
      <c r="R23" s="2351"/>
      <c r="S23" s="2341"/>
    </row>
    <row r="24" spans="2:22">
      <c r="B24" s="1851"/>
      <c r="C24" s="2339" t="s">
        <v>1431</v>
      </c>
      <c r="D24" s="1681"/>
      <c r="E24" s="1681"/>
      <c r="F24" s="1681"/>
      <c r="G24" s="2346">
        <f ca="1">SUM(G20,G22,G18,G12)</f>
        <v>21149181386.870766</v>
      </c>
      <c r="H24" s="2370"/>
      <c r="I24" s="2346">
        <f>SUM(I20,I22,I18,I12)</f>
        <v>19335934448.299324</v>
      </c>
      <c r="J24" s="1681"/>
      <c r="K24" s="1681" t="s">
        <v>3671</v>
      </c>
      <c r="L24" s="1681"/>
      <c r="M24" s="1681"/>
      <c r="N24" s="1681"/>
      <c r="O24" s="1681"/>
      <c r="P24" s="2346">
        <f ca="1">SUM(P22,P16)</f>
        <v>21149181386.870766</v>
      </c>
      <c r="Q24" s="2346"/>
      <c r="R24" s="2346">
        <f>SUM(R22,R16)</f>
        <v>19335934448.299324</v>
      </c>
      <c r="S24" s="2341"/>
    </row>
    <row r="25" spans="2:22">
      <c r="B25" s="1851"/>
      <c r="C25" s="1681"/>
      <c r="D25" s="1681"/>
      <c r="E25" s="1681"/>
      <c r="F25" s="1681"/>
      <c r="G25" s="1681"/>
      <c r="H25" s="1681"/>
      <c r="I25" s="1681"/>
      <c r="J25" s="1681"/>
      <c r="K25" s="1681"/>
      <c r="L25" s="1681"/>
      <c r="M25" s="1681"/>
      <c r="N25" s="1681"/>
      <c r="O25" s="1681"/>
      <c r="P25" s="1681"/>
      <c r="Q25" s="1681"/>
      <c r="R25" s="1681"/>
      <c r="S25" s="2341"/>
    </row>
    <row r="26" spans="2:22" ht="10.5" customHeight="1" thickBot="1">
      <c r="B26" s="2361"/>
      <c r="C26" s="1849"/>
      <c r="D26" s="1849"/>
      <c r="E26" s="1849"/>
      <c r="F26" s="1849"/>
      <c r="G26" s="1849"/>
      <c r="H26" s="1849"/>
      <c r="I26" s="1849"/>
      <c r="J26" s="1849"/>
      <c r="K26" s="1849"/>
      <c r="L26" s="1849"/>
      <c r="M26" s="1849"/>
      <c r="N26" s="1849"/>
      <c r="O26" s="1849"/>
      <c r="P26" s="1849"/>
      <c r="Q26" s="1849"/>
      <c r="R26" s="1849"/>
      <c r="S26" s="2362"/>
    </row>
    <row r="27" spans="2:22" ht="20.100000000000001" customHeight="1" thickBot="1">
      <c r="B27" s="2373"/>
      <c r="C27" s="2374"/>
      <c r="D27" s="2374"/>
      <c r="E27" s="2374"/>
      <c r="F27" s="2374"/>
      <c r="G27" s="2374"/>
      <c r="H27" s="2374"/>
      <c r="I27" s="2374"/>
      <c r="J27" s="2374"/>
      <c r="K27" s="2374"/>
      <c r="L27" s="2374"/>
      <c r="M27" s="2374"/>
      <c r="N27" s="2374"/>
      <c r="O27" s="2374"/>
      <c r="P27" s="2374"/>
      <c r="Q27" s="2374"/>
      <c r="R27" s="2374"/>
      <c r="S27" s="2375"/>
    </row>
    <row r="29" spans="2:22">
      <c r="I29" s="1083"/>
    </row>
  </sheetData>
  <phoneticPr fontId="0" type="noConversion"/>
  <printOptions horizontalCentered="1"/>
  <pageMargins left="0.25" right="0.25" top="1" bottom="1" header="0.5" footer="0.5"/>
  <pageSetup paperSize="9" scale="93" orientation="portrait" blackAndWhite="1" r:id="rId1"/>
  <headerFooter alignWithMargins="0">
    <oddFooter>&amp;CPage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olCashFlow">
    <tabColor indexed="22"/>
    <pageSetUpPr fitToPage="1"/>
  </sheetPr>
  <dimension ref="B1:K47"/>
  <sheetViews>
    <sheetView showGridLines="0" topLeftCell="A4" zoomScale="145" zoomScaleNormal="145" workbookViewId="0">
      <selection activeCell="G25" sqref="G25"/>
    </sheetView>
  </sheetViews>
  <sheetFormatPr defaultRowHeight="11.25"/>
  <cols>
    <col min="1" max="1" width="1.83203125" style="1079" customWidth="1"/>
    <col min="2" max="4" width="2.83203125" style="1079" customWidth="1"/>
    <col min="5" max="5" width="52.5" style="1079" customWidth="1"/>
    <col min="6" max="6" width="5.1640625" style="1079" customWidth="1"/>
    <col min="7" max="8" width="25.83203125" style="1079" customWidth="1"/>
    <col min="9" max="9" width="3.5" style="1079" customWidth="1"/>
    <col min="10" max="10" width="13.83203125" style="1079" customWidth="1"/>
    <col min="11" max="11" width="15" style="1079" bestFit="1" customWidth="1"/>
    <col min="12" max="16384" width="9.33203125" style="1079"/>
  </cols>
  <sheetData>
    <row r="1" spans="2:11" ht="7.5" customHeight="1" thickBot="1"/>
    <row r="2" spans="2:11" ht="23.25" thickBot="1">
      <c r="B2" s="2336" t="s">
        <v>3675</v>
      </c>
      <c r="C2" s="2337"/>
      <c r="D2" s="2337"/>
      <c r="E2" s="2337"/>
      <c r="F2" s="2337"/>
      <c r="G2" s="2337"/>
      <c r="H2" s="2337"/>
      <c r="I2" s="2337"/>
      <c r="J2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3" spans="2:11">
      <c r="B3" s="2338" t="s">
        <v>888</v>
      </c>
      <c r="C3" s="2339"/>
      <c r="D3" s="2339"/>
      <c r="E3" s="2339"/>
      <c r="F3" s="2339"/>
      <c r="G3" s="2339"/>
      <c r="H3" s="2339"/>
      <c r="I3" s="2339"/>
      <c r="J3" s="2340"/>
    </row>
    <row r="4" spans="2:11" ht="12" thickBot="1">
      <c r="B4" s="1851"/>
      <c r="C4" s="1681"/>
      <c r="D4" s="1681"/>
      <c r="E4" s="1681"/>
      <c r="F4" s="1681"/>
      <c r="G4" s="1681"/>
      <c r="H4" s="1681"/>
      <c r="I4" s="1681"/>
      <c r="J4" s="2341"/>
    </row>
    <row r="5" spans="2:11" s="1080" customFormat="1" ht="17.25" thickTop="1" thickBot="1">
      <c r="B5" s="1885"/>
      <c r="C5" s="2342" t="s">
        <v>1434</v>
      </c>
      <c r="D5" s="2342"/>
      <c r="E5" s="2342"/>
      <c r="F5" s="2342"/>
      <c r="G5" s="2343"/>
      <c r="H5" s="2343">
        <f>INDEX(obalCashValue,xxIndexTeam)</f>
        <v>4959719052.5716419</v>
      </c>
      <c r="I5" s="2344"/>
      <c r="J5" s="2153"/>
    </row>
    <row r="6" spans="2:11" ht="12" thickTop="1">
      <c r="B6" s="1851"/>
      <c r="C6" s="1681"/>
      <c r="D6" s="2345"/>
      <c r="E6" s="1681"/>
      <c r="F6" s="1681"/>
      <c r="G6" s="2346"/>
      <c r="H6" s="2346"/>
      <c r="I6" s="1681"/>
      <c r="J6" s="2341"/>
      <c r="K6" s="1081"/>
    </row>
    <row r="7" spans="2:11" ht="12.75">
      <c r="B7" s="1851"/>
      <c r="C7" s="1676" t="s">
        <v>2674</v>
      </c>
      <c r="D7" s="1681"/>
      <c r="E7" s="1681"/>
      <c r="F7" s="1681"/>
      <c r="G7" s="2346"/>
      <c r="H7" s="2346"/>
      <c r="I7" s="1681"/>
      <c r="J7" s="2341"/>
    </row>
    <row r="8" spans="2:11" ht="5.0999999999999996" customHeight="1">
      <c r="B8" s="1851"/>
      <c r="C8" s="1681"/>
      <c r="D8" s="1681"/>
      <c r="E8" s="1681"/>
      <c r="F8" s="1681"/>
      <c r="G8" s="2346"/>
      <c r="H8" s="2346"/>
      <c r="I8" s="1681"/>
      <c r="J8" s="2341"/>
    </row>
    <row r="9" spans="2:11" ht="12">
      <c r="B9" s="1851"/>
      <c r="C9" s="1681"/>
      <c r="D9" s="1681" t="s">
        <v>3762</v>
      </c>
      <c r="E9" s="1681"/>
      <c r="F9" s="1681"/>
      <c r="G9" s="2346"/>
      <c r="H9" s="2347">
        <f ca="1">INDEX(finPNLNetEarn,xxIndexTeam)</f>
        <v>3399991806.6964707</v>
      </c>
      <c r="I9" s="2345"/>
      <c r="J9" s="2341"/>
    </row>
    <row r="10" spans="2:11" ht="12">
      <c r="B10" s="1851"/>
      <c r="C10" s="1681"/>
      <c r="D10" s="1681" t="s">
        <v>1563</v>
      </c>
      <c r="E10" s="1681"/>
      <c r="F10" s="1681"/>
      <c r="G10" s="2346"/>
      <c r="H10" s="2347">
        <f ca="1">INDEX(finCashFlowDep,xxIndexTeam)+INDEX(finPNLAmorGoodwillExp,xxIndexTeam)</f>
        <v>1010333740</v>
      </c>
      <c r="I10" s="2345"/>
      <c r="J10" s="2341"/>
    </row>
    <row r="11" spans="2:11" ht="12">
      <c r="B11" s="1851"/>
      <c r="C11" s="1681"/>
      <c r="D11" s="1681" t="s">
        <v>2307</v>
      </c>
      <c r="E11" s="1681"/>
      <c r="F11" s="1681"/>
      <c r="G11" s="2346"/>
      <c r="H11" s="2347">
        <f>INDEX(finPNLCapLossExp,xxIndexTeam)</f>
        <v>0</v>
      </c>
      <c r="I11" s="2345"/>
      <c r="J11" s="2341"/>
    </row>
    <row r="12" spans="2:11">
      <c r="B12" s="1851"/>
      <c r="C12" s="1681"/>
      <c r="D12" s="1681" t="s">
        <v>2675</v>
      </c>
      <c r="E12" s="1681"/>
      <c r="F12" s="1681"/>
      <c r="G12" s="2346"/>
      <c r="H12" s="2346"/>
      <c r="I12" s="2345"/>
      <c r="J12" s="2341"/>
    </row>
    <row r="13" spans="2:11" ht="12">
      <c r="B13" s="1851"/>
      <c r="C13" s="1681"/>
      <c r="D13" s="1681"/>
      <c r="E13" s="1832" t="s">
        <v>2676</v>
      </c>
      <c r="F13" s="1681"/>
      <c r="G13" s="2348">
        <f>INDEX(finCashFlowARChange,xxIndexTeam)</f>
        <v>-12758625.916666985</v>
      </c>
      <c r="H13" s="2346"/>
      <c r="I13" s="2345"/>
      <c r="J13" s="2341"/>
    </row>
    <row r="14" spans="2:11" ht="12">
      <c r="B14" s="1851"/>
      <c r="C14" s="1681"/>
      <c r="D14" s="1681"/>
      <c r="E14" s="1832" t="s">
        <v>2416</v>
      </c>
      <c r="F14" s="1681"/>
      <c r="G14" s="2348">
        <f ca="1">INDEX(finCashFlowFGChange,xxIndexTeam)</f>
        <v>-72371767.794470668</v>
      </c>
      <c r="H14" s="2346"/>
      <c r="I14" s="2345"/>
      <c r="J14" s="2341"/>
    </row>
    <row r="15" spans="2:11" ht="12">
      <c r="B15" s="1851"/>
      <c r="C15" s="1681"/>
      <c r="D15" s="1681"/>
      <c r="E15" s="1832" t="s">
        <v>2417</v>
      </c>
      <c r="F15" s="1681"/>
      <c r="G15" s="2348">
        <f>INDEX(finCashFlowWIPChange,xxIndexTeam)</f>
        <v>-11769.36721634632</v>
      </c>
      <c r="H15" s="2346"/>
      <c r="I15" s="2345"/>
      <c r="J15" s="2341"/>
    </row>
    <row r="16" spans="2:11" ht="12">
      <c r="B16" s="1851"/>
      <c r="C16" s="1681"/>
      <c r="D16" s="1681"/>
      <c r="E16" s="1832" t="s">
        <v>100</v>
      </c>
      <c r="F16" s="1681"/>
      <c r="G16" s="2348">
        <f>INDEX(finCashFlowMatChange,xxIndexTeam)</f>
        <v>-2975584.8586680889</v>
      </c>
      <c r="H16" s="2346"/>
      <c r="I16" s="2345"/>
      <c r="J16" s="2341"/>
    </row>
    <row r="17" spans="2:10" ht="12">
      <c r="B17" s="1851"/>
      <c r="C17" s="1681"/>
      <c r="D17" s="1681"/>
      <c r="E17" s="1832" t="s">
        <v>2677</v>
      </c>
      <c r="F17" s="1681"/>
      <c r="G17" s="2348">
        <f ca="1">INDEX(finCashFlowAPChange,xxIndexTeam)</f>
        <v>2854631.8749728203</v>
      </c>
      <c r="H17" s="2346"/>
      <c r="I17" s="2345"/>
      <c r="J17" s="2341"/>
    </row>
    <row r="18" spans="2:10" ht="12">
      <c r="B18" s="1851"/>
      <c r="C18" s="1681"/>
      <c r="D18" s="1681"/>
      <c r="E18" s="2349" t="s">
        <v>2678</v>
      </c>
      <c r="F18" s="1868"/>
      <c r="G18" s="2350">
        <f>INDEX(finCashFlowOtherCurrLiabChange,xxIndexTeam)</f>
        <v>330000000.00000048</v>
      </c>
      <c r="H18" s="2346"/>
      <c r="I18" s="2345"/>
      <c r="J18" s="2341"/>
    </row>
    <row r="19" spans="2:10" ht="12">
      <c r="B19" s="1851"/>
      <c r="C19" s="1681"/>
      <c r="D19" s="1681" t="s">
        <v>2820</v>
      </c>
      <c r="E19" s="1681"/>
      <c r="F19" s="1681"/>
      <c r="G19" s="2346"/>
      <c r="H19" s="2347">
        <f ca="1">SUM(G13:G18)</f>
        <v>244736883.93795121</v>
      </c>
      <c r="I19" s="2345"/>
      <c r="J19" s="2341"/>
    </row>
    <row r="20" spans="2:10" ht="5.0999999999999996" customHeight="1" thickBot="1">
      <c r="B20" s="1851"/>
      <c r="C20" s="1681"/>
      <c r="D20" s="1681"/>
      <c r="E20" s="1681"/>
      <c r="F20" s="1681"/>
      <c r="G20" s="2346"/>
      <c r="H20" s="2351"/>
      <c r="I20" s="1681"/>
      <c r="J20" s="2341"/>
    </row>
    <row r="21" spans="2:10" s="495" customFormat="1" ht="12.75">
      <c r="B21" s="1903"/>
      <c r="C21" s="1676" t="s">
        <v>2821</v>
      </c>
      <c r="D21" s="1676"/>
      <c r="E21" s="1676"/>
      <c r="F21" s="1676"/>
      <c r="G21" s="2352"/>
      <c r="H21" s="2352">
        <f ca="1">SUM(H9:H11,H19)</f>
        <v>4655062430.6344213</v>
      </c>
      <c r="I21" s="1676"/>
      <c r="J21" s="2353"/>
    </row>
    <row r="22" spans="2:10">
      <c r="B22" s="1851"/>
      <c r="C22" s="1681"/>
      <c r="D22" s="1681"/>
      <c r="E22" s="1681"/>
      <c r="F22" s="1681"/>
      <c r="G22" s="2346"/>
      <c r="H22" s="2346"/>
      <c r="I22" s="1681"/>
      <c r="J22" s="2341"/>
    </row>
    <row r="23" spans="2:10" s="495" customFormat="1" ht="12.75">
      <c r="B23" s="1903"/>
      <c r="C23" s="1676" t="s">
        <v>2822</v>
      </c>
      <c r="D23" s="1676"/>
      <c r="E23" s="1676"/>
      <c r="F23" s="1676"/>
      <c r="G23" s="2352"/>
      <c r="H23" s="2352"/>
      <c r="I23" s="1676"/>
      <c r="J23" s="2353"/>
    </row>
    <row r="24" spans="2:10" ht="5.0999999999999996" customHeight="1">
      <c r="B24" s="1851"/>
      <c r="C24" s="1681"/>
      <c r="D24" s="1681"/>
      <c r="E24" s="1681"/>
      <c r="F24" s="1681"/>
      <c r="G24" s="2346"/>
      <c r="H24" s="2346"/>
      <c r="I24" s="1681"/>
      <c r="J24" s="2341"/>
    </row>
    <row r="25" spans="2:10">
      <c r="B25" s="1851"/>
      <c r="C25" s="1681"/>
      <c r="D25" s="1868" t="s">
        <v>3802</v>
      </c>
      <c r="E25" s="1868"/>
      <c r="F25" s="1868"/>
      <c r="G25" s="2354">
        <f>INDEX(finCashFlowInvest,xxIndexTeam)</f>
        <v>-999556000</v>
      </c>
      <c r="H25" s="2346"/>
      <c r="I25" s="1681"/>
      <c r="J25" s="2341"/>
    </row>
    <row r="26" spans="2:10" ht="12">
      <c r="B26" s="1851"/>
      <c r="C26" s="1681"/>
      <c r="D26" s="1681"/>
      <c r="E26" s="1681"/>
      <c r="F26" s="1681"/>
      <c r="G26" s="2346"/>
      <c r="H26" s="2347">
        <f>G25</f>
        <v>-999556000</v>
      </c>
      <c r="I26" s="1681"/>
      <c r="J26" s="2341"/>
    </row>
    <row r="27" spans="2:10" ht="5.0999999999999996" customHeight="1" thickBot="1">
      <c r="B27" s="1851"/>
      <c r="C27" s="1681"/>
      <c r="D27" s="1681"/>
      <c r="E27" s="1681"/>
      <c r="F27" s="1681"/>
      <c r="G27" s="2346"/>
      <c r="H27" s="2346"/>
      <c r="I27" s="1681"/>
      <c r="J27" s="2341"/>
    </row>
    <row r="28" spans="2:10" s="495" customFormat="1" ht="12.75">
      <c r="B28" s="1903"/>
      <c r="C28" s="1676" t="s">
        <v>3087</v>
      </c>
      <c r="D28" s="1676"/>
      <c r="E28" s="1676"/>
      <c r="F28" s="1676"/>
      <c r="G28" s="2352"/>
      <c r="H28" s="2355">
        <f>H26</f>
        <v>-999556000</v>
      </c>
      <c r="I28" s="1676"/>
      <c r="J28" s="2353"/>
    </row>
    <row r="29" spans="2:10">
      <c r="B29" s="1851"/>
      <c r="C29" s="1681"/>
      <c r="D29" s="1681"/>
      <c r="E29" s="1681"/>
      <c r="F29" s="1681"/>
      <c r="G29" s="2346"/>
      <c r="H29" s="2346"/>
      <c r="I29" s="1681"/>
      <c r="J29" s="2341"/>
    </row>
    <row r="30" spans="2:10" s="495" customFormat="1" ht="15.75">
      <c r="B30" s="1903"/>
      <c r="C30" s="1676" t="s">
        <v>3088</v>
      </c>
      <c r="D30" s="1676"/>
      <c r="E30" s="1676"/>
      <c r="F30" s="1676"/>
      <c r="G30" s="2352"/>
      <c r="H30" s="2356">
        <f ca="1">SUM(H21,H28)</f>
        <v>3655506430.6344213</v>
      </c>
      <c r="I30" s="1676"/>
      <c r="J30" s="2353"/>
    </row>
    <row r="31" spans="2:10">
      <c r="B31" s="1851"/>
      <c r="C31" s="1681"/>
      <c r="D31" s="1681"/>
      <c r="E31" s="1681"/>
      <c r="F31" s="1681"/>
      <c r="G31" s="2346"/>
      <c r="H31" s="2346"/>
      <c r="I31" s="1681"/>
      <c r="J31" s="2341"/>
    </row>
    <row r="32" spans="2:10" s="495" customFormat="1" ht="12.75">
      <c r="B32" s="1903"/>
      <c r="C32" s="1676" t="s">
        <v>2314</v>
      </c>
      <c r="D32" s="1676"/>
      <c r="E32" s="1676"/>
      <c r="F32" s="1676"/>
      <c r="G32" s="2352"/>
      <c r="H32" s="2352"/>
      <c r="I32" s="1676"/>
      <c r="J32" s="2353"/>
    </row>
    <row r="33" spans="2:10" ht="5.0999999999999996" customHeight="1">
      <c r="B33" s="1851"/>
      <c r="C33" s="1681"/>
      <c r="D33" s="1681"/>
      <c r="E33" s="1681"/>
      <c r="F33" s="1681"/>
      <c r="G33" s="2357"/>
      <c r="H33" s="2346"/>
      <c r="I33" s="1681"/>
      <c r="J33" s="2341"/>
    </row>
    <row r="34" spans="2:10">
      <c r="B34" s="1851"/>
      <c r="C34" s="1681"/>
      <c r="D34" s="1681" t="s">
        <v>2421</v>
      </c>
      <c r="E34" s="1681"/>
      <c r="F34" s="1681"/>
      <c r="G34" s="2357">
        <f>INDEX(finCashFlowDividendPayOut,xxIndexTeam)</f>
        <v>-1919599500</v>
      </c>
      <c r="H34" s="2346"/>
      <c r="I34" s="1681"/>
      <c r="J34" s="2341"/>
    </row>
    <row r="35" spans="2:10">
      <c r="B35" s="1851"/>
      <c r="C35" s="1681"/>
      <c r="D35" s="1681" t="s">
        <v>1157</v>
      </c>
      <c r="E35" s="1681"/>
      <c r="F35" s="1681"/>
      <c r="G35" s="2357">
        <f>INDEX(finDebtChange,xxIndexTeam)</f>
        <v>0</v>
      </c>
      <c r="H35" s="2346"/>
      <c r="I35" s="1681"/>
      <c r="J35" s="2341"/>
    </row>
    <row r="36" spans="2:10">
      <c r="B36" s="1851"/>
      <c r="C36" s="1681"/>
      <c r="D36" s="1681" t="s">
        <v>1158</v>
      </c>
      <c r="E36" s="1681"/>
      <c r="F36" s="1681"/>
      <c r="G36" s="2357">
        <f>INDEX(finEquityChange,xxIndexTeam)</f>
        <v>0</v>
      </c>
      <c r="H36" s="2346"/>
      <c r="I36" s="1681"/>
      <c r="J36" s="2341"/>
    </row>
    <row r="37" spans="2:10">
      <c r="B37" s="1851"/>
      <c r="C37" s="1681"/>
      <c r="D37" s="1868" t="s">
        <v>2092</v>
      </c>
      <c r="E37" s="1868"/>
      <c r="F37" s="1868"/>
      <c r="G37" s="2358">
        <f ca="1">INDEX(finCashFlowSpecLoansChange,xxIndexTeam)</f>
        <v>0</v>
      </c>
      <c r="H37" s="2346"/>
      <c r="I37" s="1681"/>
      <c r="J37" s="2341"/>
    </row>
    <row r="38" spans="2:10" ht="12">
      <c r="B38" s="1851"/>
      <c r="C38" s="1681"/>
      <c r="D38" s="1681"/>
      <c r="E38" s="1681"/>
      <c r="F38" s="1681"/>
      <c r="G38" s="2346"/>
      <c r="H38" s="2347">
        <f ca="1">SUM(G34:G37)</f>
        <v>-1919599500</v>
      </c>
      <c r="I38" s="1681"/>
      <c r="J38" s="2341"/>
    </row>
    <row r="39" spans="2:10" ht="5.0999999999999996" customHeight="1" thickBot="1">
      <c r="B39" s="1851"/>
      <c r="C39" s="1681"/>
      <c r="D39" s="1681"/>
      <c r="E39" s="1681"/>
      <c r="F39" s="1681"/>
      <c r="G39" s="2346"/>
      <c r="H39" s="2351"/>
      <c r="I39" s="1681"/>
      <c r="J39" s="2341"/>
    </row>
    <row r="40" spans="2:10" s="495" customFormat="1" ht="12.75">
      <c r="B40" s="1903"/>
      <c r="C40" s="1676" t="s">
        <v>3135</v>
      </c>
      <c r="D40" s="1676"/>
      <c r="E40" s="1676"/>
      <c r="F40" s="1676"/>
      <c r="G40" s="2352"/>
      <c r="H40" s="2352">
        <f ca="1">H38</f>
        <v>-1919599500</v>
      </c>
      <c r="I40" s="1676"/>
      <c r="J40" s="2353"/>
    </row>
    <row r="41" spans="2:10">
      <c r="B41" s="1851"/>
      <c r="C41" s="1681"/>
      <c r="D41" s="1681"/>
      <c r="E41" s="1681"/>
      <c r="F41" s="1681"/>
      <c r="G41" s="2346"/>
      <c r="H41" s="2346"/>
      <c r="I41" s="1681"/>
      <c r="J41" s="2341"/>
    </row>
    <row r="42" spans="2:10" s="495" customFormat="1" ht="15.75">
      <c r="B42" s="1903"/>
      <c r="C42" s="1676" t="s">
        <v>3665</v>
      </c>
      <c r="D42" s="1676"/>
      <c r="E42" s="1676"/>
      <c r="F42" s="1676"/>
      <c r="G42" s="2352"/>
      <c r="H42" s="2356">
        <f ca="1">H30+H40</f>
        <v>1735906930.6344213</v>
      </c>
      <c r="I42" s="1676"/>
      <c r="J42" s="2353"/>
    </row>
    <row r="43" spans="2:10" ht="12" thickBot="1">
      <c r="B43" s="1851"/>
      <c r="C43" s="1681"/>
      <c r="D43" s="1681"/>
      <c r="E43" s="1681"/>
      <c r="F43" s="1681"/>
      <c r="G43" s="2346"/>
      <c r="H43" s="2346"/>
      <c r="I43" s="1681"/>
      <c r="J43" s="2341"/>
    </row>
    <row r="44" spans="2:10" s="495" customFormat="1" ht="17.25" thickTop="1" thickBot="1">
      <c r="B44" s="1903"/>
      <c r="C44" s="2359" t="s">
        <v>3666</v>
      </c>
      <c r="D44" s="2359"/>
      <c r="E44" s="2359"/>
      <c r="F44" s="2359"/>
      <c r="G44" s="2360"/>
      <c r="H44" s="2343">
        <f ca="1">H5+H42</f>
        <v>6695625983.2060633</v>
      </c>
      <c r="I44" s="2359"/>
      <c r="J44" s="2353"/>
    </row>
    <row r="45" spans="2:10" ht="12" thickTop="1">
      <c r="B45" s="1851"/>
      <c r="C45" s="1681"/>
      <c r="D45" s="1681"/>
      <c r="E45" s="1681"/>
      <c r="F45" s="1681"/>
      <c r="G45" s="2346"/>
      <c r="H45" s="2346"/>
      <c r="I45" s="1681"/>
      <c r="J45" s="2341"/>
    </row>
    <row r="46" spans="2:10" ht="12" thickBot="1">
      <c r="B46" s="2361"/>
      <c r="C46" s="1849"/>
      <c r="D46" s="1849"/>
      <c r="E46" s="1849"/>
      <c r="F46" s="1849"/>
      <c r="G46" s="1849"/>
      <c r="H46" s="1849"/>
      <c r="I46" s="1849"/>
      <c r="J46" s="2362"/>
    </row>
    <row r="47" spans="2:10" ht="21.75" customHeight="1" thickBot="1">
      <c r="B47" s="2363"/>
      <c r="C47" s="2364"/>
      <c r="D47" s="2364"/>
      <c r="E47" s="2364"/>
      <c r="F47" s="2364"/>
      <c r="G47" s="2364"/>
      <c r="H47" s="2364"/>
      <c r="I47" s="2364"/>
      <c r="J47" s="2365"/>
    </row>
  </sheetData>
  <phoneticPr fontId="0" type="noConversion"/>
  <printOptions horizontalCentered="1"/>
  <pageMargins left="0.25" right="0.25" top="1" bottom="1" header="0.5" footer="0.5"/>
  <pageSetup paperSize="9" scale="93" orientation="portrait" blackAndWhite="1" r:id="rId1"/>
  <headerFooter alignWithMargins="0">
    <oddFooter>&amp;CPage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22"/>
    <pageSetUpPr fitToPage="1"/>
  </sheetPr>
  <dimension ref="B1:V28"/>
  <sheetViews>
    <sheetView showGridLines="0" showZeros="0" topLeftCell="A12" zoomScale="130" zoomScaleNormal="130" workbookViewId="0">
      <selection activeCell="T16" sqref="T16"/>
    </sheetView>
  </sheetViews>
  <sheetFormatPr defaultRowHeight="11.25"/>
  <cols>
    <col min="1" max="1" width="1.83203125" style="487" customWidth="1"/>
    <col min="2" max="2" width="3.83203125" style="487" customWidth="1"/>
    <col min="3" max="3" width="1.83203125" style="487" customWidth="1"/>
    <col min="4" max="4" width="25.6640625" style="487" customWidth="1"/>
    <col min="5" max="6" width="1.83203125" style="487" customWidth="1"/>
    <col min="7" max="7" width="18.1640625" style="487" customWidth="1"/>
    <col min="8" max="9" width="1.83203125" style="487" customWidth="1"/>
    <col min="10" max="10" width="16.6640625" style="487" customWidth="1"/>
    <col min="11" max="12" width="1.83203125" style="487" customWidth="1"/>
    <col min="13" max="13" width="25.1640625" style="487" customWidth="1"/>
    <col min="14" max="15" width="1.83203125" style="487" customWidth="1"/>
    <col min="16" max="16" width="24" style="487" customWidth="1"/>
    <col min="17" max="17" width="2.83203125" style="487" customWidth="1"/>
    <col min="18" max="18" width="3.83203125" style="487" customWidth="1"/>
    <col min="19" max="19" width="1.83203125" style="487" customWidth="1"/>
    <col min="20" max="16384" width="9.33203125" style="487"/>
  </cols>
  <sheetData>
    <row r="1" spans="2:19" ht="7.5" customHeight="1" thickBot="1"/>
    <row r="2" spans="2:19" ht="23.25" thickBot="1">
      <c r="B2" s="1672" t="s">
        <v>944</v>
      </c>
      <c r="C2" s="2228"/>
      <c r="D2" s="2228"/>
      <c r="E2" s="2228"/>
      <c r="F2" s="2228"/>
      <c r="G2" s="2228"/>
      <c r="H2" s="2228"/>
      <c r="I2" s="2228"/>
      <c r="J2" s="2228"/>
      <c r="K2" s="2228"/>
      <c r="L2" s="2228"/>
      <c r="M2" s="2228"/>
      <c r="N2" s="2228"/>
      <c r="O2" s="2228"/>
      <c r="P2" s="2228"/>
      <c r="Q2" s="2228"/>
      <c r="R2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S2" s="1073"/>
    </row>
    <row r="3" spans="2:19" ht="15.75">
      <c r="B3" s="1845"/>
      <c r="C3" s="1846"/>
      <c r="D3" s="1846"/>
      <c r="E3" s="1846"/>
      <c r="F3" s="1846"/>
      <c r="G3" s="1846"/>
      <c r="H3" s="1846"/>
      <c r="I3" s="1846"/>
      <c r="J3" s="1846"/>
      <c r="K3" s="1846"/>
      <c r="L3" s="1846"/>
      <c r="M3" s="1846"/>
      <c r="N3" s="1846"/>
      <c r="O3" s="1846"/>
      <c r="P3" s="1846"/>
      <c r="Q3" s="1846"/>
      <c r="R3" s="1847"/>
      <c r="S3" s="1073"/>
    </row>
    <row r="4" spans="2:19" ht="15.75">
      <c r="B4" s="1830"/>
      <c r="C4" s="2275"/>
      <c r="D4" s="2276"/>
      <c r="E4" s="2277"/>
      <c r="F4" s="2277"/>
      <c r="G4" s="2278"/>
      <c r="H4" s="2278"/>
      <c r="I4" s="2278"/>
      <c r="J4" s="2278"/>
      <c r="K4" s="2277"/>
      <c r="L4" s="2277"/>
      <c r="M4" s="2277"/>
      <c r="N4" s="2277"/>
      <c r="O4" s="2277"/>
      <c r="P4" s="2277"/>
      <c r="Q4" s="2279"/>
      <c r="R4" s="1835"/>
      <c r="S4" s="1073"/>
    </row>
    <row r="5" spans="2:19" ht="15.75">
      <c r="B5" s="1830"/>
      <c r="C5" s="2280"/>
      <c r="D5" s="1886"/>
      <c r="E5" s="1676"/>
      <c r="F5" s="1676"/>
      <c r="G5" s="2281" t="s">
        <v>1475</v>
      </c>
      <c r="H5" s="2281"/>
      <c r="I5" s="2281"/>
      <c r="J5" s="2281"/>
      <c r="K5" s="1886"/>
      <c r="L5" s="1886"/>
      <c r="M5" s="1888"/>
      <c r="N5" s="1886"/>
      <c r="O5" s="1886"/>
      <c r="P5" s="2282" t="s">
        <v>945</v>
      </c>
      <c r="Q5" s="2283"/>
      <c r="R5" s="1835"/>
      <c r="S5" s="1073"/>
    </row>
    <row r="6" spans="2:19" ht="16.5" thickBot="1">
      <c r="B6" s="1830"/>
      <c r="C6" s="2280"/>
      <c r="D6" s="2284"/>
      <c r="E6" s="2285"/>
      <c r="F6" s="2285"/>
      <c r="G6" s="2286"/>
      <c r="H6" s="2285"/>
      <c r="I6" s="2285"/>
      <c r="J6" s="2286"/>
      <c r="K6" s="1886"/>
      <c r="L6" s="1886"/>
      <c r="M6" s="1888"/>
      <c r="N6" s="1888"/>
      <c r="O6" s="1888"/>
      <c r="P6" s="1888"/>
      <c r="Q6" s="2287"/>
      <c r="R6" s="1835"/>
      <c r="S6" s="1073"/>
    </row>
    <row r="7" spans="2:19" ht="16.5" thickBot="1">
      <c r="B7" s="1830"/>
      <c r="C7" s="2280"/>
      <c r="D7" s="2284" t="str">
        <f>DataNameProd1</f>
        <v>CSD</v>
      </c>
      <c r="E7" s="2284"/>
      <c r="F7" s="2284"/>
      <c r="G7" s="2288">
        <f>INDEX(finPNLReg1Prod1NetRev, xxIndexTeam)+INDEX(finPNLReg2Prod1NetRev, xxIndexTeam)</f>
        <v>7898873699.5</v>
      </c>
      <c r="H7" s="2289"/>
      <c r="I7" s="2290"/>
      <c r="J7" s="2291"/>
      <c r="K7" s="1886"/>
      <c r="L7" s="1886"/>
      <c r="M7" s="1863" t="s">
        <v>3793</v>
      </c>
      <c r="N7" s="1886"/>
      <c r="O7" s="2292"/>
      <c r="P7" s="2253">
        <f ca="1">INDEX(finPNLCOGSExp, xxIndexTeam)</f>
        <v>11248910818.928865</v>
      </c>
      <c r="Q7" s="2287"/>
      <c r="R7" s="1835"/>
      <c r="S7" s="1073"/>
    </row>
    <row r="8" spans="2:19" ht="16.5" thickBot="1">
      <c r="B8" s="1830"/>
      <c r="C8" s="2280"/>
      <c r="D8" s="2284" t="str">
        <f>DataNameProd3</f>
        <v>NCB</v>
      </c>
      <c r="E8" s="2284"/>
      <c r="F8" s="2284"/>
      <c r="G8" s="2288">
        <f>INDEX(finPNLReg1Prod3NetRev, xxIndexTeam)+INDEX(finPNLReg2Prod3NetRev, xxIndexTeam)</f>
        <v>6782000000</v>
      </c>
      <c r="H8" s="2289"/>
      <c r="I8" s="2290"/>
      <c r="J8" s="2291"/>
      <c r="K8" s="1886"/>
      <c r="L8" s="1886"/>
      <c r="M8" s="1863" t="s">
        <v>946</v>
      </c>
      <c r="N8" s="1886"/>
      <c r="O8" s="2292"/>
      <c r="P8" s="2253">
        <f ca="1">INDEX(finPNLSGAExp, xxIndexTeam)</f>
        <v>5590474655.6612024</v>
      </c>
      <c r="Q8" s="2287"/>
      <c r="R8" s="1835"/>
      <c r="S8" s="1073"/>
    </row>
    <row r="9" spans="2:19" ht="16.5" thickBot="1">
      <c r="B9" s="1830"/>
      <c r="C9" s="2280"/>
      <c r="D9" s="2284" t="str">
        <f>DataNameProd4</f>
        <v>F&amp;S</v>
      </c>
      <c r="E9" s="2284"/>
      <c r="F9" s="2284"/>
      <c r="G9" s="2288">
        <f>INDEX(finPNLReg1Prod4NetRev, xxIndexTeam)+INDEX(finPNLReg2Prod4NetRev, xxIndexTeam)</f>
        <v>7941250000</v>
      </c>
      <c r="H9" s="2289"/>
      <c r="I9" s="2290"/>
      <c r="J9" s="2291"/>
      <c r="K9" s="1886"/>
      <c r="L9" s="1886"/>
      <c r="M9" s="1863" t="s">
        <v>2241</v>
      </c>
      <c r="N9" s="1886"/>
      <c r="O9" s="2292"/>
      <c r="P9" s="2253">
        <f>INDEX(finPNLRandDExp, xxIndexTeam)</f>
        <v>142497326.78673378</v>
      </c>
      <c r="Q9" s="2287"/>
      <c r="R9" s="1835"/>
      <c r="S9" s="1073"/>
    </row>
    <row r="10" spans="2:19" ht="16.5" thickBot="1">
      <c r="B10" s="1830"/>
      <c r="C10" s="2280"/>
      <c r="D10" s="2284" t="str">
        <f>IF(G10=0,"",DataNameProd2)</f>
        <v/>
      </c>
      <c r="E10" s="2284"/>
      <c r="F10" s="2284"/>
      <c r="G10" s="2584">
        <f>INDEX(finPNLReg1Prod2NetRev, xxIndexTeam)+INDEX(finPNLReg2Prod2NetRev, xxIndexTeam)</f>
        <v>0</v>
      </c>
      <c r="H10" s="2585"/>
      <c r="I10" s="2585"/>
      <c r="J10" s="2586"/>
      <c r="K10" s="1886"/>
      <c r="L10" s="1886"/>
      <c r="M10" s="1863" t="s">
        <v>3937</v>
      </c>
      <c r="N10" s="1886"/>
      <c r="O10" s="2292"/>
      <c r="P10" s="2253">
        <f ca="1">INDEX(finPNLOtherOpExp, xxIndexTeam)</f>
        <v>366200411.79866314</v>
      </c>
      <c r="Q10" s="2287"/>
      <c r="R10" s="1835"/>
      <c r="S10" s="1073"/>
    </row>
    <row r="11" spans="2:19" ht="16.5" thickBot="1">
      <c r="B11" s="1830"/>
      <c r="C11" s="2280"/>
      <c r="D11" s="1925"/>
      <c r="E11" s="2285"/>
      <c r="F11" s="2285"/>
      <c r="G11" s="2285"/>
      <c r="H11" s="2285"/>
      <c r="I11" s="2293"/>
      <c r="J11" s="2285"/>
      <c r="K11" s="1886"/>
      <c r="L11" s="1886"/>
      <c r="M11" s="2294" t="s">
        <v>2550</v>
      </c>
      <c r="N11" s="2295"/>
      <c r="O11" s="2292"/>
      <c r="P11" s="2253">
        <f ca="1">(G14-SUM(P7:P10))*INDEX(paramTaxRate,xxIndexTeam)</f>
        <v>1951394979.940078</v>
      </c>
      <c r="Q11" s="2296"/>
      <c r="R11" s="1835"/>
      <c r="S11" s="1073"/>
    </row>
    <row r="12" spans="2:19" ht="15.75">
      <c r="B12" s="1830"/>
      <c r="C12" s="2280"/>
      <c r="D12" s="1886"/>
      <c r="E12" s="1886"/>
      <c r="F12" s="1886"/>
      <c r="G12" s="1886"/>
      <c r="H12" s="1886"/>
      <c r="I12" s="2164"/>
      <c r="J12" s="1886"/>
      <c r="K12" s="1886"/>
      <c r="L12" s="1886"/>
      <c r="M12" s="1886"/>
      <c r="N12" s="2295"/>
      <c r="O12" s="1886"/>
      <c r="P12" s="1886"/>
      <c r="Q12" s="2296"/>
      <c r="R12" s="1835"/>
      <c r="S12" s="1073"/>
    </row>
    <row r="13" spans="2:19" ht="16.5" thickBot="1">
      <c r="B13" s="1830"/>
      <c r="C13" s="2280"/>
      <c r="D13" s="1886"/>
      <c r="E13" s="1886"/>
      <c r="F13" s="1886"/>
      <c r="G13" s="2281" t="s">
        <v>425</v>
      </c>
      <c r="H13" s="2297"/>
      <c r="I13" s="2298"/>
      <c r="J13" s="2299"/>
      <c r="K13" s="1886"/>
      <c r="L13" s="2300"/>
      <c r="M13" s="2281" t="s">
        <v>945</v>
      </c>
      <c r="N13" s="2301"/>
      <c r="O13" s="2302"/>
      <c r="P13" s="2303"/>
      <c r="Q13" s="2301"/>
      <c r="R13" s="1835"/>
      <c r="S13" s="1073"/>
    </row>
    <row r="14" spans="2:19" ht="21" thickBot="1">
      <c r="B14" s="1830"/>
      <c r="C14" s="2280"/>
      <c r="D14" s="2304" t="s">
        <v>3164</v>
      </c>
      <c r="E14" s="1886"/>
      <c r="F14" s="1886"/>
      <c r="G14" s="2305">
        <f>finPNLNetRev</f>
        <v>22622123699.5</v>
      </c>
      <c r="H14" s="2306"/>
      <c r="I14" s="2306"/>
      <c r="J14" s="2307"/>
      <c r="K14" s="2587" t="s">
        <v>3536</v>
      </c>
      <c r="L14" s="2588"/>
      <c r="M14" s="2305">
        <f ca="1">SUM(P7:P11)</f>
        <v>19299478193.115543</v>
      </c>
      <c r="N14" s="2306"/>
      <c r="O14" s="2306"/>
      <c r="P14" s="2307"/>
      <c r="Q14" s="2308"/>
      <c r="R14" s="1835"/>
      <c r="S14" s="1073"/>
    </row>
    <row r="15" spans="2:19" ht="14.25" customHeight="1" thickTop="1" thickBot="1">
      <c r="B15" s="1830"/>
      <c r="C15" s="2280"/>
      <c r="D15" s="2581">
        <f ca="1">INDEX(finROIC,xxIndexTeam)</f>
        <v>0.22933437001096038</v>
      </c>
      <c r="E15" s="2583" t="s">
        <v>2896</v>
      </c>
      <c r="F15" s="2583"/>
      <c r="G15" s="2003"/>
      <c r="H15" s="2003"/>
      <c r="I15" s="2003"/>
      <c r="J15" s="2003"/>
      <c r="K15" s="1850"/>
      <c r="L15" s="2003"/>
      <c r="M15" s="2003"/>
      <c r="N15" s="2003"/>
      <c r="O15" s="2003"/>
      <c r="P15" s="2003"/>
      <c r="Q15" s="2296"/>
      <c r="R15" s="1835"/>
      <c r="S15" s="1073"/>
    </row>
    <row r="16" spans="2:19" ht="15.75" customHeight="1" thickBot="1">
      <c r="B16" s="1830"/>
      <c r="C16" s="2280"/>
      <c r="D16" s="2582"/>
      <c r="E16" s="2583"/>
      <c r="F16" s="2583"/>
      <c r="G16" s="1886"/>
      <c r="H16" s="1886"/>
      <c r="I16" s="2281" t="s">
        <v>153</v>
      </c>
      <c r="J16" s="2303"/>
      <c r="K16" s="2303"/>
      <c r="L16" s="2303"/>
      <c r="M16" s="2303"/>
      <c r="N16" s="2303"/>
      <c r="O16" s="2303"/>
      <c r="P16" s="1886"/>
      <c r="Q16" s="2296"/>
      <c r="R16" s="1835"/>
      <c r="S16" s="1073"/>
    </row>
    <row r="17" spans="2:22" ht="17.25" thickTop="1" thickBot="1">
      <c r="B17" s="1830"/>
      <c r="C17" s="2280"/>
      <c r="D17" s="1886"/>
      <c r="E17" s="1886"/>
      <c r="F17" s="1886"/>
      <c r="G17" s="2309"/>
      <c r="H17" s="2309"/>
      <c r="I17" s="2309"/>
      <c r="J17" s="2305">
        <f ca="1">INDEX(finInvestedCapital,xxIndexTeam)</f>
        <v>14488214331.875597</v>
      </c>
      <c r="K17" s="2310"/>
      <c r="L17" s="2310"/>
      <c r="M17" s="2291"/>
      <c r="N17" s="2309"/>
      <c r="O17" s="2309"/>
      <c r="P17" s="2309"/>
      <c r="Q17" s="2311"/>
      <c r="R17" s="1835"/>
      <c r="S17" s="1073"/>
    </row>
    <row r="18" spans="2:22" ht="15.75">
      <c r="B18" s="1830"/>
      <c r="C18" s="2280"/>
      <c r="D18" s="1886"/>
      <c r="E18" s="1886"/>
      <c r="F18" s="1886"/>
      <c r="G18" s="2309"/>
      <c r="H18" s="2309"/>
      <c r="I18" s="2309"/>
      <c r="J18" s="2309"/>
      <c r="K18" s="2312"/>
      <c r="L18" s="2309"/>
      <c r="M18" s="2309"/>
      <c r="N18" s="2309"/>
      <c r="O18" s="2309"/>
      <c r="P18" s="2309"/>
      <c r="Q18" s="2311"/>
      <c r="R18" s="1835"/>
      <c r="S18" s="1073"/>
    </row>
    <row r="19" spans="2:22" ht="16.5" thickBot="1">
      <c r="B19" s="1830"/>
      <c r="C19" s="2280"/>
      <c r="D19" s="2313" t="s">
        <v>2551</v>
      </c>
      <c r="E19" s="1886"/>
      <c r="F19" s="1886"/>
      <c r="G19" s="2313" t="s">
        <v>1935</v>
      </c>
      <c r="H19" s="2314"/>
      <c r="I19" s="2314"/>
      <c r="J19" s="2313" t="s">
        <v>1843</v>
      </c>
      <c r="K19" s="2315"/>
      <c r="L19" s="2314"/>
      <c r="M19" s="1888" t="s">
        <v>1058</v>
      </c>
      <c r="N19" s="2314"/>
      <c r="O19" s="2314"/>
      <c r="P19" s="2313" t="s">
        <v>155</v>
      </c>
      <c r="Q19" s="2316"/>
      <c r="R19" s="1835"/>
      <c r="S19" s="1073"/>
      <c r="V19" s="1084"/>
    </row>
    <row r="20" spans="2:22" ht="21" thickBot="1">
      <c r="B20" s="1830"/>
      <c r="C20" s="2280"/>
      <c r="D20" s="2317">
        <f ca="1">(INDEX(obalARValue, xxIndexTeam)+INDEX(cbalARValue, xxIndexTeam)+INDEX(obalCashValue, xxIndexTeam)+INDEX(cbalCashValue, xxIndexTeam))/2</f>
        <v>10178313821.513853</v>
      </c>
      <c r="E20" s="2318" t="s">
        <v>156</v>
      </c>
      <c r="F20" s="2319"/>
      <c r="G20" s="2317">
        <f ca="1">SUM(G23:G25)</f>
        <v>884960966.0711925</v>
      </c>
      <c r="H20" s="2320" t="s">
        <v>156</v>
      </c>
      <c r="I20" s="2321"/>
      <c r="J20" s="2317">
        <f ca="1">(INDEX(obalPlantValue, xxIndexTeam)+INDEX(cbalPlantValue, xxIndexTeam))/2</f>
        <v>6379283130</v>
      </c>
      <c r="K20" s="2320" t="s">
        <v>156</v>
      </c>
      <c r="L20" s="2322"/>
      <c r="M20" s="2317">
        <f>(INDEX(obalGoodWillValue, xxIndexTeam)+INDEX(cbalGoodwillValue, xxIndexTeam))/2</f>
        <v>2800000000</v>
      </c>
      <c r="N20" s="2320" t="s">
        <v>3536</v>
      </c>
      <c r="O20" s="2323"/>
      <c r="P20" s="2317">
        <f ca="1">((INDEX(obalAPValue, xxIndexTeam)+INDEX(cbalAPValue, xxIndexTeam))/2)+((INDEX(obalOtherCurrLiabValue, xxIndexTeam)+INDEX(cbalOtherCurrLiabValue, xxIndexTeam))/2)</f>
        <v>5754343585.7094479</v>
      </c>
      <c r="Q20" s="2324"/>
      <c r="R20" s="1835"/>
      <c r="S20" s="1073"/>
    </row>
    <row r="21" spans="2:22" ht="15.75">
      <c r="B21" s="1830"/>
      <c r="C21" s="2280"/>
      <c r="D21" s="1886"/>
      <c r="E21" s="1886"/>
      <c r="F21" s="1886"/>
      <c r="G21" s="1886"/>
      <c r="H21" s="1886"/>
      <c r="I21" s="1886"/>
      <c r="J21" s="1886"/>
      <c r="K21" s="1886"/>
      <c r="L21" s="1886"/>
      <c r="M21" s="1886"/>
      <c r="N21" s="1886"/>
      <c r="O21" s="1886"/>
      <c r="P21" s="1886"/>
      <c r="Q21" s="2296"/>
      <c r="R21" s="1835"/>
      <c r="S21" s="1073"/>
    </row>
    <row r="22" spans="2:22" ht="16.5" thickBot="1">
      <c r="B22" s="1830"/>
      <c r="C22" s="2280"/>
      <c r="D22" s="1886"/>
      <c r="E22" s="1886"/>
      <c r="F22" s="1886"/>
      <c r="G22" s="1886"/>
      <c r="H22" s="1886"/>
      <c r="I22" s="1886"/>
      <c r="J22" s="1886"/>
      <c r="K22" s="1886"/>
      <c r="L22" s="1886"/>
      <c r="M22" s="1886"/>
      <c r="N22" s="1886"/>
      <c r="O22" s="1886"/>
      <c r="P22" s="1886"/>
      <c r="Q22" s="2296"/>
      <c r="R22" s="1835"/>
      <c r="S22" s="1073"/>
    </row>
    <row r="23" spans="2:22" ht="15.75">
      <c r="B23" s="1830"/>
      <c r="C23" s="2280"/>
      <c r="D23" s="1886"/>
      <c r="E23" s="1886"/>
      <c r="F23" s="1886"/>
      <c r="G23" s="2325">
        <f>((INDEX(obalReg1MatValue, xxIndexTeam)+INDEX(cbalReg1MatValue, xxIndexTeam))/2)+((INDEX(obalReg2MatValue, xxIndexTeam)+INDEX(cbalReg2MatValue, xxIndexTeam))/2)</f>
        <v>837277793.2289319</v>
      </c>
      <c r="H23" s="2326"/>
      <c r="I23" s="2327" t="s">
        <v>1286</v>
      </c>
      <c r="J23" s="2327"/>
      <c r="K23" s="1886"/>
      <c r="L23" s="1886"/>
      <c r="M23" s="1886"/>
      <c r="N23" s="1886"/>
      <c r="O23" s="1886"/>
      <c r="P23" s="1886"/>
      <c r="Q23" s="2296"/>
      <c r="R23" s="1835"/>
      <c r="S23" s="1073"/>
    </row>
    <row r="24" spans="2:22" ht="15.75">
      <c r="B24" s="1830"/>
      <c r="C24" s="2280"/>
      <c r="D24" s="1886"/>
      <c r="E24" s="1886"/>
      <c r="F24" s="1886"/>
      <c r="G24" s="2269">
        <f>((INDEX(obalReg1WIPValue, xxIndexTeam)+INDEX(cbalReg1WIPValue, xxIndexTeam))/2)+((INDEX(obalReg2WIPValue, xxIndexTeam)+INDEX(cbalReg2WIPValue, xxIndexTeam))/2)</f>
        <v>5022767.4651032444</v>
      </c>
      <c r="H24" s="2326"/>
      <c r="I24" s="2327" t="s">
        <v>3938</v>
      </c>
      <c r="J24" s="2327"/>
      <c r="K24" s="1886"/>
      <c r="L24" s="1886"/>
      <c r="M24" s="1886"/>
      <c r="N24" s="1886"/>
      <c r="O24" s="1886"/>
      <c r="P24" s="1886"/>
      <c r="Q24" s="2296"/>
      <c r="R24" s="1835"/>
      <c r="S24" s="1073"/>
    </row>
    <row r="25" spans="2:22" ht="16.5" thickBot="1">
      <c r="B25" s="1830"/>
      <c r="C25" s="2280"/>
      <c r="D25" s="1886"/>
      <c r="E25" s="1886"/>
      <c r="F25" s="1886"/>
      <c r="G25" s="2328">
        <f ca="1">((INDEX(obalReg1FGValue, xxIndexTeam)+INDEX(cbalReg1FGValue, xxIndexTeam))/2)+((INDEX(obalReg2FGValue, xxIndexTeam)+INDEX(cbalReg2FGValue, xxIndexTeam))/2)</f>
        <v>42660405.377157331</v>
      </c>
      <c r="H25" s="2326"/>
      <c r="I25" s="2327" t="s">
        <v>3415</v>
      </c>
      <c r="J25" s="2329"/>
      <c r="K25" s="1886"/>
      <c r="L25" s="1886"/>
      <c r="M25" s="1886"/>
      <c r="N25" s="1886"/>
      <c r="O25" s="1886"/>
      <c r="P25" s="1886"/>
      <c r="Q25" s="2296"/>
      <c r="R25" s="1835"/>
      <c r="S25" s="1073"/>
    </row>
    <row r="26" spans="2:22" ht="15.75">
      <c r="B26" s="1830"/>
      <c r="C26" s="2330"/>
      <c r="D26" s="2331"/>
      <c r="E26" s="2331"/>
      <c r="F26" s="2331"/>
      <c r="G26" s="2331"/>
      <c r="H26" s="2331"/>
      <c r="I26" s="2331"/>
      <c r="J26" s="2331"/>
      <c r="K26" s="2331"/>
      <c r="L26" s="2331"/>
      <c r="M26" s="2331"/>
      <c r="N26" s="2331"/>
      <c r="O26" s="2331"/>
      <c r="P26" s="2331"/>
      <c r="Q26" s="2332"/>
      <c r="R26" s="1835"/>
      <c r="S26" s="1073"/>
    </row>
    <row r="27" spans="2:22" ht="16.5" thickBot="1">
      <c r="B27" s="1854"/>
      <c r="C27" s="1850"/>
      <c r="D27" s="1850"/>
      <c r="E27" s="1850"/>
      <c r="F27" s="1850"/>
      <c r="G27" s="1850"/>
      <c r="H27" s="1850"/>
      <c r="I27" s="1850"/>
      <c r="J27" s="1850"/>
      <c r="K27" s="1850"/>
      <c r="L27" s="1850"/>
      <c r="M27" s="1850"/>
      <c r="N27" s="1850"/>
      <c r="O27" s="1850"/>
      <c r="P27" s="1850"/>
      <c r="Q27" s="1850"/>
      <c r="R27" s="1856"/>
      <c r="S27" s="1073"/>
    </row>
    <row r="28" spans="2:22" ht="20.25" customHeight="1" thickBot="1">
      <c r="B28" s="2333"/>
      <c r="C28" s="2334"/>
      <c r="D28" s="2334"/>
      <c r="E28" s="2334"/>
      <c r="F28" s="2334"/>
      <c r="G28" s="2334"/>
      <c r="H28" s="2334"/>
      <c r="I28" s="2334"/>
      <c r="J28" s="2334"/>
      <c r="K28" s="2334"/>
      <c r="L28" s="2334"/>
      <c r="M28" s="2334"/>
      <c r="N28" s="2334"/>
      <c r="O28" s="2334"/>
      <c r="P28" s="2334" t="s">
        <v>157</v>
      </c>
      <c r="Q28" s="2334" t="s">
        <v>157</v>
      </c>
      <c r="R28" s="2335" t="s">
        <v>157</v>
      </c>
      <c r="S28" s="1073"/>
    </row>
  </sheetData>
  <mergeCells count="4">
    <mergeCell ref="D15:D16"/>
    <mergeCell ref="E15:F16"/>
    <mergeCell ref="G10:J10"/>
    <mergeCell ref="K14:L14"/>
  </mergeCells>
  <phoneticPr fontId="0" type="noConversion"/>
  <conditionalFormatting sqref="D15:D16">
    <cfRule type="cellIs" dxfId="549" priority="1" stopIfTrue="1" operator="greaterThan">
      <formula>0</formula>
    </cfRule>
    <cfRule type="cellIs" dxfId="548" priority="2" stopIfTrue="1" operator="lessThanOrEqual">
      <formula>0</formula>
    </cfRule>
  </conditionalFormatting>
  <conditionalFormatting sqref="G10:J10">
    <cfRule type="cellIs" dxfId="547" priority="3" stopIfTrue="1" operator="equal">
      <formula>0</formula>
    </cfRule>
  </conditionalFormatting>
  <printOptions horizontalCentered="1"/>
  <pageMargins left="0.25" right="0.25" top="1" bottom="1" header="0.5" footer="0.5"/>
  <pageSetup paperSize="9" scale="90" orientation="portrait" blackAndWhite="1" r:id="rId1"/>
  <headerFooter alignWithMargins="0">
    <oddFooter>&amp;CPage &amp;P of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22"/>
    <pageSetUpPr fitToPage="1"/>
  </sheetPr>
  <dimension ref="B1:Y30"/>
  <sheetViews>
    <sheetView showGridLines="0" showZeros="0" topLeftCell="A8" zoomScale="116" workbookViewId="0">
      <selection activeCell="F23" sqref="F23"/>
    </sheetView>
  </sheetViews>
  <sheetFormatPr defaultRowHeight="11.25"/>
  <cols>
    <col min="1" max="1" width="1.83203125" style="487" customWidth="1"/>
    <col min="2" max="2" width="4.1640625" style="487" customWidth="1"/>
    <col min="3" max="3" width="9.83203125" style="487" customWidth="1"/>
    <col min="4" max="4" width="7.6640625" style="487" customWidth="1"/>
    <col min="5" max="5" width="4.83203125" style="487" customWidth="1"/>
    <col min="6" max="6" width="7.6640625" style="487" customWidth="1"/>
    <col min="7" max="7" width="9.83203125" style="487" customWidth="1"/>
    <col min="8" max="8" width="8.6640625" style="487" customWidth="1"/>
    <col min="9" max="10" width="11.5" style="487" customWidth="1"/>
    <col min="11" max="11" width="17.1640625" style="487" customWidth="1"/>
    <col min="12" max="13" width="11.1640625" style="487" customWidth="1"/>
    <col min="14" max="14" width="1" style="487" customWidth="1"/>
    <col min="15" max="15" width="9.1640625" style="487" customWidth="1"/>
    <col min="16" max="16" width="1" style="487" customWidth="1"/>
    <col min="17" max="17" width="8.5" style="487" customWidth="1"/>
    <col min="18" max="18" width="1.83203125" style="487" customWidth="1"/>
    <col min="19" max="20" width="9.33203125" style="487" customWidth="1"/>
    <col min="21" max="21" width="11.1640625" style="487" bestFit="1" customWidth="1"/>
    <col min="22" max="24" width="9.33203125" style="487" customWidth="1"/>
    <col min="25" max="25" width="10.5" style="487" bestFit="1" customWidth="1"/>
    <col min="26" max="16384" width="9.33203125" style="487"/>
  </cols>
  <sheetData>
    <row r="1" spans="2:25" ht="7.5" customHeight="1" thickBot="1"/>
    <row r="2" spans="2:25" ht="23.25" thickBot="1">
      <c r="B2" s="1672" t="s">
        <v>3688</v>
      </c>
      <c r="C2" s="2228"/>
      <c r="D2" s="2228"/>
      <c r="E2" s="2228"/>
      <c r="F2" s="2228"/>
      <c r="G2" s="2228"/>
      <c r="H2" s="2228"/>
      <c r="I2" s="2228"/>
      <c r="J2" s="2228"/>
      <c r="K2" s="2228"/>
      <c r="L2" s="2228"/>
      <c r="M2" s="2228"/>
      <c r="N2" s="2228"/>
      <c r="O2" s="2228"/>
      <c r="P2" s="2228"/>
      <c r="Q2" s="2228"/>
      <c r="R2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S2" s="2202"/>
      <c r="T2" s="2202"/>
      <c r="U2" s="2202"/>
      <c r="V2" s="2202"/>
      <c r="W2" s="2202"/>
      <c r="X2" s="2202"/>
      <c r="Y2" s="2202"/>
    </row>
    <row r="3" spans="2:25">
      <c r="B3" s="1845"/>
      <c r="C3" s="1846"/>
      <c r="D3" s="1846"/>
      <c r="E3" s="1846"/>
      <c r="F3" s="1846"/>
      <c r="G3" s="1846"/>
      <c r="H3" s="1846"/>
      <c r="I3" s="1846"/>
      <c r="J3" s="1846"/>
      <c r="K3" s="1846"/>
      <c r="L3" s="1846"/>
      <c r="M3" s="1846"/>
      <c r="N3" s="1846"/>
      <c r="O3" s="1846"/>
      <c r="P3" s="1846"/>
      <c r="Q3" s="1846"/>
      <c r="R3" s="1847"/>
      <c r="S3" s="2202"/>
      <c r="T3" s="2202"/>
      <c r="U3" s="2202"/>
      <c r="V3" s="2202"/>
      <c r="W3" s="2202"/>
      <c r="X3" s="2202"/>
      <c r="Y3" s="2202"/>
    </row>
    <row r="4" spans="2:25">
      <c r="B4" s="1830"/>
      <c r="C4" s="1831"/>
      <c r="D4" s="1831"/>
      <c r="E4" s="1831"/>
      <c r="F4" s="1831"/>
      <c r="G4" s="1831"/>
      <c r="H4" s="1831"/>
      <c r="I4" s="1831"/>
      <c r="J4" s="1831"/>
      <c r="K4" s="1831"/>
      <c r="L4" s="1831"/>
      <c r="M4" s="1831"/>
      <c r="N4" s="1831"/>
      <c r="O4" s="1831"/>
      <c r="P4" s="1831"/>
      <c r="Q4" s="1831"/>
      <c r="R4" s="1835"/>
      <c r="S4" s="2202"/>
      <c r="T4" s="2202"/>
      <c r="U4" s="2202"/>
      <c r="V4" s="2202"/>
      <c r="W4" s="2202"/>
      <c r="X4" s="2202"/>
      <c r="Y4" s="2202"/>
    </row>
    <row r="5" spans="2:25" ht="15.75">
      <c r="B5" s="1830"/>
      <c r="C5" s="1831"/>
      <c r="D5" s="1831"/>
      <c r="E5" s="1831"/>
      <c r="F5" s="1831"/>
      <c r="G5" s="1831"/>
      <c r="H5" s="1831"/>
      <c r="I5" s="2229" t="s">
        <v>3688</v>
      </c>
      <c r="J5" s="2067"/>
      <c r="K5" s="1831"/>
      <c r="L5" s="1831"/>
      <c r="M5" s="1831"/>
      <c r="N5" s="1831"/>
      <c r="O5" s="1831"/>
      <c r="P5" s="1831"/>
      <c r="Q5" s="1831"/>
      <c r="R5" s="1835"/>
      <c r="S5" s="2202"/>
      <c r="T5" s="2202"/>
      <c r="U5" s="2202"/>
      <c r="V5" s="2202"/>
      <c r="W5" s="2202"/>
      <c r="X5" s="2202"/>
      <c r="Y5" s="2202"/>
    </row>
    <row r="6" spans="2:25" ht="5.0999999999999996" customHeight="1" thickBot="1">
      <c r="B6" s="1830"/>
      <c r="C6" s="1831"/>
      <c r="D6" s="1831"/>
      <c r="E6" s="1831"/>
      <c r="F6" s="1831"/>
      <c r="G6" s="1831"/>
      <c r="H6" s="1831"/>
      <c r="I6" s="1831"/>
      <c r="J6" s="1831"/>
      <c r="K6" s="1831"/>
      <c r="L6" s="1831"/>
      <c r="M6" s="1831"/>
      <c r="N6" s="1831"/>
      <c r="O6" s="1831"/>
      <c r="P6" s="1831"/>
      <c r="Q6" s="1831"/>
      <c r="R6" s="1835"/>
      <c r="S6" s="2202"/>
      <c r="T6" s="2202"/>
      <c r="U6" s="2202"/>
      <c r="V6" s="2202"/>
      <c r="W6" s="2202"/>
      <c r="X6" s="2202"/>
      <c r="Y6" s="2202"/>
    </row>
    <row r="7" spans="2:25" ht="18.75" thickBot="1">
      <c r="B7" s="1830"/>
      <c r="C7" s="1831"/>
      <c r="D7" s="1831"/>
      <c r="E7" s="1831"/>
      <c r="F7" s="1831"/>
      <c r="G7" s="2230"/>
      <c r="H7" s="1831"/>
      <c r="I7" s="2231">
        <f ca="1">D12+I12-L12</f>
        <v>4519221370.2624865</v>
      </c>
      <c r="J7" s="2232"/>
      <c r="K7" s="1831"/>
      <c r="L7" s="1831"/>
      <c r="M7" s="1831"/>
      <c r="N7" s="1831"/>
      <c r="O7" s="1831"/>
      <c r="P7" s="1831"/>
      <c r="Q7" s="1831"/>
      <c r="R7" s="1835"/>
      <c r="S7" s="2202"/>
      <c r="T7" s="2202"/>
      <c r="U7" s="2202"/>
      <c r="V7" s="2202"/>
      <c r="W7" s="2202"/>
      <c r="X7" s="2202"/>
      <c r="Y7" s="2202"/>
    </row>
    <row r="8" spans="2:25">
      <c r="B8" s="1830"/>
      <c r="C8" s="1831"/>
      <c r="D8" s="1831"/>
      <c r="E8" s="1831"/>
      <c r="F8" s="1831"/>
      <c r="G8" s="1831"/>
      <c r="H8" s="1831"/>
      <c r="I8" s="1847"/>
      <c r="J8" s="1831"/>
      <c r="K8" s="1831"/>
      <c r="L8" s="1831"/>
      <c r="M8" s="1831"/>
      <c r="N8" s="1831"/>
      <c r="O8" s="1831"/>
      <c r="P8" s="1831"/>
      <c r="Q8" s="1831"/>
      <c r="R8" s="1835"/>
      <c r="S8" s="2202"/>
      <c r="T8" s="2202"/>
      <c r="U8" s="2202"/>
      <c r="V8" s="2202"/>
      <c r="W8" s="2202"/>
      <c r="X8" s="2202"/>
      <c r="Y8" s="2202"/>
    </row>
    <row r="9" spans="2:25" ht="12" thickBot="1">
      <c r="B9" s="1830"/>
      <c r="C9" s="1831"/>
      <c r="D9" s="1831"/>
      <c r="E9" s="1831"/>
      <c r="F9" s="1831"/>
      <c r="G9" s="1831"/>
      <c r="H9" s="1831"/>
      <c r="I9" s="1856"/>
      <c r="J9" s="1831"/>
      <c r="K9" s="1831"/>
      <c r="L9" s="1831"/>
      <c r="M9" s="1831"/>
      <c r="N9" s="1831"/>
      <c r="O9" s="1831"/>
      <c r="P9" s="1831"/>
      <c r="Q9" s="1831"/>
      <c r="R9" s="1835"/>
      <c r="S9" s="2202"/>
      <c r="T9" s="2202"/>
      <c r="U9" s="2202"/>
      <c r="V9" s="2202"/>
      <c r="W9" s="2202"/>
      <c r="X9" s="2202"/>
      <c r="Y9" s="2202"/>
    </row>
    <row r="10" spans="2:25">
      <c r="B10" s="1830"/>
      <c r="C10" s="1831"/>
      <c r="D10" s="1831"/>
      <c r="E10" s="2233"/>
      <c r="F10" s="2234"/>
      <c r="G10" s="1846"/>
      <c r="H10" s="1846"/>
      <c r="I10" s="1846"/>
      <c r="J10" s="1846"/>
      <c r="K10" s="1846"/>
      <c r="L10" s="1847"/>
      <c r="M10" s="1831"/>
      <c r="N10" s="1831"/>
      <c r="O10" s="1831"/>
      <c r="P10" s="1831"/>
      <c r="Q10" s="1831"/>
      <c r="R10" s="1835"/>
      <c r="S10" s="2202"/>
      <c r="T10" s="2202"/>
      <c r="U10" s="2202"/>
      <c r="V10" s="2202"/>
      <c r="W10" s="2202"/>
      <c r="X10" s="2202"/>
      <c r="Y10" s="2202"/>
    </row>
    <row r="11" spans="2:25" ht="16.5" thickBot="1">
      <c r="B11" s="1830"/>
      <c r="C11" s="1831"/>
      <c r="D11" s="2229" t="s">
        <v>1396</v>
      </c>
      <c r="E11" s="2235"/>
      <c r="F11" s="2236"/>
      <c r="G11" s="1831"/>
      <c r="H11" s="2236"/>
      <c r="I11" s="2229" t="s">
        <v>2370</v>
      </c>
      <c r="J11" s="2229"/>
      <c r="K11" s="1831"/>
      <c r="L11" s="2229" t="s">
        <v>2369</v>
      </c>
      <c r="M11" s="2229"/>
      <c r="N11" s="1831"/>
      <c r="O11" s="1831"/>
      <c r="P11" s="1831"/>
      <c r="Q11" s="1831"/>
      <c r="R11" s="1835"/>
      <c r="S11" s="2202"/>
      <c r="T11" s="2202"/>
      <c r="U11" s="2202"/>
      <c r="V11" s="2202"/>
      <c r="W11" s="2202"/>
      <c r="X11" s="2202" t="s">
        <v>1396</v>
      </c>
      <c r="Y11" s="2237">
        <f ca="1">D12</f>
        <v>5274040486.3245354</v>
      </c>
    </row>
    <row r="12" spans="2:25" ht="22.5" thickBot="1">
      <c r="B12" s="1830"/>
      <c r="C12" s="2238"/>
      <c r="D12" s="2239">
        <f ca="1">C16-F16</f>
        <v>5274040486.3245354</v>
      </c>
      <c r="E12" s="2240"/>
      <c r="F12" s="2240"/>
      <c r="G12" s="2241" t="s">
        <v>156</v>
      </c>
      <c r="H12" s="2241"/>
      <c r="I12" s="2239">
        <f ca="1">tlOutput_toolROIC_Two_I16+tlOutput_toolROIC_Two_I18+tlOutput_toolROIC_Two_I20</f>
        <v>244736883.93795121</v>
      </c>
      <c r="J12" s="2169"/>
      <c r="K12" s="2242" t="s">
        <v>3536</v>
      </c>
      <c r="L12" s="2239">
        <f>-toolCashFlow!H28</f>
        <v>999556000</v>
      </c>
      <c r="M12" s="2169"/>
      <c r="N12" s="2243"/>
      <c r="O12" s="1962"/>
      <c r="P12" s="1831"/>
      <c r="Q12" s="1831"/>
      <c r="R12" s="1835"/>
      <c r="S12" s="2202"/>
      <c r="T12" s="2202"/>
      <c r="U12" s="2202"/>
      <c r="V12" s="2202"/>
      <c r="W12" s="2202"/>
      <c r="X12" s="2202" t="s">
        <v>2372</v>
      </c>
      <c r="Y12" s="2237">
        <f ca="1">I12</f>
        <v>244736883.93795121</v>
      </c>
    </row>
    <row r="13" spans="2:25" ht="12" thickBot="1">
      <c r="B13" s="1830"/>
      <c r="C13" s="1831"/>
      <c r="D13" s="1831"/>
      <c r="E13" s="1857"/>
      <c r="F13" s="1831"/>
      <c r="G13" s="1831"/>
      <c r="H13" s="1831"/>
      <c r="I13" s="1847"/>
      <c r="J13" s="1831"/>
      <c r="K13" s="1831"/>
      <c r="L13" s="1831"/>
      <c r="M13" s="1831"/>
      <c r="N13" s="1831"/>
      <c r="O13" s="1831"/>
      <c r="P13" s="1831"/>
      <c r="Q13" s="1831"/>
      <c r="R13" s="1835"/>
      <c r="S13" s="2202"/>
      <c r="T13" s="2202"/>
      <c r="U13" s="2202"/>
      <c r="V13" s="2202"/>
      <c r="W13" s="2202"/>
      <c r="X13" s="2202" t="s">
        <v>2371</v>
      </c>
      <c r="Y13" s="2237">
        <f>-L12</f>
        <v>-999556000</v>
      </c>
    </row>
    <row r="14" spans="2:25" ht="15" customHeight="1">
      <c r="B14" s="1830"/>
      <c r="C14" s="1831"/>
      <c r="D14" s="1845"/>
      <c r="E14" s="1846"/>
      <c r="F14" s="1847"/>
      <c r="G14" s="1831"/>
      <c r="H14" s="1831"/>
      <c r="I14" s="1835"/>
      <c r="J14" s="1831"/>
      <c r="K14" s="1831"/>
      <c r="L14" s="1831"/>
      <c r="M14" s="1831"/>
      <c r="N14" s="1831"/>
      <c r="O14" s="1831"/>
      <c r="P14" s="1831"/>
      <c r="Q14" s="1831"/>
      <c r="R14" s="1835"/>
      <c r="S14" s="2202"/>
      <c r="T14" s="2202"/>
      <c r="U14" s="2202"/>
      <c r="V14" s="2202"/>
      <c r="W14" s="2202"/>
      <c r="X14" s="2202" t="s">
        <v>2373</v>
      </c>
      <c r="Y14" s="2237">
        <f ca="1">SUM(Y11:Y13)</f>
        <v>4519221370.2624865</v>
      </c>
    </row>
    <row r="15" spans="2:25" ht="15" customHeight="1" thickBot="1">
      <c r="B15" s="1830"/>
      <c r="C15" s="2107" t="s">
        <v>2576</v>
      </c>
      <c r="D15" s="2236"/>
      <c r="E15" s="2244"/>
      <c r="F15" s="2107" t="s">
        <v>1045</v>
      </c>
      <c r="G15" s="2236"/>
      <c r="H15" s="1831"/>
      <c r="I15" s="2245" t="s">
        <v>2366</v>
      </c>
      <c r="J15" s="2246"/>
      <c r="K15" s="1831"/>
      <c r="L15" s="1831"/>
      <c r="M15" s="1831"/>
      <c r="N15" s="1831"/>
      <c r="O15" s="1831"/>
      <c r="P15" s="1831"/>
      <c r="Q15" s="1831"/>
      <c r="R15" s="1835"/>
      <c r="S15" s="2202"/>
      <c r="T15" s="2202"/>
      <c r="U15" s="2202"/>
      <c r="V15" s="2202"/>
      <c r="W15" s="2202"/>
      <c r="X15" s="2202"/>
      <c r="Y15" s="2202"/>
    </row>
    <row r="16" spans="2:25" ht="15" customHeight="1" thickBot="1">
      <c r="B16" s="2247"/>
      <c r="C16" s="2248">
        <f>tlOutput_toolROIC_Two_C18+tlOutput_toolROIC_Two_C20+tlOutput_toolROIC_Two_C22</f>
        <v>22622123699.5</v>
      </c>
      <c r="D16" s="2249"/>
      <c r="E16" s="2244" t="s">
        <v>3536</v>
      </c>
      <c r="F16" s="2250">
        <f ca="1">tlOutput_toolROIC_Two_F18+tlOutput_toolROIC_Two_F20+tlOutput_toolROIC_Two_F22+tlOutput_toolROIC_Two_F24</f>
        <v>17348083213.175465</v>
      </c>
      <c r="G16" s="2251"/>
      <c r="H16" s="1831"/>
      <c r="I16" s="2252">
        <f>(INDEX(obalARValue, xxIndexTeam)-INDEX(cbalARValue, xxIndexTeam))</f>
        <v>-12758625.916666985</v>
      </c>
      <c r="J16" s="2253"/>
      <c r="K16" s="1831"/>
      <c r="L16" s="1831"/>
      <c r="M16" s="1831"/>
      <c r="N16" s="1831"/>
      <c r="O16" s="1831"/>
      <c r="P16" s="1831"/>
      <c r="Q16" s="1831"/>
      <c r="R16" s="1835"/>
      <c r="S16" s="2202"/>
      <c r="T16" s="2202"/>
      <c r="U16" s="2202"/>
      <c r="V16" s="2202"/>
      <c r="W16" s="2202"/>
      <c r="X16" s="2202"/>
      <c r="Y16" s="2202"/>
    </row>
    <row r="17" spans="2:25" ht="15.75" thickBot="1">
      <c r="B17" s="1830"/>
      <c r="C17" s="2254" t="str">
        <f>DataNameProd1&amp;" "</f>
        <v xml:space="preserve">CSD </v>
      </c>
      <c r="D17" s="2255"/>
      <c r="E17" s="1831"/>
      <c r="F17" s="2254" t="s">
        <v>2364</v>
      </c>
      <c r="G17" s="2254"/>
      <c r="H17" s="1831"/>
      <c r="I17" s="2256" t="s">
        <v>2367</v>
      </c>
      <c r="J17" s="2257"/>
      <c r="K17" s="1831"/>
      <c r="L17" s="1831"/>
      <c r="M17" s="1831"/>
      <c r="N17" s="1831"/>
      <c r="O17" s="1831"/>
      <c r="P17" s="1831"/>
      <c r="Q17" s="1831"/>
      <c r="R17" s="1835"/>
      <c r="S17" s="2202"/>
      <c r="T17" s="2202"/>
      <c r="U17" s="2202"/>
      <c r="V17" s="2202"/>
      <c r="W17" s="2202"/>
      <c r="X17" s="2202"/>
      <c r="Y17" s="2202"/>
    </row>
    <row r="18" spans="2:25" ht="20.100000000000001" customHeight="1" thickBot="1">
      <c r="B18" s="2258"/>
      <c r="C18" s="2259">
        <f>INDEX(finPNLReg1Prod1NetRev, xxIndexTeam)+INDEX(finPNLReg2Prod1NetRev, xxIndexTeam)</f>
        <v>7898873699.5</v>
      </c>
      <c r="D18" s="2260"/>
      <c r="E18" s="2261"/>
      <c r="F18" s="2262">
        <f ca="1">INDEX(finPNLCOGSExp, xxIndexTeam)</f>
        <v>11248910818.928865</v>
      </c>
      <c r="G18" s="2263"/>
      <c r="H18" s="1831"/>
      <c r="I18" s="2252">
        <f ca="1">(INDEX(obalReg1MatValue, xxIndexTeam)-INDEX(cbalReg1MatValue, xxIndexTeam))+(INDEX(obalReg2MatValue, xxIndexTeam)-INDEX(cbalReg2MatValue, xxIndexTeam))+(INDEX(obalReg1WIPValue, xxIndexTeam)-INDEX(cbalReg1WIPValue, xxIndexTeam))+(INDEX(obalReg2WIPValue, xxIndexTeam)-INDEX(cbalReg2WIPValue, xxIndexTeam))+(INDEX(obalReg1FGValue, xxIndexTeam)-INDEX(cbalReg1FGValue, xxIndexTeam))+(INDEX(obalReg2FGValue, xxIndexTeam)-INDEX(cbalReg2FGValue, xxIndexTeam))</f>
        <v>-75359122.020355105</v>
      </c>
      <c r="J18" s="2253"/>
      <c r="K18" s="1831"/>
      <c r="L18" s="1831"/>
      <c r="M18" s="1831"/>
      <c r="N18" s="1831"/>
      <c r="O18" s="1831"/>
      <c r="P18" s="1831"/>
      <c r="Q18" s="1831"/>
      <c r="R18" s="1835"/>
      <c r="S18" s="2202"/>
      <c r="T18" s="2202"/>
      <c r="U18" s="2202"/>
      <c r="V18" s="2202"/>
      <c r="W18" s="2202"/>
      <c r="X18" s="2202"/>
      <c r="Y18" s="2202"/>
    </row>
    <row r="19" spans="2:25" ht="16.5" thickBot="1">
      <c r="B19" s="2264"/>
      <c r="C19" s="2254" t="str">
        <f>DataNameProd3&amp;" "</f>
        <v xml:space="preserve">NCB </v>
      </c>
      <c r="D19" s="2255"/>
      <c r="E19" s="1831"/>
      <c r="F19" s="2254" t="s">
        <v>946</v>
      </c>
      <c r="G19" s="2254"/>
      <c r="H19" s="1831"/>
      <c r="I19" s="2256" t="s">
        <v>2368</v>
      </c>
      <c r="J19" s="2265"/>
      <c r="K19" s="1831"/>
      <c r="L19" s="1831"/>
      <c r="M19" s="1831"/>
      <c r="N19" s="1831"/>
      <c r="O19" s="1831"/>
      <c r="P19" s="1831"/>
      <c r="Q19" s="1831"/>
      <c r="R19" s="1835"/>
      <c r="S19" s="2202"/>
      <c r="T19" s="2202"/>
      <c r="U19" s="2202"/>
      <c r="V19" s="2202"/>
      <c r="W19" s="2202"/>
      <c r="X19" s="2202"/>
      <c r="Y19" s="2202"/>
    </row>
    <row r="20" spans="2:25" ht="20.100000000000001" customHeight="1" thickBot="1">
      <c r="B20" s="2266"/>
      <c r="C20" s="2259">
        <f>INDEX(finPNLReg1Prod3NetRev, xxIndexTeam)+INDEX(finPNLReg2Prod3NetRev, xxIndexTeam)</f>
        <v>6782000000</v>
      </c>
      <c r="D20" s="2260"/>
      <c r="E20" s="2261"/>
      <c r="F20" s="2262">
        <f ca="1">INDEX(finPNLSGAExp, xxIndexTeam)</f>
        <v>5590474655.6612024</v>
      </c>
      <c r="G20" s="2263"/>
      <c r="H20" s="1831"/>
      <c r="I20" s="2252">
        <f ca="1">-((INDEX(obalAPValue, xxIndexTeam)-INDEX(cbalAPValue, xxIndexTeam))+(INDEX(obalOtherCurrLiabValue, xxIndexTeam)-INDEX(cbalOtherCurrLiabValue, xxIndexTeam)))</f>
        <v>332854631.8749733</v>
      </c>
      <c r="J20" s="2253"/>
      <c r="K20" s="1831"/>
      <c r="L20" s="1831"/>
      <c r="M20" s="1831"/>
      <c r="N20" s="1831"/>
      <c r="O20" s="1831"/>
      <c r="P20" s="1831"/>
      <c r="Q20" s="1831"/>
      <c r="R20" s="1835"/>
      <c r="S20" s="2202"/>
      <c r="T20" s="2202"/>
      <c r="U20" s="2202"/>
      <c r="V20" s="2202"/>
      <c r="W20" s="2202"/>
      <c r="X20" s="2202"/>
      <c r="Y20" s="2202"/>
    </row>
    <row r="21" spans="2:25" ht="16.5" thickBot="1">
      <c r="B21" s="2264"/>
      <c r="C21" s="2254" t="str">
        <f>DataNameProd4&amp;" "</f>
        <v xml:space="preserve">F&amp;S </v>
      </c>
      <c r="D21" s="2255"/>
      <c r="E21" s="1831"/>
      <c r="F21" s="2254" t="s">
        <v>2365</v>
      </c>
      <c r="G21" s="2254"/>
      <c r="H21" s="1831"/>
      <c r="I21" s="2257"/>
      <c r="J21" s="2265"/>
      <c r="K21" s="1831"/>
      <c r="L21" s="1831"/>
      <c r="M21" s="1831"/>
      <c r="N21" s="1831"/>
      <c r="O21" s="1831"/>
      <c r="P21" s="1831"/>
      <c r="Q21" s="1831"/>
      <c r="R21" s="1835"/>
      <c r="S21" s="2202"/>
      <c r="T21" s="2202"/>
      <c r="U21" s="2267">
        <f>((INDEX(obalReg1MatValue, xxIndexTeam)+INDEX(cbalReg1MatValue, xxIndexTeam))/2)+((INDEX(obalReg2MatValue, xxIndexTeam)+INDEX(cbalReg2MatValue, xxIndexTeam))/2)</f>
        <v>837277793.2289319</v>
      </c>
      <c r="V21" s="2202"/>
      <c r="W21" s="2202"/>
      <c r="X21" s="2202"/>
      <c r="Y21" s="2202"/>
    </row>
    <row r="22" spans="2:25" ht="20.100000000000001" customHeight="1" thickBot="1">
      <c r="B22" s="2266"/>
      <c r="C22" s="2259">
        <f>INDEX(finPNLReg1Prod4NetRev, xxIndexTeam)+INDEX(finPNLReg2Prod4NetRev, xxIndexTeam)</f>
        <v>7941250000</v>
      </c>
      <c r="D22" s="2260"/>
      <c r="E22" s="2261"/>
      <c r="F22" s="2262">
        <f>INDEX(finPNLRandDExp, xxIndexTeam)</f>
        <v>142497326.78673378</v>
      </c>
      <c r="G22" s="2263"/>
      <c r="H22" s="1831"/>
      <c r="I22" s="2257"/>
      <c r="J22" s="2268"/>
      <c r="K22" s="2268"/>
      <c r="L22" s="1831"/>
      <c r="M22" s="1831"/>
      <c r="N22" s="1831"/>
      <c r="O22" s="1831"/>
      <c r="P22" s="1831"/>
      <c r="Q22" s="1831"/>
      <c r="R22" s="1835"/>
      <c r="S22" s="2202"/>
      <c r="T22" s="2202"/>
      <c r="U22" s="2269">
        <f>((INDEX(obalReg1WIPValue, xxIndexTeam)+INDEX(cbalReg1WIPValue, xxIndexTeam))/2)+((INDEX(obalReg2WIPValue, xxIndexTeam)+INDEX(cbalReg2WIPValue, xxIndexTeam))/2)</f>
        <v>5022767.4651032444</v>
      </c>
      <c r="V22" s="2202"/>
      <c r="W22" s="2202"/>
      <c r="X22" s="2202"/>
      <c r="Y22" s="2202"/>
    </row>
    <row r="23" spans="2:25" ht="16.5" thickBot="1">
      <c r="B23" s="1830"/>
      <c r="C23" s="2270" t="str">
        <f>IF(C24&gt;0,DataNameProd2&amp;" ","")</f>
        <v/>
      </c>
      <c r="D23" s="2271"/>
      <c r="E23" s="1831"/>
      <c r="F23" s="2254" t="s">
        <v>4810</v>
      </c>
      <c r="G23" s="2254"/>
      <c r="H23" s="1831"/>
      <c r="I23" s="2257"/>
      <c r="J23" s="2265"/>
      <c r="K23" s="2257"/>
      <c r="L23" s="1831"/>
      <c r="M23" s="1831"/>
      <c r="N23" s="1831"/>
      <c r="O23" s="1831"/>
      <c r="P23" s="1831"/>
      <c r="Q23" s="1831"/>
      <c r="R23" s="1835"/>
      <c r="S23" s="2202"/>
      <c r="T23" s="2202"/>
      <c r="U23" s="2272">
        <f ca="1">((INDEX(obalReg1FGValue, xxIndexTeam)+INDEX(cbalReg1FGValue, xxIndexTeam))/2)+((INDEX(obalReg2FGValue, xxIndexTeam)+INDEX(cbalReg2FGValue, xxIndexTeam))/2)</f>
        <v>42660405.377157331</v>
      </c>
      <c r="V23" s="2202"/>
      <c r="W23" s="2202"/>
      <c r="X23" s="2202"/>
      <c r="Y23" s="2202"/>
    </row>
    <row r="24" spans="2:25" ht="20.100000000000001" customHeight="1" thickBot="1">
      <c r="B24" s="1830"/>
      <c r="C24" s="2589">
        <f>INDEX(finPNLReg1Prod2NetRev, xxIndexTeam)+INDEX(finPNLReg2Prod2NetRev, xxIndexTeam)</f>
        <v>0</v>
      </c>
      <c r="D24" s="2590"/>
      <c r="E24" s="1831"/>
      <c r="F24" s="2262">
        <f ca="1">INDEX(finPNLOtherOpExp, xxIndexTeam)</f>
        <v>366200411.79866314</v>
      </c>
      <c r="G24" s="2263"/>
      <c r="H24" s="1831"/>
      <c r="I24" s="2257"/>
      <c r="J24" s="2268"/>
      <c r="K24" s="2268"/>
      <c r="L24" s="1831"/>
      <c r="M24" s="1831"/>
      <c r="N24" s="1831"/>
      <c r="O24" s="1831"/>
      <c r="P24" s="1831"/>
      <c r="Q24" s="1831"/>
      <c r="R24" s="1835"/>
      <c r="S24" s="2202"/>
      <c r="T24" s="2202"/>
      <c r="U24" s="2202"/>
      <c r="V24" s="2202"/>
      <c r="W24" s="2202"/>
      <c r="X24" s="2202"/>
      <c r="Y24" s="2202"/>
    </row>
    <row r="25" spans="2:25" ht="15.75">
      <c r="B25" s="1830"/>
      <c r="C25" s="1831"/>
      <c r="D25" s="1831"/>
      <c r="E25" s="1831"/>
      <c r="F25" s="1831"/>
      <c r="G25" s="1831"/>
      <c r="H25" s="1831"/>
      <c r="I25" s="1831"/>
      <c r="J25" s="2273"/>
      <c r="K25" s="1831"/>
      <c r="L25" s="1831"/>
      <c r="M25" s="1831"/>
      <c r="N25" s="1831"/>
      <c r="O25" s="1831"/>
      <c r="P25" s="1831"/>
      <c r="Q25" s="1831"/>
      <c r="R25" s="1835"/>
      <c r="S25" s="2202"/>
      <c r="T25" s="2202"/>
      <c r="U25" s="2202"/>
      <c r="V25" s="2202"/>
      <c r="W25" s="2202"/>
      <c r="X25" s="2202"/>
      <c r="Y25" s="2202"/>
    </row>
    <row r="26" spans="2:25" ht="20.100000000000001" customHeight="1">
      <c r="B26" s="1830"/>
      <c r="C26" s="1831"/>
      <c r="D26" s="1831"/>
      <c r="E26" s="1831"/>
      <c r="F26" s="1831"/>
      <c r="G26" s="1831"/>
      <c r="H26" s="1831"/>
      <c r="I26" s="1831"/>
      <c r="J26" s="2274"/>
      <c r="K26" s="1831"/>
      <c r="L26" s="1831"/>
      <c r="M26" s="1831"/>
      <c r="N26" s="1831"/>
      <c r="O26" s="1831"/>
      <c r="P26" s="1831"/>
      <c r="Q26" s="1831"/>
      <c r="R26" s="1835"/>
      <c r="S26" s="2202"/>
      <c r="T26" s="2202"/>
      <c r="U26" s="2202"/>
      <c r="V26" s="2202"/>
      <c r="W26" s="2202"/>
      <c r="X26" s="2202"/>
      <c r="Y26" s="2202"/>
    </row>
    <row r="27" spans="2:25">
      <c r="B27" s="1830"/>
      <c r="C27" s="1831"/>
      <c r="D27" s="1831"/>
      <c r="E27" s="1831"/>
      <c r="F27" s="1831"/>
      <c r="G27" s="1831"/>
      <c r="H27" s="1831"/>
      <c r="I27" s="1831"/>
      <c r="J27" s="1831"/>
      <c r="K27" s="1831"/>
      <c r="L27" s="1831"/>
      <c r="M27" s="1831"/>
      <c r="N27" s="1831"/>
      <c r="O27" s="1831"/>
      <c r="P27" s="1831"/>
      <c r="Q27" s="1831"/>
      <c r="R27" s="1835"/>
      <c r="S27" s="2202"/>
      <c r="T27" s="2202"/>
      <c r="U27" s="2202"/>
      <c r="V27" s="2202"/>
      <c r="W27" s="2202"/>
      <c r="X27" s="2202"/>
      <c r="Y27" s="2202"/>
    </row>
    <row r="28" spans="2:25">
      <c r="B28" s="1830"/>
      <c r="C28" s="1831"/>
      <c r="D28" s="1831"/>
      <c r="E28" s="1831"/>
      <c r="F28" s="1831"/>
      <c r="G28" s="1831"/>
      <c r="H28" s="1831"/>
      <c r="I28" s="1831"/>
      <c r="J28" s="1831"/>
      <c r="K28" s="1831"/>
      <c r="L28" s="1831"/>
      <c r="M28" s="1831"/>
      <c r="N28" s="1831"/>
      <c r="O28" s="1831"/>
      <c r="P28" s="1831"/>
      <c r="Q28" s="1831"/>
      <c r="R28" s="1835"/>
      <c r="S28" s="2202"/>
      <c r="T28" s="2202"/>
      <c r="U28" s="2202"/>
      <c r="V28" s="2202"/>
      <c r="W28" s="2202"/>
      <c r="X28" s="2202"/>
      <c r="Y28" s="2202"/>
    </row>
    <row r="29" spans="2:25" ht="12" thickBot="1">
      <c r="B29" s="1854"/>
      <c r="C29" s="1850"/>
      <c r="D29" s="1850"/>
      <c r="E29" s="1850"/>
      <c r="F29" s="1850"/>
      <c r="G29" s="1850"/>
      <c r="H29" s="1850"/>
      <c r="I29" s="1850"/>
      <c r="J29" s="1850"/>
      <c r="K29" s="1850"/>
      <c r="L29" s="1850"/>
      <c r="M29" s="1850"/>
      <c r="N29" s="1850"/>
      <c r="O29" s="1850"/>
      <c r="P29" s="1850"/>
      <c r="Q29" s="1850"/>
      <c r="R29" s="1856"/>
      <c r="S29" s="2202"/>
      <c r="T29" s="2202"/>
      <c r="U29" s="2202"/>
      <c r="V29" s="2202"/>
      <c r="W29" s="2202"/>
      <c r="X29" s="2202"/>
      <c r="Y29" s="2202"/>
    </row>
    <row r="30" spans="2:25" ht="18.75" customHeight="1" thickBot="1">
      <c r="B30" s="1857"/>
      <c r="C30" s="1858"/>
      <c r="D30" s="1858"/>
      <c r="E30" s="1858"/>
      <c r="F30" s="1858"/>
      <c r="G30" s="1858"/>
      <c r="H30" s="1858"/>
      <c r="I30" s="1858"/>
      <c r="J30" s="1858"/>
      <c r="K30" s="1858"/>
      <c r="L30" s="1858"/>
      <c r="M30" s="1858"/>
      <c r="N30" s="1858"/>
      <c r="O30" s="1858"/>
      <c r="P30" s="1858"/>
      <c r="Q30" s="1858"/>
      <c r="R30" s="1859"/>
      <c r="S30" s="2202"/>
      <c r="T30" s="2202"/>
      <c r="U30" s="2202"/>
      <c r="V30" s="2202"/>
      <c r="W30" s="2202"/>
      <c r="X30" s="2202"/>
      <c r="Y30" s="2202"/>
    </row>
  </sheetData>
  <mergeCells count="1">
    <mergeCell ref="C24:D24"/>
  </mergeCells>
  <phoneticPr fontId="0" type="noConversion"/>
  <conditionalFormatting sqref="C24:D24">
    <cfRule type="cellIs" dxfId="546" priority="1" stopIfTrue="1" operator="equal">
      <formula>0</formula>
    </cfRule>
  </conditionalFormatting>
  <printOptions horizontalCentered="1"/>
  <pageMargins left="0.25" right="0.25" top="1" bottom="1" header="0.5" footer="0.5"/>
  <pageSetup paperSize="9" scale="90" orientation="portrait" blackAndWhite="1" r:id="rId1"/>
  <headerFooter alignWithMargins="0">
    <oddFooter>&amp;CPage &amp;P of 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22"/>
    <pageSetUpPr fitToPage="1"/>
  </sheetPr>
  <dimension ref="A1:N101"/>
  <sheetViews>
    <sheetView showGridLines="0" topLeftCell="A69" zoomScale="116" workbookViewId="0">
      <selection activeCell="G89" sqref="G89"/>
    </sheetView>
  </sheetViews>
  <sheetFormatPr defaultRowHeight="11.25"/>
  <cols>
    <col min="1" max="2" width="1.83203125" style="487" customWidth="1"/>
    <col min="3" max="3" width="29.6640625" style="487" customWidth="1"/>
    <col min="4" max="4" width="1.83203125" style="487" customWidth="1"/>
    <col min="5" max="5" width="10.6640625" style="487" customWidth="1"/>
    <col min="6" max="6" width="4" style="487" customWidth="1"/>
    <col min="7" max="7" width="19.1640625" style="487" customWidth="1"/>
    <col min="8" max="8" width="4.1640625" style="487" customWidth="1"/>
    <col min="9" max="9" width="19.1640625" style="487" customWidth="1"/>
    <col min="10" max="10" width="4.1640625" style="487" customWidth="1"/>
    <col min="11" max="11" width="19.1640625" style="487" customWidth="1"/>
    <col min="12" max="12" width="1.83203125" style="487" customWidth="1"/>
    <col min="13" max="13" width="19.1640625" style="487" customWidth="1"/>
    <col min="14" max="14" width="1.83203125" style="487" customWidth="1"/>
    <col min="15" max="16384" width="9.33203125" style="487"/>
  </cols>
  <sheetData>
    <row r="1" spans="2:14" ht="7.5" customHeight="1" thickBot="1"/>
    <row r="2" spans="2:14" ht="23.25" thickBot="1">
      <c r="B2" s="2160" t="s">
        <v>1101</v>
      </c>
      <c r="C2" s="2161"/>
      <c r="D2" s="2162"/>
      <c r="E2" s="2162"/>
      <c r="F2" s="2162"/>
      <c r="G2" s="2162"/>
      <c r="H2" s="2162"/>
      <c r="I2" s="2162"/>
      <c r="J2" s="2162"/>
      <c r="K2" s="2162"/>
      <c r="L2" s="2162"/>
      <c r="M2" s="2162"/>
      <c r="N2" s="2163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3" spans="2:14" ht="15.75" thickBot="1">
      <c r="B3" s="2122" t="s">
        <v>1399</v>
      </c>
      <c r="C3" s="1858"/>
      <c r="D3" s="1858"/>
      <c r="E3" s="1858"/>
      <c r="F3" s="1858"/>
      <c r="G3" s="1858"/>
      <c r="H3" s="1858"/>
      <c r="I3" s="1858"/>
      <c r="J3" s="1858"/>
      <c r="K3" s="1858"/>
      <c r="L3" s="1858"/>
      <c r="M3" s="1858"/>
      <c r="N3" s="1859"/>
    </row>
    <row r="4" spans="2:14" ht="12" thickBot="1">
      <c r="B4" s="1845"/>
      <c r="C4" s="1846"/>
      <c r="D4" s="1846"/>
      <c r="E4" s="1846"/>
      <c r="F4" s="1846"/>
      <c r="G4" s="1846"/>
      <c r="H4" s="1846"/>
      <c r="I4" s="1846"/>
      <c r="J4" s="1846"/>
      <c r="K4" s="1846"/>
      <c r="L4" s="1846"/>
      <c r="M4" s="1846"/>
      <c r="N4" s="1847"/>
    </row>
    <row r="5" spans="2:14" ht="13.5" thickBot="1">
      <c r="B5" s="2164"/>
      <c r="C5" s="1888" t="s">
        <v>3376</v>
      </c>
      <c r="D5" s="2165" t="str">
        <f>INDEX(decTeamName, xxIndexTeam)</f>
        <v>Vivia</v>
      </c>
      <c r="E5" s="2166"/>
      <c r="F5" s="2167"/>
      <c r="G5" s="2168"/>
      <c r="H5" s="2168"/>
      <c r="I5" s="2169"/>
      <c r="J5" s="1962"/>
      <c r="K5" s="1888" t="s">
        <v>3966</v>
      </c>
      <c r="L5" s="1831"/>
      <c r="M5" s="2170">
        <f>INDEX(decTeamNumber, xxIndexTeam)</f>
        <v>1</v>
      </c>
      <c r="N5" s="1835"/>
    </row>
    <row r="6" spans="2:14" ht="12" thickBot="1">
      <c r="B6" s="1830"/>
      <c r="C6" s="1831"/>
      <c r="D6" s="1831"/>
      <c r="E6" s="1831"/>
      <c r="F6" s="1831"/>
      <c r="G6" s="1831"/>
      <c r="H6" s="1831"/>
      <c r="I6" s="1831"/>
      <c r="J6" s="1831"/>
      <c r="K6" s="1831"/>
      <c r="L6" s="1831"/>
      <c r="M6" s="1831"/>
      <c r="N6" s="1835"/>
    </row>
    <row r="7" spans="2:14" ht="15.75" thickBot="1">
      <c r="B7" s="2122" t="s">
        <v>1383</v>
      </c>
      <c r="C7" s="1858"/>
      <c r="D7" s="1858"/>
      <c r="E7" s="1858"/>
      <c r="F7" s="1858"/>
      <c r="G7" s="1858"/>
      <c r="H7" s="1858"/>
      <c r="I7" s="1858"/>
      <c r="J7" s="1858"/>
      <c r="K7" s="1858"/>
      <c r="L7" s="1858"/>
      <c r="M7" s="1858"/>
      <c r="N7" s="1859"/>
    </row>
    <row r="8" spans="2:14" ht="15">
      <c r="B8" s="2171"/>
      <c r="C8" s="1832"/>
      <c r="D8" s="1832"/>
      <c r="E8" s="1832"/>
      <c r="F8" s="1832"/>
      <c r="G8" s="2172"/>
      <c r="H8" s="2172"/>
      <c r="I8" s="2172"/>
      <c r="J8" s="2172"/>
      <c r="K8" s="2172"/>
      <c r="L8" s="1832"/>
      <c r="M8" s="1831"/>
      <c r="N8" s="1835"/>
    </row>
    <row r="9" spans="2:14" ht="15">
      <c r="B9" s="2173"/>
      <c r="C9" s="1681"/>
      <c r="D9" s="1681"/>
      <c r="E9" s="1681"/>
      <c r="F9" s="1832"/>
      <c r="G9" s="2174" t="str">
        <f>DataNameProd1</f>
        <v>CSD</v>
      </c>
      <c r="H9" s="2175"/>
      <c r="I9" s="2176" t="str">
        <f>DataNameProd3</f>
        <v>NCB</v>
      </c>
      <c r="J9" s="2175"/>
      <c r="K9" s="2176" t="str">
        <f>DataNameProd4</f>
        <v>F&amp;S</v>
      </c>
      <c r="L9" s="1886"/>
      <c r="M9" s="1831"/>
      <c r="N9" s="1835"/>
    </row>
    <row r="10" spans="2:14" ht="15">
      <c r="B10" s="2173"/>
      <c r="C10" s="2177" t="s">
        <v>802</v>
      </c>
      <c r="D10" s="1681"/>
      <c r="E10" s="1681"/>
      <c r="F10" s="1832"/>
      <c r="G10" s="1953"/>
      <c r="H10" s="2178"/>
      <c r="I10" s="1887"/>
      <c r="J10" s="2178"/>
      <c r="K10" s="1887"/>
      <c r="L10" s="1886"/>
      <c r="M10" s="1831"/>
      <c r="N10" s="1835"/>
    </row>
    <row r="11" spans="2:14" ht="6.75" customHeight="1" thickBot="1">
      <c r="B11" s="2173"/>
      <c r="C11" s="1832"/>
      <c r="D11" s="1832"/>
      <c r="E11" s="1832"/>
      <c r="F11" s="1832"/>
      <c r="G11" s="1832"/>
      <c r="H11" s="1832"/>
      <c r="I11" s="1832"/>
      <c r="J11" s="1832"/>
      <c r="K11" s="1832"/>
      <c r="L11" s="1886"/>
      <c r="M11" s="1831"/>
      <c r="N11" s="1835"/>
    </row>
    <row r="12" spans="2:14" ht="13.5" thickBot="1">
      <c r="B12" s="2173"/>
      <c r="C12" s="2179" t="s">
        <v>1598</v>
      </c>
      <c r="D12" s="2180"/>
      <c r="E12" s="2180"/>
      <c r="F12" s="2181"/>
      <c r="G12" s="2182">
        <f>INDEX(decProd1Reg1Grth, xxIndexTeam)</f>
        <v>-0.01</v>
      </c>
      <c r="H12" s="2181"/>
      <c r="I12" s="2182">
        <f>INDEX(decProd3Reg1Grth, xxIndexTeam)</f>
        <v>0.05</v>
      </c>
      <c r="J12" s="2181"/>
      <c r="K12" s="2182">
        <f>INDEX(decProd4Reg1Grth, xxIndexTeam)</f>
        <v>0.02</v>
      </c>
      <c r="L12" s="1886"/>
      <c r="M12" s="1831"/>
      <c r="N12" s="1835"/>
    </row>
    <row r="13" spans="2:14" ht="12.75">
      <c r="B13" s="2173"/>
      <c r="C13" s="2183"/>
      <c r="D13" s="2180"/>
      <c r="E13" s="2180"/>
      <c r="F13" s="2181"/>
      <c r="G13" s="2184"/>
      <c r="H13" s="2181"/>
      <c r="I13" s="2184"/>
      <c r="J13" s="2181"/>
      <c r="K13" s="2184"/>
      <c r="L13" s="1886"/>
      <c r="M13" s="1831"/>
      <c r="N13" s="1835"/>
    </row>
    <row r="14" spans="2:14" ht="15">
      <c r="B14" s="2173"/>
      <c r="C14" s="2185" t="s">
        <v>1384</v>
      </c>
      <c r="D14" s="2180"/>
      <c r="E14" s="2180"/>
      <c r="F14" s="2181"/>
      <c r="G14" s="2184"/>
      <c r="H14" s="2181"/>
      <c r="I14" s="2184"/>
      <c r="J14" s="2181"/>
      <c r="K14" s="2184"/>
      <c r="L14" s="1886"/>
      <c r="M14" s="1831"/>
      <c r="N14" s="1835"/>
    </row>
    <row r="15" spans="2:14" ht="6.75" customHeight="1" thickBot="1">
      <c r="B15" s="2173"/>
      <c r="C15" s="2183"/>
      <c r="D15" s="2180"/>
      <c r="E15" s="2180"/>
      <c r="F15" s="2181"/>
      <c r="G15" s="2181"/>
      <c r="H15" s="2181"/>
      <c r="I15" s="2181"/>
      <c r="J15" s="2181"/>
      <c r="K15" s="2184"/>
      <c r="L15" s="1886"/>
      <c r="M15" s="1831"/>
      <c r="N15" s="1835"/>
    </row>
    <row r="16" spans="2:14" ht="13.5" thickBot="1">
      <c r="B16" s="2173"/>
      <c r="C16" s="2186" t="s">
        <v>1598</v>
      </c>
      <c r="D16" s="2180"/>
      <c r="E16" s="2187"/>
      <c r="F16" s="2181"/>
      <c r="G16" s="2188">
        <f>INDEX(capProd1Reg1Price, xxIndexTeam)</f>
        <v>9.5</v>
      </c>
      <c r="H16" s="2181"/>
      <c r="I16" s="2189">
        <f>INDEX(capProd3Reg1Price, xxIndexTeam)</f>
        <v>15</v>
      </c>
      <c r="J16" s="2190"/>
      <c r="K16" s="2189">
        <f>INDEX(capProd4Reg1Price, xxIndexTeam)</f>
        <v>12.5</v>
      </c>
      <c r="L16" s="1832"/>
      <c r="M16" s="1831"/>
      <c r="N16" s="1835"/>
    </row>
    <row r="17" spans="2:14" ht="12.75">
      <c r="B17" s="2173"/>
      <c r="C17" s="2183"/>
      <c r="D17" s="2180"/>
      <c r="E17" s="2180"/>
      <c r="F17" s="2181"/>
      <c r="G17" s="2184"/>
      <c r="H17" s="2181"/>
      <c r="I17" s="2181"/>
      <c r="J17" s="2181"/>
      <c r="K17" s="2184"/>
      <c r="L17" s="1886"/>
      <c r="M17" s="1831"/>
      <c r="N17" s="1835"/>
    </row>
    <row r="18" spans="2:14" ht="15">
      <c r="B18" s="2173"/>
      <c r="C18" s="2185" t="s">
        <v>1720</v>
      </c>
      <c r="D18" s="2180"/>
      <c r="E18" s="2180"/>
      <c r="F18" s="2181"/>
      <c r="G18" s="2184"/>
      <c r="H18" s="2181"/>
      <c r="I18" s="2181"/>
      <c r="J18" s="2181"/>
      <c r="K18" s="2184"/>
      <c r="L18" s="1886"/>
      <c r="M18" s="1831"/>
      <c r="N18" s="1835"/>
    </row>
    <row r="19" spans="2:14" ht="6.75" customHeight="1" thickBot="1">
      <c r="B19" s="2173"/>
      <c r="C19" s="2183"/>
      <c r="D19" s="2180"/>
      <c r="E19" s="2180"/>
      <c r="F19" s="2181"/>
      <c r="G19" s="2184"/>
      <c r="H19" s="2181"/>
      <c r="I19" s="2181"/>
      <c r="J19" s="2181"/>
      <c r="K19" s="2184"/>
      <c r="L19" s="1886"/>
      <c r="M19" s="1831"/>
      <c r="N19" s="1835"/>
    </row>
    <row r="20" spans="2:14" ht="13.5" thickBot="1">
      <c r="B20" s="1830"/>
      <c r="C20" s="2591" t="s">
        <v>2242</v>
      </c>
      <c r="D20" s="2591"/>
      <c r="E20" s="1831"/>
      <c r="F20" s="1831"/>
      <c r="G20" s="2191">
        <f>INDEX(capProd1Adv, xxIndexTeam)</f>
        <v>410000000</v>
      </c>
      <c r="H20" s="2192"/>
      <c r="I20" s="2191">
        <f>INDEX(capProd3Adv, xxIndexTeam)</f>
        <v>495000000</v>
      </c>
      <c r="J20" s="2192"/>
      <c r="K20" s="2191">
        <f>INDEX(capProd4Adv, xxIndexTeam)</f>
        <v>325000000</v>
      </c>
      <c r="L20" s="1831"/>
      <c r="M20" s="1831"/>
      <c r="N20" s="1835"/>
    </row>
    <row r="21" spans="2:14" ht="13.5" thickBot="1">
      <c r="B21" s="1830"/>
      <c r="C21" s="1831"/>
      <c r="D21" s="1831"/>
      <c r="E21" s="1831"/>
      <c r="F21" s="1831"/>
      <c r="G21" s="2192"/>
      <c r="H21" s="2192"/>
      <c r="I21" s="2192"/>
      <c r="J21" s="2192"/>
      <c r="K21" s="2192"/>
      <c r="L21" s="1831"/>
      <c r="M21" s="1831"/>
      <c r="N21" s="1835"/>
    </row>
    <row r="22" spans="2:14" ht="13.5" thickBot="1">
      <c r="B22" s="1830"/>
      <c r="C22" s="2591" t="s">
        <v>2243</v>
      </c>
      <c r="D22" s="2591"/>
      <c r="E22" s="1831"/>
      <c r="F22" s="1831"/>
      <c r="G22" s="2191">
        <f>INDEX(capProd1Promo, xxIndexTeam)</f>
        <v>1450000000</v>
      </c>
      <c r="H22" s="2192"/>
      <c r="I22" s="2191">
        <f>INDEX(capProd3Promo, xxIndexTeam)</f>
        <v>855000000</v>
      </c>
      <c r="J22" s="2192"/>
      <c r="K22" s="2191">
        <f>INDEX(capProd4Promo, xxIndexTeam)</f>
        <v>760000000</v>
      </c>
      <c r="L22" s="1831"/>
      <c r="M22" s="1831"/>
      <c r="N22" s="1835"/>
    </row>
    <row r="23" spans="2:14" ht="13.5" thickBot="1">
      <c r="B23" s="2173"/>
      <c r="C23" s="2183"/>
      <c r="D23" s="2180"/>
      <c r="E23" s="2180"/>
      <c r="F23" s="2181"/>
      <c r="G23" s="2184"/>
      <c r="H23" s="2181"/>
      <c r="I23" s="2181"/>
      <c r="J23" s="2181"/>
      <c r="K23" s="2184"/>
      <c r="L23" s="1886"/>
      <c r="M23" s="1831"/>
      <c r="N23" s="1835"/>
    </row>
    <row r="24" spans="2:14" ht="13.5" customHeight="1" thickBot="1">
      <c r="B24" s="1830"/>
      <c r="C24" s="2186" t="s">
        <v>2579</v>
      </c>
      <c r="D24" s="1831"/>
      <c r="E24" s="1831"/>
      <c r="F24" s="1831"/>
      <c r="G24" s="2193">
        <f>INDEX(capEmp1Change, xxIndexTeam)</f>
        <v>400</v>
      </c>
      <c r="H24" s="2194"/>
      <c r="I24" s="2195"/>
      <c r="J24" s="1726"/>
      <c r="K24" s="2196"/>
      <c r="L24" s="1831"/>
      <c r="M24" s="1831"/>
      <c r="N24" s="1835"/>
    </row>
    <row r="25" spans="2:14" ht="13.5" customHeight="1" thickBot="1">
      <c r="B25" s="1830"/>
      <c r="C25" s="2186"/>
      <c r="D25" s="1831"/>
      <c r="E25" s="1831"/>
      <c r="F25" s="1831"/>
      <c r="G25" s="2196"/>
      <c r="H25" s="2194"/>
      <c r="I25" s="2195"/>
      <c r="J25" s="1726"/>
      <c r="K25" s="2196"/>
      <c r="L25" s="1831"/>
      <c r="M25" s="1831"/>
      <c r="N25" s="1835"/>
    </row>
    <row r="26" spans="2:14" ht="13.5" customHeight="1" thickBot="1">
      <c r="B26" s="1830"/>
      <c r="C26" s="2186" t="s">
        <v>1721</v>
      </c>
      <c r="D26" s="1831"/>
      <c r="E26" s="1831"/>
      <c r="F26" s="1831"/>
      <c r="G26" s="2193">
        <f>INDEX(capReg1ChanLevel, xxIndexTeam)</f>
        <v>3</v>
      </c>
      <c r="H26" s="2194"/>
      <c r="I26" s="2195"/>
      <c r="J26" s="1726"/>
      <c r="K26" s="2196"/>
      <c r="L26" s="1831"/>
      <c r="M26" s="1831"/>
      <c r="N26" s="1835"/>
    </row>
    <row r="27" spans="2:14" ht="13.5" thickBot="1">
      <c r="B27" s="2173"/>
      <c r="C27" s="2183"/>
      <c r="D27" s="2180"/>
      <c r="E27" s="2180"/>
      <c r="F27" s="2181"/>
      <c r="G27" s="2184"/>
      <c r="H27" s="2181"/>
      <c r="I27" s="2181"/>
      <c r="J27" s="2181"/>
      <c r="K27" s="2184"/>
      <c r="L27" s="1886"/>
      <c r="M27" s="1831"/>
      <c r="N27" s="1835"/>
    </row>
    <row r="28" spans="2:14" ht="15.75" thickBot="1">
      <c r="B28" s="2122" t="s">
        <v>1823</v>
      </c>
      <c r="C28" s="1858"/>
      <c r="D28" s="1858"/>
      <c r="E28" s="1858"/>
      <c r="F28" s="1858"/>
      <c r="G28" s="1858"/>
      <c r="H28" s="1858"/>
      <c r="I28" s="1858"/>
      <c r="J28" s="1858"/>
      <c r="K28" s="1858"/>
      <c r="L28" s="1858"/>
      <c r="M28" s="1858"/>
      <c r="N28" s="1859"/>
    </row>
    <row r="29" spans="2:14" ht="12.75">
      <c r="B29" s="2173"/>
      <c r="C29" s="2183"/>
      <c r="D29" s="2180"/>
      <c r="E29" s="2180"/>
      <c r="F29" s="2181"/>
      <c r="G29" s="2184"/>
      <c r="H29" s="2181"/>
      <c r="I29" s="2181"/>
      <c r="J29" s="2181"/>
      <c r="K29" s="2184"/>
      <c r="L29" s="1886"/>
      <c r="M29" s="1831"/>
      <c r="N29" s="1835"/>
    </row>
    <row r="30" spans="2:14" ht="15">
      <c r="B30" s="2173"/>
      <c r="C30" s="1681"/>
      <c r="D30" s="1681"/>
      <c r="E30" s="1681"/>
      <c r="F30" s="1832"/>
      <c r="G30" s="2174" t="str">
        <f>DataNameProd1</f>
        <v>CSD</v>
      </c>
      <c r="H30" s="2175"/>
      <c r="I30" s="2176" t="str">
        <f>DataNameProd3</f>
        <v>NCB</v>
      </c>
      <c r="J30" s="2175"/>
      <c r="K30" s="2176" t="str">
        <f>DataNameProd4</f>
        <v>F&amp;S</v>
      </c>
      <c r="L30" s="1886"/>
      <c r="M30" s="1831"/>
      <c r="N30" s="1835"/>
    </row>
    <row r="31" spans="2:14" ht="15">
      <c r="B31" s="2173"/>
      <c r="C31" s="2177" t="s">
        <v>1386</v>
      </c>
      <c r="D31" s="1681"/>
      <c r="E31" s="1681"/>
      <c r="F31" s="1832"/>
      <c r="G31" s="1953"/>
      <c r="H31" s="2178"/>
      <c r="I31" s="1887"/>
      <c r="J31" s="2178"/>
      <c r="K31" s="1887"/>
      <c r="L31" s="1886"/>
      <c r="M31" s="1831"/>
      <c r="N31" s="1835"/>
    </row>
    <row r="32" spans="2:14" ht="6.75" customHeight="1" thickBot="1">
      <c r="B32" s="2173"/>
      <c r="C32" s="1832"/>
      <c r="D32" s="1832"/>
      <c r="E32" s="1832"/>
      <c r="F32" s="1832"/>
      <c r="G32" s="1832"/>
      <c r="H32" s="1832"/>
      <c r="I32" s="1832"/>
      <c r="J32" s="1832"/>
      <c r="K32" s="1832"/>
      <c r="L32" s="1886"/>
      <c r="M32" s="1831"/>
      <c r="N32" s="1835"/>
    </row>
    <row r="33" spans="2:14" ht="13.5" thickBot="1">
      <c r="B33" s="2173"/>
      <c r="C33" s="2186" t="s">
        <v>1599</v>
      </c>
      <c r="D33" s="2180"/>
      <c r="E33" s="2180"/>
      <c r="F33" s="2197"/>
      <c r="G33" s="2182">
        <f>INDEX(decProd1Reg2Grth, xxIndexTeam)</f>
        <v>0.04</v>
      </c>
      <c r="H33" s="2181"/>
      <c r="I33" s="2182">
        <f>INDEX(decProd3Reg2Grth, xxIndexTeam)</f>
        <v>0.1</v>
      </c>
      <c r="J33" s="2181"/>
      <c r="K33" s="2182">
        <f>INDEX(decProd4Reg2Grth, xxIndexTeam)</f>
        <v>0.08</v>
      </c>
      <c r="L33" s="1886"/>
      <c r="M33" s="1831"/>
      <c r="N33" s="1835"/>
    </row>
    <row r="34" spans="2:14" ht="12.75">
      <c r="B34" s="2173"/>
      <c r="C34" s="2183"/>
      <c r="D34" s="2180"/>
      <c r="E34" s="2180"/>
      <c r="F34" s="2181"/>
      <c r="G34" s="2184"/>
      <c r="H34" s="2181"/>
      <c r="I34" s="2181"/>
      <c r="J34" s="2181"/>
      <c r="K34" s="2184"/>
      <c r="L34" s="1886"/>
      <c r="M34" s="1831"/>
      <c r="N34" s="1835"/>
    </row>
    <row r="35" spans="2:14" ht="15">
      <c r="B35" s="2173"/>
      <c r="C35" s="2185" t="s">
        <v>1384</v>
      </c>
      <c r="D35" s="2180"/>
      <c r="E35" s="2180"/>
      <c r="F35" s="2181"/>
      <c r="G35" s="2181"/>
      <c r="H35" s="2181"/>
      <c r="I35" s="2181"/>
      <c r="J35" s="2181"/>
      <c r="K35" s="2198"/>
      <c r="L35" s="1886"/>
      <c r="M35" s="1831"/>
      <c r="N35" s="1835"/>
    </row>
    <row r="36" spans="2:14" ht="6.75" customHeight="1" thickBot="1">
      <c r="B36" s="2173"/>
      <c r="C36" s="2183"/>
      <c r="D36" s="2180"/>
      <c r="E36" s="2180"/>
      <c r="F36" s="2181"/>
      <c r="G36" s="2181"/>
      <c r="H36" s="2181"/>
      <c r="I36" s="2181"/>
      <c r="J36" s="2181"/>
      <c r="K36" s="2184"/>
      <c r="L36" s="1886"/>
      <c r="M36" s="1831"/>
      <c r="N36" s="1835"/>
    </row>
    <row r="37" spans="2:14" ht="13.5" thickBot="1">
      <c r="B37" s="2173"/>
      <c r="C37" s="2186" t="s">
        <v>1599</v>
      </c>
      <c r="D37" s="2180"/>
      <c r="E37" s="2199"/>
      <c r="F37" s="2181"/>
      <c r="G37" s="2189">
        <f>INDEX(capProd1Reg2Price, xxIndexTeam)</f>
        <v>7</v>
      </c>
      <c r="H37" s="2181"/>
      <c r="I37" s="2189">
        <f>INDEX(capProd3Reg2Price, xxIndexTeam)</f>
        <v>10</v>
      </c>
      <c r="J37" s="2181"/>
      <c r="K37" s="2189">
        <f>INDEX(capProd4Reg2Price, xxIndexTeam)</f>
        <v>9</v>
      </c>
      <c r="L37" s="1832"/>
      <c r="M37" s="1831"/>
      <c r="N37" s="1835"/>
    </row>
    <row r="38" spans="2:14" ht="12.75">
      <c r="B38" s="2173"/>
      <c r="C38" s="2183"/>
      <c r="D38" s="2180"/>
      <c r="E38" s="2199"/>
      <c r="F38" s="2181"/>
      <c r="G38" s="2200"/>
      <c r="H38" s="2181"/>
      <c r="I38" s="2200"/>
      <c r="J38" s="2181"/>
      <c r="K38" s="2200"/>
      <c r="L38" s="1832"/>
      <c r="M38" s="1831"/>
      <c r="N38" s="1835"/>
    </row>
    <row r="39" spans="2:14" ht="15">
      <c r="B39" s="1830"/>
      <c r="C39" s="2185" t="s">
        <v>1720</v>
      </c>
      <c r="D39" s="1831"/>
      <c r="E39" s="1831"/>
      <c r="F39" s="1831"/>
      <c r="G39" s="1831"/>
      <c r="H39" s="1831"/>
      <c r="I39" s="1831"/>
      <c r="J39" s="1831"/>
      <c r="K39" s="1831"/>
      <c r="L39" s="1831"/>
      <c r="M39" s="1831"/>
      <c r="N39" s="1835"/>
    </row>
    <row r="40" spans="2:14" ht="6.75" customHeight="1" thickBot="1">
      <c r="B40" s="1830"/>
      <c r="C40" s="2201"/>
      <c r="D40" s="1831"/>
      <c r="E40" s="1831"/>
      <c r="F40" s="1831"/>
      <c r="G40" s="1831"/>
      <c r="H40" s="1831"/>
      <c r="I40" s="1831"/>
      <c r="J40" s="1831"/>
      <c r="K40" s="1831"/>
      <c r="L40" s="1831"/>
      <c r="M40" s="1831"/>
      <c r="N40" s="1835"/>
    </row>
    <row r="41" spans="2:14" ht="13.5" thickBot="1">
      <c r="B41" s="1830"/>
      <c r="C41" s="2591" t="s">
        <v>2242</v>
      </c>
      <c r="D41" s="2591"/>
      <c r="E41" s="1831"/>
      <c r="F41" s="1831"/>
      <c r="G41" s="2191">
        <f>INDEX(capProd1AdvR2, xxIndexTeam)</f>
        <v>80000000</v>
      </c>
      <c r="H41" s="2192"/>
      <c r="I41" s="2191">
        <f>INDEX(capProd3AdvR2, xxIndexTeam)</f>
        <v>65000000</v>
      </c>
      <c r="J41" s="2192"/>
      <c r="K41" s="2191">
        <f>INDEX(capProd4AdvR2, xxIndexTeam)</f>
        <v>52000000</v>
      </c>
      <c r="L41" s="1831"/>
      <c r="M41" s="1831"/>
      <c r="N41" s="1835"/>
    </row>
    <row r="42" spans="2:14" ht="13.5" thickBot="1">
      <c r="B42" s="1830"/>
      <c r="C42" s="1831"/>
      <c r="D42" s="1831"/>
      <c r="E42" s="1831"/>
      <c r="F42" s="1831"/>
      <c r="G42" s="2192"/>
      <c r="H42" s="2192"/>
      <c r="I42" s="2192"/>
      <c r="J42" s="2192"/>
      <c r="K42" s="2192"/>
      <c r="L42" s="1831"/>
      <c r="M42" s="1831"/>
      <c r="N42" s="1835"/>
    </row>
    <row r="43" spans="2:14" ht="13.5" thickBot="1">
      <c r="B43" s="1830"/>
      <c r="C43" s="2591" t="s">
        <v>2243</v>
      </c>
      <c r="D43" s="2591"/>
      <c r="E43" s="1831"/>
      <c r="F43" s="1831"/>
      <c r="G43" s="2191">
        <f>INDEX(capProd1PromoR2, xxIndexTeam)</f>
        <v>195000000</v>
      </c>
      <c r="H43" s="2192"/>
      <c r="I43" s="2191">
        <f>INDEX(capProd3PromoR2, xxIndexTeam)</f>
        <v>165000000</v>
      </c>
      <c r="J43" s="2192"/>
      <c r="K43" s="2191">
        <f>INDEX(capProd4PromoR2, xxIndexTeam)</f>
        <v>95000000</v>
      </c>
      <c r="L43" s="1831"/>
      <c r="M43" s="1831"/>
      <c r="N43" s="1835"/>
    </row>
    <row r="44" spans="2:14" ht="13.5" thickBot="1">
      <c r="B44" s="1830"/>
      <c r="C44" s="1886"/>
      <c r="D44" s="1886"/>
      <c r="E44" s="1888"/>
      <c r="F44" s="1888"/>
      <c r="G44" s="1888"/>
      <c r="H44" s="1831"/>
      <c r="I44" s="1831"/>
      <c r="J44" s="1831"/>
      <c r="K44" s="1831"/>
      <c r="L44" s="1831"/>
      <c r="M44" s="1831"/>
      <c r="N44" s="1835"/>
    </row>
    <row r="45" spans="2:14" ht="13.5" customHeight="1" thickBot="1">
      <c r="B45" s="1830"/>
      <c r="C45" s="2186" t="s">
        <v>1824</v>
      </c>
      <c r="D45" s="1831"/>
      <c r="E45" s="1831"/>
      <c r="F45" s="1831"/>
      <c r="G45" s="2193">
        <f>INDEX(capEmp2Change, xxIndexTeam)</f>
        <v>245</v>
      </c>
      <c r="H45" s="2194"/>
      <c r="I45" s="2195"/>
      <c r="J45" s="1726"/>
      <c r="K45" s="2196"/>
      <c r="L45" s="1831"/>
      <c r="M45" s="1831"/>
      <c r="N45" s="1835"/>
    </row>
    <row r="46" spans="2:14" ht="13.5" customHeight="1" thickBot="1">
      <c r="B46" s="1830"/>
      <c r="C46" s="2186"/>
      <c r="D46" s="1831"/>
      <c r="E46" s="1831"/>
      <c r="F46" s="1831"/>
      <c r="G46" s="2196"/>
      <c r="H46" s="2194"/>
      <c r="I46" s="2195"/>
      <c r="J46" s="1726"/>
      <c r="K46" s="2196"/>
      <c r="L46" s="1831"/>
      <c r="M46" s="1831"/>
      <c r="N46" s="1835"/>
    </row>
    <row r="47" spans="2:14" ht="13.5" customHeight="1" thickBot="1">
      <c r="B47" s="1830"/>
      <c r="C47" s="2186" t="s">
        <v>1722</v>
      </c>
      <c r="D47" s="1831"/>
      <c r="E47" s="1831"/>
      <c r="F47" s="1831"/>
      <c r="G47" s="2193">
        <f>INDEX(capReg2ChanLevel, xxIndexTeam)</f>
        <v>3</v>
      </c>
      <c r="H47" s="2194"/>
      <c r="I47" s="2195"/>
      <c r="J47" s="1726"/>
      <c r="K47" s="2196"/>
      <c r="L47" s="1831"/>
      <c r="M47" s="1831"/>
      <c r="N47" s="1835"/>
    </row>
    <row r="48" spans="2:14" ht="13.5" thickBot="1">
      <c r="B48" s="2173"/>
      <c r="C48" s="2183"/>
      <c r="D48" s="2180"/>
      <c r="E48" s="2180"/>
      <c r="F48" s="2181"/>
      <c r="G48" s="2184"/>
      <c r="H48" s="2181"/>
      <c r="I48" s="2181"/>
      <c r="J48" s="2181"/>
      <c r="K48" s="2184"/>
      <c r="L48" s="1886"/>
      <c r="M48" s="1831"/>
      <c r="N48" s="1835"/>
    </row>
    <row r="49" spans="1:14" ht="15.75" thickBot="1">
      <c r="B49" s="2122" t="s">
        <v>1417</v>
      </c>
      <c r="C49" s="1858"/>
      <c r="D49" s="1858"/>
      <c r="E49" s="1858"/>
      <c r="F49" s="1858"/>
      <c r="G49" s="1858"/>
      <c r="H49" s="2041"/>
      <c r="I49" s="1858"/>
      <c r="J49" s="1858"/>
      <c r="K49" s="1858"/>
      <c r="L49" s="1858"/>
      <c r="M49" s="1858"/>
      <c r="N49" s="1859"/>
    </row>
    <row r="50" spans="1:14" ht="12.75">
      <c r="B50" s="2173"/>
      <c r="C50" s="2183"/>
      <c r="D50" s="2180"/>
      <c r="E50" s="2180"/>
      <c r="F50" s="2181"/>
      <c r="G50" s="2184"/>
      <c r="H50" s="2181"/>
      <c r="I50" s="2181"/>
      <c r="J50" s="2181"/>
      <c r="K50" s="2184"/>
      <c r="L50" s="1886"/>
      <c r="M50" s="1831"/>
      <c r="N50" s="1835"/>
    </row>
    <row r="51" spans="1:14" ht="15">
      <c r="B51" s="2173"/>
      <c r="C51" s="2597" t="s">
        <v>97</v>
      </c>
      <c r="D51" s="2597"/>
      <c r="E51" s="2597"/>
      <c r="F51" s="2181"/>
      <c r="G51" s="2184"/>
      <c r="H51" s="2181"/>
      <c r="I51" s="2202"/>
      <c r="J51" s="2202"/>
      <c r="K51" s="2202"/>
      <c r="L51" s="2202"/>
      <c r="M51" s="2202"/>
      <c r="N51" s="1835"/>
    </row>
    <row r="52" spans="1:14" ht="13.5" thickBot="1">
      <c r="B52" s="2173"/>
      <c r="C52" s="2183"/>
      <c r="D52" s="2180"/>
      <c r="E52" s="2180"/>
      <c r="F52" s="2181"/>
      <c r="G52" s="2184"/>
      <c r="H52" s="2181"/>
      <c r="I52" s="2202"/>
      <c r="J52" s="2202"/>
      <c r="K52" s="2202"/>
      <c r="L52" s="2202"/>
      <c r="M52" s="2202"/>
      <c r="N52" s="1835"/>
    </row>
    <row r="53" spans="1:14" ht="13.5" thickBot="1">
      <c r="B53" s="2173"/>
      <c r="C53" s="2186" t="s">
        <v>1253</v>
      </c>
      <c r="D53" s="2180"/>
      <c r="E53" s="2592" t="str">
        <f>INDEX(capInnov1,xxIndexTeam)</f>
        <v>SELECT INNOVATION</v>
      </c>
      <c r="F53" s="2593"/>
      <c r="G53" s="2594"/>
      <c r="H53" s="2181"/>
      <c r="I53" s="2186" t="s">
        <v>1255</v>
      </c>
      <c r="J53" s="2180"/>
      <c r="K53" s="2592" t="str">
        <f>INDEX(capInnov2,xxIndexTeam)</f>
        <v>SELECT INNOVATION</v>
      </c>
      <c r="L53" s="2593"/>
      <c r="M53" s="2594"/>
      <c r="N53" s="1835"/>
    </row>
    <row r="54" spans="1:14" ht="13.5" thickBot="1">
      <c r="B54" s="2173"/>
      <c r="C54" s="2186"/>
      <c r="D54" s="2180"/>
      <c r="E54" s="2203"/>
      <c r="F54" s="2181"/>
      <c r="G54" s="2184"/>
      <c r="H54" s="2181"/>
      <c r="I54" s="2202"/>
      <c r="J54" s="2202"/>
      <c r="K54" s="2202"/>
      <c r="L54" s="1886"/>
      <c r="M54" s="1831"/>
      <c r="N54" s="1835"/>
    </row>
    <row r="55" spans="1:14" ht="13.5" customHeight="1" thickBot="1">
      <c r="A55" s="1269">
        <f t="shared" ref="A55:A61" si="0">IF(COUNTIF(dataUnlockedList,"unlocked")&gt;0,0,5)</f>
        <v>5</v>
      </c>
      <c r="B55" s="2173"/>
      <c r="C55" s="2202"/>
      <c r="D55" s="2202"/>
      <c r="E55" s="2202"/>
      <c r="F55" s="2202"/>
      <c r="G55" s="2202"/>
      <c r="H55" s="2181"/>
      <c r="I55" s="2186" t="s">
        <v>1254</v>
      </c>
      <c r="J55" s="2180"/>
      <c r="K55" s="2592" t="str">
        <f>INDEX(capInnov3,xxIndexTeam)</f>
        <v>SELECT INNOVATION</v>
      </c>
      <c r="L55" s="2593"/>
      <c r="M55" s="2594"/>
      <c r="N55" s="1835"/>
    </row>
    <row r="56" spans="1:14" ht="13.5" customHeight="1">
      <c r="A56" s="1269">
        <f t="shared" si="0"/>
        <v>5</v>
      </c>
      <c r="B56" s="2173"/>
      <c r="C56" s="2595" t="s">
        <v>4097</v>
      </c>
      <c r="D56" s="2595"/>
      <c r="E56" s="2595"/>
      <c r="F56" s="2181"/>
      <c r="G56" s="2184"/>
      <c r="H56" s="2181"/>
      <c r="I56" s="2202"/>
      <c r="J56" s="2181"/>
      <c r="K56" s="2202"/>
      <c r="L56" s="1886"/>
      <c r="M56" s="2202"/>
      <c r="N56" s="1835"/>
    </row>
    <row r="57" spans="1:14" ht="13.5" customHeight="1">
      <c r="A57" s="1269">
        <f t="shared" si="0"/>
        <v>5</v>
      </c>
      <c r="B57" s="2173"/>
      <c r="C57" s="2186"/>
      <c r="D57" s="2180"/>
      <c r="E57" s="2203"/>
      <c r="F57" s="2181"/>
      <c r="G57" s="2184"/>
      <c r="H57" s="2181"/>
      <c r="I57" s="2202"/>
      <c r="J57" s="2181"/>
      <c r="K57" s="2202"/>
      <c r="L57" s="1886"/>
      <c r="M57" s="2202"/>
      <c r="N57" s="1835"/>
    </row>
    <row r="58" spans="1:14" ht="13.5" customHeight="1">
      <c r="A58" s="1269">
        <f t="shared" si="0"/>
        <v>5</v>
      </c>
      <c r="B58" s="2173"/>
      <c r="C58" s="2204" t="s">
        <v>4098</v>
      </c>
      <c r="D58" s="2180"/>
      <c r="E58" s="2204" t="s">
        <v>1402</v>
      </c>
      <c r="F58" s="2181"/>
      <c r="G58" s="2204" t="s">
        <v>1726</v>
      </c>
      <c r="H58" s="2181"/>
      <c r="I58" s="2204" t="s">
        <v>0</v>
      </c>
      <c r="J58" s="2181"/>
      <c r="K58" s="2204" t="s">
        <v>1</v>
      </c>
      <c r="L58" s="1886"/>
      <c r="M58" s="2204" t="s">
        <v>866</v>
      </c>
      <c r="N58" s="1835"/>
    </row>
    <row r="59" spans="1:14" ht="7.5" customHeight="1" thickBot="1">
      <c r="A59" s="1269">
        <f t="shared" si="0"/>
        <v>5</v>
      </c>
      <c r="B59" s="2173"/>
      <c r="C59" s="2183"/>
      <c r="D59" s="2180"/>
      <c r="E59" s="2180"/>
      <c r="F59" s="2181"/>
      <c r="G59" s="2184"/>
      <c r="H59" s="2181"/>
      <c r="I59" s="2205"/>
      <c r="J59" s="2181"/>
      <c r="K59" s="2184"/>
      <c r="L59" s="1886"/>
      <c r="M59" s="2184"/>
      <c r="N59" s="1835"/>
    </row>
    <row r="60" spans="1:14" ht="13.5" customHeight="1" thickBot="1">
      <c r="A60" s="1269">
        <f t="shared" si="0"/>
        <v>5</v>
      </c>
      <c r="B60" s="2173"/>
      <c r="C60" s="2206">
        <f>INDEX(decDisrupt1,xxIndexTeam)</f>
        <v>0</v>
      </c>
      <c r="D60" s="2180"/>
      <c r="E60" s="2189">
        <f>INDEX(capProd2Reg1Price,xxIndexTeam)</f>
        <v>1</v>
      </c>
      <c r="F60" s="2181"/>
      <c r="G60" s="2206" t="str">
        <f>INDEX(decProd21Ftr4LevelDec,xxIndexTeam)</f>
        <v>Very Narrow</v>
      </c>
      <c r="H60" s="2181"/>
      <c r="I60" s="2191">
        <f>INDEX(capProd2Adv,xxIndexTeam)</f>
        <v>1000</v>
      </c>
      <c r="J60" s="2181"/>
      <c r="K60" s="2191">
        <f>INDEX(capProd2Promo1,xxIndexTeam)</f>
        <v>1000</v>
      </c>
      <c r="L60" s="1886"/>
      <c r="M60" s="2191">
        <f>INDEX(capProd2Reg1Units,xxIndexTeam)</f>
        <v>1000000</v>
      </c>
      <c r="N60" s="1835"/>
    </row>
    <row r="61" spans="1:14" ht="13.5" customHeight="1" thickBot="1">
      <c r="A61" s="1269">
        <f t="shared" si="0"/>
        <v>5</v>
      </c>
      <c r="B61" s="2173"/>
      <c r="C61" s="2183"/>
      <c r="D61" s="2180"/>
      <c r="E61" s="2180"/>
      <c r="F61" s="2181"/>
      <c r="G61" s="2184"/>
      <c r="H61" s="2181"/>
      <c r="I61" s="2205"/>
      <c r="J61" s="2181"/>
      <c r="K61" s="2205"/>
      <c r="L61" s="2205"/>
      <c r="M61" s="2205"/>
      <c r="N61" s="1835"/>
    </row>
    <row r="62" spans="1:14" ht="13.5" customHeight="1" thickBot="1">
      <c r="A62" s="1269">
        <f>IF(COUNTIF(obal!$E$221:$E$222,"&lt;&gt;0")&gt;0,0,5)</f>
        <v>5</v>
      </c>
      <c r="B62" s="2173"/>
      <c r="C62" s="2206">
        <f>INDEX(decDisrupt2,xxIndexTeam)</f>
        <v>0</v>
      </c>
      <c r="D62" s="2180"/>
      <c r="E62" s="2189">
        <f>INDEX(capProd2Reg2Price,xxIndexTeam)</f>
        <v>1</v>
      </c>
      <c r="F62" s="2181"/>
      <c r="G62" s="2206" t="str">
        <f>INDEX(decProd22Ftr4LevelDec,xxIndexTeam)</f>
        <v>Very Narrow</v>
      </c>
      <c r="H62" s="2181"/>
      <c r="I62" s="2191">
        <f>INDEX(capProd2Adv2,xxIndexTeam)</f>
        <v>1000</v>
      </c>
      <c r="J62" s="2181"/>
      <c r="K62" s="2191">
        <f>INDEX(decProd2Promo2,xxIndexTeam)</f>
        <v>1</v>
      </c>
      <c r="L62" s="1886"/>
      <c r="M62" s="2191">
        <f>INDEX(capProd2Reg2Units,xxIndexTeam)</f>
        <v>1000000</v>
      </c>
      <c r="N62" s="1835"/>
    </row>
    <row r="63" spans="1:14" ht="13.5" customHeight="1" thickBot="1">
      <c r="A63" s="1269">
        <f>IF(COUNTIF(obal!$E$221:$E$222,"&lt;&gt;0")&gt;0,0,5)</f>
        <v>5</v>
      </c>
      <c r="B63" s="2173"/>
      <c r="C63" s="2183"/>
      <c r="D63" s="2180"/>
      <c r="E63" s="2180"/>
      <c r="F63" s="2181"/>
      <c r="G63" s="2184"/>
      <c r="H63" s="2181"/>
      <c r="I63" s="2205"/>
      <c r="J63" s="2181"/>
      <c r="K63" s="2205"/>
      <c r="L63" s="2205"/>
      <c r="M63" s="2205"/>
      <c r="N63" s="1835"/>
    </row>
    <row r="64" spans="1:14" ht="15.75" thickBot="1">
      <c r="B64" s="2122" t="s">
        <v>2360</v>
      </c>
      <c r="C64" s="1858"/>
      <c r="D64" s="1858"/>
      <c r="E64" s="1858"/>
      <c r="F64" s="1858"/>
      <c r="G64" s="1858"/>
      <c r="H64" s="2041"/>
      <c r="I64" s="1858"/>
      <c r="J64" s="1858"/>
      <c r="K64" s="1858"/>
      <c r="L64" s="1858"/>
      <c r="M64" s="1858"/>
      <c r="N64" s="1859"/>
    </row>
    <row r="65" spans="2:14" ht="6" customHeight="1">
      <c r="B65" s="1830"/>
      <c r="C65" s="1831"/>
      <c r="D65" s="1831"/>
      <c r="E65" s="1831"/>
      <c r="F65" s="1831"/>
      <c r="G65" s="1831"/>
      <c r="H65" s="1831"/>
      <c r="I65" s="1831"/>
      <c r="J65" s="1831"/>
      <c r="K65" s="1831"/>
      <c r="L65" s="1831"/>
      <c r="M65" s="1831"/>
      <c r="N65" s="1835"/>
    </row>
    <row r="66" spans="2:14" ht="12" thickBot="1">
      <c r="B66" s="1830"/>
      <c r="C66" s="1831"/>
      <c r="D66" s="1831"/>
      <c r="E66" s="1831"/>
      <c r="F66" s="1831"/>
      <c r="G66" s="1831"/>
      <c r="H66" s="1831"/>
      <c r="I66" s="1831"/>
      <c r="J66" s="1831"/>
      <c r="K66" s="1831"/>
      <c r="L66" s="1831"/>
      <c r="M66" s="1831"/>
      <c r="N66" s="1835"/>
    </row>
    <row r="67" spans="2:14" ht="13.5" thickBot="1">
      <c r="B67" s="1830"/>
      <c r="C67" s="2186" t="s">
        <v>1825</v>
      </c>
      <c r="D67" s="1831"/>
      <c r="E67" s="2207">
        <f>INDEX(capPlant1UnitsChange,xxIndexTeam)</f>
        <v>20</v>
      </c>
      <c r="F67" s="1957"/>
      <c r="G67" s="2205" t="s">
        <v>456</v>
      </c>
      <c r="H67" s="1831"/>
      <c r="I67" s="2208">
        <f>INDEX(capEmp3Change,xxIndexTeam)</f>
        <v>1000</v>
      </c>
      <c r="J67" s="1831"/>
      <c r="K67" s="2205" t="s">
        <v>1260</v>
      </c>
      <c r="L67" s="1831"/>
      <c r="M67" s="2208">
        <f>INDEX(decPlant1Flex,xxIndexTeam)</f>
        <v>3</v>
      </c>
      <c r="N67" s="1835"/>
    </row>
    <row r="68" spans="2:14" ht="12.75">
      <c r="B68" s="1830"/>
      <c r="C68" s="2186"/>
      <c r="D68" s="1831"/>
      <c r="E68" s="2209"/>
      <c r="F68" s="1957"/>
      <c r="G68" s="2205"/>
      <c r="H68" s="1831"/>
      <c r="I68" s="2181"/>
      <c r="J68" s="1831"/>
      <c r="K68" s="2205"/>
      <c r="L68" s="1831"/>
      <c r="M68" s="2181"/>
      <c r="N68" s="1835"/>
    </row>
    <row r="69" spans="2:14" ht="6" customHeight="1" thickBot="1">
      <c r="B69" s="1854"/>
      <c r="C69" s="1831"/>
      <c r="D69" s="1831"/>
      <c r="E69" s="1831"/>
      <c r="F69" s="1831"/>
      <c r="G69" s="1850"/>
      <c r="H69" s="1850"/>
      <c r="I69" s="1850"/>
      <c r="J69" s="1850"/>
      <c r="K69" s="1850"/>
      <c r="L69" s="1850"/>
      <c r="M69" s="1850"/>
      <c r="N69" s="1856"/>
    </row>
    <row r="70" spans="2:14" ht="15.75" thickBot="1">
      <c r="B70" s="2122" t="s">
        <v>1385</v>
      </c>
      <c r="C70" s="1858"/>
      <c r="D70" s="1858"/>
      <c r="E70" s="1858"/>
      <c r="F70" s="1858"/>
      <c r="G70" s="1858"/>
      <c r="H70" s="1858"/>
      <c r="I70" s="1858"/>
      <c r="J70" s="1858"/>
      <c r="K70" s="1858"/>
      <c r="L70" s="1858"/>
      <c r="M70" s="1858"/>
      <c r="N70" s="1859"/>
    </row>
    <row r="71" spans="2:14">
      <c r="B71" s="1830"/>
      <c r="C71" s="1831"/>
      <c r="D71" s="1831"/>
      <c r="E71" s="1831"/>
      <c r="F71" s="1831"/>
      <c r="G71" s="1831"/>
      <c r="H71" s="1831"/>
      <c r="I71" s="1831"/>
      <c r="J71" s="1846"/>
      <c r="K71" s="1831"/>
      <c r="L71" s="1831"/>
      <c r="M71" s="1831"/>
      <c r="N71" s="1835"/>
    </row>
    <row r="72" spans="2:14" ht="15">
      <c r="B72" s="1830"/>
      <c r="C72" s="2177" t="s">
        <v>2337</v>
      </c>
      <c r="D72" s="1831"/>
      <c r="E72" s="1831"/>
      <c r="F72" s="1831"/>
      <c r="G72" s="1953" t="str">
        <f>DataNameProd1</f>
        <v>CSD</v>
      </c>
      <c r="H72" s="2178"/>
      <c r="I72" s="1887" t="str">
        <f>DataNameProd3</f>
        <v>NCB</v>
      </c>
      <c r="J72" s="2178"/>
      <c r="K72" s="1887" t="str">
        <f>DataNameProd4</f>
        <v>F&amp;S</v>
      </c>
      <c r="L72" s="1831"/>
      <c r="M72" s="1831"/>
      <c r="N72" s="1835"/>
    </row>
    <row r="73" spans="2:14" ht="5.0999999999999996" customHeight="1">
      <c r="B73" s="1830"/>
      <c r="C73" s="1831"/>
      <c r="D73" s="1831"/>
      <c r="E73" s="1831"/>
      <c r="F73" s="1831"/>
      <c r="G73" s="1831"/>
      <c r="H73" s="1831"/>
      <c r="I73" s="1831"/>
      <c r="J73" s="1831"/>
      <c r="K73" s="1831"/>
      <c r="L73" s="1831"/>
      <c r="M73" s="1831"/>
      <c r="N73" s="1835"/>
    </row>
    <row r="74" spans="2:14" ht="13.5" thickBot="1">
      <c r="B74" s="2210"/>
      <c r="C74" s="2211"/>
      <c r="D74" s="1831"/>
      <c r="E74" s="1831"/>
      <c r="F74" s="2211"/>
      <c r="G74" s="2212"/>
      <c r="H74" s="2212"/>
      <c r="I74" s="2212"/>
      <c r="J74" s="2212"/>
      <c r="K74" s="2212"/>
      <c r="L74" s="2211"/>
      <c r="M74" s="1831"/>
      <c r="N74" s="1835"/>
    </row>
    <row r="75" spans="2:14" ht="13.5" thickBot="1">
      <c r="B75" s="2210"/>
      <c r="C75" s="2186" t="s">
        <v>2484</v>
      </c>
      <c r="D75" s="1831"/>
      <c r="E75" s="1831"/>
      <c r="F75" s="2211"/>
      <c r="G75" s="2213">
        <f>INDEX(capProd1Ftr4Level, xxIndexTeam)</f>
        <v>6</v>
      </c>
      <c r="H75" s="2214"/>
      <c r="I75" s="2213">
        <f>INDEX(capProd3Ftr4Level, xxIndexTeam)</f>
        <v>4</v>
      </c>
      <c r="J75" s="2214"/>
      <c r="K75" s="2213">
        <f>INDEX(capProd4Ftr4Level, xxIndexTeam)</f>
        <v>4</v>
      </c>
      <c r="L75" s="2211"/>
      <c r="M75" s="1831"/>
      <c r="N75" s="1835"/>
    </row>
    <row r="76" spans="2:14" ht="12.75">
      <c r="B76" s="2210"/>
      <c r="C76" s="2195"/>
      <c r="D76" s="1831"/>
      <c r="E76" s="1831"/>
      <c r="F76" s="2211"/>
      <c r="G76" s="2215"/>
      <c r="H76" s="2214"/>
      <c r="I76" s="2215"/>
      <c r="J76" s="2214"/>
      <c r="K76" s="2215"/>
      <c r="L76" s="2211"/>
      <c r="M76" s="1831"/>
      <c r="N76" s="1835"/>
    </row>
    <row r="77" spans="2:14" ht="15">
      <c r="B77" s="2210"/>
      <c r="C77" s="2177" t="s">
        <v>1261</v>
      </c>
      <c r="D77" s="1831"/>
      <c r="E77" s="1831"/>
      <c r="F77" s="2211"/>
      <c r="G77" s="2215"/>
      <c r="H77" s="2214"/>
      <c r="I77" s="2215"/>
      <c r="J77" s="2214"/>
      <c r="K77" s="2215"/>
      <c r="L77" s="2211"/>
      <c r="M77" s="1831"/>
      <c r="N77" s="1835"/>
    </row>
    <row r="78" spans="2:14" ht="13.5" thickBot="1">
      <c r="B78" s="2210"/>
      <c r="C78" s="2195"/>
      <c r="D78" s="1831"/>
      <c r="E78" s="1831"/>
      <c r="F78" s="2211"/>
      <c r="G78" s="2215"/>
      <c r="H78" s="2214"/>
      <c r="I78" s="2215"/>
      <c r="J78" s="2214"/>
      <c r="K78" s="2215"/>
      <c r="L78" s="2211"/>
      <c r="M78" s="1831"/>
      <c r="N78" s="1835"/>
    </row>
    <row r="79" spans="2:14" ht="13.5" thickBot="1">
      <c r="B79" s="2210"/>
      <c r="C79" s="2591" t="s">
        <v>1541</v>
      </c>
      <c r="D79" s="2591"/>
      <c r="E79" s="2591"/>
      <c r="F79" s="2211"/>
      <c r="G79" s="2213">
        <f>INDEX(decRecruitLevel,xxIndexTeam)</f>
        <v>3</v>
      </c>
      <c r="H79" s="2214"/>
      <c r="I79" s="2596" t="s">
        <v>3336</v>
      </c>
      <c r="J79" s="2596"/>
      <c r="K79" s="2596"/>
      <c r="L79" s="2211"/>
      <c r="M79" s="2213">
        <f>INDEX(decEmpDevLevel,xxIndexTeam)</f>
        <v>3</v>
      </c>
      <c r="N79" s="1835"/>
    </row>
    <row r="80" spans="2:14" ht="12.75">
      <c r="B80" s="2210"/>
      <c r="C80" s="2195"/>
      <c r="D80" s="1831"/>
      <c r="E80" s="1831"/>
      <c r="F80" s="2211"/>
      <c r="G80" s="2215"/>
      <c r="H80" s="2214"/>
      <c r="I80" s="2215"/>
      <c r="J80" s="2214"/>
      <c r="K80" s="2215"/>
      <c r="L80" s="2211"/>
      <c r="M80" s="1831"/>
      <c r="N80" s="1835"/>
    </row>
    <row r="81" spans="2:14" ht="15">
      <c r="B81" s="2210"/>
      <c r="C81" s="2177" t="s">
        <v>1262</v>
      </c>
      <c r="D81" s="1831"/>
      <c r="E81" s="1831"/>
      <c r="F81" s="2211"/>
      <c r="G81" s="2215"/>
      <c r="H81" s="2214"/>
      <c r="I81" s="2177" t="s">
        <v>2351</v>
      </c>
      <c r="J81" s="2214"/>
      <c r="K81" s="2215"/>
      <c r="L81" s="2211"/>
      <c r="M81" s="1831"/>
      <c r="N81" s="1835"/>
    </row>
    <row r="82" spans="2:14" ht="13.5" thickBot="1">
      <c r="B82" s="2210"/>
      <c r="C82" s="2195"/>
      <c r="D82" s="1831"/>
      <c r="E82" s="1831"/>
      <c r="F82" s="2211"/>
      <c r="G82" s="2215"/>
      <c r="H82" s="2214"/>
      <c r="I82" s="2215"/>
      <c r="J82" s="2214"/>
      <c r="K82" s="2215"/>
      <c r="L82" s="2211"/>
      <c r="M82" s="1831"/>
      <c r="N82" s="1835"/>
    </row>
    <row r="83" spans="2:14" ht="13.5" thickBot="1">
      <c r="B83" s="2210"/>
      <c r="C83" s="2591" t="s">
        <v>2</v>
      </c>
      <c r="D83" s="2591"/>
      <c r="E83" s="2591"/>
      <c r="F83" s="2211"/>
      <c r="G83" s="2213">
        <f>INDEX(decITcapAdd,xxIndexTeam)</f>
        <v>1</v>
      </c>
      <c r="H83" s="2214"/>
      <c r="I83" s="2596" t="s">
        <v>2870</v>
      </c>
      <c r="J83" s="2596"/>
      <c r="K83" s="2596"/>
      <c r="L83" s="2211"/>
      <c r="M83" s="2216">
        <f>INDEX(capLTDebtChange, xxIndexTeam)</f>
        <v>0</v>
      </c>
      <c r="N83" s="1835"/>
    </row>
    <row r="84" spans="2:14" ht="12.75">
      <c r="B84" s="2210"/>
      <c r="C84" s="2195"/>
      <c r="D84" s="2195"/>
      <c r="E84" s="2195"/>
      <c r="F84" s="2195"/>
      <c r="G84" s="2215"/>
      <c r="H84" s="2214"/>
      <c r="I84" s="2215"/>
      <c r="J84" s="2214"/>
      <c r="K84" s="2215"/>
      <c r="L84" s="2211"/>
      <c r="M84" s="1831"/>
      <c r="N84" s="1835"/>
    </row>
    <row r="85" spans="2:14" ht="12" thickBot="1">
      <c r="B85" s="1854"/>
      <c r="C85" s="1831"/>
      <c r="D85" s="1831"/>
      <c r="E85" s="1831"/>
      <c r="F85" s="1831"/>
      <c r="G85" s="1831"/>
      <c r="H85" s="1831"/>
      <c r="I85" s="1831"/>
      <c r="J85" s="1831"/>
      <c r="K85" s="1831"/>
      <c r="L85" s="1831"/>
      <c r="M85" s="1831"/>
      <c r="N85" s="1835"/>
    </row>
    <row r="86" spans="2:14" ht="15.75" thickBot="1">
      <c r="B86" s="2122" t="s">
        <v>1945</v>
      </c>
      <c r="C86" s="1858"/>
      <c r="D86" s="1858"/>
      <c r="E86" s="1858"/>
      <c r="F86" s="1858"/>
      <c r="G86" s="1858"/>
      <c r="H86" s="1858"/>
      <c r="I86" s="1858"/>
      <c r="J86" s="1858"/>
      <c r="K86" s="1858"/>
      <c r="L86" s="1858"/>
      <c r="M86" s="1858"/>
      <c r="N86" s="1859"/>
    </row>
    <row r="87" spans="2:14" ht="12.75">
      <c r="B87" s="1830"/>
      <c r="C87" s="1886"/>
      <c r="D87" s="1886"/>
      <c r="E87" s="1886"/>
      <c r="F87" s="1886"/>
      <c r="G87" s="1886"/>
      <c r="H87" s="1886"/>
      <c r="I87" s="1886"/>
      <c r="J87" s="1886"/>
      <c r="K87" s="1886"/>
      <c r="L87" s="1831"/>
      <c r="M87" s="1831"/>
      <c r="N87" s="1835"/>
    </row>
    <row r="88" spans="2:14" ht="13.5" thickBot="1">
      <c r="B88" s="1830"/>
      <c r="C88" s="1886"/>
      <c r="D88" s="1886"/>
      <c r="E88" s="1676" t="s">
        <v>1936</v>
      </c>
      <c r="F88" s="1886"/>
      <c r="G88" s="1676" t="s">
        <v>1484</v>
      </c>
      <c r="H88" s="1886"/>
      <c r="I88" s="1886"/>
      <c r="J88" s="1886"/>
      <c r="K88" s="1886"/>
      <c r="L88" s="1831"/>
      <c r="M88" s="1831"/>
      <c r="N88" s="1835"/>
    </row>
    <row r="89" spans="2:14" ht="13.5" thickBot="1">
      <c r="B89" s="2164"/>
      <c r="C89" s="2217" t="s">
        <v>1411</v>
      </c>
      <c r="D89" s="1886"/>
      <c r="E89" s="2218">
        <f>INDEX(decSpecProg1, xxIndexTeam)</f>
        <v>0</v>
      </c>
      <c r="F89" s="1886"/>
      <c r="G89" s="2219" t="str">
        <f>IF(E89&gt;0,VLOOKUP(E89,adj!$B$319:$C$1109,2,0),"-")</f>
        <v>-</v>
      </c>
      <c r="H89" s="2220"/>
      <c r="I89" s="2220"/>
      <c r="J89" s="2220"/>
      <c r="K89" s="2220"/>
      <c r="L89" s="1859"/>
      <c r="M89" s="1831"/>
      <c r="N89" s="1835"/>
    </row>
    <row r="90" spans="2:14" ht="13.5" thickBot="1">
      <c r="B90" s="2164"/>
      <c r="C90" s="2221"/>
      <c r="D90" s="1886"/>
      <c r="E90" s="2222"/>
      <c r="F90" s="1886"/>
      <c r="G90" s="1886"/>
      <c r="H90" s="1886"/>
      <c r="I90" s="1886"/>
      <c r="J90" s="1886"/>
      <c r="K90" s="1886"/>
      <c r="L90" s="1831"/>
      <c r="M90" s="1831"/>
      <c r="N90" s="1835"/>
    </row>
    <row r="91" spans="2:14" ht="13.5" thickBot="1">
      <c r="B91" s="2164"/>
      <c r="C91" s="2217" t="s">
        <v>1412</v>
      </c>
      <c r="D91" s="1886"/>
      <c r="E91" s="2218">
        <f>INDEX(decSpecProg2, xxIndexTeam)</f>
        <v>0</v>
      </c>
      <c r="F91" s="1886"/>
      <c r="G91" s="2219" t="str">
        <f>IF(E91&gt;0,VLOOKUP(E91,adj!$B$319:$C$1109,2,0),"-")</f>
        <v>-</v>
      </c>
      <c r="H91" s="2220"/>
      <c r="I91" s="2220"/>
      <c r="J91" s="2220"/>
      <c r="K91" s="2220"/>
      <c r="L91" s="1859"/>
      <c r="M91" s="1831"/>
      <c r="N91" s="1835"/>
    </row>
    <row r="92" spans="2:14" ht="13.5" thickBot="1">
      <c r="B92" s="2164"/>
      <c r="C92" s="2221"/>
      <c r="D92" s="1886"/>
      <c r="E92" s="2222"/>
      <c r="F92" s="1886"/>
      <c r="G92" s="1886"/>
      <c r="H92" s="1886"/>
      <c r="I92" s="1886"/>
      <c r="J92" s="1886"/>
      <c r="K92" s="1886"/>
      <c r="L92" s="1831"/>
      <c r="M92" s="1831"/>
      <c r="N92" s="1835"/>
    </row>
    <row r="93" spans="2:14" ht="13.5" thickBot="1">
      <c r="B93" s="2164"/>
      <c r="C93" s="2217" t="s">
        <v>1413</v>
      </c>
      <c r="D93" s="1886"/>
      <c r="E93" s="2218">
        <f>INDEX(decSpecProg3, xxIndexTeam)</f>
        <v>0</v>
      </c>
      <c r="F93" s="1886"/>
      <c r="G93" s="2219" t="str">
        <f>IF(E93&gt;0,VLOOKUP(E93,adj!$B$319:$C$1109,2,0),"-")</f>
        <v>-</v>
      </c>
      <c r="H93" s="2220"/>
      <c r="I93" s="2220"/>
      <c r="J93" s="2220"/>
      <c r="K93" s="2220"/>
      <c r="L93" s="1859"/>
      <c r="M93" s="1831"/>
      <c r="N93" s="1835"/>
    </row>
    <row r="94" spans="2:14" ht="13.5" thickBot="1">
      <c r="B94" s="2164"/>
      <c r="C94" s="2221"/>
      <c r="D94" s="1886"/>
      <c r="E94" s="2222"/>
      <c r="F94" s="1886"/>
      <c r="G94" s="1886"/>
      <c r="H94" s="1886"/>
      <c r="I94" s="1831"/>
      <c r="J94" s="1831"/>
      <c r="K94" s="1831"/>
      <c r="L94" s="1831"/>
      <c r="M94" s="1831"/>
      <c r="N94" s="1835"/>
    </row>
    <row r="95" spans="2:14" ht="13.5" thickBot="1">
      <c r="B95" s="1830"/>
      <c r="C95" s="2217" t="s">
        <v>1414</v>
      </c>
      <c r="D95" s="1831"/>
      <c r="E95" s="2218">
        <f>INDEX(decSpecProg4, xxIndexTeam)</f>
        <v>0</v>
      </c>
      <c r="F95" s="1832"/>
      <c r="G95" s="2219" t="str">
        <f>IF(E95&gt;0,VLOOKUP(E95,adj!$B$319:$C$1109,2,0),"-")</f>
        <v>-</v>
      </c>
      <c r="H95" s="1858"/>
      <c r="I95" s="1858"/>
      <c r="J95" s="1858"/>
      <c r="K95" s="1858"/>
      <c r="L95" s="1859"/>
      <c r="M95" s="1831"/>
      <c r="N95" s="1835"/>
    </row>
    <row r="96" spans="2:14" ht="13.5" thickBot="1">
      <c r="B96" s="2164"/>
      <c r="C96" s="2221"/>
      <c r="D96" s="1886"/>
      <c r="E96" s="2222"/>
      <c r="F96" s="1886"/>
      <c r="G96" s="1886"/>
      <c r="H96" s="1886"/>
      <c r="I96" s="1831"/>
      <c r="J96" s="1831"/>
      <c r="K96" s="1831"/>
      <c r="L96" s="1831"/>
      <c r="M96" s="1831"/>
      <c r="N96" s="1835"/>
    </row>
    <row r="97" spans="1:14" ht="13.5" thickBot="1">
      <c r="B97" s="1830"/>
      <c r="C97" s="2217" t="s">
        <v>1415</v>
      </c>
      <c r="D97" s="1831"/>
      <c r="E97" s="2218">
        <f>INDEX(decSpecProg5, xxIndexTeam)</f>
        <v>0</v>
      </c>
      <c r="F97" s="1832"/>
      <c r="G97" s="2219" t="str">
        <f>IF(E97&gt;0,VLOOKUP(E97,adj!$B$319:$C$1109,2,0),"-")</f>
        <v>-</v>
      </c>
      <c r="H97" s="1858"/>
      <c r="I97" s="1858"/>
      <c r="J97" s="1858"/>
      <c r="K97" s="1858"/>
      <c r="L97" s="1859"/>
      <c r="M97" s="1831"/>
      <c r="N97" s="1835"/>
    </row>
    <row r="98" spans="1:14" ht="13.5" thickBot="1">
      <c r="B98" s="1854"/>
      <c r="C98" s="2223"/>
      <c r="D98" s="1850"/>
      <c r="E98" s="2224"/>
      <c r="F98" s="2225"/>
      <c r="G98" s="2003"/>
      <c r="H98" s="1850"/>
      <c r="I98" s="1850"/>
      <c r="J98" s="1850"/>
      <c r="K98" s="1850"/>
      <c r="L98" s="1850"/>
      <c r="M98" s="1850"/>
      <c r="N98" s="1856"/>
    </row>
    <row r="99" spans="1:14" ht="13.5" customHeight="1" thickBot="1">
      <c r="A99" s="1516">
        <v>5</v>
      </c>
      <c r="B99" s="1830"/>
      <c r="C99" s="2217" t="s">
        <v>1416</v>
      </c>
      <c r="D99" s="1831"/>
      <c r="E99" s="2226">
        <f>INDEX(decSpecProg6, xxIndexTeam)</f>
        <v>0</v>
      </c>
      <c r="F99" s="1832"/>
      <c r="G99" s="2227" t="str">
        <f>IF(E99&gt;0,VLOOKUP(E99,adj!$B$319:$C$1109,2,0),"-")</f>
        <v>-</v>
      </c>
      <c r="H99" s="1850"/>
      <c r="I99" s="1850"/>
      <c r="J99" s="1850"/>
      <c r="K99" s="1850"/>
      <c r="L99" s="1856"/>
      <c r="M99" s="1831"/>
      <c r="N99" s="1835"/>
    </row>
    <row r="100" spans="1:14" ht="13.5" customHeight="1" thickBot="1">
      <c r="A100" s="1516">
        <v>5</v>
      </c>
      <c r="B100" s="1830"/>
      <c r="C100" s="1831"/>
      <c r="D100" s="1831"/>
      <c r="E100" s="1831"/>
      <c r="F100" s="1831"/>
      <c r="G100" s="1831"/>
      <c r="H100" s="1831"/>
      <c r="I100" s="1831"/>
      <c r="J100" s="1831"/>
      <c r="K100" s="1831"/>
      <c r="L100" s="1831"/>
      <c r="M100" s="1831"/>
      <c r="N100" s="1835"/>
    </row>
    <row r="101" spans="1:14" ht="20.25" customHeight="1" thickBot="1">
      <c r="B101" s="1857"/>
      <c r="C101" s="1858"/>
      <c r="D101" s="1858"/>
      <c r="E101" s="1858"/>
      <c r="F101" s="1858"/>
      <c r="G101" s="1858"/>
      <c r="H101" s="1858"/>
      <c r="I101" s="1858"/>
      <c r="J101" s="1858"/>
      <c r="K101" s="1858"/>
      <c r="L101" s="1858"/>
      <c r="M101" s="1858"/>
      <c r="N101" s="1859"/>
    </row>
  </sheetData>
  <mergeCells count="13">
    <mergeCell ref="C20:D20"/>
    <mergeCell ref="C22:D22"/>
    <mergeCell ref="C41:D41"/>
    <mergeCell ref="C43:D43"/>
    <mergeCell ref="C51:E51"/>
    <mergeCell ref="C83:E83"/>
    <mergeCell ref="E53:G53"/>
    <mergeCell ref="K53:M53"/>
    <mergeCell ref="K55:M55"/>
    <mergeCell ref="C56:E56"/>
    <mergeCell ref="C79:E79"/>
    <mergeCell ref="I79:K79"/>
    <mergeCell ref="I83:K83"/>
  </mergeCells>
  <phoneticPr fontId="0" type="noConversion"/>
  <printOptions horizontalCentered="1"/>
  <pageMargins left="0.25" right="0.25" top="1" bottom="1" header="0.5" footer="0.5"/>
  <pageSetup paperSize="9" scale="59" orientation="portrait" blackAndWhite="1" r:id="rId1"/>
  <headerFooter alignWithMargins="0">
    <oddFooter>&amp;CPage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O159"/>
  <sheetViews>
    <sheetView topLeftCell="A112" zoomScale="85" zoomScaleNormal="85" workbookViewId="0">
      <selection activeCell="H137" sqref="H137"/>
    </sheetView>
  </sheetViews>
  <sheetFormatPr defaultColWidth="18.83203125" defaultRowHeight="12.75" customHeight="1"/>
  <cols>
    <col min="1" max="1" width="1.6640625" style="2448" customWidth="1"/>
    <col min="2" max="2" width="1.1640625" style="2448" customWidth="1"/>
    <col min="3" max="3" width="29" style="2448" customWidth="1"/>
    <col min="4" max="4" width="1" style="2448" customWidth="1"/>
    <col min="5" max="5" width="29" style="2448" customWidth="1"/>
    <col min="6" max="6" width="1" style="2448" customWidth="1"/>
    <col min="7" max="15" width="29" style="2448" customWidth="1"/>
    <col min="16" max="16384" width="18.83203125" style="2448"/>
  </cols>
  <sheetData>
    <row r="1" spans="1:15" s="1670" customFormat="1" ht="14.25">
      <c r="A1" s="1671" t="s">
        <v>4675</v>
      </c>
      <c r="D1" s="1671"/>
      <c r="F1" s="1671"/>
    </row>
    <row r="2" spans="1:15" s="2456" customFormat="1" ht="14.25">
      <c r="C2" s="2457"/>
      <c r="E2" s="2457"/>
      <c r="G2" s="2457"/>
      <c r="H2" s="2457"/>
      <c r="J2" s="2457"/>
      <c r="K2" s="2457"/>
      <c r="L2" s="2457"/>
      <c r="M2" s="2457"/>
      <c r="N2" s="2457"/>
      <c r="O2" s="2457"/>
    </row>
    <row r="3" spans="1:15" s="2456" customFormat="1" ht="14.25">
      <c r="C3" s="2456" t="s">
        <v>4186</v>
      </c>
      <c r="E3" s="1647" t="s">
        <v>4185</v>
      </c>
      <c r="G3" s="1647"/>
      <c r="H3" s="1646"/>
      <c r="J3" s="1646"/>
      <c r="K3" s="1646"/>
      <c r="L3" s="1646"/>
      <c r="M3" s="1646"/>
      <c r="N3" s="1646"/>
      <c r="O3" s="1646"/>
    </row>
    <row r="4" spans="1:15" s="1652" customFormat="1" ht="14.25"/>
    <row r="5" spans="1:15" s="1657" customFormat="1" ht="14.25">
      <c r="A5" s="1667"/>
      <c r="C5" s="1657" t="s">
        <v>4184</v>
      </c>
      <c r="D5" s="1667"/>
      <c r="F5" s="1667"/>
      <c r="H5" s="1666"/>
      <c r="I5" s="1666"/>
      <c r="J5" s="1666"/>
      <c r="K5" s="1666"/>
      <c r="L5" s="1666"/>
      <c r="M5" s="1666"/>
      <c r="N5" s="1666"/>
      <c r="O5" s="1666"/>
    </row>
    <row r="6" spans="1:15" s="1652" customFormat="1" ht="14.25"/>
    <row r="7" spans="1:15" s="1652" customFormat="1" ht="14.25">
      <c r="C7" s="1665" t="s">
        <v>4183</v>
      </c>
      <c r="E7" s="1665"/>
      <c r="G7" s="1665"/>
      <c r="H7" s="1664" t="s">
        <v>4182</v>
      </c>
    </row>
    <row r="8" spans="1:15" s="1652" customFormat="1" ht="14.25">
      <c r="C8" s="1663"/>
      <c r="E8" s="1653" t="s">
        <v>4181</v>
      </c>
      <c r="H8" s="1662"/>
      <c r="I8" s="1653" t="s">
        <v>4180</v>
      </c>
    </row>
    <row r="9" spans="1:15" s="1652" customFormat="1" ht="14.25">
      <c r="C9" s="1661"/>
      <c r="E9" s="1653" t="s">
        <v>4179</v>
      </c>
    </row>
    <row r="10" spans="1:15" s="1652" customFormat="1" ht="14.25">
      <c r="C10" s="1660"/>
      <c r="E10" s="1653" t="s">
        <v>4178</v>
      </c>
    </row>
    <row r="11" spans="1:15" s="1652" customFormat="1" ht="14.25"/>
    <row r="12" spans="1:15" s="1657" customFormat="1" ht="14.25">
      <c r="A12" s="1667"/>
      <c r="C12" s="1657" t="s">
        <v>4177</v>
      </c>
      <c r="D12" s="1667"/>
      <c r="F12" s="1667"/>
      <c r="H12" s="1666"/>
      <c r="I12" s="1666"/>
      <c r="J12" s="1666"/>
      <c r="K12" s="1666"/>
      <c r="L12" s="1666"/>
      <c r="M12" s="1666"/>
      <c r="N12" s="1666"/>
      <c r="O12" s="1666"/>
    </row>
    <row r="13" spans="1:15" ht="14.25">
      <c r="B13" s="2455"/>
      <c r="G13" s="2451"/>
      <c r="H13" s="2450"/>
      <c r="I13" s="2450"/>
      <c r="J13" s="2450"/>
      <c r="K13" s="2450"/>
      <c r="L13" s="2450"/>
      <c r="M13" s="2450"/>
      <c r="N13" s="2450"/>
      <c r="O13" s="2450"/>
    </row>
    <row r="14" spans="1:15" ht="14.25">
      <c r="B14" s="2455"/>
      <c r="C14" s="2448" t="s">
        <v>4674</v>
      </c>
      <c r="E14" s="2454" t="s">
        <v>4673</v>
      </c>
      <c r="G14" s="2453" t="s">
        <v>4672</v>
      </c>
      <c r="H14" s="2452" t="s">
        <v>4671</v>
      </c>
      <c r="I14" s="2450"/>
      <c r="J14" s="2450"/>
      <c r="K14" s="2450"/>
      <c r="L14" s="2450"/>
      <c r="M14" s="2450"/>
      <c r="N14" s="2450"/>
      <c r="O14" s="2450"/>
    </row>
    <row r="15" spans="1:15" ht="14.25">
      <c r="B15" s="2451"/>
      <c r="C15" s="2451"/>
      <c r="E15" s="2451"/>
      <c r="G15" s="2451"/>
      <c r="H15" s="2450"/>
      <c r="I15" s="2450"/>
      <c r="J15" s="2450"/>
      <c r="K15" s="2450"/>
      <c r="L15" s="2450"/>
      <c r="M15" s="2450"/>
      <c r="N15" s="2450"/>
      <c r="O15" s="2450"/>
    </row>
    <row r="16" spans="1:15" s="1657" customFormat="1" ht="20.100000000000001" customHeight="1">
      <c r="C16" s="1659" t="s">
        <v>4670</v>
      </c>
      <c r="E16" s="1659"/>
      <c r="G16" s="1658"/>
      <c r="H16" s="1659"/>
      <c r="I16" s="1658"/>
      <c r="J16" s="1658"/>
      <c r="K16" s="1659"/>
      <c r="L16" s="1658"/>
      <c r="M16" s="1658"/>
      <c r="N16" s="1659"/>
      <c r="O16" s="1658"/>
    </row>
    <row r="17" spans="1:15" s="1652" customFormat="1" ht="14.25"/>
    <row r="18" spans="1:15" s="1652" customFormat="1" ht="14.25"/>
    <row r="19" spans="1:15" s="1652" customFormat="1" ht="14.25"/>
    <row r="20" spans="1:15" s="1652" customFormat="1" ht="14.25"/>
    <row r="21" spans="1:15" s="1657" customFormat="1" ht="14.25">
      <c r="A21" s="1667"/>
      <c r="C21" s="1657" t="s">
        <v>4669</v>
      </c>
      <c r="D21" s="1667"/>
      <c r="E21" s="1657" t="s">
        <v>4668</v>
      </c>
      <c r="F21" s="1667"/>
      <c r="G21" s="1657" t="s">
        <v>4667</v>
      </c>
      <c r="H21" s="1667"/>
      <c r="I21" s="1666"/>
      <c r="K21" s="1667"/>
      <c r="L21" s="1666"/>
      <c r="M21" s="1666"/>
      <c r="N21" s="1667"/>
      <c r="O21" s="1666"/>
    </row>
    <row r="23" spans="1:15" ht="12.75" customHeight="1">
      <c r="C23" s="2448" t="s">
        <v>4666</v>
      </c>
      <c r="E23" s="2448" t="s">
        <v>4665</v>
      </c>
    </row>
    <row r="24" spans="1:15" ht="12.75" customHeight="1">
      <c r="C24" s="2449" t="s">
        <v>4512</v>
      </c>
      <c r="E24" s="2449" t="s">
        <v>4708</v>
      </c>
      <c r="G24" s="2449">
        <v>50</v>
      </c>
      <c r="H24" s="2449"/>
    </row>
    <row r="25" spans="1:15" ht="12.75" customHeight="1">
      <c r="C25" s="2449" t="s">
        <v>4487</v>
      </c>
      <c r="E25" s="2449" t="s">
        <v>4709</v>
      </c>
      <c r="G25" s="2449" t="s">
        <v>4710</v>
      </c>
      <c r="H25" s="2449"/>
    </row>
    <row r="26" spans="1:15" ht="12.75" customHeight="1">
      <c r="C26" s="2449" t="s">
        <v>4488</v>
      </c>
      <c r="E26" s="2449" t="s">
        <v>4709</v>
      </c>
      <c r="G26" s="2449" t="s">
        <v>4710</v>
      </c>
      <c r="H26" s="2449"/>
    </row>
    <row r="27" spans="1:15" ht="12.75" customHeight="1">
      <c r="C27" s="2449" t="s">
        <v>4489</v>
      </c>
      <c r="E27" s="2449" t="s">
        <v>4709</v>
      </c>
      <c r="G27" s="2449" t="s">
        <v>4710</v>
      </c>
      <c r="H27" s="2449"/>
    </row>
    <row r="28" spans="1:15" ht="12.75" customHeight="1">
      <c r="C28" s="2449" t="s">
        <v>4676</v>
      </c>
      <c r="E28" s="2449" t="s">
        <v>4708</v>
      </c>
      <c r="G28" s="2449">
        <v>500</v>
      </c>
      <c r="H28" s="2449"/>
    </row>
    <row r="29" spans="1:15" ht="12.75" customHeight="1">
      <c r="C29" s="2449" t="s">
        <v>4677</v>
      </c>
      <c r="E29" s="2449" t="s">
        <v>4708</v>
      </c>
      <c r="G29" s="2449">
        <v>500</v>
      </c>
      <c r="H29" s="2449"/>
    </row>
    <row r="30" spans="1:15" ht="12.75" customHeight="1">
      <c r="C30" s="2449" t="s">
        <v>4448</v>
      </c>
      <c r="E30" s="2449" t="s">
        <v>4712</v>
      </c>
      <c r="G30" s="2449">
        <v>0</v>
      </c>
      <c r="H30" s="2449">
        <v>0.99</v>
      </c>
    </row>
    <row r="31" spans="1:15" ht="12.75" customHeight="1">
      <c r="C31" s="2449" t="s">
        <v>4484</v>
      </c>
      <c r="E31" s="2449" t="s">
        <v>4709</v>
      </c>
      <c r="G31" s="2449" t="s">
        <v>4710</v>
      </c>
      <c r="H31" s="2449"/>
    </row>
    <row r="32" spans="1:15" ht="12.75" customHeight="1">
      <c r="C32" s="2449" t="s">
        <v>4485</v>
      </c>
      <c r="E32" s="2449" t="s">
        <v>4709</v>
      </c>
      <c r="G32" s="2449" t="s">
        <v>4710</v>
      </c>
      <c r="H32" s="2449"/>
    </row>
    <row r="33" spans="3:8" ht="12.75" customHeight="1">
      <c r="C33" s="2449" t="s">
        <v>4486</v>
      </c>
      <c r="E33" s="2449" t="s">
        <v>4709</v>
      </c>
      <c r="G33" s="2449" t="s">
        <v>4710</v>
      </c>
      <c r="H33" s="2449"/>
    </row>
    <row r="34" spans="3:8" ht="12.75" customHeight="1">
      <c r="C34" s="2449" t="s">
        <v>4442</v>
      </c>
      <c r="E34" s="2449" t="s">
        <v>4711</v>
      </c>
      <c r="G34" s="2449">
        <v>-30000</v>
      </c>
      <c r="H34" s="2449">
        <v>30000</v>
      </c>
    </row>
    <row r="35" spans="3:8" ht="12.75" customHeight="1">
      <c r="C35" s="2449" t="s">
        <v>4443</v>
      </c>
      <c r="E35" s="2449" t="s">
        <v>4711</v>
      </c>
      <c r="G35" s="2449">
        <v>-30000</v>
      </c>
      <c r="H35" s="2449">
        <v>30000</v>
      </c>
    </row>
    <row r="36" spans="3:8" ht="12.75" customHeight="1">
      <c r="C36" s="2449" t="s">
        <v>4444</v>
      </c>
      <c r="E36" s="2449" t="s">
        <v>4711</v>
      </c>
      <c r="G36" s="2449">
        <v>-30000</v>
      </c>
      <c r="H36" s="2449">
        <v>30000</v>
      </c>
    </row>
    <row r="37" spans="3:8" ht="12.75" customHeight="1">
      <c r="C37" s="2449" t="s">
        <v>4446</v>
      </c>
      <c r="E37" s="2449" t="s">
        <v>4709</v>
      </c>
      <c r="G37" s="2449" t="s">
        <v>4713</v>
      </c>
      <c r="H37" s="2449"/>
    </row>
    <row r="38" spans="3:8" ht="12.75" customHeight="1">
      <c r="C38" s="2449" t="s">
        <v>4514</v>
      </c>
      <c r="E38" s="2449" t="s">
        <v>4708</v>
      </c>
      <c r="G38" s="2449">
        <v>50</v>
      </c>
      <c r="H38" s="2449"/>
    </row>
    <row r="39" spans="3:8" ht="12.75" customHeight="1">
      <c r="C39" s="2449" t="s">
        <v>4513</v>
      </c>
      <c r="E39" s="2449" t="s">
        <v>4708</v>
      </c>
      <c r="G39" s="2449">
        <v>50</v>
      </c>
      <c r="H39" s="2449"/>
    </row>
    <row r="40" spans="3:8" ht="12.75" customHeight="1">
      <c r="C40" s="2449" t="s">
        <v>4518</v>
      </c>
      <c r="E40" s="2449" t="s">
        <v>4711</v>
      </c>
      <c r="G40" s="2449">
        <v>1</v>
      </c>
      <c r="H40" s="2449">
        <v>3</v>
      </c>
    </row>
    <row r="41" spans="3:8" ht="12.75" customHeight="1">
      <c r="C41" s="2449" t="s">
        <v>4526</v>
      </c>
      <c r="E41" s="2449" t="s">
        <v>4711</v>
      </c>
      <c r="G41" s="2449">
        <v>1</v>
      </c>
      <c r="H41" s="2449">
        <v>3</v>
      </c>
    </row>
    <row r="42" spans="3:8" ht="12.75" customHeight="1">
      <c r="C42" s="2449" t="s">
        <v>4527</v>
      </c>
      <c r="E42" s="2449" t="s">
        <v>4711</v>
      </c>
      <c r="G42" s="2449">
        <v>1</v>
      </c>
      <c r="H42" s="2449">
        <v>3</v>
      </c>
    </row>
    <row r="43" spans="3:8" ht="12.75" customHeight="1">
      <c r="C43" s="2449" t="s">
        <v>4528</v>
      </c>
      <c r="E43" s="2449" t="s">
        <v>4711</v>
      </c>
      <c r="G43" s="2449">
        <v>1</v>
      </c>
      <c r="H43" s="2449">
        <v>3</v>
      </c>
    </row>
    <row r="44" spans="3:8" ht="12.75" customHeight="1">
      <c r="C44" s="2449" t="s">
        <v>4529</v>
      </c>
      <c r="E44" s="2449" t="s">
        <v>4711</v>
      </c>
      <c r="G44" s="2449">
        <v>1</v>
      </c>
      <c r="H44" s="2449">
        <v>3</v>
      </c>
    </row>
    <row r="45" spans="3:8" ht="12.75" customHeight="1">
      <c r="C45" s="2449" t="s">
        <v>4519</v>
      </c>
      <c r="E45" s="2449" t="s">
        <v>4711</v>
      </c>
      <c r="G45" s="2449">
        <v>1</v>
      </c>
      <c r="H45" s="2449">
        <v>3</v>
      </c>
    </row>
    <row r="46" spans="3:8" ht="12.75" customHeight="1">
      <c r="C46" s="2449" t="s">
        <v>4520</v>
      </c>
      <c r="E46" s="2449" t="s">
        <v>4711</v>
      </c>
      <c r="G46" s="2449">
        <v>1</v>
      </c>
      <c r="H46" s="2449">
        <v>3</v>
      </c>
    </row>
    <row r="47" spans="3:8" ht="12.75" customHeight="1">
      <c r="C47" s="2449" t="s">
        <v>4521</v>
      </c>
      <c r="E47" s="2449" t="s">
        <v>4711</v>
      </c>
      <c r="G47" s="2449">
        <v>1</v>
      </c>
      <c r="H47" s="2449">
        <v>3</v>
      </c>
    </row>
    <row r="48" spans="3:8" ht="12.75" customHeight="1">
      <c r="C48" s="2449" t="s">
        <v>4522</v>
      </c>
      <c r="E48" s="2449" t="s">
        <v>4711</v>
      </c>
      <c r="G48" s="2449">
        <v>1</v>
      </c>
      <c r="H48" s="2449">
        <v>3</v>
      </c>
    </row>
    <row r="49" spans="3:8" ht="12.75" customHeight="1">
      <c r="C49" s="2449" t="s">
        <v>4523</v>
      </c>
      <c r="E49" s="2449" t="s">
        <v>4711</v>
      </c>
      <c r="G49" s="2449">
        <v>1</v>
      </c>
      <c r="H49" s="2449">
        <v>3</v>
      </c>
    </row>
    <row r="50" spans="3:8" ht="12.75" customHeight="1">
      <c r="C50" s="2449" t="s">
        <v>4524</v>
      </c>
      <c r="E50" s="2449" t="s">
        <v>4711</v>
      </c>
      <c r="G50" s="2449">
        <v>1</v>
      </c>
      <c r="H50" s="2449">
        <v>3</v>
      </c>
    </row>
    <row r="51" spans="3:8" ht="12.75" customHeight="1">
      <c r="C51" s="2449" t="s">
        <v>4525</v>
      </c>
      <c r="E51" s="2449" t="s">
        <v>4711</v>
      </c>
      <c r="G51" s="2449">
        <v>1</v>
      </c>
      <c r="H51" s="2449">
        <v>3</v>
      </c>
    </row>
    <row r="52" spans="3:8" ht="12.75" customHeight="1">
      <c r="C52" s="2449" t="s">
        <v>4453</v>
      </c>
      <c r="E52" s="2449" t="s">
        <v>4709</v>
      </c>
      <c r="G52" s="2449" t="s">
        <v>4714</v>
      </c>
      <c r="H52" s="2449"/>
    </row>
    <row r="53" spans="3:8" ht="12.75" customHeight="1">
      <c r="C53" s="2449" t="s">
        <v>4454</v>
      </c>
      <c r="E53" s="2449" t="s">
        <v>4709</v>
      </c>
      <c r="G53" s="2449" t="s">
        <v>4714</v>
      </c>
      <c r="H53" s="2449"/>
    </row>
    <row r="54" spans="3:8" ht="12.75" customHeight="1">
      <c r="C54" s="2449" t="s">
        <v>4455</v>
      </c>
      <c r="E54" s="2449" t="s">
        <v>4709</v>
      </c>
      <c r="G54" s="2449" t="s">
        <v>4714</v>
      </c>
      <c r="H54" s="2449"/>
    </row>
    <row r="55" spans="3:8" ht="12.75" customHeight="1">
      <c r="C55" s="2449" t="s">
        <v>4456</v>
      </c>
      <c r="E55" s="2449" t="s">
        <v>4709</v>
      </c>
      <c r="G55" s="2449" t="s">
        <v>4714</v>
      </c>
      <c r="H55" s="2449"/>
    </row>
    <row r="56" spans="3:8" ht="12.75" customHeight="1">
      <c r="C56" s="2449" t="s">
        <v>4437</v>
      </c>
      <c r="E56" s="2449" t="s">
        <v>4709</v>
      </c>
      <c r="G56" s="2449" t="s">
        <v>4715</v>
      </c>
      <c r="H56" s="2449"/>
    </row>
    <row r="57" spans="3:8" ht="12.75" customHeight="1">
      <c r="C57" s="2449" t="s">
        <v>4447</v>
      </c>
      <c r="E57" s="2449" t="s">
        <v>4711</v>
      </c>
      <c r="G57" s="2449">
        <v>-500</v>
      </c>
      <c r="H57" s="2449">
        <v>1000</v>
      </c>
    </row>
    <row r="58" spans="3:8" ht="12.75" customHeight="1">
      <c r="C58" s="2449" t="s">
        <v>4441</v>
      </c>
      <c r="E58" s="2449" t="s">
        <v>4709</v>
      </c>
      <c r="G58" s="2449" t="s">
        <v>765</v>
      </c>
      <c r="H58" s="2449"/>
    </row>
    <row r="59" spans="3:8" ht="12.75" customHeight="1">
      <c r="C59" s="2449" t="s">
        <v>4440</v>
      </c>
      <c r="E59" s="2449" t="s">
        <v>4711</v>
      </c>
      <c r="G59" s="2449">
        <v>-100</v>
      </c>
      <c r="H59" s="2449">
        <v>100</v>
      </c>
    </row>
    <row r="60" spans="3:8" ht="12.75" customHeight="1">
      <c r="C60" s="2449" t="s">
        <v>4396</v>
      </c>
      <c r="E60" s="2449" t="s">
        <v>4711</v>
      </c>
      <c r="G60" s="2449">
        <v>0</v>
      </c>
      <c r="H60" s="2449">
        <v>2000</v>
      </c>
    </row>
    <row r="61" spans="3:8" ht="12.75" customHeight="1">
      <c r="C61" s="2449" t="s">
        <v>4397</v>
      </c>
      <c r="E61" s="2449" t="s">
        <v>4711</v>
      </c>
      <c r="G61" s="2449">
        <v>0</v>
      </c>
      <c r="H61" s="2449">
        <v>2000</v>
      </c>
    </row>
    <row r="62" spans="3:8" ht="12.75" customHeight="1">
      <c r="C62" s="2449" t="s">
        <v>4395</v>
      </c>
      <c r="E62" s="2449" t="s">
        <v>4709</v>
      </c>
      <c r="G62" s="2449" t="s">
        <v>4716</v>
      </c>
      <c r="H62" s="2449"/>
    </row>
    <row r="63" spans="3:8" ht="12.75" customHeight="1">
      <c r="C63" s="2449" t="s">
        <v>4392</v>
      </c>
      <c r="E63" s="2449" t="s">
        <v>4711</v>
      </c>
      <c r="G63" s="2449">
        <v>0</v>
      </c>
      <c r="H63" s="2449">
        <v>3</v>
      </c>
    </row>
    <row r="64" spans="3:8" ht="12.75" customHeight="1">
      <c r="C64" s="2449" t="s">
        <v>4659</v>
      </c>
      <c r="E64" s="2449" t="s">
        <v>4711</v>
      </c>
      <c r="G64" s="2449">
        <v>0</v>
      </c>
      <c r="H64" s="2449">
        <v>3</v>
      </c>
    </row>
    <row r="65" spans="3:8" ht="12.75" customHeight="1">
      <c r="C65" s="2449" t="s">
        <v>4393</v>
      </c>
      <c r="E65" s="2449" t="s">
        <v>4711</v>
      </c>
      <c r="G65" s="2449">
        <v>0</v>
      </c>
      <c r="H65" s="2449">
        <v>1</v>
      </c>
    </row>
    <row r="66" spans="3:8" ht="12.75" customHeight="1">
      <c r="C66" s="2449" t="s">
        <v>4661</v>
      </c>
      <c r="E66" s="2449" t="s">
        <v>4711</v>
      </c>
      <c r="G66" s="2449">
        <v>0</v>
      </c>
      <c r="H66" s="2449">
        <v>1</v>
      </c>
    </row>
    <row r="67" spans="3:8" ht="12.75" customHeight="1">
      <c r="C67" s="2449" t="s">
        <v>4394</v>
      </c>
      <c r="E67" s="2449" t="s">
        <v>4709</v>
      </c>
      <c r="G67" s="2449" t="s">
        <v>4716</v>
      </c>
      <c r="H67" s="2449"/>
    </row>
    <row r="68" spans="3:8" ht="12.75" customHeight="1">
      <c r="C68" s="2449" t="s">
        <v>4398</v>
      </c>
      <c r="E68" s="2449" t="s">
        <v>4711</v>
      </c>
      <c r="G68" s="2449">
        <v>0</v>
      </c>
      <c r="H68" s="2449">
        <v>2000</v>
      </c>
    </row>
    <row r="69" spans="3:8" ht="12.75" customHeight="1">
      <c r="C69" s="2449" t="s">
        <v>4399</v>
      </c>
      <c r="E69" s="2449" t="s">
        <v>4711</v>
      </c>
      <c r="G69" s="2449">
        <v>0</v>
      </c>
      <c r="H69" s="2449">
        <v>2000</v>
      </c>
    </row>
    <row r="70" spans="3:8" ht="12.75" customHeight="1">
      <c r="C70" s="2449" t="s">
        <v>4390</v>
      </c>
      <c r="E70" s="2449" t="s">
        <v>4712</v>
      </c>
      <c r="G70" s="2449">
        <v>-0.2</v>
      </c>
      <c r="H70" s="2449">
        <v>0.3</v>
      </c>
    </row>
    <row r="71" spans="3:8" ht="12.75" customHeight="1">
      <c r="C71" s="2449" t="s">
        <v>4388</v>
      </c>
      <c r="E71" s="2449" t="s">
        <v>4711</v>
      </c>
      <c r="G71" s="2449">
        <v>0</v>
      </c>
      <c r="H71" s="2449">
        <v>100</v>
      </c>
    </row>
    <row r="72" spans="3:8" ht="12.75" customHeight="1">
      <c r="C72" s="2449" t="s">
        <v>4391</v>
      </c>
      <c r="E72" s="2449" t="s">
        <v>4712</v>
      </c>
      <c r="G72" s="2449">
        <v>-0.2</v>
      </c>
      <c r="H72" s="2449">
        <v>0.5</v>
      </c>
    </row>
    <row r="73" spans="3:8" ht="12.75" customHeight="1">
      <c r="C73" s="2449" t="s">
        <v>4389</v>
      </c>
      <c r="E73" s="2449" t="s">
        <v>4711</v>
      </c>
      <c r="G73" s="2449">
        <v>0</v>
      </c>
      <c r="H73" s="2449">
        <v>100</v>
      </c>
    </row>
    <row r="74" spans="3:8" ht="12.75" customHeight="1">
      <c r="C74" s="2449" t="s">
        <v>4449</v>
      </c>
      <c r="E74" s="2449" t="s">
        <v>4712</v>
      </c>
      <c r="G74" s="2449">
        <v>0</v>
      </c>
      <c r="H74" s="2449">
        <v>1</v>
      </c>
    </row>
    <row r="75" spans="3:8" ht="12.75" customHeight="1">
      <c r="C75" s="2449" t="s">
        <v>4406</v>
      </c>
      <c r="E75" s="2449" t="s">
        <v>4709</v>
      </c>
      <c r="G75" s="2449" t="s">
        <v>4717</v>
      </c>
      <c r="H75" s="2449"/>
    </row>
    <row r="76" spans="3:8" ht="12.75" customHeight="1">
      <c r="C76" s="2449" t="s">
        <v>4407</v>
      </c>
      <c r="E76" s="2449" t="s">
        <v>4709</v>
      </c>
      <c r="G76" s="2449" t="s">
        <v>4717</v>
      </c>
      <c r="H76" s="2449"/>
    </row>
    <row r="77" spans="3:8" ht="12.75" customHeight="1">
      <c r="C77" s="2449" t="s">
        <v>4408</v>
      </c>
      <c r="E77" s="2449" t="s">
        <v>4711</v>
      </c>
      <c r="G77" s="2449">
        <v>0</v>
      </c>
      <c r="H77" s="2449">
        <v>2000</v>
      </c>
    </row>
    <row r="78" spans="3:8" ht="12.75" customHeight="1">
      <c r="C78" s="2449" t="s">
        <v>4409</v>
      </c>
      <c r="E78" s="2449" t="s">
        <v>4711</v>
      </c>
      <c r="G78" s="2449">
        <v>0</v>
      </c>
      <c r="H78" s="2449">
        <v>2000</v>
      </c>
    </row>
    <row r="79" spans="3:8" ht="12.75" customHeight="1">
      <c r="C79" s="2449" t="s">
        <v>4410</v>
      </c>
      <c r="E79" s="2449" t="s">
        <v>4711</v>
      </c>
      <c r="G79" s="2449">
        <v>0</v>
      </c>
      <c r="H79" s="2449">
        <v>2000</v>
      </c>
    </row>
    <row r="80" spans="3:8" ht="12.75" customHeight="1">
      <c r="C80" s="2449" t="s">
        <v>4411</v>
      </c>
      <c r="E80" s="2449" t="s">
        <v>4711</v>
      </c>
      <c r="G80" s="2449">
        <v>0</v>
      </c>
      <c r="H80" s="2449">
        <v>2000</v>
      </c>
    </row>
    <row r="81" spans="3:8" ht="12.75" customHeight="1">
      <c r="C81" s="2449" t="s">
        <v>4402</v>
      </c>
      <c r="E81" s="2449" t="s">
        <v>4711</v>
      </c>
      <c r="G81" s="2449">
        <v>0</v>
      </c>
      <c r="H81" s="2449">
        <v>100</v>
      </c>
    </row>
    <row r="82" spans="3:8" ht="12.75" customHeight="1">
      <c r="C82" s="2449" t="s">
        <v>4404</v>
      </c>
      <c r="E82" s="2449" t="s">
        <v>4711</v>
      </c>
      <c r="G82" s="2449">
        <v>-10000</v>
      </c>
      <c r="H82" s="2449">
        <v>10000</v>
      </c>
    </row>
    <row r="83" spans="3:8" ht="12.75" customHeight="1">
      <c r="C83" s="2449" t="s">
        <v>4403</v>
      </c>
      <c r="E83" s="2449" t="s">
        <v>4711</v>
      </c>
      <c r="G83" s="2449">
        <v>0</v>
      </c>
      <c r="H83" s="2449">
        <v>100</v>
      </c>
    </row>
    <row r="84" spans="3:8" ht="12.75" customHeight="1">
      <c r="C84" s="2449" t="s">
        <v>4405</v>
      </c>
      <c r="E84" s="2449" t="s">
        <v>4711</v>
      </c>
      <c r="G84" s="2449">
        <v>-10000</v>
      </c>
      <c r="H84" s="2449">
        <v>10000</v>
      </c>
    </row>
    <row r="85" spans="3:8" ht="12.75" customHeight="1">
      <c r="C85" s="2449" t="s">
        <v>4420</v>
      </c>
      <c r="E85" s="2449" t="s">
        <v>4711</v>
      </c>
      <c r="G85" s="2449">
        <v>0</v>
      </c>
      <c r="H85" s="2449">
        <v>2000</v>
      </c>
    </row>
    <row r="86" spans="3:8" ht="12.75" customHeight="1">
      <c r="C86" s="2449" t="s">
        <v>4421</v>
      </c>
      <c r="E86" s="2449" t="s">
        <v>4711</v>
      </c>
      <c r="G86" s="2449">
        <v>0</v>
      </c>
      <c r="H86" s="2449">
        <v>2000</v>
      </c>
    </row>
    <row r="87" spans="3:8" ht="12.75" customHeight="1">
      <c r="C87" s="2449" t="s">
        <v>4419</v>
      </c>
      <c r="E87" s="2449" t="s">
        <v>4709</v>
      </c>
      <c r="G87" s="2449" t="s">
        <v>4716</v>
      </c>
      <c r="H87" s="2449"/>
    </row>
    <row r="88" spans="3:8" ht="12.75" customHeight="1">
      <c r="C88" s="2449" t="s">
        <v>4416</v>
      </c>
      <c r="E88" s="2449" t="s">
        <v>4711</v>
      </c>
      <c r="G88" s="2449">
        <v>0</v>
      </c>
      <c r="H88" s="2449">
        <v>3</v>
      </c>
    </row>
    <row r="89" spans="3:8" ht="12.75" customHeight="1">
      <c r="C89" s="2449" t="s">
        <v>4417</v>
      </c>
      <c r="E89" s="2449" t="s">
        <v>4711</v>
      </c>
      <c r="G89" s="2449">
        <v>0</v>
      </c>
      <c r="H89" s="2449">
        <v>1</v>
      </c>
    </row>
    <row r="90" spans="3:8" ht="12.75" customHeight="1">
      <c r="C90" s="2449" t="s">
        <v>4418</v>
      </c>
      <c r="E90" s="2449" t="s">
        <v>4709</v>
      </c>
      <c r="G90" s="2449" t="s">
        <v>4716</v>
      </c>
      <c r="H90" s="2449"/>
    </row>
    <row r="91" spans="3:8" ht="12.75" customHeight="1">
      <c r="C91" s="2449" t="s">
        <v>4422</v>
      </c>
      <c r="E91" s="2449" t="s">
        <v>4711</v>
      </c>
      <c r="G91" s="2449">
        <v>0</v>
      </c>
      <c r="H91" s="2449">
        <v>2000</v>
      </c>
    </row>
    <row r="92" spans="3:8" ht="12.75" customHeight="1">
      <c r="C92" s="2449" t="s">
        <v>4423</v>
      </c>
      <c r="E92" s="2449" t="s">
        <v>4711</v>
      </c>
      <c r="G92" s="2449">
        <v>0</v>
      </c>
      <c r="H92" s="2449">
        <v>2000</v>
      </c>
    </row>
    <row r="93" spans="3:8" ht="12.75" customHeight="1">
      <c r="C93" s="2449" t="s">
        <v>4414</v>
      </c>
      <c r="E93" s="2449" t="s">
        <v>4712</v>
      </c>
      <c r="G93" s="2449">
        <v>-0.2</v>
      </c>
      <c r="H93" s="2449">
        <v>0.3</v>
      </c>
    </row>
    <row r="94" spans="3:8" ht="12.75" customHeight="1">
      <c r="C94" s="2449" t="s">
        <v>4412</v>
      </c>
      <c r="E94" s="2449" t="s">
        <v>4711</v>
      </c>
      <c r="G94" s="2449">
        <v>0</v>
      </c>
      <c r="H94" s="2449">
        <v>100</v>
      </c>
    </row>
    <row r="95" spans="3:8" ht="12.75" customHeight="1">
      <c r="C95" s="2449" t="s">
        <v>4415</v>
      </c>
      <c r="E95" s="2449" t="s">
        <v>4712</v>
      </c>
      <c r="G95" s="2449">
        <v>-0.2</v>
      </c>
      <c r="H95" s="2449">
        <v>0.5</v>
      </c>
    </row>
    <row r="96" spans="3:8" ht="12.75" customHeight="1">
      <c r="C96" s="2449" t="s">
        <v>4413</v>
      </c>
      <c r="E96" s="2449" t="s">
        <v>4711</v>
      </c>
      <c r="G96" s="2449">
        <v>0</v>
      </c>
      <c r="H96" s="2449">
        <v>100</v>
      </c>
    </row>
    <row r="97" spans="3:8" ht="12.75" customHeight="1">
      <c r="C97" s="2449" t="s">
        <v>4433</v>
      </c>
      <c r="E97" s="2449" t="s">
        <v>4711</v>
      </c>
      <c r="G97" s="2449">
        <v>0</v>
      </c>
      <c r="H97" s="2449">
        <v>2000</v>
      </c>
    </row>
    <row r="98" spans="3:8" ht="12.75" customHeight="1">
      <c r="C98" s="2449" t="s">
        <v>4434</v>
      </c>
      <c r="E98" s="2449" t="s">
        <v>4711</v>
      </c>
      <c r="G98" s="2449">
        <v>0</v>
      </c>
      <c r="H98" s="2449">
        <v>2000</v>
      </c>
    </row>
    <row r="99" spans="3:8" ht="12.75" customHeight="1">
      <c r="C99" s="2449" t="s">
        <v>4432</v>
      </c>
      <c r="E99" s="2449" t="s">
        <v>4709</v>
      </c>
      <c r="G99" s="2449" t="s">
        <v>4716</v>
      </c>
      <c r="H99" s="2449"/>
    </row>
    <row r="100" spans="3:8" ht="12.75" customHeight="1">
      <c r="C100" s="2449" t="s">
        <v>4428</v>
      </c>
      <c r="E100" s="2449" t="s">
        <v>4711</v>
      </c>
      <c r="G100" s="2449">
        <v>0</v>
      </c>
      <c r="H100" s="2449">
        <v>3</v>
      </c>
    </row>
    <row r="101" spans="3:8" ht="12.75" customHeight="1">
      <c r="C101" s="2449" t="s">
        <v>4429</v>
      </c>
      <c r="E101" s="2449" t="s">
        <v>4711</v>
      </c>
      <c r="G101" s="2449">
        <v>0</v>
      </c>
      <c r="H101" s="2449">
        <v>1</v>
      </c>
    </row>
    <row r="102" spans="3:8" ht="12.75" customHeight="1">
      <c r="C102" s="2449" t="s">
        <v>4430</v>
      </c>
      <c r="E102" s="2449" t="s">
        <v>4711</v>
      </c>
      <c r="G102" s="2449">
        <v>0</v>
      </c>
      <c r="H102" s="2449">
        <v>1</v>
      </c>
    </row>
    <row r="103" spans="3:8" ht="12.75" customHeight="1">
      <c r="C103" s="2449" t="s">
        <v>4678</v>
      </c>
      <c r="E103" s="2449" t="s">
        <v>4711</v>
      </c>
      <c r="G103" s="2449">
        <v>0</v>
      </c>
      <c r="H103" s="2449">
        <v>1</v>
      </c>
    </row>
    <row r="104" spans="3:8" ht="12.75" customHeight="1">
      <c r="C104" s="2449" t="s">
        <v>4431</v>
      </c>
      <c r="E104" s="2449" t="s">
        <v>4709</v>
      </c>
      <c r="G104" s="2449" t="s">
        <v>4716</v>
      </c>
      <c r="H104" s="2449"/>
    </row>
    <row r="105" spans="3:8" ht="12.75" customHeight="1">
      <c r="C105" s="2449" t="s">
        <v>4435</v>
      </c>
      <c r="E105" s="2449" t="s">
        <v>4711</v>
      </c>
      <c r="G105" s="2449">
        <v>0</v>
      </c>
      <c r="H105" s="2449">
        <v>2000</v>
      </c>
    </row>
    <row r="106" spans="3:8" ht="12.75" customHeight="1">
      <c r="C106" s="2449" t="s">
        <v>4436</v>
      </c>
      <c r="E106" s="2449" t="s">
        <v>4711</v>
      </c>
      <c r="G106" s="2449">
        <v>0</v>
      </c>
      <c r="H106" s="2449">
        <v>2000</v>
      </c>
    </row>
    <row r="107" spans="3:8" ht="12.75" customHeight="1">
      <c r="C107" s="2449" t="s">
        <v>4426</v>
      </c>
      <c r="E107" s="2449" t="s">
        <v>4712</v>
      </c>
      <c r="G107" s="2449">
        <v>-0.2</v>
      </c>
      <c r="H107" s="2449">
        <v>0.3</v>
      </c>
    </row>
    <row r="108" spans="3:8" ht="12.75" customHeight="1">
      <c r="C108" s="2449" t="s">
        <v>4424</v>
      </c>
      <c r="E108" s="2449" t="s">
        <v>4711</v>
      </c>
      <c r="G108" s="2449">
        <v>0</v>
      </c>
      <c r="H108" s="2449">
        <v>100</v>
      </c>
    </row>
    <row r="109" spans="3:8" ht="12.75" customHeight="1">
      <c r="C109" s="2449" t="s">
        <v>4427</v>
      </c>
      <c r="E109" s="2449" t="s">
        <v>4712</v>
      </c>
      <c r="G109" s="2449">
        <v>-0.2</v>
      </c>
      <c r="H109" s="2449">
        <v>0.5</v>
      </c>
    </row>
    <row r="110" spans="3:8" ht="12.75" customHeight="1">
      <c r="C110" s="2449" t="s">
        <v>4425</v>
      </c>
      <c r="E110" s="2449" t="s">
        <v>4711</v>
      </c>
      <c r="G110" s="2449">
        <v>0</v>
      </c>
      <c r="H110" s="2449">
        <v>100</v>
      </c>
    </row>
    <row r="111" spans="3:8" ht="12.75" customHeight="1">
      <c r="C111" s="2449" t="s">
        <v>4445</v>
      </c>
      <c r="E111" s="2449" t="s">
        <v>4709</v>
      </c>
      <c r="G111" s="2449" t="s">
        <v>4720</v>
      </c>
      <c r="H111" s="2449"/>
    </row>
    <row r="112" spans="3:8" ht="12.75" customHeight="1">
      <c r="C112" s="2449" t="s">
        <v>4438</v>
      </c>
      <c r="E112" s="2449" t="s">
        <v>4711</v>
      </c>
      <c r="G112" s="2449">
        <v>0</v>
      </c>
      <c r="H112" s="2449">
        <v>100</v>
      </c>
    </row>
    <row r="113" spans="3:8" ht="12.75" customHeight="1">
      <c r="C113" s="2449" t="s">
        <v>4400</v>
      </c>
      <c r="E113" s="2449" t="s">
        <v>4712</v>
      </c>
      <c r="G113" s="2449">
        <v>0</v>
      </c>
      <c r="H113" s="2449">
        <v>1</v>
      </c>
    </row>
    <row r="114" spans="3:8" ht="12.75" customHeight="1">
      <c r="C114" s="2449" t="s">
        <v>4439</v>
      </c>
      <c r="E114" s="2449" t="s">
        <v>4711</v>
      </c>
      <c r="G114" s="2449">
        <v>0</v>
      </c>
      <c r="H114" s="2449">
        <v>100</v>
      </c>
    </row>
    <row r="115" spans="3:8" ht="12.75" customHeight="1">
      <c r="C115" s="2449" t="s">
        <v>4401</v>
      </c>
      <c r="E115" s="2449" t="s">
        <v>4712</v>
      </c>
      <c r="G115" s="2449">
        <v>0</v>
      </c>
      <c r="H115" s="2449">
        <v>1</v>
      </c>
    </row>
    <row r="116" spans="3:8" ht="12.75" customHeight="1">
      <c r="C116" s="2449" t="s">
        <v>4480</v>
      </c>
      <c r="E116" s="2449" t="s">
        <v>4709</v>
      </c>
      <c r="G116" s="2449" t="s">
        <v>4718</v>
      </c>
      <c r="H116" s="2449"/>
    </row>
    <row r="117" spans="3:8" ht="12.75" customHeight="1">
      <c r="C117" s="2449" t="s">
        <v>4477</v>
      </c>
      <c r="E117" s="2449" t="s">
        <v>4709</v>
      </c>
      <c r="G117" s="2449" t="s">
        <v>4718</v>
      </c>
      <c r="H117" s="2449"/>
    </row>
    <row r="118" spans="3:8" ht="12.75" customHeight="1">
      <c r="C118" s="2449" t="s">
        <v>4470</v>
      </c>
      <c r="E118" s="2449" t="s">
        <v>4709</v>
      </c>
      <c r="G118" s="2449" t="s">
        <v>4719</v>
      </c>
      <c r="H118" s="2449"/>
    </row>
    <row r="119" spans="3:8" ht="12.75" customHeight="1">
      <c r="C119" s="2449" t="s">
        <v>4479</v>
      </c>
      <c r="E119" s="2449" t="s">
        <v>4709</v>
      </c>
      <c r="G119" s="2449" t="s">
        <v>4718</v>
      </c>
      <c r="H119" s="2449"/>
    </row>
    <row r="120" spans="3:8" ht="12.75" customHeight="1">
      <c r="C120" s="2449" t="s">
        <v>4472</v>
      </c>
      <c r="E120" s="2449" t="s">
        <v>4709</v>
      </c>
      <c r="G120" s="2449" t="s">
        <v>4719</v>
      </c>
      <c r="H120" s="2449"/>
    </row>
    <row r="121" spans="3:8" ht="12.75" customHeight="1">
      <c r="C121" s="2449" t="s">
        <v>4478</v>
      </c>
      <c r="E121" s="2449" t="s">
        <v>4709</v>
      </c>
      <c r="G121" s="2449" t="s">
        <v>4718</v>
      </c>
      <c r="H121" s="2449"/>
    </row>
    <row r="122" spans="3:8" ht="12.75" customHeight="1">
      <c r="C122" s="2449" t="s">
        <v>4471</v>
      </c>
      <c r="E122" s="2449" t="s">
        <v>4709</v>
      </c>
      <c r="G122" s="2449" t="s">
        <v>4719</v>
      </c>
      <c r="H122" s="2449"/>
    </row>
    <row r="123" spans="3:8" ht="12.75" customHeight="1">
      <c r="C123" s="2449" t="s">
        <v>4679</v>
      </c>
      <c r="E123" s="2449" t="s">
        <v>4709</v>
      </c>
      <c r="G123" s="2449" t="s">
        <v>4718</v>
      </c>
      <c r="H123" s="2449"/>
    </row>
    <row r="124" spans="3:8" ht="12.75" customHeight="1">
      <c r="C124" s="2449" t="s">
        <v>4511</v>
      </c>
      <c r="E124" s="2449" t="s">
        <v>4708</v>
      </c>
      <c r="G124" s="2449">
        <v>30</v>
      </c>
      <c r="H124" s="2449"/>
    </row>
    <row r="125" spans="3:8" ht="12.75" customHeight="1">
      <c r="C125" s="2449" t="s">
        <v>4476</v>
      </c>
      <c r="E125" s="2449" t="s">
        <v>4709</v>
      </c>
      <c r="G125" s="2449" t="s">
        <v>4718</v>
      </c>
      <c r="H125" s="2449"/>
    </row>
    <row r="126" spans="3:8" ht="12.75" customHeight="1">
      <c r="C126" s="2449" t="s">
        <v>4473</v>
      </c>
      <c r="E126" s="2449" t="s">
        <v>4709</v>
      </c>
      <c r="G126" s="2449" t="s">
        <v>4718</v>
      </c>
      <c r="H126" s="2449"/>
    </row>
    <row r="127" spans="3:8" ht="12.75" customHeight="1">
      <c r="C127" s="2449" t="s">
        <v>4467</v>
      </c>
      <c r="E127" s="2449" t="s">
        <v>4709</v>
      </c>
      <c r="G127" s="2449" t="s">
        <v>4719</v>
      </c>
      <c r="H127" s="2449"/>
    </row>
    <row r="128" spans="3:8" ht="12.75" customHeight="1">
      <c r="C128" s="2449" t="s">
        <v>4475</v>
      </c>
      <c r="E128" s="2449" t="s">
        <v>4709</v>
      </c>
      <c r="G128" s="2449" t="s">
        <v>4718</v>
      </c>
      <c r="H128" s="2449"/>
    </row>
    <row r="129" spans="3:8" ht="12.75" customHeight="1">
      <c r="C129" s="2449" t="s">
        <v>4469</v>
      </c>
      <c r="E129" s="2449" t="s">
        <v>4709</v>
      </c>
      <c r="G129" s="2449" t="s">
        <v>4719</v>
      </c>
      <c r="H129" s="2449"/>
    </row>
    <row r="130" spans="3:8" ht="12.75" customHeight="1">
      <c r="C130" s="2449" t="s">
        <v>4474</v>
      </c>
      <c r="E130" s="2449" t="s">
        <v>4709</v>
      </c>
      <c r="G130" s="2449" t="s">
        <v>4718</v>
      </c>
      <c r="H130" s="2449"/>
    </row>
    <row r="131" spans="3:8" ht="12.75" customHeight="1">
      <c r="C131" s="2449" t="s">
        <v>4468</v>
      </c>
      <c r="E131" s="2449" t="s">
        <v>4709</v>
      </c>
      <c r="G131" s="2449" t="s">
        <v>4719</v>
      </c>
      <c r="H131" s="2449"/>
    </row>
    <row r="132" spans="3:8" ht="12.75" customHeight="1">
      <c r="C132" s="2449" t="s">
        <v>4680</v>
      </c>
      <c r="E132" s="2449" t="s">
        <v>4709</v>
      </c>
      <c r="G132" s="2449" t="s">
        <v>4718</v>
      </c>
      <c r="H132" s="2449"/>
    </row>
    <row r="133" spans="3:8" ht="12.75" customHeight="1">
      <c r="C133" s="2449" t="s">
        <v>4515</v>
      </c>
      <c r="E133" s="2449" t="s">
        <v>4708</v>
      </c>
      <c r="G133" s="2449">
        <v>30</v>
      </c>
      <c r="H133" s="2449"/>
    </row>
    <row r="134" spans="3:8" ht="12.75" customHeight="1">
      <c r="C134" s="2449" t="s">
        <v>4516</v>
      </c>
      <c r="E134" s="2449" t="s">
        <v>4708</v>
      </c>
      <c r="G134" s="2449">
        <v>30</v>
      </c>
      <c r="H134" s="2449"/>
    </row>
    <row r="135" spans="3:8" ht="12.75" customHeight="1">
      <c r="C135" s="2449" t="s">
        <v>4517</v>
      </c>
      <c r="E135" s="2449" t="s">
        <v>4708</v>
      </c>
      <c r="G135" s="2449">
        <v>30</v>
      </c>
      <c r="H135" s="2449"/>
    </row>
    <row r="136" spans="3:8" ht="12.75" customHeight="1">
      <c r="C136" s="2449" t="s">
        <v>4500</v>
      </c>
      <c r="E136" s="2449" t="s">
        <v>4708</v>
      </c>
      <c r="G136" s="2449">
        <v>500</v>
      </c>
      <c r="H136" s="2449"/>
    </row>
    <row r="137" spans="3:8" ht="12.75" customHeight="1">
      <c r="C137" s="2449" t="s">
        <v>4501</v>
      </c>
      <c r="E137" s="2449" t="s">
        <v>4708</v>
      </c>
      <c r="G137" s="2449">
        <v>500</v>
      </c>
      <c r="H137" s="2449"/>
    </row>
    <row r="138" spans="3:8" ht="12.75" customHeight="1">
      <c r="C138" s="2449" t="s">
        <v>4502</v>
      </c>
      <c r="E138" s="2449" t="s">
        <v>4708</v>
      </c>
      <c r="G138" s="2449">
        <v>500</v>
      </c>
      <c r="H138" s="2449"/>
    </row>
    <row r="139" spans="3:8" ht="12.75" customHeight="1">
      <c r="C139" s="2449" t="s">
        <v>4503</v>
      </c>
      <c r="E139" s="2449" t="s">
        <v>4708</v>
      </c>
      <c r="G139" s="2449">
        <v>500</v>
      </c>
      <c r="H139" s="2449"/>
    </row>
    <row r="140" spans="3:8" ht="12.75" customHeight="1">
      <c r="C140" s="2449" t="s">
        <v>4504</v>
      </c>
      <c r="E140" s="2449" t="s">
        <v>4708</v>
      </c>
      <c r="G140" s="2449">
        <v>500</v>
      </c>
      <c r="H140" s="2449"/>
    </row>
    <row r="141" spans="3:8" ht="12.75" customHeight="1">
      <c r="C141" s="2449" t="s">
        <v>4490</v>
      </c>
      <c r="E141" s="2449" t="s">
        <v>4708</v>
      </c>
      <c r="G141" s="2449">
        <v>500</v>
      </c>
      <c r="H141" s="2449"/>
    </row>
    <row r="142" spans="3:8" ht="12.75" customHeight="1">
      <c r="C142" s="2449" t="s">
        <v>4491</v>
      </c>
      <c r="E142" s="2449" t="s">
        <v>4708</v>
      </c>
      <c r="G142" s="2449">
        <v>500</v>
      </c>
      <c r="H142" s="2449"/>
    </row>
    <row r="143" spans="3:8" ht="12.75" customHeight="1">
      <c r="C143" s="2449" t="s">
        <v>4492</v>
      </c>
      <c r="E143" s="2449" t="s">
        <v>4708</v>
      </c>
      <c r="G143" s="2449">
        <v>500</v>
      </c>
      <c r="H143" s="2449"/>
    </row>
    <row r="144" spans="3:8" ht="12.75" customHeight="1">
      <c r="C144" s="2449" t="s">
        <v>4493</v>
      </c>
      <c r="E144" s="2449" t="s">
        <v>4708</v>
      </c>
      <c r="G144" s="2449">
        <v>500</v>
      </c>
      <c r="H144" s="2449"/>
    </row>
    <row r="145" spans="3:8" ht="12.75" customHeight="1">
      <c r="C145" s="2449" t="s">
        <v>4494</v>
      </c>
      <c r="E145" s="2449" t="s">
        <v>4708</v>
      </c>
      <c r="G145" s="2449">
        <v>500</v>
      </c>
      <c r="H145" s="2449"/>
    </row>
    <row r="146" spans="3:8" ht="12.75" customHeight="1">
      <c r="C146" s="2449" t="s">
        <v>4505</v>
      </c>
      <c r="E146" s="2449" t="s">
        <v>4708</v>
      </c>
      <c r="G146" s="2449">
        <v>500</v>
      </c>
      <c r="H146" s="2449"/>
    </row>
    <row r="147" spans="3:8" ht="12.75" customHeight="1">
      <c r="C147" s="2449" t="s">
        <v>4506</v>
      </c>
      <c r="E147" s="2449" t="s">
        <v>4708</v>
      </c>
      <c r="G147" s="2449">
        <v>500</v>
      </c>
      <c r="H147" s="2449"/>
    </row>
    <row r="148" spans="3:8" ht="12.75" customHeight="1">
      <c r="C148" s="2449" t="s">
        <v>4507</v>
      </c>
      <c r="E148" s="2449" t="s">
        <v>4708</v>
      </c>
      <c r="G148" s="2449">
        <v>500</v>
      </c>
      <c r="H148" s="2449"/>
    </row>
    <row r="149" spans="3:8" ht="12.75" customHeight="1">
      <c r="C149" s="2449" t="s">
        <v>4508</v>
      </c>
      <c r="E149" s="2449" t="s">
        <v>4708</v>
      </c>
      <c r="G149" s="2449">
        <v>500</v>
      </c>
      <c r="H149" s="2449"/>
    </row>
    <row r="150" spans="3:8" ht="12.75" customHeight="1">
      <c r="C150" s="2449" t="s">
        <v>4509</v>
      </c>
      <c r="E150" s="2449" t="s">
        <v>4708</v>
      </c>
      <c r="G150" s="2449">
        <v>500</v>
      </c>
      <c r="H150" s="2449"/>
    </row>
    <row r="151" spans="3:8" ht="12.75" customHeight="1">
      <c r="C151" s="2449" t="s">
        <v>4495</v>
      </c>
      <c r="E151" s="2449" t="s">
        <v>4708</v>
      </c>
      <c r="G151" s="2449">
        <v>500</v>
      </c>
      <c r="H151" s="2449"/>
    </row>
    <row r="152" spans="3:8" ht="12.75" customHeight="1">
      <c r="C152" s="2449" t="s">
        <v>4496</v>
      </c>
      <c r="E152" s="2449" t="s">
        <v>4708</v>
      </c>
      <c r="G152" s="2449">
        <v>500</v>
      </c>
      <c r="H152" s="2449"/>
    </row>
    <row r="153" spans="3:8" ht="12.75" customHeight="1">
      <c r="C153" s="2449" t="s">
        <v>4497</v>
      </c>
      <c r="E153" s="2449" t="s">
        <v>4708</v>
      </c>
      <c r="G153" s="2449">
        <v>500</v>
      </c>
      <c r="H153" s="2449"/>
    </row>
    <row r="154" spans="3:8" ht="12.75" customHeight="1">
      <c r="C154" s="2449" t="s">
        <v>4498</v>
      </c>
      <c r="E154" s="2449" t="s">
        <v>4708</v>
      </c>
      <c r="G154" s="2449">
        <v>500</v>
      </c>
      <c r="H154" s="2449"/>
    </row>
    <row r="155" spans="3:8" ht="12.75" customHeight="1">
      <c r="C155" s="2449" t="s">
        <v>4499</v>
      </c>
      <c r="E155" s="2449" t="s">
        <v>4708</v>
      </c>
      <c r="G155" s="2449">
        <v>500</v>
      </c>
      <c r="H155" s="2449"/>
    </row>
    <row r="156" spans="3:8" ht="12.75" customHeight="1">
      <c r="C156" s="2449" t="s">
        <v>4481</v>
      </c>
      <c r="E156" s="2449" t="s">
        <v>4709</v>
      </c>
      <c r="G156" s="2449" t="s">
        <v>4710</v>
      </c>
      <c r="H156" s="2449"/>
    </row>
    <row r="157" spans="3:8" ht="12.75" customHeight="1">
      <c r="C157" s="2449" t="s">
        <v>4482</v>
      </c>
      <c r="E157" s="2449" t="s">
        <v>4709</v>
      </c>
      <c r="G157" s="2449" t="s">
        <v>4710</v>
      </c>
      <c r="H157" s="2449"/>
    </row>
    <row r="158" spans="3:8" ht="12.75" customHeight="1">
      <c r="C158" s="2449" t="s">
        <v>4483</v>
      </c>
      <c r="E158" s="2449" t="s">
        <v>4709</v>
      </c>
      <c r="G158" s="2449" t="s">
        <v>4710</v>
      </c>
      <c r="H158" s="2449"/>
    </row>
    <row r="159" spans="3:8" ht="12.75" customHeight="1">
      <c r="C159" s="2449" t="s">
        <v>4510</v>
      </c>
      <c r="E159" s="2449" t="s">
        <v>4708</v>
      </c>
      <c r="G159" s="2449">
        <v>500</v>
      </c>
      <c r="H159" s="2449"/>
    </row>
  </sheetData>
  <conditionalFormatting sqref="H24">
    <cfRule type="expression" dxfId="545" priority="1049" stopIfTrue="1">
      <formula>$E24=""</formula>
    </cfRule>
    <cfRule type="expression" dxfId="544" priority="1050" stopIfTrue="1">
      <formula>$E24="Text Length"</formula>
    </cfRule>
    <cfRule type="expression" dxfId="543" priority="1051" stopIfTrue="1">
      <formula>$E24="List"</formula>
    </cfRule>
  </conditionalFormatting>
  <conditionalFormatting sqref="G24">
    <cfRule type="expression" dxfId="542" priority="1048" stopIfTrue="1">
      <formula>$E24=""</formula>
    </cfRule>
  </conditionalFormatting>
  <conditionalFormatting sqref="H25">
    <cfRule type="expression" dxfId="541" priority="1045" stopIfTrue="1">
      <formula>$E25=""</formula>
    </cfRule>
    <cfRule type="expression" dxfId="540" priority="1046" stopIfTrue="1">
      <formula>$E25="Text Length"</formula>
    </cfRule>
    <cfRule type="expression" dxfId="539" priority="1047" stopIfTrue="1">
      <formula>$E25="List"</formula>
    </cfRule>
  </conditionalFormatting>
  <conditionalFormatting sqref="G25">
    <cfRule type="expression" dxfId="538" priority="1044" stopIfTrue="1">
      <formula>$E25=""</formula>
    </cfRule>
  </conditionalFormatting>
  <conditionalFormatting sqref="H26">
    <cfRule type="expression" dxfId="537" priority="1041" stopIfTrue="1">
      <formula>$E26=""</formula>
    </cfRule>
    <cfRule type="expression" dxfId="536" priority="1042" stopIfTrue="1">
      <formula>$E26="Text Length"</formula>
    </cfRule>
    <cfRule type="expression" dxfId="535" priority="1043" stopIfTrue="1">
      <formula>$E26="List"</formula>
    </cfRule>
  </conditionalFormatting>
  <conditionalFormatting sqref="H27">
    <cfRule type="expression" dxfId="534" priority="1037" stopIfTrue="1">
      <formula>$E27=""</formula>
    </cfRule>
    <cfRule type="expression" dxfId="533" priority="1038" stopIfTrue="1">
      <formula>$E27="Text Length"</formula>
    </cfRule>
    <cfRule type="expression" dxfId="532" priority="1039" stopIfTrue="1">
      <formula>$E27="List"</formula>
    </cfRule>
  </conditionalFormatting>
  <conditionalFormatting sqref="H28">
    <cfRule type="expression" dxfId="531" priority="1033" stopIfTrue="1">
      <formula>$E28=""</formula>
    </cfRule>
    <cfRule type="expression" dxfId="530" priority="1034" stopIfTrue="1">
      <formula>$E28="Text Length"</formula>
    </cfRule>
    <cfRule type="expression" dxfId="529" priority="1035" stopIfTrue="1">
      <formula>$E28="List"</formula>
    </cfRule>
  </conditionalFormatting>
  <conditionalFormatting sqref="G28">
    <cfRule type="expression" dxfId="528" priority="1032" stopIfTrue="1">
      <formula>$E28=""</formula>
    </cfRule>
  </conditionalFormatting>
  <conditionalFormatting sqref="H29">
    <cfRule type="expression" dxfId="527" priority="1029" stopIfTrue="1">
      <formula>$E29=""</formula>
    </cfRule>
    <cfRule type="expression" dxfId="526" priority="1030" stopIfTrue="1">
      <formula>$E29="Text Length"</formula>
    </cfRule>
    <cfRule type="expression" dxfId="525" priority="1031" stopIfTrue="1">
      <formula>$E29="List"</formula>
    </cfRule>
  </conditionalFormatting>
  <conditionalFormatting sqref="H30">
    <cfRule type="expression" dxfId="524" priority="1017" stopIfTrue="1">
      <formula>$E30=""</formula>
    </cfRule>
    <cfRule type="expression" dxfId="523" priority="1018" stopIfTrue="1">
      <formula>$E30="Text Length"</formula>
    </cfRule>
    <cfRule type="expression" dxfId="522" priority="1019" stopIfTrue="1">
      <formula>$E30="List"</formula>
    </cfRule>
  </conditionalFormatting>
  <conditionalFormatting sqref="G30">
    <cfRule type="expression" dxfId="521" priority="1016" stopIfTrue="1">
      <formula>$E30=""</formula>
    </cfRule>
  </conditionalFormatting>
  <conditionalFormatting sqref="H31">
    <cfRule type="expression" dxfId="520" priority="1013" stopIfTrue="1">
      <formula>$E31=""</formula>
    </cfRule>
    <cfRule type="expression" dxfId="519" priority="1014" stopIfTrue="1">
      <formula>$E31="Text Length"</formula>
    </cfRule>
    <cfRule type="expression" dxfId="518" priority="1015" stopIfTrue="1">
      <formula>$E31="List"</formula>
    </cfRule>
  </conditionalFormatting>
  <conditionalFormatting sqref="H32">
    <cfRule type="expression" dxfId="517" priority="1011" stopIfTrue="1">
      <formula>$E32="List"</formula>
    </cfRule>
  </conditionalFormatting>
  <conditionalFormatting sqref="H32">
    <cfRule type="expression" dxfId="516" priority="1010" stopIfTrue="1">
      <formula>$E32="Text Length"</formula>
    </cfRule>
  </conditionalFormatting>
  <conditionalFormatting sqref="H32">
    <cfRule type="expression" dxfId="515" priority="1009" stopIfTrue="1">
      <formula>$E32=""</formula>
    </cfRule>
  </conditionalFormatting>
  <conditionalFormatting sqref="H33">
    <cfRule type="expression" dxfId="514" priority="1007" stopIfTrue="1">
      <formula>$E33="List"</formula>
    </cfRule>
  </conditionalFormatting>
  <conditionalFormatting sqref="H33">
    <cfRule type="expression" dxfId="513" priority="1006" stopIfTrue="1">
      <formula>$E33="Text Length"</formula>
    </cfRule>
  </conditionalFormatting>
  <conditionalFormatting sqref="H33">
    <cfRule type="expression" dxfId="512" priority="1005" stopIfTrue="1">
      <formula>$E33=""</formula>
    </cfRule>
  </conditionalFormatting>
  <conditionalFormatting sqref="H34">
    <cfRule type="expression" dxfId="511" priority="1003" stopIfTrue="1">
      <formula>$E34="List"</formula>
    </cfRule>
  </conditionalFormatting>
  <conditionalFormatting sqref="H34">
    <cfRule type="expression" dxfId="510" priority="1002" stopIfTrue="1">
      <formula>$E34="Text Length"</formula>
    </cfRule>
  </conditionalFormatting>
  <conditionalFormatting sqref="H34">
    <cfRule type="expression" dxfId="509" priority="1001" stopIfTrue="1">
      <formula>$E34=""</formula>
    </cfRule>
  </conditionalFormatting>
  <conditionalFormatting sqref="H37">
    <cfRule type="expression" dxfId="508" priority="991" stopIfTrue="1">
      <formula>$E37="List"</formula>
    </cfRule>
  </conditionalFormatting>
  <conditionalFormatting sqref="H37">
    <cfRule type="expression" dxfId="507" priority="990" stopIfTrue="1">
      <formula>$E37="Text Length"</formula>
    </cfRule>
  </conditionalFormatting>
  <conditionalFormatting sqref="H37">
    <cfRule type="expression" dxfId="506" priority="989" stopIfTrue="1">
      <formula>$E37=""</formula>
    </cfRule>
  </conditionalFormatting>
  <conditionalFormatting sqref="G37">
    <cfRule type="expression" dxfId="505" priority="988" stopIfTrue="1">
      <formula>$E37=""</formula>
    </cfRule>
  </conditionalFormatting>
  <conditionalFormatting sqref="H38">
    <cfRule type="expression" dxfId="504" priority="987" stopIfTrue="1">
      <formula>$E38="List"</formula>
    </cfRule>
  </conditionalFormatting>
  <conditionalFormatting sqref="H38">
    <cfRule type="expression" dxfId="503" priority="986" stopIfTrue="1">
      <formula>$E38="Text Length"</formula>
    </cfRule>
  </conditionalFormatting>
  <conditionalFormatting sqref="H38">
    <cfRule type="expression" dxfId="502" priority="985" stopIfTrue="1">
      <formula>$E38=""</formula>
    </cfRule>
  </conditionalFormatting>
  <conditionalFormatting sqref="H39">
    <cfRule type="expression" dxfId="501" priority="983" stopIfTrue="1">
      <formula>$E39="List"</formula>
    </cfRule>
  </conditionalFormatting>
  <conditionalFormatting sqref="H39">
    <cfRule type="expression" dxfId="500" priority="982" stopIfTrue="1">
      <formula>$E39="Text Length"</formula>
    </cfRule>
  </conditionalFormatting>
  <conditionalFormatting sqref="H39">
    <cfRule type="expression" dxfId="499" priority="981" stopIfTrue="1">
      <formula>$E39=""</formula>
    </cfRule>
  </conditionalFormatting>
  <conditionalFormatting sqref="H40">
    <cfRule type="expression" dxfId="498" priority="979" stopIfTrue="1">
      <formula>$E40="List"</formula>
    </cfRule>
  </conditionalFormatting>
  <conditionalFormatting sqref="H40">
    <cfRule type="expression" dxfId="497" priority="978" stopIfTrue="1">
      <formula>$E40="Text Length"</formula>
    </cfRule>
  </conditionalFormatting>
  <conditionalFormatting sqref="H40">
    <cfRule type="expression" dxfId="496" priority="977" stopIfTrue="1">
      <formula>$E40=""</formula>
    </cfRule>
  </conditionalFormatting>
  <conditionalFormatting sqref="G40">
    <cfRule type="expression" dxfId="495" priority="976" stopIfTrue="1">
      <formula>$E40=""</formula>
    </cfRule>
  </conditionalFormatting>
  <conditionalFormatting sqref="H52">
    <cfRule type="expression" dxfId="494" priority="931" stopIfTrue="1">
      <formula>$E52="List"</formula>
    </cfRule>
  </conditionalFormatting>
  <conditionalFormatting sqref="H52">
    <cfRule type="expression" dxfId="493" priority="930" stopIfTrue="1">
      <formula>$E52="Text Length"</formula>
    </cfRule>
  </conditionalFormatting>
  <conditionalFormatting sqref="H52">
    <cfRule type="expression" dxfId="492" priority="929" stopIfTrue="1">
      <formula>$E52=""</formula>
    </cfRule>
  </conditionalFormatting>
  <conditionalFormatting sqref="G52:G55">
    <cfRule type="expression" dxfId="491" priority="928" stopIfTrue="1">
      <formula>$E52=""</formula>
    </cfRule>
  </conditionalFormatting>
  <conditionalFormatting sqref="H53">
    <cfRule type="expression" dxfId="490" priority="927" stopIfTrue="1">
      <formula>$E53="List"</formula>
    </cfRule>
  </conditionalFormatting>
  <conditionalFormatting sqref="H53">
    <cfRule type="expression" dxfId="489" priority="926" stopIfTrue="1">
      <formula>$E53="Text Length"</formula>
    </cfRule>
  </conditionalFormatting>
  <conditionalFormatting sqref="H53">
    <cfRule type="expression" dxfId="488" priority="925" stopIfTrue="1">
      <formula>$E53=""</formula>
    </cfRule>
  </conditionalFormatting>
  <conditionalFormatting sqref="H54">
    <cfRule type="expression" dxfId="487" priority="923" stopIfTrue="1">
      <formula>$E54="List"</formula>
    </cfRule>
  </conditionalFormatting>
  <conditionalFormatting sqref="H54">
    <cfRule type="expression" dxfId="486" priority="922" stopIfTrue="1">
      <formula>$E54="Text Length"</formula>
    </cfRule>
  </conditionalFormatting>
  <conditionalFormatting sqref="H54">
    <cfRule type="expression" dxfId="485" priority="921" stopIfTrue="1">
      <formula>$E54=""</formula>
    </cfRule>
  </conditionalFormatting>
  <conditionalFormatting sqref="H55">
    <cfRule type="expression" dxfId="484" priority="919" stopIfTrue="1">
      <formula>$E55="List"</formula>
    </cfRule>
  </conditionalFormatting>
  <conditionalFormatting sqref="H55">
    <cfRule type="expression" dxfId="483" priority="918" stopIfTrue="1">
      <formula>$E55="Text Length"</formula>
    </cfRule>
  </conditionalFormatting>
  <conditionalFormatting sqref="H55">
    <cfRule type="expression" dxfId="482" priority="917" stopIfTrue="1">
      <formula>$E55=""</formula>
    </cfRule>
  </conditionalFormatting>
  <conditionalFormatting sqref="H56">
    <cfRule type="expression" dxfId="481" priority="915" stopIfTrue="1">
      <formula>$E56="List"</formula>
    </cfRule>
  </conditionalFormatting>
  <conditionalFormatting sqref="H56">
    <cfRule type="expression" dxfId="480" priority="914" stopIfTrue="1">
      <formula>$E56="Text Length"</formula>
    </cfRule>
  </conditionalFormatting>
  <conditionalFormatting sqref="H56">
    <cfRule type="expression" dxfId="479" priority="913" stopIfTrue="1">
      <formula>$E56=""</formula>
    </cfRule>
  </conditionalFormatting>
  <conditionalFormatting sqref="G56">
    <cfRule type="expression" dxfId="478" priority="912" stopIfTrue="1">
      <formula>$E56=""</formula>
    </cfRule>
  </conditionalFormatting>
  <conditionalFormatting sqref="H57">
    <cfRule type="expression" dxfId="477" priority="911" stopIfTrue="1">
      <formula>$E57="List"</formula>
    </cfRule>
  </conditionalFormatting>
  <conditionalFormatting sqref="H57">
    <cfRule type="expression" dxfId="476" priority="910" stopIfTrue="1">
      <formula>$E57="Text Length"</formula>
    </cfRule>
  </conditionalFormatting>
  <conditionalFormatting sqref="H57">
    <cfRule type="expression" dxfId="475" priority="909" stopIfTrue="1">
      <formula>$E57=""</formula>
    </cfRule>
  </conditionalFormatting>
  <conditionalFormatting sqref="G57">
    <cfRule type="expression" dxfId="474" priority="908" stopIfTrue="1">
      <formula>$E57=""</formula>
    </cfRule>
  </conditionalFormatting>
  <conditionalFormatting sqref="H58">
    <cfRule type="expression" dxfId="473" priority="907" stopIfTrue="1">
      <formula>$E58="List"</formula>
    </cfRule>
  </conditionalFormatting>
  <conditionalFormatting sqref="H58">
    <cfRule type="expression" dxfId="472" priority="906" stopIfTrue="1">
      <formula>$E58="Text Length"</formula>
    </cfRule>
  </conditionalFormatting>
  <conditionalFormatting sqref="H58">
    <cfRule type="expression" dxfId="471" priority="905" stopIfTrue="1">
      <formula>$E58=""</formula>
    </cfRule>
  </conditionalFormatting>
  <conditionalFormatting sqref="G58">
    <cfRule type="expression" dxfId="470" priority="904" stopIfTrue="1">
      <formula>$E58=""</formula>
    </cfRule>
  </conditionalFormatting>
  <conditionalFormatting sqref="H59">
    <cfRule type="expression" dxfId="469" priority="903" stopIfTrue="1">
      <formula>$E59="List"</formula>
    </cfRule>
  </conditionalFormatting>
  <conditionalFormatting sqref="H59">
    <cfRule type="expression" dxfId="468" priority="902" stopIfTrue="1">
      <formula>$E59="Text Length"</formula>
    </cfRule>
  </conditionalFormatting>
  <conditionalFormatting sqref="H59">
    <cfRule type="expression" dxfId="467" priority="901" stopIfTrue="1">
      <formula>$E59=""</formula>
    </cfRule>
  </conditionalFormatting>
  <conditionalFormatting sqref="G59">
    <cfRule type="expression" dxfId="466" priority="900" stopIfTrue="1">
      <formula>$E59=""</formula>
    </cfRule>
  </conditionalFormatting>
  <conditionalFormatting sqref="H60">
    <cfRule type="expression" dxfId="465" priority="899" stopIfTrue="1">
      <formula>$E60="List"</formula>
    </cfRule>
  </conditionalFormatting>
  <conditionalFormatting sqref="H60">
    <cfRule type="expression" dxfId="464" priority="898" stopIfTrue="1">
      <formula>$E60="Text Length"</formula>
    </cfRule>
  </conditionalFormatting>
  <conditionalFormatting sqref="H60">
    <cfRule type="expression" dxfId="463" priority="897" stopIfTrue="1">
      <formula>$E60=""</formula>
    </cfRule>
  </conditionalFormatting>
  <conditionalFormatting sqref="G60">
    <cfRule type="expression" dxfId="462" priority="896" stopIfTrue="1">
      <formula>$E60=""</formula>
    </cfRule>
  </conditionalFormatting>
  <conditionalFormatting sqref="H61">
    <cfRule type="expression" dxfId="461" priority="895" stopIfTrue="1">
      <formula>$E61="List"</formula>
    </cfRule>
  </conditionalFormatting>
  <conditionalFormatting sqref="H61">
    <cfRule type="expression" dxfId="460" priority="894" stopIfTrue="1">
      <formula>$E61="Text Length"</formula>
    </cfRule>
  </conditionalFormatting>
  <conditionalFormatting sqref="H61">
    <cfRule type="expression" dxfId="459" priority="893" stopIfTrue="1">
      <formula>$E61=""</formula>
    </cfRule>
  </conditionalFormatting>
  <conditionalFormatting sqref="G61">
    <cfRule type="expression" dxfId="458" priority="892" stopIfTrue="1">
      <formula>$E61=""</formula>
    </cfRule>
  </conditionalFormatting>
  <conditionalFormatting sqref="H62">
    <cfRule type="expression" dxfId="457" priority="891" stopIfTrue="1">
      <formula>$E62="List"</formula>
    </cfRule>
  </conditionalFormatting>
  <conditionalFormatting sqref="H62">
    <cfRule type="expression" dxfId="456" priority="890" stopIfTrue="1">
      <formula>$E62="Text Length"</formula>
    </cfRule>
  </conditionalFormatting>
  <conditionalFormatting sqref="H62">
    <cfRule type="expression" dxfId="455" priority="889" stopIfTrue="1">
      <formula>$E62=""</formula>
    </cfRule>
  </conditionalFormatting>
  <conditionalFormatting sqref="G62">
    <cfRule type="expression" dxfId="454" priority="888" stopIfTrue="1">
      <formula>$E62=""</formula>
    </cfRule>
  </conditionalFormatting>
  <conditionalFormatting sqref="H63">
    <cfRule type="expression" dxfId="453" priority="887" stopIfTrue="1">
      <formula>$E63="List"</formula>
    </cfRule>
  </conditionalFormatting>
  <conditionalFormatting sqref="H63">
    <cfRule type="expression" dxfId="452" priority="886" stopIfTrue="1">
      <formula>$E63="Text Length"</formula>
    </cfRule>
  </conditionalFormatting>
  <conditionalFormatting sqref="H63">
    <cfRule type="expression" dxfId="451" priority="885" stopIfTrue="1">
      <formula>$E63=""</formula>
    </cfRule>
  </conditionalFormatting>
  <conditionalFormatting sqref="G63">
    <cfRule type="expression" dxfId="450" priority="884" stopIfTrue="1">
      <formula>$E63=""</formula>
    </cfRule>
  </conditionalFormatting>
  <conditionalFormatting sqref="H65">
    <cfRule type="expression" dxfId="449" priority="879" stopIfTrue="1">
      <formula>$E65="List"</formula>
    </cfRule>
  </conditionalFormatting>
  <conditionalFormatting sqref="H65">
    <cfRule type="expression" dxfId="448" priority="878" stopIfTrue="1">
      <formula>$E65="Text Length"</formula>
    </cfRule>
  </conditionalFormatting>
  <conditionalFormatting sqref="H65">
    <cfRule type="expression" dxfId="447" priority="877" stopIfTrue="1">
      <formula>$E65=""</formula>
    </cfRule>
  </conditionalFormatting>
  <conditionalFormatting sqref="G65">
    <cfRule type="expression" dxfId="446" priority="876" stopIfTrue="1">
      <formula>$E65=""</formula>
    </cfRule>
  </conditionalFormatting>
  <conditionalFormatting sqref="H67">
    <cfRule type="expression" dxfId="445" priority="871" stopIfTrue="1">
      <formula>$E67="List"</formula>
    </cfRule>
  </conditionalFormatting>
  <conditionalFormatting sqref="H67">
    <cfRule type="expression" dxfId="444" priority="870" stopIfTrue="1">
      <formula>$E67="Text Length"</formula>
    </cfRule>
  </conditionalFormatting>
  <conditionalFormatting sqref="H67">
    <cfRule type="expression" dxfId="443" priority="869" stopIfTrue="1">
      <formula>$E67=""</formula>
    </cfRule>
  </conditionalFormatting>
  <conditionalFormatting sqref="G67">
    <cfRule type="expression" dxfId="442" priority="868" stopIfTrue="1">
      <formula>$E67=""</formula>
    </cfRule>
  </conditionalFormatting>
  <conditionalFormatting sqref="H68">
    <cfRule type="expression" dxfId="441" priority="867" stopIfTrue="1">
      <formula>$E68="List"</formula>
    </cfRule>
  </conditionalFormatting>
  <conditionalFormatting sqref="H68">
    <cfRule type="expression" dxfId="440" priority="866" stopIfTrue="1">
      <formula>$E68="Text Length"</formula>
    </cfRule>
  </conditionalFormatting>
  <conditionalFormatting sqref="H68">
    <cfRule type="expression" dxfId="439" priority="865" stopIfTrue="1">
      <formula>$E68=""</formula>
    </cfRule>
  </conditionalFormatting>
  <conditionalFormatting sqref="G68">
    <cfRule type="expression" dxfId="438" priority="864" stopIfTrue="1">
      <formula>$E68=""</formula>
    </cfRule>
  </conditionalFormatting>
  <conditionalFormatting sqref="H69">
    <cfRule type="expression" dxfId="437" priority="863" stopIfTrue="1">
      <formula>$E69="List"</formula>
    </cfRule>
  </conditionalFormatting>
  <conditionalFormatting sqref="H69">
    <cfRule type="expression" dxfId="436" priority="862" stopIfTrue="1">
      <formula>$E69="Text Length"</formula>
    </cfRule>
  </conditionalFormatting>
  <conditionalFormatting sqref="H69">
    <cfRule type="expression" dxfId="435" priority="861" stopIfTrue="1">
      <formula>$E69=""</formula>
    </cfRule>
  </conditionalFormatting>
  <conditionalFormatting sqref="G69">
    <cfRule type="expression" dxfId="434" priority="860" stopIfTrue="1">
      <formula>$E69=""</formula>
    </cfRule>
  </conditionalFormatting>
  <conditionalFormatting sqref="H70">
    <cfRule type="expression" dxfId="433" priority="859" stopIfTrue="1">
      <formula>$E70="List"</formula>
    </cfRule>
  </conditionalFormatting>
  <conditionalFormatting sqref="H70">
    <cfRule type="expression" dxfId="432" priority="858" stopIfTrue="1">
      <formula>$E70="Text Length"</formula>
    </cfRule>
  </conditionalFormatting>
  <conditionalFormatting sqref="H70">
    <cfRule type="expression" dxfId="431" priority="857" stopIfTrue="1">
      <formula>$E70=""</formula>
    </cfRule>
  </conditionalFormatting>
  <conditionalFormatting sqref="G70">
    <cfRule type="expression" dxfId="430" priority="856" stopIfTrue="1">
      <formula>$E70=""</formula>
    </cfRule>
  </conditionalFormatting>
  <conditionalFormatting sqref="H71">
    <cfRule type="expression" dxfId="429" priority="855" stopIfTrue="1">
      <formula>$E71="List"</formula>
    </cfRule>
  </conditionalFormatting>
  <conditionalFormatting sqref="H71">
    <cfRule type="expression" dxfId="428" priority="854" stopIfTrue="1">
      <formula>$E71="Text Length"</formula>
    </cfRule>
  </conditionalFormatting>
  <conditionalFormatting sqref="H71">
    <cfRule type="expression" dxfId="427" priority="853" stopIfTrue="1">
      <formula>$E71=""</formula>
    </cfRule>
  </conditionalFormatting>
  <conditionalFormatting sqref="G71">
    <cfRule type="expression" dxfId="426" priority="852" stopIfTrue="1">
      <formula>$E71=""</formula>
    </cfRule>
  </conditionalFormatting>
  <conditionalFormatting sqref="H72">
    <cfRule type="expression" dxfId="425" priority="851" stopIfTrue="1">
      <formula>$E72="List"</formula>
    </cfRule>
  </conditionalFormatting>
  <conditionalFormatting sqref="H72">
    <cfRule type="expression" dxfId="424" priority="850" stopIfTrue="1">
      <formula>$E72="Text Length"</formula>
    </cfRule>
  </conditionalFormatting>
  <conditionalFormatting sqref="H72">
    <cfRule type="expression" dxfId="423" priority="849" stopIfTrue="1">
      <formula>$E72=""</formula>
    </cfRule>
  </conditionalFormatting>
  <conditionalFormatting sqref="G72">
    <cfRule type="expression" dxfId="422" priority="848" stopIfTrue="1">
      <formula>$E72=""</formula>
    </cfRule>
  </conditionalFormatting>
  <conditionalFormatting sqref="H74">
    <cfRule type="expression" dxfId="421" priority="843" stopIfTrue="1">
      <formula>$E74="List"</formula>
    </cfRule>
  </conditionalFormatting>
  <conditionalFormatting sqref="H74">
    <cfRule type="expression" dxfId="420" priority="842" stopIfTrue="1">
      <formula>$E74="Text Length"</formula>
    </cfRule>
  </conditionalFormatting>
  <conditionalFormatting sqref="H74">
    <cfRule type="expression" dxfId="419" priority="841" stopIfTrue="1">
      <formula>$E74=""</formula>
    </cfRule>
  </conditionalFormatting>
  <conditionalFormatting sqref="G74">
    <cfRule type="expression" dxfId="418" priority="840" stopIfTrue="1">
      <formula>$E74=""</formula>
    </cfRule>
  </conditionalFormatting>
  <conditionalFormatting sqref="H75">
    <cfRule type="expression" dxfId="417" priority="839" stopIfTrue="1">
      <formula>$E75="List"</formula>
    </cfRule>
  </conditionalFormatting>
  <conditionalFormatting sqref="H75">
    <cfRule type="expression" dxfId="416" priority="838" stopIfTrue="1">
      <formula>$E75="Text Length"</formula>
    </cfRule>
  </conditionalFormatting>
  <conditionalFormatting sqref="H75">
    <cfRule type="expression" dxfId="415" priority="837" stopIfTrue="1">
      <formula>$E75=""</formula>
    </cfRule>
  </conditionalFormatting>
  <conditionalFormatting sqref="G75">
    <cfRule type="expression" dxfId="414" priority="836" stopIfTrue="1">
      <formula>$E75=""</formula>
    </cfRule>
  </conditionalFormatting>
  <conditionalFormatting sqref="H76">
    <cfRule type="expression" dxfId="413" priority="835" stopIfTrue="1">
      <formula>$E76="List"</formula>
    </cfRule>
  </conditionalFormatting>
  <conditionalFormatting sqref="H76">
    <cfRule type="expression" dxfId="412" priority="834" stopIfTrue="1">
      <formula>$E76="Text Length"</formula>
    </cfRule>
  </conditionalFormatting>
  <conditionalFormatting sqref="H76">
    <cfRule type="expression" dxfId="411" priority="833" stopIfTrue="1">
      <formula>$E76=""</formula>
    </cfRule>
  </conditionalFormatting>
  <conditionalFormatting sqref="H81">
    <cfRule type="expression" dxfId="410" priority="811" stopIfTrue="1">
      <formula>$E81="List"</formula>
    </cfRule>
  </conditionalFormatting>
  <conditionalFormatting sqref="H81">
    <cfRule type="expression" dxfId="409" priority="810" stopIfTrue="1">
      <formula>$E81="Text Length"</formula>
    </cfRule>
  </conditionalFormatting>
  <conditionalFormatting sqref="H81">
    <cfRule type="expression" dxfId="408" priority="809" stopIfTrue="1">
      <formula>$E81=""</formula>
    </cfRule>
  </conditionalFormatting>
  <conditionalFormatting sqref="G81">
    <cfRule type="expression" dxfId="407" priority="808" stopIfTrue="1">
      <formula>$E81=""</formula>
    </cfRule>
  </conditionalFormatting>
  <conditionalFormatting sqref="H82">
    <cfRule type="expression" dxfId="406" priority="807" stopIfTrue="1">
      <formula>$E82="List"</formula>
    </cfRule>
  </conditionalFormatting>
  <conditionalFormatting sqref="H82">
    <cfRule type="expression" dxfId="405" priority="806" stopIfTrue="1">
      <formula>$E82="Text Length"</formula>
    </cfRule>
  </conditionalFormatting>
  <conditionalFormatting sqref="H82">
    <cfRule type="expression" dxfId="404" priority="805" stopIfTrue="1">
      <formula>$E82=""</formula>
    </cfRule>
  </conditionalFormatting>
  <conditionalFormatting sqref="G82">
    <cfRule type="expression" dxfId="403" priority="804" stopIfTrue="1">
      <formula>$E82=""</formula>
    </cfRule>
  </conditionalFormatting>
  <conditionalFormatting sqref="H103">
    <cfRule type="expression" dxfId="402" priority="699" stopIfTrue="1">
      <formula>$E103="List"</formula>
    </cfRule>
  </conditionalFormatting>
  <conditionalFormatting sqref="H103">
    <cfRule type="expression" dxfId="401" priority="698" stopIfTrue="1">
      <formula>$E103="Text Length"</formula>
    </cfRule>
  </conditionalFormatting>
  <conditionalFormatting sqref="H103">
    <cfRule type="expression" dxfId="400" priority="697" stopIfTrue="1">
      <formula>$E103=""</formula>
    </cfRule>
  </conditionalFormatting>
  <conditionalFormatting sqref="G103">
    <cfRule type="expression" dxfId="399" priority="696" stopIfTrue="1">
      <formula>$E103=""</formula>
    </cfRule>
  </conditionalFormatting>
  <conditionalFormatting sqref="H111">
    <cfRule type="expression" dxfId="398" priority="663" stopIfTrue="1">
      <formula>$E111="List"</formula>
    </cfRule>
  </conditionalFormatting>
  <conditionalFormatting sqref="H111">
    <cfRule type="expression" dxfId="397" priority="662" stopIfTrue="1">
      <formula>$E111="Text Length"</formula>
    </cfRule>
  </conditionalFormatting>
  <conditionalFormatting sqref="H111">
    <cfRule type="expression" dxfId="396" priority="661" stopIfTrue="1">
      <formula>$E111=""</formula>
    </cfRule>
  </conditionalFormatting>
  <conditionalFormatting sqref="G111">
    <cfRule type="expression" dxfId="395" priority="660" stopIfTrue="1">
      <formula>$E111=""</formula>
    </cfRule>
  </conditionalFormatting>
  <conditionalFormatting sqref="H112">
    <cfRule type="expression" dxfId="394" priority="659" stopIfTrue="1">
      <formula>$E112="List"</formula>
    </cfRule>
  </conditionalFormatting>
  <conditionalFormatting sqref="H112">
    <cfRule type="expression" dxfId="393" priority="658" stopIfTrue="1">
      <formula>$E112="Text Length"</formula>
    </cfRule>
  </conditionalFormatting>
  <conditionalFormatting sqref="H112">
    <cfRule type="expression" dxfId="392" priority="657" stopIfTrue="1">
      <formula>$E112=""</formula>
    </cfRule>
  </conditionalFormatting>
  <conditionalFormatting sqref="G112">
    <cfRule type="expression" dxfId="391" priority="656" stopIfTrue="1">
      <formula>$E112=""</formula>
    </cfRule>
  </conditionalFormatting>
  <conditionalFormatting sqref="H113">
    <cfRule type="expression" dxfId="390" priority="655" stopIfTrue="1">
      <formula>$E113="List"</formula>
    </cfRule>
  </conditionalFormatting>
  <conditionalFormatting sqref="H113">
    <cfRule type="expression" dxfId="389" priority="654" stopIfTrue="1">
      <formula>$E113="Text Length"</formula>
    </cfRule>
  </conditionalFormatting>
  <conditionalFormatting sqref="H113">
    <cfRule type="expression" dxfId="388" priority="653" stopIfTrue="1">
      <formula>$E113=""</formula>
    </cfRule>
  </conditionalFormatting>
  <conditionalFormatting sqref="G113">
    <cfRule type="expression" dxfId="387" priority="652" stopIfTrue="1">
      <formula>$E113=""</formula>
    </cfRule>
  </conditionalFormatting>
  <conditionalFormatting sqref="H116">
    <cfRule type="expression" dxfId="386" priority="595" stopIfTrue="1">
      <formula>$E116="List"</formula>
    </cfRule>
  </conditionalFormatting>
  <conditionalFormatting sqref="H116">
    <cfRule type="expression" dxfId="385" priority="594" stopIfTrue="1">
      <formula>$E116="Text Length"</formula>
    </cfRule>
  </conditionalFormatting>
  <conditionalFormatting sqref="H116">
    <cfRule type="expression" dxfId="384" priority="593" stopIfTrue="1">
      <formula>$E116=""</formula>
    </cfRule>
  </conditionalFormatting>
  <conditionalFormatting sqref="G116">
    <cfRule type="expression" dxfId="383" priority="592" stopIfTrue="1">
      <formula>$E116=""</formula>
    </cfRule>
  </conditionalFormatting>
  <conditionalFormatting sqref="H117">
    <cfRule type="expression" dxfId="382" priority="591" stopIfTrue="1">
      <formula>$E117="List"</formula>
    </cfRule>
  </conditionalFormatting>
  <conditionalFormatting sqref="H117">
    <cfRule type="expression" dxfId="381" priority="590" stopIfTrue="1">
      <formula>$E117="Text Length"</formula>
    </cfRule>
  </conditionalFormatting>
  <conditionalFormatting sqref="H117">
    <cfRule type="expression" dxfId="380" priority="589" stopIfTrue="1">
      <formula>$E117=""</formula>
    </cfRule>
  </conditionalFormatting>
  <conditionalFormatting sqref="H118">
    <cfRule type="expression" dxfId="379" priority="587" stopIfTrue="1">
      <formula>$E118="List"</formula>
    </cfRule>
  </conditionalFormatting>
  <conditionalFormatting sqref="H118">
    <cfRule type="expression" dxfId="378" priority="586" stopIfTrue="1">
      <formula>$E118="Text Length"</formula>
    </cfRule>
  </conditionalFormatting>
  <conditionalFormatting sqref="H118">
    <cfRule type="expression" dxfId="377" priority="585" stopIfTrue="1">
      <formula>$E118=""</formula>
    </cfRule>
  </conditionalFormatting>
  <conditionalFormatting sqref="G118">
    <cfRule type="expression" dxfId="376" priority="584" stopIfTrue="1">
      <formula>$E118=""</formula>
    </cfRule>
  </conditionalFormatting>
  <conditionalFormatting sqref="H119">
    <cfRule type="expression" dxfId="375" priority="583" stopIfTrue="1">
      <formula>$E119="List"</formula>
    </cfRule>
  </conditionalFormatting>
  <conditionalFormatting sqref="H119">
    <cfRule type="expression" dxfId="374" priority="582" stopIfTrue="1">
      <formula>$E119="Text Length"</formula>
    </cfRule>
  </conditionalFormatting>
  <conditionalFormatting sqref="H119">
    <cfRule type="expression" dxfId="373" priority="581" stopIfTrue="1">
      <formula>$E119=""</formula>
    </cfRule>
  </conditionalFormatting>
  <conditionalFormatting sqref="H120">
    <cfRule type="expression" dxfId="372" priority="579" stopIfTrue="1">
      <formula>$E120="List"</formula>
    </cfRule>
  </conditionalFormatting>
  <conditionalFormatting sqref="H120">
    <cfRule type="expression" dxfId="371" priority="578" stopIfTrue="1">
      <formula>$E120="Text Length"</formula>
    </cfRule>
  </conditionalFormatting>
  <conditionalFormatting sqref="H120">
    <cfRule type="expression" dxfId="370" priority="577" stopIfTrue="1">
      <formula>$E120=""</formula>
    </cfRule>
  </conditionalFormatting>
  <conditionalFormatting sqref="H121">
    <cfRule type="expression" dxfId="369" priority="575" stopIfTrue="1">
      <formula>$E121="List"</formula>
    </cfRule>
  </conditionalFormatting>
  <conditionalFormatting sqref="H121">
    <cfRule type="expression" dxfId="368" priority="574" stopIfTrue="1">
      <formula>$E121="Text Length"</formula>
    </cfRule>
  </conditionalFormatting>
  <conditionalFormatting sqref="H121">
    <cfRule type="expression" dxfId="367" priority="573" stopIfTrue="1">
      <formula>$E121=""</formula>
    </cfRule>
  </conditionalFormatting>
  <conditionalFormatting sqref="H122">
    <cfRule type="expression" dxfId="366" priority="571" stopIfTrue="1">
      <formula>$E122="List"</formula>
    </cfRule>
  </conditionalFormatting>
  <conditionalFormatting sqref="H122">
    <cfRule type="expression" dxfId="365" priority="570" stopIfTrue="1">
      <formula>$E122="Text Length"</formula>
    </cfRule>
  </conditionalFormatting>
  <conditionalFormatting sqref="H122">
    <cfRule type="expression" dxfId="364" priority="569" stopIfTrue="1">
      <formula>$E122=""</formula>
    </cfRule>
  </conditionalFormatting>
  <conditionalFormatting sqref="H123">
    <cfRule type="expression" dxfId="363" priority="567" stopIfTrue="1">
      <formula>$E123="List"</formula>
    </cfRule>
  </conditionalFormatting>
  <conditionalFormatting sqref="H123">
    <cfRule type="expression" dxfId="362" priority="566" stopIfTrue="1">
      <formula>$E123="Text Length"</formula>
    </cfRule>
  </conditionalFormatting>
  <conditionalFormatting sqref="H123">
    <cfRule type="expression" dxfId="361" priority="565" stopIfTrue="1">
      <formula>$E123=""</formula>
    </cfRule>
  </conditionalFormatting>
  <conditionalFormatting sqref="H124">
    <cfRule type="expression" dxfId="360" priority="563" stopIfTrue="1">
      <formula>$E124="List"</formula>
    </cfRule>
  </conditionalFormatting>
  <conditionalFormatting sqref="H124">
    <cfRule type="expression" dxfId="359" priority="562" stopIfTrue="1">
      <formula>$E124="Text Length"</formula>
    </cfRule>
  </conditionalFormatting>
  <conditionalFormatting sqref="H124">
    <cfRule type="expression" dxfId="358" priority="561" stopIfTrue="1">
      <formula>$E124=""</formula>
    </cfRule>
  </conditionalFormatting>
  <conditionalFormatting sqref="G124">
    <cfRule type="expression" dxfId="357" priority="560" stopIfTrue="1">
      <formula>$E124=""</formula>
    </cfRule>
  </conditionalFormatting>
  <conditionalFormatting sqref="H125">
    <cfRule type="expression" dxfId="356" priority="559" stopIfTrue="1">
      <formula>$E125="List"</formula>
    </cfRule>
  </conditionalFormatting>
  <conditionalFormatting sqref="H125">
    <cfRule type="expression" dxfId="355" priority="558" stopIfTrue="1">
      <formula>$E125="Text Length"</formula>
    </cfRule>
  </conditionalFormatting>
  <conditionalFormatting sqref="H125">
    <cfRule type="expression" dxfId="354" priority="557" stopIfTrue="1">
      <formula>$E125=""</formula>
    </cfRule>
  </conditionalFormatting>
  <conditionalFormatting sqref="H126">
    <cfRule type="expression" dxfId="353" priority="555" stopIfTrue="1">
      <formula>$E126="List"</formula>
    </cfRule>
  </conditionalFormatting>
  <conditionalFormatting sqref="H126">
    <cfRule type="expression" dxfId="352" priority="554" stopIfTrue="1">
      <formula>$E126="Text Length"</formula>
    </cfRule>
  </conditionalFormatting>
  <conditionalFormatting sqref="H126">
    <cfRule type="expression" dxfId="351" priority="553" stopIfTrue="1">
      <formula>$E126=""</formula>
    </cfRule>
  </conditionalFormatting>
  <conditionalFormatting sqref="H127">
    <cfRule type="expression" dxfId="350" priority="551" stopIfTrue="1">
      <formula>$E127="List"</formula>
    </cfRule>
  </conditionalFormatting>
  <conditionalFormatting sqref="H127">
    <cfRule type="expression" dxfId="349" priority="550" stopIfTrue="1">
      <formula>$E127="Text Length"</formula>
    </cfRule>
  </conditionalFormatting>
  <conditionalFormatting sqref="H127">
    <cfRule type="expression" dxfId="348" priority="549" stopIfTrue="1">
      <formula>$E127=""</formula>
    </cfRule>
  </conditionalFormatting>
  <conditionalFormatting sqref="H128">
    <cfRule type="expression" dxfId="347" priority="547" stopIfTrue="1">
      <formula>$E128="List"</formula>
    </cfRule>
  </conditionalFormatting>
  <conditionalFormatting sqref="H128">
    <cfRule type="expression" dxfId="346" priority="546" stopIfTrue="1">
      <formula>$E128="Text Length"</formula>
    </cfRule>
  </conditionalFormatting>
  <conditionalFormatting sqref="H128">
    <cfRule type="expression" dxfId="345" priority="545" stopIfTrue="1">
      <formula>$E128=""</formula>
    </cfRule>
  </conditionalFormatting>
  <conditionalFormatting sqref="H129">
    <cfRule type="expression" dxfId="344" priority="543" stopIfTrue="1">
      <formula>$E129="List"</formula>
    </cfRule>
  </conditionalFormatting>
  <conditionalFormatting sqref="H129">
    <cfRule type="expression" dxfId="343" priority="542" stopIfTrue="1">
      <formula>$E129="Text Length"</formula>
    </cfRule>
  </conditionalFormatting>
  <conditionalFormatting sqref="H129">
    <cfRule type="expression" dxfId="342" priority="541" stopIfTrue="1">
      <formula>$E129=""</formula>
    </cfRule>
  </conditionalFormatting>
  <conditionalFormatting sqref="H130">
    <cfRule type="expression" dxfId="341" priority="539" stopIfTrue="1">
      <formula>$E130="List"</formula>
    </cfRule>
  </conditionalFormatting>
  <conditionalFormatting sqref="H130">
    <cfRule type="expression" dxfId="340" priority="538" stopIfTrue="1">
      <formula>$E130="Text Length"</formula>
    </cfRule>
  </conditionalFormatting>
  <conditionalFormatting sqref="H130">
    <cfRule type="expression" dxfId="339" priority="537" stopIfTrue="1">
      <formula>$E130=""</formula>
    </cfRule>
  </conditionalFormatting>
  <conditionalFormatting sqref="H131">
    <cfRule type="expression" dxfId="338" priority="535" stopIfTrue="1">
      <formula>$E131="List"</formula>
    </cfRule>
  </conditionalFormatting>
  <conditionalFormatting sqref="H131">
    <cfRule type="expression" dxfId="337" priority="534" stopIfTrue="1">
      <formula>$E131="Text Length"</formula>
    </cfRule>
  </conditionalFormatting>
  <conditionalFormatting sqref="H131">
    <cfRule type="expression" dxfId="336" priority="533" stopIfTrue="1">
      <formula>$E131=""</formula>
    </cfRule>
  </conditionalFormatting>
  <conditionalFormatting sqref="H132">
    <cfRule type="expression" dxfId="335" priority="531" stopIfTrue="1">
      <formula>$E132="List"</formula>
    </cfRule>
  </conditionalFormatting>
  <conditionalFormatting sqref="H132">
    <cfRule type="expression" dxfId="334" priority="530" stopIfTrue="1">
      <formula>$E132="Text Length"</formula>
    </cfRule>
  </conditionalFormatting>
  <conditionalFormatting sqref="H132">
    <cfRule type="expression" dxfId="333" priority="529" stopIfTrue="1">
      <formula>$E132=""</formula>
    </cfRule>
  </conditionalFormatting>
  <conditionalFormatting sqref="H133">
    <cfRule type="expression" dxfId="332" priority="527" stopIfTrue="1">
      <formula>$E133="List"</formula>
    </cfRule>
  </conditionalFormatting>
  <conditionalFormatting sqref="H133">
    <cfRule type="expression" dxfId="331" priority="526" stopIfTrue="1">
      <formula>$E133="Text Length"</formula>
    </cfRule>
  </conditionalFormatting>
  <conditionalFormatting sqref="H133">
    <cfRule type="expression" dxfId="330" priority="525" stopIfTrue="1">
      <formula>$E133=""</formula>
    </cfRule>
  </conditionalFormatting>
  <conditionalFormatting sqref="H134">
    <cfRule type="expression" dxfId="329" priority="523" stopIfTrue="1">
      <formula>$E134="List"</formula>
    </cfRule>
  </conditionalFormatting>
  <conditionalFormatting sqref="H134">
    <cfRule type="expression" dxfId="328" priority="522" stopIfTrue="1">
      <formula>$E134="Text Length"</formula>
    </cfRule>
  </conditionalFormatting>
  <conditionalFormatting sqref="H134">
    <cfRule type="expression" dxfId="327" priority="521" stopIfTrue="1">
      <formula>$E134=""</formula>
    </cfRule>
  </conditionalFormatting>
  <conditionalFormatting sqref="H135">
    <cfRule type="expression" dxfId="326" priority="519" stopIfTrue="1">
      <formula>$E135="List"</formula>
    </cfRule>
  </conditionalFormatting>
  <conditionalFormatting sqref="H135">
    <cfRule type="expression" dxfId="325" priority="518" stopIfTrue="1">
      <formula>$E135="Text Length"</formula>
    </cfRule>
  </conditionalFormatting>
  <conditionalFormatting sqref="H135">
    <cfRule type="expression" dxfId="324" priority="517" stopIfTrue="1">
      <formula>$E135=""</formula>
    </cfRule>
  </conditionalFormatting>
  <conditionalFormatting sqref="H136">
    <cfRule type="expression" dxfId="323" priority="515" stopIfTrue="1">
      <formula>$E136="List"</formula>
    </cfRule>
  </conditionalFormatting>
  <conditionalFormatting sqref="H136">
    <cfRule type="expression" dxfId="322" priority="514" stopIfTrue="1">
      <formula>$E136="Text Length"</formula>
    </cfRule>
  </conditionalFormatting>
  <conditionalFormatting sqref="H136">
    <cfRule type="expression" dxfId="321" priority="513" stopIfTrue="1">
      <formula>$E136=""</formula>
    </cfRule>
  </conditionalFormatting>
  <conditionalFormatting sqref="G136:G155">
    <cfRule type="expression" dxfId="320" priority="512" stopIfTrue="1">
      <formula>$E136=""</formula>
    </cfRule>
  </conditionalFormatting>
  <conditionalFormatting sqref="H137">
    <cfRule type="expression" dxfId="319" priority="511" stopIfTrue="1">
      <formula>$E137="List"</formula>
    </cfRule>
  </conditionalFormatting>
  <conditionalFormatting sqref="H137">
    <cfRule type="expression" dxfId="318" priority="510" stopIfTrue="1">
      <formula>$E137="Text Length"</formula>
    </cfRule>
  </conditionalFormatting>
  <conditionalFormatting sqref="H137">
    <cfRule type="expression" dxfId="317" priority="509" stopIfTrue="1">
      <formula>$E137=""</formula>
    </cfRule>
  </conditionalFormatting>
  <conditionalFormatting sqref="H138">
    <cfRule type="expression" dxfId="316" priority="507" stopIfTrue="1">
      <formula>$E138="List"</formula>
    </cfRule>
  </conditionalFormatting>
  <conditionalFormatting sqref="H138">
    <cfRule type="expression" dxfId="315" priority="506" stopIfTrue="1">
      <formula>$E138="Text Length"</formula>
    </cfRule>
  </conditionalFormatting>
  <conditionalFormatting sqref="H138">
    <cfRule type="expression" dxfId="314" priority="505" stopIfTrue="1">
      <formula>$E138=""</formula>
    </cfRule>
  </conditionalFormatting>
  <conditionalFormatting sqref="H139">
    <cfRule type="expression" dxfId="313" priority="503" stopIfTrue="1">
      <formula>$E139="List"</formula>
    </cfRule>
  </conditionalFormatting>
  <conditionalFormatting sqref="H139">
    <cfRule type="expression" dxfId="312" priority="502" stopIfTrue="1">
      <formula>$E139="Text Length"</formula>
    </cfRule>
  </conditionalFormatting>
  <conditionalFormatting sqref="H139">
    <cfRule type="expression" dxfId="311" priority="501" stopIfTrue="1">
      <formula>$E139=""</formula>
    </cfRule>
  </conditionalFormatting>
  <conditionalFormatting sqref="H140">
    <cfRule type="expression" dxfId="310" priority="499" stopIfTrue="1">
      <formula>$E140="List"</formula>
    </cfRule>
  </conditionalFormatting>
  <conditionalFormatting sqref="H140">
    <cfRule type="expression" dxfId="309" priority="498" stopIfTrue="1">
      <formula>$E140="Text Length"</formula>
    </cfRule>
  </conditionalFormatting>
  <conditionalFormatting sqref="H140">
    <cfRule type="expression" dxfId="308" priority="497" stopIfTrue="1">
      <formula>$E140=""</formula>
    </cfRule>
  </conditionalFormatting>
  <conditionalFormatting sqref="H141">
    <cfRule type="expression" dxfId="307" priority="495" stopIfTrue="1">
      <formula>$E141="List"</formula>
    </cfRule>
  </conditionalFormatting>
  <conditionalFormatting sqref="H141">
    <cfRule type="expression" dxfId="306" priority="494" stopIfTrue="1">
      <formula>$E141="Text Length"</formula>
    </cfRule>
  </conditionalFormatting>
  <conditionalFormatting sqref="H141">
    <cfRule type="expression" dxfId="305" priority="493" stopIfTrue="1">
      <formula>$E141=""</formula>
    </cfRule>
  </conditionalFormatting>
  <conditionalFormatting sqref="H142">
    <cfRule type="expression" dxfId="304" priority="491" stopIfTrue="1">
      <formula>$E142="List"</formula>
    </cfRule>
  </conditionalFormatting>
  <conditionalFormatting sqref="H142">
    <cfRule type="expression" dxfId="303" priority="490" stopIfTrue="1">
      <formula>$E142="Text Length"</formula>
    </cfRule>
  </conditionalFormatting>
  <conditionalFormatting sqref="H142">
    <cfRule type="expression" dxfId="302" priority="489" stopIfTrue="1">
      <formula>$E142=""</formula>
    </cfRule>
  </conditionalFormatting>
  <conditionalFormatting sqref="H143">
    <cfRule type="expression" dxfId="301" priority="487" stopIfTrue="1">
      <formula>$E143="List"</formula>
    </cfRule>
  </conditionalFormatting>
  <conditionalFormatting sqref="H143">
    <cfRule type="expression" dxfId="300" priority="486" stopIfTrue="1">
      <formula>$E143="Text Length"</formula>
    </cfRule>
  </conditionalFormatting>
  <conditionalFormatting sqref="H143">
    <cfRule type="expression" dxfId="299" priority="485" stopIfTrue="1">
      <formula>$E143=""</formula>
    </cfRule>
  </conditionalFormatting>
  <conditionalFormatting sqref="H144">
    <cfRule type="expression" dxfId="298" priority="483" stopIfTrue="1">
      <formula>$E144="List"</formula>
    </cfRule>
  </conditionalFormatting>
  <conditionalFormatting sqref="H144">
    <cfRule type="expression" dxfId="297" priority="482" stopIfTrue="1">
      <formula>$E144="Text Length"</formula>
    </cfRule>
  </conditionalFormatting>
  <conditionalFormatting sqref="H144">
    <cfRule type="expression" dxfId="296" priority="481" stopIfTrue="1">
      <formula>$E144=""</formula>
    </cfRule>
  </conditionalFormatting>
  <conditionalFormatting sqref="H145">
    <cfRule type="expression" dxfId="295" priority="479" stopIfTrue="1">
      <formula>$E145="List"</formula>
    </cfRule>
  </conditionalFormatting>
  <conditionalFormatting sqref="H145">
    <cfRule type="expression" dxfId="294" priority="478" stopIfTrue="1">
      <formula>$E145="Text Length"</formula>
    </cfRule>
  </conditionalFormatting>
  <conditionalFormatting sqref="H145">
    <cfRule type="expression" dxfId="293" priority="477" stopIfTrue="1">
      <formula>$E145=""</formula>
    </cfRule>
  </conditionalFormatting>
  <conditionalFormatting sqref="H146">
    <cfRule type="expression" dxfId="292" priority="475" stopIfTrue="1">
      <formula>$E146="List"</formula>
    </cfRule>
  </conditionalFormatting>
  <conditionalFormatting sqref="H146">
    <cfRule type="expression" dxfId="291" priority="474" stopIfTrue="1">
      <formula>$E146="Text Length"</formula>
    </cfRule>
  </conditionalFormatting>
  <conditionalFormatting sqref="H146">
    <cfRule type="expression" dxfId="290" priority="473" stopIfTrue="1">
      <formula>$E146=""</formula>
    </cfRule>
  </conditionalFormatting>
  <conditionalFormatting sqref="H147">
    <cfRule type="expression" dxfId="289" priority="471" stopIfTrue="1">
      <formula>$E147="List"</formula>
    </cfRule>
  </conditionalFormatting>
  <conditionalFormatting sqref="H147">
    <cfRule type="expression" dxfId="288" priority="470" stopIfTrue="1">
      <formula>$E147="Text Length"</formula>
    </cfRule>
  </conditionalFormatting>
  <conditionalFormatting sqref="H147">
    <cfRule type="expression" dxfId="287" priority="469" stopIfTrue="1">
      <formula>$E147=""</formula>
    </cfRule>
  </conditionalFormatting>
  <conditionalFormatting sqref="H148">
    <cfRule type="expression" dxfId="286" priority="467" stopIfTrue="1">
      <formula>$E148="List"</formula>
    </cfRule>
  </conditionalFormatting>
  <conditionalFormatting sqref="H148">
    <cfRule type="expression" dxfId="285" priority="466" stopIfTrue="1">
      <formula>$E148="Text Length"</formula>
    </cfRule>
  </conditionalFormatting>
  <conditionalFormatting sqref="H148">
    <cfRule type="expression" dxfId="284" priority="465" stopIfTrue="1">
      <formula>$E148=""</formula>
    </cfRule>
  </conditionalFormatting>
  <conditionalFormatting sqref="H149">
    <cfRule type="expression" dxfId="283" priority="463" stopIfTrue="1">
      <formula>$E149="List"</formula>
    </cfRule>
  </conditionalFormatting>
  <conditionalFormatting sqref="H149">
    <cfRule type="expression" dxfId="282" priority="462" stopIfTrue="1">
      <formula>$E149="Text Length"</formula>
    </cfRule>
  </conditionalFormatting>
  <conditionalFormatting sqref="H149">
    <cfRule type="expression" dxfId="281" priority="461" stopIfTrue="1">
      <formula>$E149=""</formula>
    </cfRule>
  </conditionalFormatting>
  <conditionalFormatting sqref="H150">
    <cfRule type="expression" dxfId="280" priority="459" stopIfTrue="1">
      <formula>$E150="List"</formula>
    </cfRule>
  </conditionalFormatting>
  <conditionalFormatting sqref="H150">
    <cfRule type="expression" dxfId="279" priority="458" stopIfTrue="1">
      <formula>$E150="Text Length"</formula>
    </cfRule>
  </conditionalFormatting>
  <conditionalFormatting sqref="H150">
    <cfRule type="expression" dxfId="278" priority="457" stopIfTrue="1">
      <formula>$E150=""</formula>
    </cfRule>
  </conditionalFormatting>
  <conditionalFormatting sqref="H151">
    <cfRule type="expression" dxfId="277" priority="455" stopIfTrue="1">
      <formula>$E151="List"</formula>
    </cfRule>
  </conditionalFormatting>
  <conditionalFormatting sqref="H151">
    <cfRule type="expression" dxfId="276" priority="454" stopIfTrue="1">
      <formula>$E151="Text Length"</formula>
    </cfRule>
  </conditionalFormatting>
  <conditionalFormatting sqref="H151">
    <cfRule type="expression" dxfId="275" priority="453" stopIfTrue="1">
      <formula>$E151=""</formula>
    </cfRule>
  </conditionalFormatting>
  <conditionalFormatting sqref="H152">
    <cfRule type="expression" dxfId="274" priority="451" stopIfTrue="1">
      <formula>$E152="List"</formula>
    </cfRule>
  </conditionalFormatting>
  <conditionalFormatting sqref="H152">
    <cfRule type="expression" dxfId="273" priority="450" stopIfTrue="1">
      <formula>$E152="Text Length"</formula>
    </cfRule>
  </conditionalFormatting>
  <conditionalFormatting sqref="H152">
    <cfRule type="expression" dxfId="272" priority="449" stopIfTrue="1">
      <formula>$E152=""</formula>
    </cfRule>
  </conditionalFormatting>
  <conditionalFormatting sqref="H153">
    <cfRule type="expression" dxfId="271" priority="447" stopIfTrue="1">
      <formula>$E153="List"</formula>
    </cfRule>
  </conditionalFormatting>
  <conditionalFormatting sqref="H153">
    <cfRule type="expression" dxfId="270" priority="446" stopIfTrue="1">
      <formula>$E153="Text Length"</formula>
    </cfRule>
  </conditionalFormatting>
  <conditionalFormatting sqref="H153">
    <cfRule type="expression" dxfId="269" priority="445" stopIfTrue="1">
      <formula>$E153=""</formula>
    </cfRule>
  </conditionalFormatting>
  <conditionalFormatting sqref="H154">
    <cfRule type="expression" dxfId="268" priority="443" stopIfTrue="1">
      <formula>$E154="List"</formula>
    </cfRule>
  </conditionalFormatting>
  <conditionalFormatting sqref="H154">
    <cfRule type="expression" dxfId="267" priority="442" stopIfTrue="1">
      <formula>$E154="Text Length"</formula>
    </cfRule>
  </conditionalFormatting>
  <conditionalFormatting sqref="H154">
    <cfRule type="expression" dxfId="266" priority="441" stopIfTrue="1">
      <formula>$E154=""</formula>
    </cfRule>
  </conditionalFormatting>
  <conditionalFormatting sqref="H155">
    <cfRule type="expression" dxfId="265" priority="439" stopIfTrue="1">
      <formula>$E155="List"</formula>
    </cfRule>
  </conditionalFormatting>
  <conditionalFormatting sqref="H155">
    <cfRule type="expression" dxfId="264" priority="438" stopIfTrue="1">
      <formula>$E155="Text Length"</formula>
    </cfRule>
  </conditionalFormatting>
  <conditionalFormatting sqref="H155">
    <cfRule type="expression" dxfId="263" priority="437" stopIfTrue="1">
      <formula>$E155=""</formula>
    </cfRule>
  </conditionalFormatting>
  <conditionalFormatting sqref="H156">
    <cfRule type="expression" dxfId="262" priority="423" stopIfTrue="1">
      <formula>$E156="List"</formula>
    </cfRule>
  </conditionalFormatting>
  <conditionalFormatting sqref="H156">
    <cfRule type="expression" dxfId="261" priority="422" stopIfTrue="1">
      <formula>$E156="Text Length"</formula>
    </cfRule>
  </conditionalFormatting>
  <conditionalFormatting sqref="H156">
    <cfRule type="expression" dxfId="260" priority="421" stopIfTrue="1">
      <formula>$E156=""</formula>
    </cfRule>
  </conditionalFormatting>
  <conditionalFormatting sqref="H157">
    <cfRule type="expression" dxfId="259" priority="419" stopIfTrue="1">
      <formula>$E157="List"</formula>
    </cfRule>
  </conditionalFormatting>
  <conditionalFormatting sqref="H157">
    <cfRule type="expression" dxfId="258" priority="418" stopIfTrue="1">
      <formula>$E157="Text Length"</formula>
    </cfRule>
  </conditionalFormatting>
  <conditionalFormatting sqref="H157">
    <cfRule type="expression" dxfId="257" priority="417" stopIfTrue="1">
      <formula>$E157=""</formula>
    </cfRule>
  </conditionalFormatting>
  <conditionalFormatting sqref="H158">
    <cfRule type="expression" dxfId="256" priority="415" stopIfTrue="1">
      <formula>$E158="List"</formula>
    </cfRule>
  </conditionalFormatting>
  <conditionalFormatting sqref="H158">
    <cfRule type="expression" dxfId="255" priority="414" stopIfTrue="1">
      <formula>$E158="Text Length"</formula>
    </cfRule>
  </conditionalFormatting>
  <conditionalFormatting sqref="H158">
    <cfRule type="expression" dxfId="254" priority="413" stopIfTrue="1">
      <formula>$E158=""</formula>
    </cfRule>
  </conditionalFormatting>
  <conditionalFormatting sqref="H159">
    <cfRule type="expression" dxfId="253" priority="411" stopIfTrue="1">
      <formula>$E159="List"</formula>
    </cfRule>
  </conditionalFormatting>
  <conditionalFormatting sqref="H159">
    <cfRule type="expression" dxfId="252" priority="410" stopIfTrue="1">
      <formula>$E159="Text Length"</formula>
    </cfRule>
  </conditionalFormatting>
  <conditionalFormatting sqref="H159">
    <cfRule type="expression" dxfId="251" priority="409" stopIfTrue="1">
      <formula>$E159=""</formula>
    </cfRule>
  </conditionalFormatting>
  <conditionalFormatting sqref="G159">
    <cfRule type="expression" dxfId="250" priority="408" stopIfTrue="1">
      <formula>$E159=""</formula>
    </cfRule>
  </conditionalFormatting>
  <conditionalFormatting sqref="G26">
    <cfRule type="expression" dxfId="249" priority="384" stopIfTrue="1">
      <formula>$E26=""</formula>
    </cfRule>
  </conditionalFormatting>
  <conditionalFormatting sqref="G27">
    <cfRule type="expression" dxfId="248" priority="382" stopIfTrue="1">
      <formula>$E27=""</formula>
    </cfRule>
  </conditionalFormatting>
  <conditionalFormatting sqref="G31">
    <cfRule type="expression" dxfId="247" priority="381" stopIfTrue="1">
      <formula>$E31=""</formula>
    </cfRule>
  </conditionalFormatting>
  <conditionalFormatting sqref="G32">
    <cfRule type="expression" dxfId="246" priority="380" stopIfTrue="1">
      <formula>$E32=""</formula>
    </cfRule>
  </conditionalFormatting>
  <conditionalFormatting sqref="G33">
    <cfRule type="expression" dxfId="245" priority="378" stopIfTrue="1">
      <formula>$E33=""</formula>
    </cfRule>
  </conditionalFormatting>
  <conditionalFormatting sqref="G156">
    <cfRule type="expression" dxfId="244" priority="377" stopIfTrue="1">
      <formula>$E156=""</formula>
    </cfRule>
  </conditionalFormatting>
  <conditionalFormatting sqref="G157">
    <cfRule type="expression" dxfId="243" priority="376" stopIfTrue="1">
      <formula>$E157=""</formula>
    </cfRule>
  </conditionalFormatting>
  <conditionalFormatting sqref="G158">
    <cfRule type="expression" dxfId="242" priority="374" stopIfTrue="1">
      <formula>$E158=""</formula>
    </cfRule>
  </conditionalFormatting>
  <conditionalFormatting sqref="G29">
    <cfRule type="expression" dxfId="241" priority="372" stopIfTrue="1">
      <formula>$E29=""</formula>
    </cfRule>
  </conditionalFormatting>
  <conditionalFormatting sqref="G73">
    <cfRule type="expression" dxfId="240" priority="301" stopIfTrue="1">
      <formula>$E73=""</formula>
    </cfRule>
  </conditionalFormatting>
  <conditionalFormatting sqref="G38">
    <cfRule type="expression" dxfId="239" priority="359" stopIfTrue="1">
      <formula>$E38=""</formula>
    </cfRule>
  </conditionalFormatting>
  <conditionalFormatting sqref="G39">
    <cfRule type="expression" dxfId="238" priority="357" stopIfTrue="1">
      <formula>$E39=""</formula>
    </cfRule>
  </conditionalFormatting>
  <conditionalFormatting sqref="H41">
    <cfRule type="expression" dxfId="237" priority="356" stopIfTrue="1">
      <formula>$E41="List"</formula>
    </cfRule>
  </conditionalFormatting>
  <conditionalFormatting sqref="H41">
    <cfRule type="expression" dxfId="236" priority="355" stopIfTrue="1">
      <formula>$E41="Text Length"</formula>
    </cfRule>
  </conditionalFormatting>
  <conditionalFormatting sqref="H41">
    <cfRule type="expression" dxfId="235" priority="354" stopIfTrue="1">
      <formula>$E41=""</formula>
    </cfRule>
  </conditionalFormatting>
  <conditionalFormatting sqref="G41">
    <cfRule type="expression" dxfId="234" priority="353" stopIfTrue="1">
      <formula>$E41=""</formula>
    </cfRule>
  </conditionalFormatting>
  <conditionalFormatting sqref="H42">
    <cfRule type="expression" dxfId="233" priority="352" stopIfTrue="1">
      <formula>$E42="List"</formula>
    </cfRule>
  </conditionalFormatting>
  <conditionalFormatting sqref="H42">
    <cfRule type="expression" dxfId="232" priority="351" stopIfTrue="1">
      <formula>$E42="Text Length"</formula>
    </cfRule>
  </conditionalFormatting>
  <conditionalFormatting sqref="H42">
    <cfRule type="expression" dxfId="231" priority="350" stopIfTrue="1">
      <formula>$E42=""</formula>
    </cfRule>
  </conditionalFormatting>
  <conditionalFormatting sqref="G42">
    <cfRule type="expression" dxfId="230" priority="349" stopIfTrue="1">
      <formula>$E42=""</formula>
    </cfRule>
  </conditionalFormatting>
  <conditionalFormatting sqref="H43">
    <cfRule type="expression" dxfId="229" priority="348" stopIfTrue="1">
      <formula>$E43="List"</formula>
    </cfRule>
  </conditionalFormatting>
  <conditionalFormatting sqref="H43">
    <cfRule type="expression" dxfId="228" priority="347" stopIfTrue="1">
      <formula>$E43="Text Length"</formula>
    </cfRule>
  </conditionalFormatting>
  <conditionalFormatting sqref="H43">
    <cfRule type="expression" dxfId="227" priority="346" stopIfTrue="1">
      <formula>$E43=""</formula>
    </cfRule>
  </conditionalFormatting>
  <conditionalFormatting sqref="G43">
    <cfRule type="expression" dxfId="226" priority="345" stopIfTrue="1">
      <formula>$E43=""</formula>
    </cfRule>
  </conditionalFormatting>
  <conditionalFormatting sqref="H44">
    <cfRule type="expression" dxfId="225" priority="344" stopIfTrue="1">
      <formula>$E44="List"</formula>
    </cfRule>
  </conditionalFormatting>
  <conditionalFormatting sqref="H44">
    <cfRule type="expression" dxfId="224" priority="343" stopIfTrue="1">
      <formula>$E44="Text Length"</formula>
    </cfRule>
  </conditionalFormatting>
  <conditionalFormatting sqref="H44">
    <cfRule type="expression" dxfId="223" priority="342" stopIfTrue="1">
      <formula>$E44=""</formula>
    </cfRule>
  </conditionalFormatting>
  <conditionalFormatting sqref="G44">
    <cfRule type="expression" dxfId="222" priority="341" stopIfTrue="1">
      <formula>$E44=""</formula>
    </cfRule>
  </conditionalFormatting>
  <conditionalFormatting sqref="H45">
    <cfRule type="expression" dxfId="221" priority="340" stopIfTrue="1">
      <formula>$E45="List"</formula>
    </cfRule>
  </conditionalFormatting>
  <conditionalFormatting sqref="H45">
    <cfRule type="expression" dxfId="220" priority="339" stopIfTrue="1">
      <formula>$E45="Text Length"</formula>
    </cfRule>
  </conditionalFormatting>
  <conditionalFormatting sqref="H45">
    <cfRule type="expression" dxfId="219" priority="338" stopIfTrue="1">
      <formula>$E45=""</formula>
    </cfRule>
  </conditionalFormatting>
  <conditionalFormatting sqref="G45">
    <cfRule type="expression" dxfId="218" priority="337" stopIfTrue="1">
      <formula>$E45=""</formula>
    </cfRule>
  </conditionalFormatting>
  <conditionalFormatting sqref="H46">
    <cfRule type="expression" dxfId="217" priority="336" stopIfTrue="1">
      <formula>$E46="List"</formula>
    </cfRule>
  </conditionalFormatting>
  <conditionalFormatting sqref="H46">
    <cfRule type="expression" dxfId="216" priority="335" stopIfTrue="1">
      <formula>$E46="Text Length"</formula>
    </cfRule>
  </conditionalFormatting>
  <conditionalFormatting sqref="H46">
    <cfRule type="expression" dxfId="215" priority="334" stopIfTrue="1">
      <formula>$E46=""</formula>
    </cfRule>
  </conditionalFormatting>
  <conditionalFormatting sqref="G46">
    <cfRule type="expression" dxfId="214" priority="333" stopIfTrue="1">
      <formula>$E46=""</formula>
    </cfRule>
  </conditionalFormatting>
  <conditionalFormatting sqref="H47">
    <cfRule type="expression" dxfId="213" priority="332" stopIfTrue="1">
      <formula>$E47="List"</formula>
    </cfRule>
  </conditionalFormatting>
  <conditionalFormatting sqref="H47">
    <cfRule type="expression" dxfId="212" priority="331" stopIfTrue="1">
      <formula>$E47="Text Length"</formula>
    </cfRule>
  </conditionalFormatting>
  <conditionalFormatting sqref="H47">
    <cfRule type="expression" dxfId="211" priority="330" stopIfTrue="1">
      <formula>$E47=""</formula>
    </cfRule>
  </conditionalFormatting>
  <conditionalFormatting sqref="G47">
    <cfRule type="expression" dxfId="210" priority="329" stopIfTrue="1">
      <formula>$E47=""</formula>
    </cfRule>
  </conditionalFormatting>
  <conditionalFormatting sqref="H48">
    <cfRule type="expression" dxfId="209" priority="328" stopIfTrue="1">
      <formula>$E48="List"</formula>
    </cfRule>
  </conditionalFormatting>
  <conditionalFormatting sqref="H48">
    <cfRule type="expression" dxfId="208" priority="327" stopIfTrue="1">
      <formula>$E48="Text Length"</formula>
    </cfRule>
  </conditionalFormatting>
  <conditionalFormatting sqref="H48">
    <cfRule type="expression" dxfId="207" priority="326" stopIfTrue="1">
      <formula>$E48=""</formula>
    </cfRule>
  </conditionalFormatting>
  <conditionalFormatting sqref="G48">
    <cfRule type="expression" dxfId="206" priority="325" stopIfTrue="1">
      <formula>$E48=""</formula>
    </cfRule>
  </conditionalFormatting>
  <conditionalFormatting sqref="H49">
    <cfRule type="expression" dxfId="205" priority="324" stopIfTrue="1">
      <formula>$E49="List"</formula>
    </cfRule>
  </conditionalFormatting>
  <conditionalFormatting sqref="H49">
    <cfRule type="expression" dxfId="204" priority="323" stopIfTrue="1">
      <formula>$E49="Text Length"</formula>
    </cfRule>
  </conditionalFormatting>
  <conditionalFormatting sqref="H49">
    <cfRule type="expression" dxfId="203" priority="322" stopIfTrue="1">
      <formula>$E49=""</formula>
    </cfRule>
  </conditionalFormatting>
  <conditionalFormatting sqref="G49">
    <cfRule type="expression" dxfId="202" priority="321" stopIfTrue="1">
      <formula>$E49=""</formula>
    </cfRule>
  </conditionalFormatting>
  <conditionalFormatting sqref="H50">
    <cfRule type="expression" dxfId="201" priority="320" stopIfTrue="1">
      <formula>$E50="List"</formula>
    </cfRule>
  </conditionalFormatting>
  <conditionalFormatting sqref="H50">
    <cfRule type="expression" dxfId="200" priority="319" stopIfTrue="1">
      <formula>$E50="Text Length"</formula>
    </cfRule>
  </conditionalFormatting>
  <conditionalFormatting sqref="H50">
    <cfRule type="expression" dxfId="199" priority="318" stopIfTrue="1">
      <formula>$E50=""</formula>
    </cfRule>
  </conditionalFormatting>
  <conditionalFormatting sqref="G50">
    <cfRule type="expression" dxfId="198" priority="317" stopIfTrue="1">
      <formula>$E50=""</formula>
    </cfRule>
  </conditionalFormatting>
  <conditionalFormatting sqref="H51">
    <cfRule type="expression" dxfId="197" priority="312" stopIfTrue="1">
      <formula>$E51="List"</formula>
    </cfRule>
  </conditionalFormatting>
  <conditionalFormatting sqref="H51">
    <cfRule type="expression" dxfId="196" priority="311" stopIfTrue="1">
      <formula>$E51="Text Length"</formula>
    </cfRule>
  </conditionalFormatting>
  <conditionalFormatting sqref="H51">
    <cfRule type="expression" dxfId="195" priority="310" stopIfTrue="1">
      <formula>$E51=""</formula>
    </cfRule>
  </conditionalFormatting>
  <conditionalFormatting sqref="G51">
    <cfRule type="expression" dxfId="194" priority="309" stopIfTrue="1">
      <formula>$E51=""</formula>
    </cfRule>
  </conditionalFormatting>
  <conditionalFormatting sqref="H73">
    <cfRule type="expression" dxfId="193" priority="304" stopIfTrue="1">
      <formula>$E73="List"</formula>
    </cfRule>
  </conditionalFormatting>
  <conditionalFormatting sqref="H73">
    <cfRule type="expression" dxfId="192" priority="303" stopIfTrue="1">
      <formula>$E73="Text Length"</formula>
    </cfRule>
  </conditionalFormatting>
  <conditionalFormatting sqref="H73">
    <cfRule type="expression" dxfId="191" priority="302" stopIfTrue="1">
      <formula>$E73=""</formula>
    </cfRule>
  </conditionalFormatting>
  <conditionalFormatting sqref="G76">
    <cfRule type="expression" dxfId="190" priority="299" stopIfTrue="1">
      <formula>$E76=""</formula>
    </cfRule>
  </conditionalFormatting>
  <conditionalFormatting sqref="H78">
    <cfRule type="expression" dxfId="189" priority="294" stopIfTrue="1">
      <formula>$E78="List"</formula>
    </cfRule>
  </conditionalFormatting>
  <conditionalFormatting sqref="H78">
    <cfRule type="expression" dxfId="188" priority="293" stopIfTrue="1">
      <formula>$E78="Text Length"</formula>
    </cfRule>
  </conditionalFormatting>
  <conditionalFormatting sqref="H78">
    <cfRule type="expression" dxfId="187" priority="292" stopIfTrue="1">
      <formula>$E78=""</formula>
    </cfRule>
  </conditionalFormatting>
  <conditionalFormatting sqref="G78">
    <cfRule type="expression" dxfId="186" priority="291" stopIfTrue="1">
      <formula>$E78=""</formula>
    </cfRule>
  </conditionalFormatting>
  <conditionalFormatting sqref="H79">
    <cfRule type="expression" dxfId="185" priority="282" stopIfTrue="1">
      <formula>$E79="List"</formula>
    </cfRule>
  </conditionalFormatting>
  <conditionalFormatting sqref="H79">
    <cfRule type="expression" dxfId="184" priority="281" stopIfTrue="1">
      <formula>$E79="Text Length"</formula>
    </cfRule>
  </conditionalFormatting>
  <conditionalFormatting sqref="H79">
    <cfRule type="expression" dxfId="183" priority="280" stopIfTrue="1">
      <formula>$E79=""</formula>
    </cfRule>
  </conditionalFormatting>
  <conditionalFormatting sqref="G79">
    <cfRule type="expression" dxfId="182" priority="279" stopIfTrue="1">
      <formula>$E79=""</formula>
    </cfRule>
  </conditionalFormatting>
  <conditionalFormatting sqref="H80">
    <cfRule type="expression" dxfId="181" priority="278" stopIfTrue="1">
      <formula>$E80="List"</formula>
    </cfRule>
  </conditionalFormatting>
  <conditionalFormatting sqref="H80">
    <cfRule type="expression" dxfId="180" priority="277" stopIfTrue="1">
      <formula>$E80="Text Length"</formula>
    </cfRule>
  </conditionalFormatting>
  <conditionalFormatting sqref="H80">
    <cfRule type="expression" dxfId="179" priority="276" stopIfTrue="1">
      <formula>$E80=""</formula>
    </cfRule>
  </conditionalFormatting>
  <conditionalFormatting sqref="G80">
    <cfRule type="expression" dxfId="178" priority="275" stopIfTrue="1">
      <formula>$E80=""</formula>
    </cfRule>
  </conditionalFormatting>
  <conditionalFormatting sqref="G117">
    <cfRule type="expression" dxfId="177" priority="258" stopIfTrue="1">
      <formula>$E117=""</formula>
    </cfRule>
  </conditionalFormatting>
  <conditionalFormatting sqref="G119">
    <cfRule type="expression" dxfId="176" priority="257" stopIfTrue="1">
      <formula>$E119=""</formula>
    </cfRule>
  </conditionalFormatting>
  <conditionalFormatting sqref="G121">
    <cfRule type="expression" dxfId="175" priority="256" stopIfTrue="1">
      <formula>$E121=""</formula>
    </cfRule>
  </conditionalFormatting>
  <conditionalFormatting sqref="G123">
    <cfRule type="expression" dxfId="174" priority="255" stopIfTrue="1">
      <formula>$E123=""</formula>
    </cfRule>
  </conditionalFormatting>
  <conditionalFormatting sqref="G125">
    <cfRule type="expression" dxfId="173" priority="254" stopIfTrue="1">
      <formula>$E125=""</formula>
    </cfRule>
  </conditionalFormatting>
  <conditionalFormatting sqref="G126">
    <cfRule type="expression" dxfId="172" priority="253" stopIfTrue="1">
      <formula>$E126=""</formula>
    </cfRule>
  </conditionalFormatting>
  <conditionalFormatting sqref="G128">
    <cfRule type="expression" dxfId="171" priority="252" stopIfTrue="1">
      <formula>$E128=""</formula>
    </cfRule>
  </conditionalFormatting>
  <conditionalFormatting sqref="G130">
    <cfRule type="expression" dxfId="170" priority="251" stopIfTrue="1">
      <formula>$E130=""</formula>
    </cfRule>
  </conditionalFormatting>
  <conditionalFormatting sqref="G132">
    <cfRule type="expression" dxfId="169" priority="249" stopIfTrue="1">
      <formula>$E132=""</formula>
    </cfRule>
  </conditionalFormatting>
  <conditionalFormatting sqref="G120">
    <cfRule type="expression" dxfId="168" priority="248" stopIfTrue="1">
      <formula>$E120=""</formula>
    </cfRule>
  </conditionalFormatting>
  <conditionalFormatting sqref="G122">
    <cfRule type="expression" dxfId="167" priority="247" stopIfTrue="1">
      <formula>$E122=""</formula>
    </cfRule>
  </conditionalFormatting>
  <conditionalFormatting sqref="G127">
    <cfRule type="expression" dxfId="166" priority="246" stopIfTrue="1">
      <formula>$E127=""</formula>
    </cfRule>
  </conditionalFormatting>
  <conditionalFormatting sqref="G129">
    <cfRule type="expression" dxfId="165" priority="245" stopIfTrue="1">
      <formula>$E129=""</formula>
    </cfRule>
  </conditionalFormatting>
  <conditionalFormatting sqref="G131">
    <cfRule type="expression" dxfId="164" priority="243" stopIfTrue="1">
      <formula>$E131=""</formula>
    </cfRule>
  </conditionalFormatting>
  <conditionalFormatting sqref="G133">
    <cfRule type="expression" dxfId="163" priority="242" stopIfTrue="1">
      <formula>$E133=""</formula>
    </cfRule>
  </conditionalFormatting>
  <conditionalFormatting sqref="G134">
    <cfRule type="expression" dxfId="162" priority="241" stopIfTrue="1">
      <formula>$E134=""</formula>
    </cfRule>
  </conditionalFormatting>
  <conditionalFormatting sqref="G135">
    <cfRule type="expression" dxfId="161" priority="239" stopIfTrue="1">
      <formula>$E135=""</formula>
    </cfRule>
  </conditionalFormatting>
  <conditionalFormatting sqref="H83">
    <cfRule type="expression" dxfId="160" priority="238" stopIfTrue="1">
      <formula>$E83="List"</formula>
    </cfRule>
  </conditionalFormatting>
  <conditionalFormatting sqref="H83">
    <cfRule type="expression" dxfId="159" priority="237" stopIfTrue="1">
      <formula>$E83="Text Length"</formula>
    </cfRule>
  </conditionalFormatting>
  <conditionalFormatting sqref="H83">
    <cfRule type="expression" dxfId="158" priority="236" stopIfTrue="1">
      <formula>$E83=""</formula>
    </cfRule>
  </conditionalFormatting>
  <conditionalFormatting sqref="G83">
    <cfRule type="expression" dxfId="157" priority="235" stopIfTrue="1">
      <formula>$E83=""</formula>
    </cfRule>
  </conditionalFormatting>
  <conditionalFormatting sqref="H84">
    <cfRule type="expression" dxfId="156" priority="234" stopIfTrue="1">
      <formula>$E84="List"</formula>
    </cfRule>
  </conditionalFormatting>
  <conditionalFormatting sqref="H84">
    <cfRule type="expression" dxfId="155" priority="233" stopIfTrue="1">
      <formula>$E84="Text Length"</formula>
    </cfRule>
  </conditionalFormatting>
  <conditionalFormatting sqref="H84">
    <cfRule type="expression" dxfId="154" priority="232" stopIfTrue="1">
      <formula>$E84=""</formula>
    </cfRule>
  </conditionalFormatting>
  <conditionalFormatting sqref="G84">
    <cfRule type="expression" dxfId="153" priority="231" stopIfTrue="1">
      <formula>$E84=""</formula>
    </cfRule>
  </conditionalFormatting>
  <conditionalFormatting sqref="H94">
    <cfRule type="expression" dxfId="152" priority="186" stopIfTrue="1">
      <formula>$E94="List"</formula>
    </cfRule>
  </conditionalFormatting>
  <conditionalFormatting sqref="H94">
    <cfRule type="expression" dxfId="151" priority="185" stopIfTrue="1">
      <formula>$E94="Text Length"</formula>
    </cfRule>
  </conditionalFormatting>
  <conditionalFormatting sqref="H94">
    <cfRule type="expression" dxfId="150" priority="184" stopIfTrue="1">
      <formula>$E94=""</formula>
    </cfRule>
  </conditionalFormatting>
  <conditionalFormatting sqref="G94">
    <cfRule type="expression" dxfId="149" priority="183" stopIfTrue="1">
      <formula>$E94=""</formula>
    </cfRule>
  </conditionalFormatting>
  <conditionalFormatting sqref="H87">
    <cfRule type="expression" dxfId="148" priority="222" stopIfTrue="1">
      <formula>$E87="List"</formula>
    </cfRule>
  </conditionalFormatting>
  <conditionalFormatting sqref="H87">
    <cfRule type="expression" dxfId="147" priority="221" stopIfTrue="1">
      <formula>$E87="Text Length"</formula>
    </cfRule>
  </conditionalFormatting>
  <conditionalFormatting sqref="H87">
    <cfRule type="expression" dxfId="146" priority="220" stopIfTrue="1">
      <formula>$E87=""</formula>
    </cfRule>
  </conditionalFormatting>
  <conditionalFormatting sqref="G87">
    <cfRule type="expression" dxfId="145" priority="219" stopIfTrue="1">
      <formula>$E87=""</formula>
    </cfRule>
  </conditionalFormatting>
  <conditionalFormatting sqref="H88">
    <cfRule type="expression" dxfId="144" priority="218" stopIfTrue="1">
      <formula>$E88="List"</formula>
    </cfRule>
  </conditionalFormatting>
  <conditionalFormatting sqref="H88">
    <cfRule type="expression" dxfId="143" priority="217" stopIfTrue="1">
      <formula>$E88="Text Length"</formula>
    </cfRule>
  </conditionalFormatting>
  <conditionalFormatting sqref="H88">
    <cfRule type="expression" dxfId="142" priority="216" stopIfTrue="1">
      <formula>$E88=""</formula>
    </cfRule>
  </conditionalFormatting>
  <conditionalFormatting sqref="G88">
    <cfRule type="expression" dxfId="141" priority="215" stopIfTrue="1">
      <formula>$E88=""</formula>
    </cfRule>
  </conditionalFormatting>
  <conditionalFormatting sqref="H89">
    <cfRule type="expression" dxfId="140" priority="210" stopIfTrue="1">
      <formula>$E89="List"</formula>
    </cfRule>
  </conditionalFormatting>
  <conditionalFormatting sqref="H89">
    <cfRule type="expression" dxfId="139" priority="209" stopIfTrue="1">
      <formula>$E89="Text Length"</formula>
    </cfRule>
  </conditionalFormatting>
  <conditionalFormatting sqref="H89">
    <cfRule type="expression" dxfId="138" priority="208" stopIfTrue="1">
      <formula>$E89=""</formula>
    </cfRule>
  </conditionalFormatting>
  <conditionalFormatting sqref="G89">
    <cfRule type="expression" dxfId="137" priority="207" stopIfTrue="1">
      <formula>$E89=""</formula>
    </cfRule>
  </conditionalFormatting>
  <conditionalFormatting sqref="H90">
    <cfRule type="expression" dxfId="136" priority="202" stopIfTrue="1">
      <formula>$E90="List"</formula>
    </cfRule>
  </conditionalFormatting>
  <conditionalFormatting sqref="H90">
    <cfRule type="expression" dxfId="135" priority="201" stopIfTrue="1">
      <formula>$E90="Text Length"</formula>
    </cfRule>
  </conditionalFormatting>
  <conditionalFormatting sqref="H90">
    <cfRule type="expression" dxfId="134" priority="200" stopIfTrue="1">
      <formula>$E90=""</formula>
    </cfRule>
  </conditionalFormatting>
  <conditionalFormatting sqref="G90">
    <cfRule type="expression" dxfId="133" priority="199" stopIfTrue="1">
      <formula>$E90=""</formula>
    </cfRule>
  </conditionalFormatting>
  <conditionalFormatting sqref="H95">
    <cfRule type="expression" dxfId="132" priority="182" stopIfTrue="1">
      <formula>$E95="List"</formula>
    </cfRule>
  </conditionalFormatting>
  <conditionalFormatting sqref="H95">
    <cfRule type="expression" dxfId="131" priority="181" stopIfTrue="1">
      <formula>$E95="Text Length"</formula>
    </cfRule>
  </conditionalFormatting>
  <conditionalFormatting sqref="H95">
    <cfRule type="expression" dxfId="130" priority="180" stopIfTrue="1">
      <formula>$E95=""</formula>
    </cfRule>
  </conditionalFormatting>
  <conditionalFormatting sqref="G95">
    <cfRule type="expression" dxfId="129" priority="179" stopIfTrue="1">
      <formula>$E95=""</formula>
    </cfRule>
  </conditionalFormatting>
  <conditionalFormatting sqref="H93">
    <cfRule type="expression" dxfId="128" priority="190" stopIfTrue="1">
      <formula>$E93="List"</formula>
    </cfRule>
  </conditionalFormatting>
  <conditionalFormatting sqref="H93">
    <cfRule type="expression" dxfId="127" priority="189" stopIfTrue="1">
      <formula>$E93="Text Length"</formula>
    </cfRule>
  </conditionalFormatting>
  <conditionalFormatting sqref="H93">
    <cfRule type="expression" dxfId="126" priority="188" stopIfTrue="1">
      <formula>$E93=""</formula>
    </cfRule>
  </conditionalFormatting>
  <conditionalFormatting sqref="G93">
    <cfRule type="expression" dxfId="125" priority="187" stopIfTrue="1">
      <formula>$E93=""</formula>
    </cfRule>
  </conditionalFormatting>
  <conditionalFormatting sqref="H96">
    <cfRule type="expression" dxfId="124" priority="174" stopIfTrue="1">
      <formula>$E96="List"</formula>
    </cfRule>
  </conditionalFormatting>
  <conditionalFormatting sqref="H96">
    <cfRule type="expression" dxfId="123" priority="173" stopIfTrue="1">
      <formula>$E96="Text Length"</formula>
    </cfRule>
  </conditionalFormatting>
  <conditionalFormatting sqref="H96">
    <cfRule type="expression" dxfId="122" priority="172" stopIfTrue="1">
      <formula>$E96=""</formula>
    </cfRule>
  </conditionalFormatting>
  <conditionalFormatting sqref="G96">
    <cfRule type="expression" dxfId="121" priority="171" stopIfTrue="1">
      <formula>$E96=""</formula>
    </cfRule>
  </conditionalFormatting>
  <conditionalFormatting sqref="H104">
    <cfRule type="expression" dxfId="120" priority="138" stopIfTrue="1">
      <formula>$E104="List"</formula>
    </cfRule>
  </conditionalFormatting>
  <conditionalFormatting sqref="H104">
    <cfRule type="expression" dxfId="119" priority="137" stopIfTrue="1">
      <formula>$E104="Text Length"</formula>
    </cfRule>
  </conditionalFormatting>
  <conditionalFormatting sqref="H104">
    <cfRule type="expression" dxfId="118" priority="136" stopIfTrue="1">
      <formula>$E104=""</formula>
    </cfRule>
  </conditionalFormatting>
  <conditionalFormatting sqref="G104">
    <cfRule type="expression" dxfId="117" priority="135" stopIfTrue="1">
      <formula>$E104=""</formula>
    </cfRule>
  </conditionalFormatting>
  <conditionalFormatting sqref="H102">
    <cfRule type="expression" dxfId="116" priority="142" stopIfTrue="1">
      <formula>$E102="List"</formula>
    </cfRule>
  </conditionalFormatting>
  <conditionalFormatting sqref="H102">
    <cfRule type="expression" dxfId="115" priority="141" stopIfTrue="1">
      <formula>$E102="Text Length"</formula>
    </cfRule>
  </conditionalFormatting>
  <conditionalFormatting sqref="H102">
    <cfRule type="expression" dxfId="114" priority="140" stopIfTrue="1">
      <formula>$E102=""</formula>
    </cfRule>
  </conditionalFormatting>
  <conditionalFormatting sqref="G102">
    <cfRule type="expression" dxfId="113" priority="139" stopIfTrue="1">
      <formula>$E102=""</formula>
    </cfRule>
  </conditionalFormatting>
  <conditionalFormatting sqref="H99">
    <cfRule type="expression" dxfId="112" priority="162" stopIfTrue="1">
      <formula>$E99="List"</formula>
    </cfRule>
  </conditionalFormatting>
  <conditionalFormatting sqref="H99">
    <cfRule type="expression" dxfId="111" priority="161" stopIfTrue="1">
      <formula>$E99="Text Length"</formula>
    </cfRule>
  </conditionalFormatting>
  <conditionalFormatting sqref="H99">
    <cfRule type="expression" dxfId="110" priority="160" stopIfTrue="1">
      <formula>$E99=""</formula>
    </cfRule>
  </conditionalFormatting>
  <conditionalFormatting sqref="G99">
    <cfRule type="expression" dxfId="109" priority="159" stopIfTrue="1">
      <formula>$E99=""</formula>
    </cfRule>
  </conditionalFormatting>
  <conditionalFormatting sqref="H100">
    <cfRule type="expression" dxfId="108" priority="158" stopIfTrue="1">
      <formula>$E100="List"</formula>
    </cfRule>
  </conditionalFormatting>
  <conditionalFormatting sqref="H100">
    <cfRule type="expression" dxfId="107" priority="157" stopIfTrue="1">
      <formula>$E100="Text Length"</formula>
    </cfRule>
  </conditionalFormatting>
  <conditionalFormatting sqref="H100">
    <cfRule type="expression" dxfId="106" priority="156" stopIfTrue="1">
      <formula>$E100=""</formula>
    </cfRule>
  </conditionalFormatting>
  <conditionalFormatting sqref="G100">
    <cfRule type="expression" dxfId="105" priority="155" stopIfTrue="1">
      <formula>$E100=""</formula>
    </cfRule>
  </conditionalFormatting>
  <conditionalFormatting sqref="H101">
    <cfRule type="expression" dxfId="104" priority="150" stopIfTrue="1">
      <formula>$E101="List"</formula>
    </cfRule>
  </conditionalFormatting>
  <conditionalFormatting sqref="H101">
    <cfRule type="expression" dxfId="103" priority="149" stopIfTrue="1">
      <formula>$E101="Text Length"</formula>
    </cfRule>
  </conditionalFormatting>
  <conditionalFormatting sqref="H101">
    <cfRule type="expression" dxfId="102" priority="148" stopIfTrue="1">
      <formula>$E101=""</formula>
    </cfRule>
  </conditionalFormatting>
  <conditionalFormatting sqref="G101">
    <cfRule type="expression" dxfId="101" priority="147" stopIfTrue="1">
      <formula>$E101=""</formula>
    </cfRule>
  </conditionalFormatting>
  <conditionalFormatting sqref="H108">
    <cfRule type="expression" dxfId="100" priority="122" stopIfTrue="1">
      <formula>$E108="List"</formula>
    </cfRule>
  </conditionalFormatting>
  <conditionalFormatting sqref="H108">
    <cfRule type="expression" dxfId="99" priority="121" stopIfTrue="1">
      <formula>$E108="Text Length"</formula>
    </cfRule>
  </conditionalFormatting>
  <conditionalFormatting sqref="H108">
    <cfRule type="expression" dxfId="98" priority="120" stopIfTrue="1">
      <formula>$E108=""</formula>
    </cfRule>
  </conditionalFormatting>
  <conditionalFormatting sqref="G108">
    <cfRule type="expression" dxfId="97" priority="119" stopIfTrue="1">
      <formula>$E108=""</formula>
    </cfRule>
  </conditionalFormatting>
  <conditionalFormatting sqref="H107">
    <cfRule type="expression" dxfId="96" priority="126" stopIfTrue="1">
      <formula>$E107="List"</formula>
    </cfRule>
  </conditionalFormatting>
  <conditionalFormatting sqref="H107">
    <cfRule type="expression" dxfId="95" priority="125" stopIfTrue="1">
      <formula>$E107="Text Length"</formula>
    </cfRule>
  </conditionalFormatting>
  <conditionalFormatting sqref="H107">
    <cfRule type="expression" dxfId="94" priority="124" stopIfTrue="1">
      <formula>$E107=""</formula>
    </cfRule>
  </conditionalFormatting>
  <conditionalFormatting sqref="G107">
    <cfRule type="expression" dxfId="93" priority="123" stopIfTrue="1">
      <formula>$E107=""</formula>
    </cfRule>
  </conditionalFormatting>
  <conditionalFormatting sqref="H109">
    <cfRule type="expression" dxfId="92" priority="118" stopIfTrue="1">
      <formula>$E109="List"</formula>
    </cfRule>
  </conditionalFormatting>
  <conditionalFormatting sqref="H109">
    <cfRule type="expression" dxfId="91" priority="117" stopIfTrue="1">
      <formula>$E109="Text Length"</formula>
    </cfRule>
  </conditionalFormatting>
  <conditionalFormatting sqref="H109">
    <cfRule type="expression" dxfId="90" priority="116" stopIfTrue="1">
      <formula>$E109=""</formula>
    </cfRule>
  </conditionalFormatting>
  <conditionalFormatting sqref="G109">
    <cfRule type="expression" dxfId="89" priority="115" stopIfTrue="1">
      <formula>$E109=""</formula>
    </cfRule>
  </conditionalFormatting>
  <conditionalFormatting sqref="H110">
    <cfRule type="expression" dxfId="88" priority="110" stopIfTrue="1">
      <formula>$E110="List"</formula>
    </cfRule>
  </conditionalFormatting>
  <conditionalFormatting sqref="H110">
    <cfRule type="expression" dxfId="87" priority="109" stopIfTrue="1">
      <formula>$E110="Text Length"</formula>
    </cfRule>
  </conditionalFormatting>
  <conditionalFormatting sqref="H110">
    <cfRule type="expression" dxfId="86" priority="108" stopIfTrue="1">
      <formula>$E110=""</formula>
    </cfRule>
  </conditionalFormatting>
  <conditionalFormatting sqref="G110">
    <cfRule type="expression" dxfId="85" priority="107" stopIfTrue="1">
      <formula>$E110=""</formula>
    </cfRule>
  </conditionalFormatting>
  <conditionalFormatting sqref="H114">
    <cfRule type="expression" dxfId="84" priority="98" stopIfTrue="1">
      <formula>$E114="List"</formula>
    </cfRule>
  </conditionalFormatting>
  <conditionalFormatting sqref="H114">
    <cfRule type="expression" dxfId="83" priority="97" stopIfTrue="1">
      <formula>$E114="Text Length"</formula>
    </cfRule>
  </conditionalFormatting>
  <conditionalFormatting sqref="H114">
    <cfRule type="expression" dxfId="82" priority="96" stopIfTrue="1">
      <formula>$E114=""</formula>
    </cfRule>
  </conditionalFormatting>
  <conditionalFormatting sqref="G114">
    <cfRule type="expression" dxfId="81" priority="95" stopIfTrue="1">
      <formula>$E114=""</formula>
    </cfRule>
  </conditionalFormatting>
  <conditionalFormatting sqref="H115">
    <cfRule type="expression" dxfId="80" priority="94" stopIfTrue="1">
      <formula>$E115="List"</formula>
    </cfRule>
  </conditionalFormatting>
  <conditionalFormatting sqref="H115">
    <cfRule type="expression" dxfId="79" priority="93" stopIfTrue="1">
      <formula>$E115="Text Length"</formula>
    </cfRule>
  </conditionalFormatting>
  <conditionalFormatting sqref="H115">
    <cfRule type="expression" dxfId="78" priority="92" stopIfTrue="1">
      <formula>$E115=""</formula>
    </cfRule>
  </conditionalFormatting>
  <conditionalFormatting sqref="G115">
    <cfRule type="expression" dxfId="77" priority="91" stopIfTrue="1">
      <formula>$E115=""</formula>
    </cfRule>
  </conditionalFormatting>
  <conditionalFormatting sqref="G34">
    <cfRule type="expression" dxfId="76" priority="90" stopIfTrue="1">
      <formula>$E34=""</formula>
    </cfRule>
  </conditionalFormatting>
  <conditionalFormatting sqref="G97">
    <cfRule type="expression" dxfId="75" priority="29" stopIfTrue="1">
      <formula>$E97=""</formula>
    </cfRule>
  </conditionalFormatting>
  <conditionalFormatting sqref="H64">
    <cfRule type="expression" dxfId="74" priority="88" stopIfTrue="1">
      <formula>$E64="List"</formula>
    </cfRule>
  </conditionalFormatting>
  <conditionalFormatting sqref="H64">
    <cfRule type="expression" dxfId="73" priority="87" stopIfTrue="1">
      <formula>$E64="Text Length"</formula>
    </cfRule>
  </conditionalFormatting>
  <conditionalFormatting sqref="H64">
    <cfRule type="expression" dxfId="72" priority="86" stopIfTrue="1">
      <formula>$E64=""</formula>
    </cfRule>
  </conditionalFormatting>
  <conditionalFormatting sqref="G64">
    <cfRule type="expression" dxfId="71" priority="85" stopIfTrue="1">
      <formula>$E64=""</formula>
    </cfRule>
  </conditionalFormatting>
  <conditionalFormatting sqref="H66">
    <cfRule type="expression" dxfId="70" priority="80" stopIfTrue="1">
      <formula>$E66="List"</formula>
    </cfRule>
  </conditionalFormatting>
  <conditionalFormatting sqref="H66">
    <cfRule type="expression" dxfId="69" priority="79" stopIfTrue="1">
      <formula>$E66="Text Length"</formula>
    </cfRule>
  </conditionalFormatting>
  <conditionalFormatting sqref="H66">
    <cfRule type="expression" dxfId="68" priority="78" stopIfTrue="1">
      <formula>$E66=""</formula>
    </cfRule>
  </conditionalFormatting>
  <conditionalFormatting sqref="G66">
    <cfRule type="expression" dxfId="67" priority="77" stopIfTrue="1">
      <formula>$E66=""</formula>
    </cfRule>
  </conditionalFormatting>
  <conditionalFormatting sqref="H35">
    <cfRule type="expression" dxfId="66" priority="64" stopIfTrue="1">
      <formula>$E35="List"</formula>
    </cfRule>
  </conditionalFormatting>
  <conditionalFormatting sqref="H35">
    <cfRule type="expression" dxfId="65" priority="63" stopIfTrue="1">
      <formula>$E35="Text Length"</formula>
    </cfRule>
  </conditionalFormatting>
  <conditionalFormatting sqref="H35">
    <cfRule type="expression" dxfId="64" priority="62" stopIfTrue="1">
      <formula>$E35=""</formula>
    </cfRule>
  </conditionalFormatting>
  <conditionalFormatting sqref="G35">
    <cfRule type="expression" dxfId="63" priority="61" stopIfTrue="1">
      <formula>$E35=""</formula>
    </cfRule>
  </conditionalFormatting>
  <conditionalFormatting sqref="H106">
    <cfRule type="expression" dxfId="62" priority="4" stopIfTrue="1">
      <formula>$E106="List"</formula>
    </cfRule>
  </conditionalFormatting>
  <conditionalFormatting sqref="H106">
    <cfRule type="expression" dxfId="61" priority="3" stopIfTrue="1">
      <formula>$E106="Text Length"</formula>
    </cfRule>
  </conditionalFormatting>
  <conditionalFormatting sqref="H106">
    <cfRule type="expression" dxfId="60" priority="2" stopIfTrue="1">
      <formula>$E106=""</formula>
    </cfRule>
  </conditionalFormatting>
  <conditionalFormatting sqref="G106">
    <cfRule type="expression" dxfId="59" priority="1" stopIfTrue="1">
      <formula>$E106=""</formula>
    </cfRule>
  </conditionalFormatting>
  <conditionalFormatting sqref="H36">
    <cfRule type="expression" dxfId="58" priority="56" stopIfTrue="1">
      <formula>$E36="List"</formula>
    </cfRule>
  </conditionalFormatting>
  <conditionalFormatting sqref="H36">
    <cfRule type="expression" dxfId="57" priority="55" stopIfTrue="1">
      <formula>$E36="Text Length"</formula>
    </cfRule>
  </conditionalFormatting>
  <conditionalFormatting sqref="H36">
    <cfRule type="expression" dxfId="56" priority="54" stopIfTrue="1">
      <formula>$E36=""</formula>
    </cfRule>
  </conditionalFormatting>
  <conditionalFormatting sqref="G36">
    <cfRule type="expression" dxfId="55" priority="53" stopIfTrue="1">
      <formula>$E36=""</formula>
    </cfRule>
  </conditionalFormatting>
  <conditionalFormatting sqref="H77">
    <cfRule type="expression" dxfId="54" priority="48" stopIfTrue="1">
      <formula>$E77="List"</formula>
    </cfRule>
  </conditionalFormatting>
  <conditionalFormatting sqref="H77">
    <cfRule type="expression" dxfId="53" priority="47" stopIfTrue="1">
      <formula>$E77="Text Length"</formula>
    </cfRule>
  </conditionalFormatting>
  <conditionalFormatting sqref="H77">
    <cfRule type="expression" dxfId="52" priority="46" stopIfTrue="1">
      <formula>$E77=""</formula>
    </cfRule>
  </conditionalFormatting>
  <conditionalFormatting sqref="G77">
    <cfRule type="expression" dxfId="51" priority="45" stopIfTrue="1">
      <formula>$E77=""</formula>
    </cfRule>
  </conditionalFormatting>
  <conditionalFormatting sqref="H85">
    <cfRule type="expression" dxfId="50" priority="36" stopIfTrue="1">
      <formula>$E85="List"</formula>
    </cfRule>
  </conditionalFormatting>
  <conditionalFormatting sqref="H85">
    <cfRule type="expression" dxfId="49" priority="35" stopIfTrue="1">
      <formula>$E85="Text Length"</formula>
    </cfRule>
  </conditionalFormatting>
  <conditionalFormatting sqref="H85">
    <cfRule type="expression" dxfId="48" priority="34" stopIfTrue="1">
      <formula>$E85=""</formula>
    </cfRule>
  </conditionalFormatting>
  <conditionalFormatting sqref="G85">
    <cfRule type="expression" dxfId="47" priority="33" stopIfTrue="1">
      <formula>$E85=""</formula>
    </cfRule>
  </conditionalFormatting>
  <conditionalFormatting sqref="H97">
    <cfRule type="expression" dxfId="46" priority="32" stopIfTrue="1">
      <formula>$E97="List"</formula>
    </cfRule>
  </conditionalFormatting>
  <conditionalFormatting sqref="H97">
    <cfRule type="expression" dxfId="45" priority="31" stopIfTrue="1">
      <formula>$E97="Text Length"</formula>
    </cfRule>
  </conditionalFormatting>
  <conditionalFormatting sqref="H97">
    <cfRule type="expression" dxfId="44" priority="30" stopIfTrue="1">
      <formula>$E97=""</formula>
    </cfRule>
  </conditionalFormatting>
  <conditionalFormatting sqref="H86">
    <cfRule type="expression" dxfId="43" priority="28" stopIfTrue="1">
      <formula>$E86="List"</formula>
    </cfRule>
  </conditionalFormatting>
  <conditionalFormatting sqref="H86">
    <cfRule type="expression" dxfId="42" priority="27" stopIfTrue="1">
      <formula>$E86="Text Length"</formula>
    </cfRule>
  </conditionalFormatting>
  <conditionalFormatting sqref="H86">
    <cfRule type="expression" dxfId="41" priority="26" stopIfTrue="1">
      <formula>$E86=""</formula>
    </cfRule>
  </conditionalFormatting>
  <conditionalFormatting sqref="G86">
    <cfRule type="expression" dxfId="40" priority="25" stopIfTrue="1">
      <formula>$E86=""</formula>
    </cfRule>
  </conditionalFormatting>
  <conditionalFormatting sqref="H98">
    <cfRule type="expression" dxfId="39" priority="20" stopIfTrue="1">
      <formula>$E98="List"</formula>
    </cfRule>
  </conditionalFormatting>
  <conditionalFormatting sqref="H98">
    <cfRule type="expression" dxfId="38" priority="19" stopIfTrue="1">
      <formula>$E98="Text Length"</formula>
    </cfRule>
  </conditionalFormatting>
  <conditionalFormatting sqref="H98">
    <cfRule type="expression" dxfId="37" priority="18" stopIfTrue="1">
      <formula>$E98=""</formula>
    </cfRule>
  </conditionalFormatting>
  <conditionalFormatting sqref="G98">
    <cfRule type="expression" dxfId="36" priority="17" stopIfTrue="1">
      <formula>$E98=""</formula>
    </cfRule>
  </conditionalFormatting>
  <conditionalFormatting sqref="H91">
    <cfRule type="expression" dxfId="35" priority="16" stopIfTrue="1">
      <formula>$E91="List"</formula>
    </cfRule>
  </conditionalFormatting>
  <conditionalFormatting sqref="H91">
    <cfRule type="expression" dxfId="34" priority="15" stopIfTrue="1">
      <formula>$E91="Text Length"</formula>
    </cfRule>
  </conditionalFormatting>
  <conditionalFormatting sqref="H91">
    <cfRule type="expression" dxfId="33" priority="14" stopIfTrue="1">
      <formula>$E91=""</formula>
    </cfRule>
  </conditionalFormatting>
  <conditionalFormatting sqref="G91">
    <cfRule type="expression" dxfId="32" priority="13" stopIfTrue="1">
      <formula>$E91=""</formula>
    </cfRule>
  </conditionalFormatting>
  <conditionalFormatting sqref="H105">
    <cfRule type="expression" dxfId="31" priority="12" stopIfTrue="1">
      <formula>$E105="List"</formula>
    </cfRule>
  </conditionalFormatting>
  <conditionalFormatting sqref="H105">
    <cfRule type="expression" dxfId="30" priority="11" stopIfTrue="1">
      <formula>$E105="Text Length"</formula>
    </cfRule>
  </conditionalFormatting>
  <conditionalFormatting sqref="H105">
    <cfRule type="expression" dxfId="29" priority="10" stopIfTrue="1">
      <formula>$E105=""</formula>
    </cfRule>
  </conditionalFormatting>
  <conditionalFormatting sqref="G105">
    <cfRule type="expression" dxfId="28" priority="9" stopIfTrue="1">
      <formula>$E105=""</formula>
    </cfRule>
  </conditionalFormatting>
  <conditionalFormatting sqref="H92">
    <cfRule type="expression" dxfId="27" priority="8" stopIfTrue="1">
      <formula>$E92="List"</formula>
    </cfRule>
  </conditionalFormatting>
  <conditionalFormatting sqref="H92">
    <cfRule type="expression" dxfId="26" priority="7" stopIfTrue="1">
      <formula>$E92="Text Length"</formula>
    </cfRule>
  </conditionalFormatting>
  <conditionalFormatting sqref="H92">
    <cfRule type="expression" dxfId="25" priority="6" stopIfTrue="1">
      <formula>$E92=""</formula>
    </cfRule>
  </conditionalFormatting>
  <conditionalFormatting sqref="G92">
    <cfRule type="expression" dxfId="24" priority="5" stopIfTrue="1">
      <formula>$E92=""</formula>
    </cfRule>
  </conditionalFormatting>
  <dataValidations count="1">
    <dataValidation type="list" allowBlank="1" showInputMessage="1" showErrorMessage="1" sqref="E24:E159">
      <formula1>"List,Percentage,Whole Number,Text Length"</formula1>
    </dataValidation>
  </dataValidations>
  <hyperlinks>
    <hyperlink ref="E3" r:id="rId1"/>
  </hyperlinks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indexed="23"/>
    <pageSetUpPr fitToPage="1"/>
  </sheetPr>
  <dimension ref="B1:X86"/>
  <sheetViews>
    <sheetView zoomScale="116" workbookViewId="0">
      <pane ySplit="8" topLeftCell="A20" activePane="bottomLeft" state="frozenSplit"/>
      <selection activeCell="B2" sqref="B2:N100"/>
      <selection pane="bottomLeft" activeCell="K29" sqref="K29"/>
    </sheetView>
  </sheetViews>
  <sheetFormatPr defaultRowHeight="15"/>
  <cols>
    <col min="1" max="1" width="1.6640625" style="980" customWidth="1"/>
    <col min="2" max="2" width="1.5" style="980" customWidth="1"/>
    <col min="3" max="3" width="2.6640625" style="980" customWidth="1"/>
    <col min="4" max="4" width="11.83203125" style="980" customWidth="1"/>
    <col min="5" max="5" width="11.5" style="980" customWidth="1"/>
    <col min="6" max="6" width="8.5" style="980" customWidth="1"/>
    <col min="7" max="7" width="14.6640625" style="980" customWidth="1"/>
    <col min="8" max="8" width="3.33203125" style="980" customWidth="1"/>
    <col min="9" max="9" width="14.6640625" style="980" customWidth="1"/>
    <col min="10" max="10" width="3.33203125" style="980" customWidth="1"/>
    <col min="11" max="11" width="14.6640625" style="980" customWidth="1"/>
    <col min="12" max="14" width="3.33203125" style="980" customWidth="1"/>
    <col min="15" max="15" width="14.6640625" style="980" customWidth="1"/>
    <col min="16" max="16" width="15.33203125" style="980" customWidth="1"/>
    <col min="17" max="17" width="2" style="980" customWidth="1"/>
    <col min="18" max="18" width="3.6640625" style="980" customWidth="1"/>
    <col min="19" max="19" width="9.33203125" style="980" customWidth="1"/>
    <col min="20" max="20" width="13" style="980" customWidth="1"/>
    <col min="21" max="21" width="9.83203125" style="980" customWidth="1"/>
    <col min="22" max="22" width="9.33203125" style="980" customWidth="1"/>
    <col min="23" max="23" width="13.5" style="980" customWidth="1"/>
    <col min="24" max="24" width="5.6640625" style="980" customWidth="1"/>
    <col min="25" max="16384" width="9.33203125" style="980"/>
  </cols>
  <sheetData>
    <row r="1" spans="2:24" ht="7.5" customHeight="1" thickBot="1"/>
    <row r="2" spans="2:24" ht="15.75">
      <c r="B2" s="926"/>
      <c r="C2" s="927"/>
      <c r="D2" s="927"/>
      <c r="E2" s="927"/>
      <c r="F2" s="927"/>
      <c r="G2" s="927"/>
      <c r="H2" s="927"/>
      <c r="I2" s="927"/>
      <c r="J2" s="927"/>
      <c r="K2" s="927"/>
      <c r="L2" s="927"/>
      <c r="M2" s="927"/>
      <c r="N2" s="927"/>
      <c r="O2" s="927"/>
      <c r="P2" s="927"/>
      <c r="Q2" s="928"/>
      <c r="W2" s="1758" t="s">
        <v>505</v>
      </c>
      <c r="X2" s="1758">
        <f>xxSim0Tool1</f>
        <v>0</v>
      </c>
    </row>
    <row r="3" spans="2:24" ht="23.25">
      <c r="B3" s="981"/>
      <c r="C3" s="982"/>
      <c r="D3" s="982"/>
      <c r="E3" s="1848"/>
      <c r="F3" s="1848"/>
      <c r="G3" s="1848"/>
      <c r="H3" s="1848"/>
      <c r="I3" s="2101" t="s">
        <v>2036</v>
      </c>
      <c r="J3" s="1840"/>
      <c r="K3" s="1848"/>
      <c r="L3" s="1848"/>
      <c r="M3" s="1848"/>
      <c r="N3" s="1848"/>
      <c r="O3" s="1848"/>
      <c r="P3" s="2102" t="str">
        <f>INDEX(decTeamName,,xxIndexTeam)</f>
        <v>Vivia</v>
      </c>
      <c r="Q3" s="983"/>
      <c r="W3" s="1758" t="s">
        <v>190</v>
      </c>
      <c r="X3" s="1758">
        <f>xxYear</f>
        <v>1</v>
      </c>
    </row>
    <row r="4" spans="2:24" ht="6" customHeight="1">
      <c r="B4" s="984"/>
      <c r="C4" s="985"/>
      <c r="D4" s="985"/>
      <c r="E4" s="2103"/>
      <c r="F4" s="2103"/>
      <c r="G4" s="2103"/>
      <c r="H4" s="2103"/>
      <c r="I4" s="2103"/>
      <c r="J4" s="2103"/>
      <c r="K4" s="2103"/>
      <c r="L4" s="2103"/>
      <c r="M4" s="2103"/>
      <c r="N4" s="2103"/>
      <c r="O4" s="2103"/>
      <c r="P4" s="2103"/>
      <c r="Q4" s="933"/>
    </row>
    <row r="5" spans="2:24" ht="15.75">
      <c r="B5" s="986"/>
      <c r="C5" s="496"/>
      <c r="D5" s="987"/>
      <c r="E5" s="1676"/>
      <c r="F5" s="1676"/>
      <c r="G5" s="1676"/>
      <c r="H5" s="1676"/>
      <c r="I5" s="1676"/>
      <c r="J5" s="1676"/>
      <c r="K5" s="1676"/>
      <c r="L5" s="1676"/>
      <c r="M5" s="1676"/>
      <c r="N5" s="1676"/>
      <c r="O5" s="1676"/>
      <c r="P5" s="1863" t="str">
        <f ca="1">xxDashboard</f>
        <v>Corporate:   Net Rev Growth: 0.3%,   Op Margin: 23.3%   ROIC: 22.9%   Sustainability: 100.5   MTUs: 81</v>
      </c>
      <c r="Q5" s="988"/>
    </row>
    <row r="6" spans="2:24" ht="6" customHeight="1">
      <c r="B6" s="989"/>
      <c r="C6" s="496"/>
      <c r="D6" s="496"/>
      <c r="E6" s="1820"/>
      <c r="F6" s="1820"/>
      <c r="G6" s="2104"/>
      <c r="H6" s="2104"/>
      <c r="I6" s="2104"/>
      <c r="J6" s="2104"/>
      <c r="K6" s="2104"/>
      <c r="L6" s="2104"/>
      <c r="M6" s="2104"/>
      <c r="N6" s="2104"/>
      <c r="O6" s="2104"/>
      <c r="P6" s="2104"/>
      <c r="Q6" s="988"/>
    </row>
    <row r="7" spans="2:24" ht="15.75" customHeight="1">
      <c r="B7" s="989"/>
      <c r="C7" s="496"/>
      <c r="D7" s="496"/>
      <c r="E7" s="1820"/>
      <c r="F7" s="1820"/>
      <c r="G7" s="1676"/>
      <c r="H7" s="1676"/>
      <c r="I7" s="2104"/>
      <c r="J7" s="2104"/>
      <c r="K7" s="2104"/>
      <c r="L7" s="2104"/>
      <c r="M7" s="2104"/>
      <c r="N7" s="2104"/>
      <c r="O7" s="2104"/>
      <c r="P7" s="1863" t="str">
        <f ca="1">xxReg1Dashboard</f>
        <v>Vetera Market:   Beverage Rev: $12,398,274   F&amp;S Rev: $6,771,250   Op Margin: 24.0%</v>
      </c>
      <c r="Q7" s="988"/>
    </row>
    <row r="8" spans="2:24" ht="6.75" customHeight="1">
      <c r="B8" s="990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988"/>
    </row>
    <row r="9" spans="2:24" ht="9" customHeight="1">
      <c r="B9" s="991"/>
      <c r="C9" s="992"/>
      <c r="D9" s="496"/>
      <c r="E9" s="496"/>
      <c r="F9" s="496"/>
      <c r="G9" s="993"/>
      <c r="H9" s="993"/>
      <c r="I9" s="993"/>
      <c r="J9" s="993"/>
      <c r="K9" s="993"/>
      <c r="L9" s="993"/>
      <c r="M9" s="993"/>
      <c r="N9" s="993"/>
      <c r="O9" s="993"/>
      <c r="P9" s="993"/>
      <c r="Q9" s="994"/>
    </row>
    <row r="10" spans="2:24" ht="15.75">
      <c r="B10" s="991"/>
      <c r="C10" s="1820" t="s">
        <v>2751</v>
      </c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994"/>
    </row>
    <row r="11" spans="2:24" ht="9" customHeight="1">
      <c r="B11" s="991"/>
      <c r="C11" s="995"/>
      <c r="D11" s="496"/>
      <c r="E11" s="496"/>
      <c r="F11" s="496"/>
      <c r="G11" s="979"/>
      <c r="H11" s="996"/>
      <c r="I11" s="979"/>
      <c r="J11" s="996"/>
      <c r="K11" s="996"/>
      <c r="L11" s="996"/>
      <c r="M11" s="996"/>
      <c r="N11" s="996"/>
      <c r="O11" s="996"/>
      <c r="P11" s="979"/>
      <c r="Q11" s="994"/>
    </row>
    <row r="12" spans="2:24" ht="12" customHeight="1">
      <c r="B12" s="991"/>
      <c r="C12" s="995"/>
      <c r="D12" s="496"/>
      <c r="E12" s="496"/>
      <c r="F12" s="496"/>
      <c r="G12" s="979"/>
      <c r="H12" s="996"/>
      <c r="I12" s="979"/>
      <c r="J12" s="996"/>
      <c r="K12" s="996"/>
      <c r="L12" s="996"/>
      <c r="M12" s="996"/>
      <c r="N12" s="996"/>
      <c r="O12" s="2098" t="s">
        <v>2750</v>
      </c>
      <c r="P12" s="1093"/>
      <c r="Q12" s="994"/>
    </row>
    <row r="13" spans="2:24" ht="15.75">
      <c r="B13" s="991"/>
      <c r="C13" s="997"/>
      <c r="D13" s="987"/>
      <c r="E13" s="496"/>
      <c r="F13" s="998"/>
      <c r="G13" s="1937" t="str">
        <f>DataNameProd1</f>
        <v>CSD</v>
      </c>
      <c r="H13" s="1937"/>
      <c r="I13" s="1937" t="str">
        <f>DataNameProd3</f>
        <v>NCB</v>
      </c>
      <c r="J13" s="1820"/>
      <c r="K13" s="1937" t="str">
        <f>DataNameProd4</f>
        <v>F&amp;S</v>
      </c>
      <c r="L13" s="496"/>
      <c r="M13" s="496"/>
      <c r="N13" s="496"/>
      <c r="O13" s="496"/>
      <c r="P13" s="496"/>
      <c r="Q13" s="994"/>
      <c r="S13" s="1080"/>
      <c r="T13" s="2492"/>
      <c r="U13" s="1000"/>
      <c r="V13" s="1000"/>
    </row>
    <row r="14" spans="2:24" ht="3.75" customHeight="1" thickBot="1">
      <c r="B14" s="991"/>
      <c r="C14" s="997"/>
      <c r="D14" s="987"/>
      <c r="E14" s="496"/>
      <c r="F14" s="496"/>
      <c r="G14" s="496"/>
      <c r="H14" s="496"/>
      <c r="I14" s="496"/>
      <c r="J14" s="496"/>
      <c r="K14" s="496"/>
      <c r="L14" s="496"/>
      <c r="M14" s="496"/>
      <c r="N14" s="496"/>
      <c r="O14" s="496"/>
      <c r="P14" s="496"/>
      <c r="Q14" s="994"/>
      <c r="S14" s="1080"/>
      <c r="U14" s="1000"/>
      <c r="V14" s="1000"/>
      <c r="W14" s="1000"/>
    </row>
    <row r="15" spans="2:24" ht="16.5" thickBot="1">
      <c r="B15" s="991"/>
      <c r="C15" s="997"/>
      <c r="D15" s="1745" t="s">
        <v>2987</v>
      </c>
      <c r="E15" s="496"/>
      <c r="F15" s="496"/>
      <c r="G15" s="1205">
        <v>-0.01</v>
      </c>
      <c r="H15" s="496"/>
      <c r="I15" s="1205">
        <v>0.05</v>
      </c>
      <c r="J15" s="496"/>
      <c r="K15" s="1205">
        <v>0.02</v>
      </c>
      <c r="L15" s="998"/>
      <c r="M15" s="496"/>
      <c r="N15" s="496"/>
      <c r="O15" s="496"/>
      <c r="P15" s="496"/>
      <c r="Q15" s="994"/>
      <c r="S15" s="2493" t="s">
        <v>1403</v>
      </c>
      <c r="T15" s="1000">
        <f>(10000*(1+T13))</f>
        <v>10000</v>
      </c>
      <c r="U15" s="1000"/>
      <c r="V15" s="1000"/>
      <c r="W15" s="1000"/>
      <c r="X15" s="1000"/>
    </row>
    <row r="16" spans="2:24" ht="15.75">
      <c r="B16" s="991"/>
      <c r="C16" s="997"/>
      <c r="D16" s="1941" t="s">
        <v>1452</v>
      </c>
      <c r="E16" s="1078"/>
      <c r="F16" s="1078"/>
      <c r="G16" s="2099">
        <f>INDEX(capProd1Reg1Units,xxIndexTeam)</f>
        <v>741713021</v>
      </c>
      <c r="H16" s="2099"/>
      <c r="I16" s="2099">
        <f>INDEX(capProd3Reg1Units,xxIndexTeam)</f>
        <v>373703400</v>
      </c>
      <c r="J16" s="2099"/>
      <c r="K16" s="2099">
        <f>INDEX(capProd4Reg1Units,xxIndexTeam)</f>
        <v>552534000</v>
      </c>
      <c r="L16" s="998"/>
      <c r="M16" s="996"/>
      <c r="N16" s="996"/>
      <c r="O16" s="996"/>
      <c r="P16" s="496"/>
      <c r="Q16" s="994"/>
      <c r="S16" s="1080" t="s">
        <v>1402</v>
      </c>
      <c r="T16" s="1080">
        <f>(20*(1+U16))</f>
        <v>20</v>
      </c>
      <c r="U16" s="2495"/>
      <c r="V16" s="1080"/>
      <c r="W16" s="1000"/>
      <c r="X16" s="1000"/>
    </row>
    <row r="17" spans="2:24" ht="15.75">
      <c r="B17" s="991"/>
      <c r="C17" s="997"/>
      <c r="D17" s="1941" t="s">
        <v>2830</v>
      </c>
      <c r="E17" s="1078"/>
      <c r="F17" s="1078"/>
      <c r="G17" s="2094">
        <f>INDEX(capProd1Reg1Units,xxIndexTeam)/INDEX(xxMMProd1Seg1Units,tlInputTeamYear+3)</f>
        <v>0.19997999992450669</v>
      </c>
      <c r="H17" s="2100"/>
      <c r="I17" s="2094">
        <f>INDEX(capProd3Reg1Units,xxIndexTeam)/INDEX(xxMMProd3Seg1Units,tlInputTeamYear+3)</f>
        <v>0.19950000000000001</v>
      </c>
      <c r="J17" s="2095"/>
      <c r="K17" s="2094">
        <f>INDEX(capProd4Reg1Units,xxIndexTeam)/INDEX(xxMMProd4Seg1Units,tlInputTeamYear+3)</f>
        <v>0.2</v>
      </c>
      <c r="L17" s="998"/>
      <c r="M17" s="996"/>
      <c r="N17" s="996"/>
      <c r="O17" s="996"/>
      <c r="P17" s="496"/>
      <c r="Q17" s="994"/>
      <c r="S17" s="1080"/>
      <c r="T17" s="1080"/>
      <c r="U17" s="1080"/>
      <c r="V17" s="1080"/>
      <c r="W17" s="1000"/>
      <c r="X17" s="1000"/>
    </row>
    <row r="18" spans="2:24" s="1007" customFormat="1" ht="5.25" customHeight="1" thickBot="1">
      <c r="B18" s="1002"/>
      <c r="C18" s="1003"/>
      <c r="D18" s="1676"/>
      <c r="E18" s="496"/>
      <c r="F18" s="496"/>
      <c r="G18" s="996"/>
      <c r="H18" s="996"/>
      <c r="I18" s="996"/>
      <c r="J18" s="996"/>
      <c r="K18" s="496"/>
      <c r="L18" s="1091"/>
      <c r="M18" s="1005"/>
      <c r="N18" s="1005"/>
      <c r="O18" s="1005"/>
      <c r="P18" s="1005"/>
      <c r="Q18" s="1006"/>
      <c r="S18" s="1080"/>
      <c r="T18" s="1080"/>
      <c r="U18" s="1080"/>
      <c r="V18" s="1080"/>
      <c r="W18" s="1000"/>
    </row>
    <row r="19" spans="2:24" ht="16.5" thickBot="1">
      <c r="B19" s="991"/>
      <c r="C19" s="995"/>
      <c r="D19" s="1936" t="s">
        <v>2035</v>
      </c>
      <c r="E19" s="1004"/>
      <c r="F19" s="1004"/>
      <c r="G19" s="1122">
        <v>9.5</v>
      </c>
      <c r="H19" s="1005"/>
      <c r="I19" s="1122">
        <v>15</v>
      </c>
      <c r="J19" s="1005"/>
      <c r="K19" s="1123">
        <v>12.5</v>
      </c>
      <c r="L19" s="998"/>
      <c r="M19" s="996"/>
      <c r="N19" s="996"/>
      <c r="O19" s="996"/>
      <c r="P19" s="979"/>
      <c r="Q19" s="994"/>
      <c r="S19" s="1080">
        <v>150000</v>
      </c>
      <c r="T19" s="1080">
        <f>T15*T16</f>
        <v>200000</v>
      </c>
      <c r="U19" s="1080"/>
      <c r="V19" s="2494">
        <f>(T19/S19)-1</f>
        <v>0.33333333333333326</v>
      </c>
    </row>
    <row r="20" spans="2:24" ht="15.75">
      <c r="B20" s="991"/>
      <c r="C20" s="995"/>
      <c r="D20" s="1941" t="s">
        <v>2264</v>
      </c>
      <c r="E20" s="1078"/>
      <c r="F20" s="1078"/>
      <c r="G20" s="2094">
        <f>INDEX(cbalReg1Prod1Price,xxIndexTeam)/INDEX(obalReg1Prod1Price,xxIndexTeam)-1</f>
        <v>0</v>
      </c>
      <c r="H20" s="2095"/>
      <c r="I20" s="2094">
        <f>INDEX(cbalReg1Prod3Price,xxIndexTeam)/INDEX(obalReg1Prod3Price,xxIndexTeam)-1</f>
        <v>0</v>
      </c>
      <c r="J20" s="2095"/>
      <c r="K20" s="2094">
        <f>INDEX(cbalReg1Prod4Price,xxIndexTeam)/INDEX(obalReg1Prod4Price,xxIndexTeam)-1</f>
        <v>0</v>
      </c>
      <c r="L20" s="998"/>
      <c r="M20" s="996"/>
      <c r="N20" s="996"/>
      <c r="O20" s="996"/>
      <c r="P20" s="979"/>
      <c r="Q20" s="994"/>
    </row>
    <row r="21" spans="2:24" ht="6" customHeight="1">
      <c r="B21" s="991"/>
      <c r="C21" s="995"/>
      <c r="D21" s="1943"/>
      <c r="E21" s="1078"/>
      <c r="F21" s="1078"/>
      <c r="G21" s="2096"/>
      <c r="H21" s="2096"/>
      <c r="I21" s="2096"/>
      <c r="J21" s="2096"/>
      <c r="K21" s="2096"/>
      <c r="L21" s="998"/>
      <c r="M21" s="996"/>
      <c r="N21" s="996"/>
      <c r="O21" s="996"/>
      <c r="P21" s="496"/>
      <c r="Q21" s="994"/>
    </row>
    <row r="22" spans="2:24" ht="15.75">
      <c r="B22" s="991"/>
      <c r="C22" s="995"/>
      <c r="D22" s="1941" t="s">
        <v>430</v>
      </c>
      <c r="E22" s="1078"/>
      <c r="F22" s="1078"/>
      <c r="G22" s="2097">
        <f>INDEX(finPNLReg1Prod1Rev,xxIndexTeam)</f>
        <v>7046273699.5</v>
      </c>
      <c r="H22" s="2096"/>
      <c r="I22" s="2097">
        <f>INDEX(finPNLReg1Prod3Rev,xxIndexTeam)</f>
        <v>5352000000</v>
      </c>
      <c r="J22" s="2096"/>
      <c r="K22" s="2097">
        <f>INDEX(finPNLReg1Prod4Rev,xxIndexTeam)</f>
        <v>6771250000</v>
      </c>
      <c r="L22" s="998"/>
      <c r="M22" s="996"/>
      <c r="N22" s="996"/>
      <c r="O22" s="996"/>
      <c r="P22" s="496"/>
      <c r="Q22" s="994"/>
    </row>
    <row r="23" spans="2:24" ht="15.75">
      <c r="B23" s="991"/>
      <c r="C23" s="1003"/>
      <c r="D23" s="1941" t="s">
        <v>426</v>
      </c>
      <c r="E23" s="1078"/>
      <c r="F23" s="1078"/>
      <c r="G23" s="2094">
        <f>INDEX(finPNLReg1Prod1Rev,xxIndexTeam)/INDEX(obalReg1Prod1Rev,xxIndexTeam)-1</f>
        <v>-1.0000000373729501E-2</v>
      </c>
      <c r="H23" s="2095"/>
      <c r="I23" s="2094">
        <f>INDEX(finPNLReg1Prod3Rev,xxIndexTeam)/INDEX(obalReg1Prod3Rev,xxIndexTeam)-1</f>
        <v>2.5062656641603454E-3</v>
      </c>
      <c r="J23" s="2095"/>
      <c r="K23" s="2094">
        <f>INDEX(finPNLReg1Prod4Rev,xxIndexTeam)/INDEX(obalReg1Prod4Rev,xxIndexTeam)-1</f>
        <v>0</v>
      </c>
      <c r="L23" s="998"/>
      <c r="M23" s="996"/>
      <c r="N23" s="996"/>
      <c r="O23" s="996"/>
      <c r="P23" s="996"/>
      <c r="Q23" s="994"/>
    </row>
    <row r="24" spans="2:24" ht="7.5" customHeight="1">
      <c r="B24" s="991"/>
      <c r="C24" s="995"/>
      <c r="D24" s="998"/>
      <c r="E24" s="998"/>
      <c r="F24" s="998"/>
      <c r="G24" s="998"/>
      <c r="H24" s="998"/>
      <c r="I24" s="998"/>
      <c r="J24" s="998"/>
      <c r="K24" s="998"/>
      <c r="L24" s="998"/>
      <c r="M24" s="982"/>
      <c r="N24" s="982"/>
      <c r="O24" s="982"/>
      <c r="P24" s="979"/>
      <c r="Q24" s="994"/>
      <c r="T24" s="1000"/>
      <c r="U24" s="1000"/>
      <c r="V24" s="1000"/>
      <c r="W24" s="1000"/>
    </row>
    <row r="25" spans="2:24" ht="15.75">
      <c r="B25" s="991"/>
      <c r="C25" s="1820" t="s">
        <v>1720</v>
      </c>
      <c r="D25" s="1820"/>
      <c r="E25" s="1820"/>
      <c r="F25" s="1820"/>
      <c r="G25" s="1820"/>
      <c r="H25" s="1820"/>
      <c r="I25" s="1820"/>
      <c r="J25" s="1820"/>
      <c r="K25" s="1820"/>
      <c r="L25" s="1820"/>
      <c r="M25" s="1820"/>
      <c r="N25" s="1820"/>
      <c r="O25" s="1820"/>
      <c r="P25" s="1820"/>
      <c r="Q25" s="994"/>
    </row>
    <row r="26" spans="2:24" ht="15.75">
      <c r="B26" s="991"/>
      <c r="C26" s="1875"/>
      <c r="D26" s="1820"/>
      <c r="E26" s="1820"/>
      <c r="F26" s="1865"/>
      <c r="G26" s="1865"/>
      <c r="H26" s="1865"/>
      <c r="I26" s="1865"/>
      <c r="J26" s="1866"/>
      <c r="K26" s="1866"/>
      <c r="L26" s="1866"/>
      <c r="M26" s="1866"/>
      <c r="N26" s="1866"/>
      <c r="O26" s="1866"/>
      <c r="P26" s="1865"/>
      <c r="Q26" s="994"/>
    </row>
    <row r="27" spans="2:24" ht="15.75">
      <c r="B27" s="981"/>
      <c r="C27" s="1848"/>
      <c r="D27" s="1848"/>
      <c r="E27" s="1848"/>
      <c r="F27" s="1848"/>
      <c r="G27" s="1937" t="str">
        <f>DataNameProd1</f>
        <v>CSD</v>
      </c>
      <c r="H27" s="1937"/>
      <c r="I27" s="1937" t="str">
        <f>DataNameProd3</f>
        <v>NCB</v>
      </c>
      <c r="J27" s="1820"/>
      <c r="K27" s="1937" t="str">
        <f>DataNameProd4</f>
        <v>F&amp;S</v>
      </c>
      <c r="L27" s="1848"/>
      <c r="M27" s="1848"/>
      <c r="N27" s="2121" t="s">
        <v>3171</v>
      </c>
      <c r="O27" s="1848"/>
      <c r="P27" s="1848"/>
      <c r="Q27" s="983"/>
    </row>
    <row r="28" spans="2:24" ht="6" customHeight="1" thickBot="1">
      <c r="B28" s="986"/>
      <c r="C28" s="496"/>
      <c r="D28" s="923"/>
      <c r="E28" s="496"/>
      <c r="F28" s="496"/>
      <c r="G28" s="982"/>
      <c r="H28" s="496"/>
      <c r="I28" s="496"/>
      <c r="J28" s="996"/>
      <c r="K28" s="996"/>
      <c r="L28" s="996"/>
      <c r="M28" s="996"/>
      <c r="N28" s="996"/>
      <c r="O28" s="996"/>
      <c r="P28" s="496"/>
      <c r="Q28" s="988"/>
    </row>
    <row r="29" spans="2:24" ht="16.5" thickBot="1">
      <c r="B29" s="991"/>
      <c r="C29" s="1820"/>
      <c r="D29" s="1676" t="s">
        <v>4723</v>
      </c>
      <c r="E29" s="1820"/>
      <c r="F29" s="1820"/>
      <c r="G29" s="2462">
        <v>410</v>
      </c>
      <c r="H29" s="996"/>
      <c r="I29" s="2462">
        <v>495</v>
      </c>
      <c r="J29" s="982"/>
      <c r="K29" s="2462">
        <v>325</v>
      </c>
      <c r="L29" s="996"/>
      <c r="M29" s="998"/>
      <c r="N29" s="998"/>
      <c r="O29" s="998"/>
      <c r="P29" s="998"/>
      <c r="Q29" s="994"/>
    </row>
    <row r="30" spans="2:24" ht="15.75">
      <c r="B30" s="991"/>
      <c r="C30" s="1820"/>
      <c r="D30" s="1941" t="s">
        <v>723</v>
      </c>
      <c r="E30" s="1943"/>
      <c r="F30" s="1943"/>
      <c r="G30" s="2094">
        <f>INDEX(capProd1Adv,xxIndexTeam)/INDEX(finPNLReg1Prod1Rev,xxIndexTeam)</f>
        <v>5.8186783182874853E-2</v>
      </c>
      <c r="H30" s="2095"/>
      <c r="I30" s="2094">
        <f>INDEX(capProd3Adv,xxIndexTeam)/INDEX(finPNLReg1Prod3Rev,xxIndexTeam)</f>
        <v>9.2488789237668165E-2</v>
      </c>
      <c r="J30" s="2095"/>
      <c r="K30" s="2094">
        <f>INDEX(capProd4Adv,xxIndexTeam)/INDEX(finPNLReg1Prod4Rev,xxIndexTeam)</f>
        <v>4.7997046335610118E-2</v>
      </c>
      <c r="L30" s="996"/>
      <c r="M30" s="998"/>
      <c r="N30" s="1097"/>
      <c r="O30" s="996"/>
      <c r="P30" s="496"/>
      <c r="Q30" s="994"/>
    </row>
    <row r="31" spans="2:24" ht="7.5" customHeight="1" thickBot="1">
      <c r="B31" s="991"/>
      <c r="C31" s="1820"/>
      <c r="D31" s="1840"/>
      <c r="E31" s="1840"/>
      <c r="F31" s="1840"/>
      <c r="G31" s="998"/>
      <c r="H31" s="998"/>
      <c r="I31" s="998"/>
      <c r="J31" s="998"/>
      <c r="K31" s="998"/>
      <c r="L31" s="998"/>
      <c r="M31" s="998"/>
      <c r="N31" s="998"/>
      <c r="O31" s="998"/>
      <c r="P31" s="998"/>
      <c r="Q31" s="994"/>
    </row>
    <row r="32" spans="2:24" ht="16.5" thickBot="1">
      <c r="B32" s="991"/>
      <c r="C32" s="1820"/>
      <c r="D32" s="1676" t="s">
        <v>4724</v>
      </c>
      <c r="E32" s="1820"/>
      <c r="F32" s="1820"/>
      <c r="G32" s="2462">
        <v>1450</v>
      </c>
      <c r="H32" s="996"/>
      <c r="I32" s="2462">
        <v>855</v>
      </c>
      <c r="J32" s="982"/>
      <c r="K32" s="2462">
        <v>760</v>
      </c>
      <c r="L32" s="996"/>
      <c r="M32" s="998"/>
      <c r="N32" s="998"/>
      <c r="O32" s="998"/>
      <c r="P32" s="998"/>
      <c r="Q32" s="994"/>
    </row>
    <row r="33" spans="2:22" ht="15.75">
      <c r="B33" s="991"/>
      <c r="C33" s="1820"/>
      <c r="D33" s="1941" t="s">
        <v>724</v>
      </c>
      <c r="E33" s="1943"/>
      <c r="F33" s="1943"/>
      <c r="G33" s="2094">
        <f>INDEX(capProd1Promo,xxIndexTeam)/INDEX(finPNLReg1Prod1Rev,xxIndexTeam)</f>
        <v>0.20578252589065499</v>
      </c>
      <c r="H33" s="2095"/>
      <c r="I33" s="2094">
        <f>INDEX(capProd3Promo,xxIndexTeam)/INDEX(finPNLReg1Prod3Rev,xxIndexTeam)</f>
        <v>0.15975336322869954</v>
      </c>
      <c r="J33" s="2095"/>
      <c r="K33" s="2094">
        <f>INDEX(capProd4Promo,xxIndexTeam)/INDEX(finPNLReg1Prod4Rev,xxIndexTeam)</f>
        <v>0.11223924681558058</v>
      </c>
      <c r="L33" s="998"/>
      <c r="M33" s="998"/>
      <c r="N33" s="996"/>
      <c r="O33" s="996"/>
      <c r="P33" s="496"/>
      <c r="Q33" s="994"/>
    </row>
    <row r="34" spans="2:22" ht="15.75">
      <c r="B34" s="991"/>
      <c r="C34" s="1820"/>
      <c r="D34" s="1941" t="s">
        <v>3085</v>
      </c>
      <c r="E34" s="1820"/>
      <c r="F34" s="1820"/>
      <c r="G34" s="2112">
        <f>INDEX(capProd1Reg1Price,xxIndexTeam)*(1-G33)</f>
        <v>7.5450660040387785</v>
      </c>
      <c r="H34" s="1820"/>
      <c r="I34" s="2112">
        <f>INDEX(capProd3Reg1Price,xxIndexTeam)*(1-I33)</f>
        <v>12.603699551569505</v>
      </c>
      <c r="J34" s="1866"/>
      <c r="K34" s="2112">
        <f>INDEX(capProd4Reg1Price,xxIndexTeam)*(1-K33)</f>
        <v>11.097009414805242</v>
      </c>
      <c r="L34" s="1629"/>
      <c r="M34" s="1629"/>
      <c r="P34" s="496"/>
      <c r="Q34" s="994"/>
    </row>
    <row r="35" spans="2:22" ht="6" customHeight="1">
      <c r="B35" s="991"/>
      <c r="C35" s="1820"/>
      <c r="D35" s="1840"/>
      <c r="E35" s="1840"/>
      <c r="F35" s="1840"/>
      <c r="G35" s="1840"/>
      <c r="H35" s="1840"/>
      <c r="I35" s="1840"/>
      <c r="J35" s="1840"/>
      <c r="K35" s="1840"/>
      <c r="L35" s="1629"/>
      <c r="M35" s="1629"/>
      <c r="P35" s="496"/>
      <c r="Q35" s="994"/>
    </row>
    <row r="36" spans="2:22" ht="15.75">
      <c r="B36" s="991"/>
      <c r="C36" s="1820"/>
      <c r="D36" s="1943" t="s">
        <v>725</v>
      </c>
      <c r="E36" s="1820"/>
      <c r="F36" s="1820"/>
      <c r="G36" s="2094">
        <f>G30+G33</f>
        <v>0.26396930907352983</v>
      </c>
      <c r="H36" s="2095"/>
      <c r="I36" s="2094">
        <f>I30+I33</f>
        <v>0.25224215246636772</v>
      </c>
      <c r="J36" s="2095"/>
      <c r="K36" s="2094">
        <f>K30+K33</f>
        <v>0.1602362931511907</v>
      </c>
      <c r="L36" s="996"/>
      <c r="M36" s="998"/>
      <c r="N36" s="998"/>
      <c r="O36" s="996"/>
      <c r="P36" s="1090"/>
      <c r="Q36" s="994"/>
    </row>
    <row r="37" spans="2:22" ht="6" customHeight="1">
      <c r="B37" s="991"/>
      <c r="C37" s="1820"/>
      <c r="D37" s="1840"/>
      <c r="E37" s="1840"/>
      <c r="F37" s="1840"/>
      <c r="G37" s="998"/>
      <c r="H37" s="998"/>
      <c r="I37" s="998"/>
      <c r="J37" s="998"/>
      <c r="K37" s="998"/>
      <c r="L37" s="996"/>
      <c r="M37" s="1094"/>
      <c r="N37" s="996"/>
      <c r="O37" s="996"/>
      <c r="P37" s="996"/>
      <c r="Q37" s="994"/>
    </row>
    <row r="38" spans="2:22" ht="16.5" customHeight="1" thickBot="1">
      <c r="B38" s="991"/>
      <c r="C38" s="1820"/>
      <c r="D38" s="1676"/>
      <c r="E38" s="1820"/>
      <c r="F38" s="1820"/>
      <c r="G38" s="998"/>
      <c r="H38" s="998"/>
      <c r="I38" s="998"/>
      <c r="J38" s="2600" t="s">
        <v>4734</v>
      </c>
      <c r="K38" s="2600"/>
      <c r="L38" s="1840"/>
      <c r="M38" s="1840"/>
      <c r="N38" s="1840"/>
      <c r="O38" s="2113" t="str">
        <f>"Level:  "&amp;ROUND(tlInputReg1ChanLevel/10,0)&amp;"  "</f>
        <v xml:space="preserve">Level:  3  </v>
      </c>
      <c r="P38" s="1820"/>
      <c r="Q38" s="994"/>
    </row>
    <row r="39" spans="2:22" ht="16.5" customHeight="1" thickBot="1">
      <c r="B39" s="991"/>
      <c r="C39" s="1820"/>
      <c r="D39" s="2106" t="s">
        <v>2889</v>
      </c>
      <c r="E39" s="2107"/>
      <c r="F39" s="1840"/>
      <c r="G39" s="2601">
        <v>400</v>
      </c>
      <c r="H39" s="2602"/>
      <c r="I39" s="998"/>
      <c r="J39" s="2600"/>
      <c r="K39" s="2600"/>
      <c r="L39" s="1840"/>
      <c r="M39" s="1840"/>
      <c r="N39" s="1840"/>
      <c r="O39" s="2148"/>
      <c r="P39" s="1840"/>
      <c r="Q39" s="994"/>
      <c r="V39" s="1165">
        <v>30</v>
      </c>
    </row>
    <row r="40" spans="2:22" ht="18" customHeight="1">
      <c r="B40" s="991"/>
      <c r="C40" s="1820"/>
      <c r="D40" s="2108" t="s">
        <v>1474</v>
      </c>
      <c r="E40" s="2109"/>
      <c r="F40" s="2109"/>
      <c r="G40" s="2603">
        <f>capEmp1RecDismExp</f>
        <v>12160000</v>
      </c>
      <c r="H40" s="2603"/>
      <c r="I40" s="496"/>
      <c r="J40" s="1820"/>
      <c r="K40" s="1840"/>
      <c r="L40" s="2149"/>
      <c r="M40" s="2067"/>
      <c r="N40" s="2116" t="s">
        <v>143</v>
      </c>
      <c r="O40" s="2470">
        <f>INDEX(paramGTMDigitalLevelCost,xxIndexTeam)</f>
        <v>15972000.000000006</v>
      </c>
      <c r="P40" s="2116"/>
      <c r="Q40" s="994"/>
    </row>
    <row r="41" spans="2:22" ht="15.75">
      <c r="B41" s="991"/>
      <c r="C41" s="1820"/>
      <c r="D41" s="2108" t="s">
        <v>2890</v>
      </c>
      <c r="E41" s="2109"/>
      <c r="F41" s="2109"/>
      <c r="G41" s="2604">
        <f>INDEX(capEmp1End,xxIndexTeam)</f>
        <v>4000</v>
      </c>
      <c r="H41" s="2604"/>
      <c r="I41" s="998"/>
      <c r="J41" s="1840"/>
      <c r="K41" s="1840"/>
      <c r="L41" s="1840"/>
      <c r="M41" s="1820"/>
      <c r="N41" s="2116"/>
      <c r="O41" s="2117"/>
      <c r="P41" s="1840"/>
      <c r="Q41" s="994"/>
    </row>
    <row r="42" spans="2:22" ht="15.75">
      <c r="B42" s="991"/>
      <c r="C42" s="1820"/>
      <c r="D42" s="2108" t="s">
        <v>726</v>
      </c>
      <c r="E42" s="1923"/>
      <c r="F42" s="1923"/>
      <c r="G42" s="2599">
        <f>INDEX(finPNLReg1Rev,xxIndexTeam)/INDEX(capEmp1End,xxIndexTeam)</f>
        <v>4792380.9248749996</v>
      </c>
      <c r="H42" s="2599"/>
      <c r="I42" s="496"/>
      <c r="J42" s="1820"/>
      <c r="K42" s="1840"/>
      <c r="L42" s="1820"/>
      <c r="M42" s="1820"/>
      <c r="N42" s="2116"/>
      <c r="O42" s="2117"/>
      <c r="P42" s="1820"/>
      <c r="Q42" s="994"/>
    </row>
    <row r="43" spans="2:22" s="1465" customFormat="1" ht="15" customHeight="1">
      <c r="B43" s="1466"/>
      <c r="C43" s="2147"/>
      <c r="D43" s="2110" t="s">
        <v>642</v>
      </c>
      <c r="E43" s="2111"/>
      <c r="F43" s="2111"/>
      <c r="G43" s="2605">
        <f>INDEX(obalReg1Rev,xxIndexTeam)/INDEX(obalEmp1,xxIndexTeam)</f>
        <v>4806829.5460000001</v>
      </c>
      <c r="H43" s="2605"/>
      <c r="I43" s="1074"/>
      <c r="J43" s="2147"/>
      <c r="K43" s="2150"/>
      <c r="L43" s="1840"/>
      <c r="M43" s="1820"/>
      <c r="N43" s="2116" t="s">
        <v>1259</v>
      </c>
      <c r="O43" s="2151">
        <f>INDEX(capChanCustMTUs,xxIndexTeam)</f>
        <v>6</v>
      </c>
      <c r="P43" s="2147"/>
      <c r="Q43" s="1467"/>
    </row>
    <row r="44" spans="2:22" ht="8.25" customHeight="1">
      <c r="B44" s="991"/>
      <c r="C44" s="1820"/>
      <c r="D44" s="2108"/>
      <c r="E44" s="1923"/>
      <c r="F44" s="1923"/>
      <c r="G44" s="1065"/>
      <c r="H44" s="1065"/>
      <c r="I44" s="496"/>
      <c r="J44" s="496"/>
      <c r="K44" s="998"/>
      <c r="L44" s="998"/>
      <c r="M44" s="496"/>
      <c r="N44" s="496"/>
      <c r="O44" s="496"/>
      <c r="P44" s="496"/>
      <c r="Q44" s="994"/>
    </row>
    <row r="45" spans="2:22" ht="16.5" thickBot="1">
      <c r="B45" s="991"/>
      <c r="C45" s="2598" t="str">
        <f>"* After "&amp;TEXT(INDEX(paramEmp1AttRate,xxIndexTeam),"##%")&amp;" Salesforce Attrition"</f>
        <v>* After 10% Salesforce Attrition</v>
      </c>
      <c r="D45" s="2598"/>
      <c r="E45" s="2598"/>
      <c r="F45" s="2598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994"/>
    </row>
    <row r="46" spans="2:22" ht="16.5" thickBot="1">
      <c r="B46" s="1337"/>
      <c r="C46" s="1338"/>
      <c r="D46" s="1338"/>
      <c r="E46" s="1338"/>
      <c r="F46" s="1338"/>
      <c r="G46" s="1009"/>
      <c r="H46" s="1338"/>
      <c r="I46" s="1338"/>
      <c r="J46" s="1338"/>
      <c r="K46" s="1338"/>
      <c r="L46" s="1338"/>
      <c r="M46" s="1338"/>
      <c r="N46" s="1338"/>
      <c r="O46" s="1338"/>
      <c r="P46" s="1338"/>
      <c r="Q46" s="1339"/>
    </row>
    <row r="47" spans="2:22" ht="16.5" thickBot="1">
      <c r="B47" s="1344"/>
      <c r="C47" s="1344"/>
      <c r="D47" s="1344"/>
      <c r="E47" s="1344"/>
      <c r="F47" s="1344"/>
      <c r="G47" s="1344"/>
      <c r="H47" s="1344"/>
      <c r="I47" s="1089"/>
      <c r="J47" s="1344"/>
      <c r="K47" s="1344"/>
      <c r="L47" s="1344"/>
      <c r="M47" s="1344"/>
      <c r="N47" s="1344"/>
      <c r="O47" s="1344"/>
      <c r="P47" s="1344"/>
      <c r="Q47" s="1344"/>
    </row>
    <row r="48" spans="2:22" ht="15.75" thickBot="1">
      <c r="B48" s="2122" t="s">
        <v>2036</v>
      </c>
      <c r="C48" s="2041"/>
      <c r="D48" s="2041"/>
      <c r="E48" s="2041"/>
      <c r="F48" s="2041"/>
      <c r="G48" s="2041"/>
      <c r="H48" s="2041"/>
      <c r="I48" s="2041"/>
      <c r="J48" s="2041"/>
      <c r="K48" s="2041"/>
      <c r="L48" s="2041"/>
      <c r="M48" s="2041"/>
      <c r="N48" s="2041"/>
      <c r="O48" s="2041"/>
      <c r="P48" s="2041"/>
      <c r="Q48" s="1775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9" spans="2:17" ht="12" customHeight="1">
      <c r="B49" s="1877"/>
      <c r="C49" s="2123"/>
      <c r="D49" s="1946"/>
      <c r="E49" s="1946"/>
      <c r="F49" s="1946"/>
      <c r="G49" s="2124"/>
      <c r="H49" s="1946"/>
      <c r="I49" s="1946"/>
      <c r="J49" s="1946"/>
      <c r="K49" s="1946"/>
      <c r="L49" s="1946"/>
      <c r="M49" s="1946"/>
      <c r="N49" s="1946"/>
      <c r="O49" s="1946"/>
      <c r="P49" s="1946"/>
      <c r="Q49" s="2152"/>
    </row>
    <row r="50" spans="2:17" ht="15.75">
      <c r="B50" s="1885"/>
      <c r="C50" s="2042"/>
      <c r="D50" s="1820"/>
      <c r="E50" s="1820"/>
      <c r="F50" s="1820"/>
      <c r="G50" s="2043"/>
      <c r="H50" s="2125" t="str">
        <f>DataNameProd1</f>
        <v>CSD</v>
      </c>
      <c r="I50" s="2125"/>
      <c r="J50" s="1848"/>
      <c r="K50" s="2125" t="str">
        <f>DataNameProd3</f>
        <v>NCB</v>
      </c>
      <c r="L50" s="2125"/>
      <c r="M50" s="1848"/>
      <c r="N50" s="2125" t="str">
        <f>DataNameProd4</f>
        <v>F&amp;S</v>
      </c>
      <c r="O50" s="2125"/>
      <c r="P50" s="1848"/>
      <c r="Q50" s="2153"/>
    </row>
    <row r="51" spans="2:17" ht="15.75">
      <c r="B51" s="1885"/>
      <c r="C51" s="1820" t="s">
        <v>1650</v>
      </c>
      <c r="D51" s="1820"/>
      <c r="E51" s="1820"/>
      <c r="F51" s="1820"/>
      <c r="G51" s="1950"/>
      <c r="H51" s="1848"/>
      <c r="I51" s="1848"/>
      <c r="J51" s="1848"/>
      <c r="K51" s="1848"/>
      <c r="L51" s="1848"/>
      <c r="M51" s="1848"/>
      <c r="N51" s="1848"/>
      <c r="O51" s="1848"/>
      <c r="P51" s="1848"/>
      <c r="Q51" s="2153"/>
    </row>
    <row r="52" spans="2:17" ht="7.5" customHeight="1">
      <c r="B52" s="1885"/>
      <c r="C52" s="2049"/>
      <c r="D52" s="1820"/>
      <c r="E52" s="1820"/>
      <c r="F52" s="1820"/>
      <c r="G52" s="2043"/>
      <c r="H52" s="1820"/>
      <c r="I52" s="1820"/>
      <c r="J52" s="1848"/>
      <c r="K52" s="1820"/>
      <c r="L52" s="1820"/>
      <c r="M52" s="1848"/>
      <c r="N52" s="1820"/>
      <c r="O52" s="1820"/>
      <c r="P52" s="1848"/>
      <c r="Q52" s="2153"/>
    </row>
    <row r="53" spans="2:17" ht="12" customHeight="1">
      <c r="B53" s="1885"/>
      <c r="C53" s="1935"/>
      <c r="D53" s="1886" t="s">
        <v>1893</v>
      </c>
      <c r="E53" s="1886"/>
      <c r="F53" s="1886"/>
      <c r="G53" s="2055"/>
      <c r="H53" s="2126">
        <f>INDEX(capReg1Prod1UnitsSold, xxIndexTeam)</f>
        <v>741713021</v>
      </c>
      <c r="I53" s="2127"/>
      <c r="J53" s="2128"/>
      <c r="K53" s="2126">
        <f>INDEX(capReg1Prod3UnitsSold, xxIndexTeam)</f>
        <v>356800000</v>
      </c>
      <c r="L53" s="2127"/>
      <c r="M53" s="2128"/>
      <c r="N53" s="2126">
        <f>INDEX(capReg1Prod4UnitsSold, xxIndexTeam)</f>
        <v>541700000</v>
      </c>
      <c r="O53" s="2127"/>
      <c r="P53" s="1848"/>
      <c r="Q53" s="2153"/>
    </row>
    <row r="54" spans="2:17" ht="12" customHeight="1">
      <c r="B54" s="1885"/>
      <c r="C54" s="1935"/>
      <c r="D54" s="2129" t="s">
        <v>596</v>
      </c>
      <c r="E54" s="2130"/>
      <c r="F54" s="2130"/>
      <c r="G54" s="2131"/>
      <c r="H54" s="2132">
        <f>(INDEX(capReg1Prod1UnitsSold, xxIndexTeam)-INDEX(obalProd1Reg1UnitsSold, xxIndexTeam))/INDEX(obalProd1Reg1UnitsSold, xxIndexTeam)</f>
        <v>-1.000000037372945E-2</v>
      </c>
      <c r="I54" s="2132"/>
      <c r="J54" s="2133"/>
      <c r="K54" s="2132">
        <f>(INDEX(capReg1Prod3UnitsSold, xxIndexTeam)-INDEX(obalProd3Reg1UnitsSold, xxIndexTeam))/INDEX(obalProd3Reg1UnitsSold, xxIndexTeam)</f>
        <v>2.5062656641604009E-3</v>
      </c>
      <c r="L54" s="2132"/>
      <c r="M54" s="2133"/>
      <c r="N54" s="2132">
        <f>(INDEX(capReg1Prod4UnitsSold, xxIndexTeam)-INDEX(obalProd4Reg1UnitsSold, xxIndexTeam))/INDEX(obalProd4Reg1UnitsSold, xxIndexTeam)</f>
        <v>0</v>
      </c>
      <c r="O54" s="2132"/>
      <c r="P54" s="1848"/>
      <c r="Q54" s="2153"/>
    </row>
    <row r="55" spans="2:17" ht="12" customHeight="1">
      <c r="B55" s="1885"/>
      <c r="C55" s="1935"/>
      <c r="D55" s="1886" t="s">
        <v>3086</v>
      </c>
      <c r="E55" s="1886"/>
      <c r="F55" s="1886"/>
      <c r="G55" s="2044"/>
      <c r="H55" s="2047">
        <f>INDEX(capProd1Reg1Price, xxIndexTeam)</f>
        <v>9.5</v>
      </c>
      <c r="I55" s="2046"/>
      <c r="J55" s="1848"/>
      <c r="K55" s="2047">
        <f>INDEX(capProd3Reg1Price, xxIndexTeam)</f>
        <v>15</v>
      </c>
      <c r="L55" s="2046"/>
      <c r="M55" s="1848"/>
      <c r="N55" s="2047">
        <f>INDEX(capProd4Reg1Price, xxIndexTeam)</f>
        <v>12.5</v>
      </c>
      <c r="O55" s="2046"/>
      <c r="P55" s="1848"/>
      <c r="Q55" s="2153"/>
    </row>
    <row r="56" spans="2:17" ht="7.5" customHeight="1">
      <c r="B56" s="1885"/>
      <c r="C56" s="2049"/>
      <c r="D56" s="1676"/>
      <c r="E56" s="1886"/>
      <c r="F56" s="1886"/>
      <c r="G56" s="2050"/>
      <c r="H56" s="2051"/>
      <c r="I56" s="2052"/>
      <c r="J56" s="1848"/>
      <c r="K56" s="2051"/>
      <c r="L56" s="2052"/>
      <c r="M56" s="1848"/>
      <c r="N56" s="2051"/>
      <c r="O56" s="2052"/>
      <c r="P56" s="1848"/>
      <c r="Q56" s="2153"/>
    </row>
    <row r="57" spans="2:17" ht="12" customHeight="1">
      <c r="B57" s="2053"/>
      <c r="C57" s="2054"/>
      <c r="D57" s="1962" t="s">
        <v>727</v>
      </c>
      <c r="E57" s="1886"/>
      <c r="F57" s="1886"/>
      <c r="G57" s="2055"/>
      <c r="H57" s="2134">
        <f>H53*H55</f>
        <v>7046273699.5</v>
      </c>
      <c r="I57" s="2135"/>
      <c r="J57" s="2136"/>
      <c r="K57" s="2134">
        <f>K53*K55</f>
        <v>5352000000</v>
      </c>
      <c r="L57" s="2135"/>
      <c r="M57" s="2136"/>
      <c r="N57" s="2134">
        <f>N53*N55</f>
        <v>6771250000</v>
      </c>
      <c r="O57" s="2135"/>
      <c r="P57" s="1848"/>
      <c r="Q57" s="2153"/>
    </row>
    <row r="58" spans="2:17" ht="12" customHeight="1">
      <c r="B58" s="2053"/>
      <c r="C58" s="2049"/>
      <c r="D58" s="1863"/>
      <c r="E58" s="1886"/>
      <c r="F58" s="1886"/>
      <c r="G58" s="2050"/>
      <c r="H58" s="2082"/>
      <c r="I58" s="2015"/>
      <c r="J58" s="1848"/>
      <c r="K58" s="2082"/>
      <c r="L58" s="2015"/>
      <c r="M58" s="1848"/>
      <c r="N58" s="2082"/>
      <c r="O58" s="2015"/>
      <c r="P58" s="1848"/>
      <c r="Q58" s="2153"/>
    </row>
    <row r="59" spans="2:17" ht="12" customHeight="1">
      <c r="B59" s="2053"/>
      <c r="C59" s="2042"/>
      <c r="D59" s="1886" t="s">
        <v>730</v>
      </c>
      <c r="E59" s="1886"/>
      <c r="F59" s="1886"/>
      <c r="G59" s="2060"/>
      <c r="H59" s="2058">
        <f>H57/INDEX(finPNLRev, xxIndexTeam)</f>
        <v>0.26953715698448666</v>
      </c>
      <c r="I59" s="2137"/>
      <c r="J59" s="2138"/>
      <c r="K59" s="2058">
        <f>K57/INDEX(finPNLRev, xxIndexTeam)</f>
        <v>0.20472705513601266</v>
      </c>
      <c r="L59" s="2137"/>
      <c r="M59" s="2138"/>
      <c r="N59" s="2058">
        <f>N57/INDEX(finPNLRev, xxIndexTeam)</f>
        <v>0.25901682961317746</v>
      </c>
      <c r="O59" s="2137"/>
      <c r="P59" s="1848"/>
      <c r="Q59" s="2153"/>
    </row>
    <row r="60" spans="2:17" ht="12" customHeight="1">
      <c r="B60" s="2053"/>
      <c r="C60" s="2042"/>
      <c r="D60" s="1820"/>
      <c r="E60" s="1820"/>
      <c r="F60" s="1820"/>
      <c r="G60" s="2065"/>
      <c r="H60" s="2065"/>
      <c r="I60" s="1820"/>
      <c r="J60" s="1848"/>
      <c r="K60" s="1820"/>
      <c r="L60" s="1820"/>
      <c r="M60" s="1848"/>
      <c r="N60" s="1820"/>
      <c r="O60" s="2065"/>
      <c r="P60" s="1848"/>
      <c r="Q60" s="2153"/>
    </row>
    <row r="61" spans="2:17" ht="15.75">
      <c r="B61" s="1885"/>
      <c r="C61" s="1820" t="s">
        <v>3050</v>
      </c>
      <c r="D61" s="1820"/>
      <c r="E61" s="1820"/>
      <c r="F61" s="1820"/>
      <c r="G61" s="1950"/>
      <c r="H61" s="2066"/>
      <c r="I61" s="2066"/>
      <c r="J61" s="1848"/>
      <c r="K61" s="2066"/>
      <c r="L61" s="2066"/>
      <c r="M61" s="1848"/>
      <c r="N61" s="2066"/>
      <c r="O61" s="2066"/>
      <c r="P61" s="1848"/>
      <c r="Q61" s="2153"/>
    </row>
    <row r="62" spans="2:17" ht="7.5" customHeight="1">
      <c r="B62" s="1885"/>
      <c r="C62" s="1820"/>
      <c r="D62" s="1820"/>
      <c r="E62" s="1820"/>
      <c r="F62" s="1820"/>
      <c r="G62" s="2043"/>
      <c r="H62" s="2067"/>
      <c r="I62" s="2067"/>
      <c r="J62" s="1848"/>
      <c r="K62" s="2067"/>
      <c r="L62" s="2067"/>
      <c r="M62" s="1848"/>
      <c r="N62" s="2067"/>
      <c r="O62" s="2067"/>
      <c r="P62" s="1848"/>
      <c r="Q62" s="2153"/>
    </row>
    <row r="63" spans="2:17" ht="12" customHeight="1">
      <c r="B63" s="1885"/>
      <c r="C63" s="1935"/>
      <c r="D63" s="1886" t="s">
        <v>1567</v>
      </c>
      <c r="E63" s="1886"/>
      <c r="F63" s="1886"/>
      <c r="G63" s="2055"/>
      <c r="H63" s="2068">
        <f>INDEX(capProd1COGSPUnitMat, xxIndexTeam)</f>
        <v>2.3189045275850999</v>
      </c>
      <c r="I63" s="2068"/>
      <c r="J63" s="1848"/>
      <c r="K63" s="2068">
        <f>INDEX(capProd3COGSPUnitMat, xxIndexTeam)</f>
        <v>4.004969096</v>
      </c>
      <c r="L63" s="2068"/>
      <c r="M63" s="1848"/>
      <c r="N63" s="2068">
        <f>INDEX(capProd4COGSPUnitMat, xxIndexTeam)</f>
        <v>3.3147265540000004</v>
      </c>
      <c r="O63" s="2068"/>
      <c r="P63" s="1848"/>
      <c r="Q63" s="2153"/>
    </row>
    <row r="64" spans="2:17" ht="12" customHeight="1">
      <c r="B64" s="1885"/>
      <c r="C64" s="1935"/>
      <c r="D64" s="1886" t="s">
        <v>3260</v>
      </c>
      <c r="E64" s="1886"/>
      <c r="F64" s="1886"/>
      <c r="G64" s="1972"/>
      <c r="H64" s="2070">
        <f>INDEX(capReg1Prod1CostPUnitEmp3, xxIndexTeam)</f>
        <v>1.5168384461231603</v>
      </c>
      <c r="I64" s="2070"/>
      <c r="J64" s="1848"/>
      <c r="K64" s="2070">
        <f>INDEX(capReg1Prod3CostPUnitEmp3, xxIndexTeam)</f>
        <v>1.6979012682786405</v>
      </c>
      <c r="L64" s="2070"/>
      <c r="M64" s="1848"/>
      <c r="N64" s="2070">
        <f>INDEX(capReg1Prod4CostPUnitEmp3, xxIndexTeam)</f>
        <v>1.5628409401201129</v>
      </c>
      <c r="O64" s="2070"/>
      <c r="P64" s="1848"/>
      <c r="Q64" s="2153"/>
    </row>
    <row r="65" spans="2:17" ht="12" customHeight="1">
      <c r="B65" s="1885"/>
      <c r="C65" s="1935"/>
      <c r="D65" s="1886" t="s">
        <v>1219</v>
      </c>
      <c r="E65" s="1886"/>
      <c r="F65" s="1886"/>
      <c r="G65" s="1972"/>
      <c r="H65" s="2070">
        <f ca="1">INDEX(capProd1COGSPUnitPlant1, xxIndexTeam)+INDEX(capProd1COGSPUnitDep,xxIndexTeam)</f>
        <v>0.22355773594064218</v>
      </c>
      <c r="I65" s="2070"/>
      <c r="J65" s="1848"/>
      <c r="K65" s="2070">
        <f ca="1">INDEX(capProd1COGSPUnitPlant1, xxIndexTeam)+INDEX(capProd3COGSPUnitDep,xxIndexTeam)</f>
        <v>0.45452210930880022</v>
      </c>
      <c r="L65" s="2070"/>
      <c r="M65" s="1848"/>
      <c r="N65" s="2070">
        <f ca="1">INDEX(capProd1COGSPUnitPlant1, xxIndexTeam)+INDEX(capProd4COGSPUnitDep,xxIndexTeam)</f>
        <v>0.39280894023400614</v>
      </c>
      <c r="O65" s="2070"/>
      <c r="P65" s="1848"/>
      <c r="Q65" s="2153"/>
    </row>
    <row r="66" spans="2:17" ht="7.5" customHeight="1">
      <c r="B66" s="1885"/>
      <c r="C66" s="1935"/>
      <c r="D66" s="1886"/>
      <c r="E66" s="1886"/>
      <c r="F66" s="1886"/>
      <c r="G66" s="1972"/>
      <c r="H66" s="2070"/>
      <c r="I66" s="2070"/>
      <c r="J66" s="1848"/>
      <c r="K66" s="2070"/>
      <c r="L66" s="2070"/>
      <c r="M66" s="1848"/>
      <c r="N66" s="2070"/>
      <c r="O66" s="2070"/>
      <c r="P66" s="1848"/>
      <c r="Q66" s="2153"/>
    </row>
    <row r="67" spans="2:17" ht="12" customHeight="1">
      <c r="B67" s="1885"/>
      <c r="C67" s="1848"/>
      <c r="D67" s="1962" t="s">
        <v>3127</v>
      </c>
      <c r="E67" s="1886"/>
      <c r="F67" s="1886"/>
      <c r="G67" s="2055"/>
      <c r="H67" s="2072">
        <f ca="1">SUM(H63:H65)</f>
        <v>4.0593007096489027</v>
      </c>
      <c r="I67" s="2072"/>
      <c r="J67" s="1848"/>
      <c r="K67" s="2072">
        <f ca="1">SUM(K63:K65)</f>
        <v>6.1573924735874401</v>
      </c>
      <c r="L67" s="2072"/>
      <c r="M67" s="1848"/>
      <c r="N67" s="2072">
        <f ca="1">SUM(N63:N65)</f>
        <v>5.2703764343541186</v>
      </c>
      <c r="O67" s="2072"/>
      <c r="P67" s="1848"/>
      <c r="Q67" s="2153"/>
    </row>
    <row r="68" spans="2:17" ht="7.5" customHeight="1">
      <c r="B68" s="1885"/>
      <c r="C68" s="2049"/>
      <c r="D68" s="1852"/>
      <c r="E68" s="1852"/>
      <c r="F68" s="1852"/>
      <c r="G68" s="2073"/>
      <c r="H68" s="2015"/>
      <c r="I68" s="2015"/>
      <c r="J68" s="1848"/>
      <c r="K68" s="2015"/>
      <c r="L68" s="2015"/>
      <c r="M68" s="1848"/>
      <c r="N68" s="2015"/>
      <c r="O68" s="2015"/>
      <c r="P68" s="1848"/>
      <c r="Q68" s="2153"/>
    </row>
    <row r="69" spans="2:17" ht="12" customHeight="1">
      <c r="B69" s="1885"/>
      <c r="C69" s="2042"/>
      <c r="D69" s="1975" t="s">
        <v>728</v>
      </c>
      <c r="E69" s="1680"/>
      <c r="F69" s="1680"/>
      <c r="G69" s="2139"/>
      <c r="H69" s="2140">
        <f ca="1">H67/H55</f>
        <v>0.42729481154198973</v>
      </c>
      <c r="I69" s="2140"/>
      <c r="J69" s="2141"/>
      <c r="K69" s="2140">
        <f ca="1">K67/K55</f>
        <v>0.410492831572496</v>
      </c>
      <c r="L69" s="2140"/>
      <c r="M69" s="2141"/>
      <c r="N69" s="2140">
        <f ca="1">N67/N55</f>
        <v>0.42163011474832951</v>
      </c>
      <c r="O69" s="2140"/>
      <c r="P69" s="1832"/>
      <c r="Q69" s="2153"/>
    </row>
    <row r="70" spans="2:17" ht="7.5" customHeight="1">
      <c r="B70" s="1885"/>
      <c r="C70" s="2042"/>
      <c r="D70" s="2048"/>
      <c r="E70" s="2130"/>
      <c r="F70" s="2130"/>
      <c r="G70" s="2060"/>
      <c r="H70" s="2058"/>
      <c r="I70" s="2058"/>
      <c r="J70" s="2138"/>
      <c r="K70" s="2058"/>
      <c r="L70" s="2058"/>
      <c r="M70" s="2138"/>
      <c r="N70" s="2058"/>
      <c r="O70" s="2058"/>
      <c r="P70" s="1848"/>
      <c r="Q70" s="2153"/>
    </row>
    <row r="71" spans="2:17" ht="12" customHeight="1">
      <c r="B71" s="1885"/>
      <c r="C71" s="1962"/>
      <c r="D71" s="1886" t="s">
        <v>731</v>
      </c>
      <c r="E71" s="1886"/>
      <c r="F71" s="1886"/>
      <c r="G71" s="2142"/>
      <c r="H71" s="2058">
        <f ca="1">toolPNLRegionA!G26/toolPNLRegionA!G9</f>
        <v>0.36692208206029026</v>
      </c>
      <c r="I71" s="2058"/>
      <c r="J71" s="2138"/>
      <c r="K71" s="2058">
        <f ca="1">toolPNLRegionA!I26/toolPNLRegionA!I9</f>
        <v>0.42969123513082902</v>
      </c>
      <c r="L71" s="2058"/>
      <c r="M71" s="2138"/>
      <c r="N71" s="2058">
        <f ca="1">toolPNLRegionA!K26/toolPNLRegionA!K9</f>
        <v>0.4660663984190983</v>
      </c>
      <c r="O71" s="2058"/>
      <c r="P71" s="1848"/>
      <c r="Q71" s="2153"/>
    </row>
    <row r="72" spans="2:17" ht="12" customHeight="1">
      <c r="B72" s="1885"/>
      <c r="C72" s="2042"/>
      <c r="D72" s="1820"/>
      <c r="E72" s="1820"/>
      <c r="F72" s="1820"/>
      <c r="G72" s="2043"/>
      <c r="H72" s="1820"/>
      <c r="I72" s="1820"/>
      <c r="J72" s="1848"/>
      <c r="K72" s="1820"/>
      <c r="L72" s="1820"/>
      <c r="M72" s="1848"/>
      <c r="N72" s="1820"/>
      <c r="O72" s="1820"/>
      <c r="P72" s="1848"/>
      <c r="Q72" s="2153"/>
    </row>
    <row r="73" spans="2:17" ht="15.75">
      <c r="B73" s="1885"/>
      <c r="C73" s="1820" t="s">
        <v>3051</v>
      </c>
      <c r="D73" s="1820"/>
      <c r="E73" s="1820"/>
      <c r="F73" s="1820"/>
      <c r="G73" s="1950"/>
      <c r="H73" s="2066"/>
      <c r="I73" s="2066"/>
      <c r="J73" s="1848"/>
      <c r="K73" s="2066"/>
      <c r="L73" s="2066"/>
      <c r="M73" s="1848"/>
      <c r="N73" s="2066"/>
      <c r="O73" s="2066"/>
      <c r="P73" s="1848"/>
      <c r="Q73" s="2153"/>
    </row>
    <row r="74" spans="2:17" ht="7.5" customHeight="1">
      <c r="B74" s="1885"/>
      <c r="C74" s="2049"/>
      <c r="D74" s="1820"/>
      <c r="E74" s="1820"/>
      <c r="F74" s="1820"/>
      <c r="G74" s="2043"/>
      <c r="H74" s="1820"/>
      <c r="I74" s="1820"/>
      <c r="J74" s="1848"/>
      <c r="K74" s="1820"/>
      <c r="L74" s="1820"/>
      <c r="M74" s="1848"/>
      <c r="N74" s="1820"/>
      <c r="O74" s="1820"/>
      <c r="P74" s="1848"/>
      <c r="Q74" s="2153"/>
    </row>
    <row r="75" spans="2:17" ht="12" customHeight="1">
      <c r="B75" s="1885"/>
      <c r="C75" s="1935"/>
      <c r="D75" s="1886" t="s">
        <v>1536</v>
      </c>
      <c r="E75" s="1886"/>
      <c r="F75" s="1886"/>
      <c r="G75" s="2055"/>
      <c r="H75" s="2068">
        <f>(INDEX(finPNLReg1Prod1AdvExp,xxIndexTeam)+INDEX(finPNLReg1Prod1PromoExp,xxIndexTeam))/INDEX(capProd1Reg1Units, xxIndexTeam)</f>
        <v>2.5077084361985333</v>
      </c>
      <c r="I75" s="2080"/>
      <c r="J75" s="1848"/>
      <c r="K75" s="2068">
        <f>(INDEX(finPNLReg1Prod3AdvExp,xxIndexTeam)+INDEX(finPNLReg1Prod3PromoExp,xxIndexTeam))/INDEX(capProd3Reg1Units, xxIndexTeam)</f>
        <v>3.6124905473164013</v>
      </c>
      <c r="L75" s="2080"/>
      <c r="M75" s="1848"/>
      <c r="N75" s="2068">
        <f>(INDEX(finPNLReg1Prod4AdvExp,xxIndexTeam)+INDEX(finPNLReg1Prod4PromoExp,xxIndexTeam))/INDEX(capProd4Reg1Units, xxIndexTeam)</f>
        <v>1.963680063127337</v>
      </c>
      <c r="O75" s="2080"/>
      <c r="P75" s="1848"/>
      <c r="Q75" s="2153"/>
    </row>
    <row r="76" spans="2:17" ht="12" customHeight="1">
      <c r="B76" s="1885"/>
      <c r="C76" s="1935"/>
      <c r="D76" s="1886" t="s">
        <v>2301</v>
      </c>
      <c r="E76" s="1886"/>
      <c r="F76" s="1886"/>
      <c r="G76" s="2044"/>
      <c r="H76" s="2081">
        <f ca="1">(INDEX(finPNLReg1Prod1InventoryHndlgExp,xxIndexTeam)/INDEX(capProd1Reg1Units,xxIndexTeam))+INDEX(paramReg1Prod1DistCostPUnit, xxIndexTeam)</f>
        <v>0.88010831235577702</v>
      </c>
      <c r="I76" s="2046"/>
      <c r="J76" s="1848"/>
      <c r="K76" s="2081">
        <f ca="1">(INDEX(finPNLReg1Prod3InventoryHndlgExp,xxIndexTeam)/INDEX(capProd3Reg1Units,xxIndexTeam))+INDEX(paramReg1Prod3DistCostPUnit, xxIndexTeam)</f>
        <v>1.0060519677980042</v>
      </c>
      <c r="L76" s="2046"/>
      <c r="M76" s="1848"/>
      <c r="N76" s="2081">
        <f ca="1">(INDEX(finPNLReg1Prod4InventoryHndlgExp,xxIndexTeam)/INDEX(capProd4Reg1Units,xxIndexTeam))+INDEX(paramReg1Prod4DistCostPUnit, xxIndexTeam)</f>
        <v>0.94660747023468739</v>
      </c>
      <c r="O76" s="2046"/>
      <c r="P76" s="1848"/>
      <c r="Q76" s="2153"/>
    </row>
    <row r="77" spans="2:17" ht="12" customHeight="1">
      <c r="B77" s="1885"/>
      <c r="C77" s="1935"/>
      <c r="D77" s="1886" t="s">
        <v>1585</v>
      </c>
      <c r="E77" s="1886"/>
      <c r="F77" s="1886"/>
      <c r="G77" s="2044"/>
      <c r="H77" s="2081">
        <f>(INDEX(finPNLReg1Prod1FixedAdminExp,xxIndexTeam))/(INDEX(capProd1Reg1Units,xxIndexTeam))</f>
        <v>0.16210140202082282</v>
      </c>
      <c r="I77" s="2046"/>
      <c r="J77" s="1848"/>
      <c r="K77" s="2081">
        <f>(INDEX(finPNLReg1Prod3FixedAdminExp,xxIndexTeam))/(INDEX(capProd3Reg1Units,xxIndexTeam))</f>
        <v>0.3220816508493099</v>
      </c>
      <c r="L77" s="2046"/>
      <c r="M77" s="1848"/>
      <c r="N77" s="2081">
        <f>(INDEX(finPNLReg1Prod4FixedAdminExp,xxIndexTeam))/(INDEX(capProd4Reg1Units,xxIndexTeam))</f>
        <v>0.15986097854611661</v>
      </c>
      <c r="O77" s="2046"/>
      <c r="P77" s="1848"/>
      <c r="Q77" s="2153"/>
    </row>
    <row r="78" spans="2:17" ht="12" customHeight="1">
      <c r="B78" s="1885"/>
      <c r="C78" s="1935"/>
      <c r="D78" s="1886" t="s">
        <v>1537</v>
      </c>
      <c r="E78" s="1886"/>
      <c r="F78" s="1886"/>
      <c r="G78" s="2055"/>
      <c r="H78" s="2081">
        <f>INDEX(finPNLReg1Prod1Emp1Exp,xxIndexTeam)/INDEX(capProd1Reg1Units, xxIndexTeam)</f>
        <v>0.14392661765388262</v>
      </c>
      <c r="I78" s="2080"/>
      <c r="J78" s="1848"/>
      <c r="K78" s="2081">
        <f>INDEX(finPNLReg1Prod3Emp1Exp,xxIndexTeam)/INDEX(capProd3Reg1Units, xxIndexTeam)</f>
        <v>0.22292011698523412</v>
      </c>
      <c r="L78" s="2080"/>
      <c r="M78" s="1848"/>
      <c r="N78" s="2081">
        <f>INDEX(finPNLReg1Prod4Emp1Exp,xxIndexTeam)/INDEX(capProd4Reg1Units, xxIndexTeam)</f>
        <v>0.23517421185274939</v>
      </c>
      <c r="O78" s="2080"/>
      <c r="P78" s="1848"/>
      <c r="Q78" s="2153"/>
    </row>
    <row r="79" spans="2:17" ht="12" customHeight="1">
      <c r="B79" s="1885"/>
      <c r="C79" s="1935"/>
      <c r="D79" s="1886" t="s">
        <v>3243</v>
      </c>
      <c r="E79" s="1886"/>
      <c r="F79" s="1886"/>
      <c r="G79" s="2044"/>
      <c r="H79" s="2081">
        <f>(INDEX(finPNLReg1Prod1EmpAdminExp,xxIndexTeam)/(INDEX(capProd1Reg1Units,xxIndexTeam)))</f>
        <v>0.28664755204195796</v>
      </c>
      <c r="I79" s="2046"/>
      <c r="J79" s="1848"/>
      <c r="K79" s="2081">
        <f>(INDEX(finPNLReg1Prod3EmpAdminExp,xxIndexTeam)/(INDEX(capProd3Reg1Units,xxIndexTeam)))</f>
        <v>0.32017145048646706</v>
      </c>
      <c r="L79" s="2046"/>
      <c r="M79" s="1848"/>
      <c r="N79" s="2081">
        <f>(INDEX(finPNLReg1Prod4EmpAdminExp,xxIndexTeam)/(INDEX(capProd4Reg1Units,xxIndexTeam)))</f>
        <v>0.30699732254389539</v>
      </c>
      <c r="O79" s="2046"/>
      <c r="P79" s="1848"/>
      <c r="Q79" s="2153"/>
    </row>
    <row r="80" spans="2:17" ht="12" customHeight="1">
      <c r="B80" s="1885"/>
      <c r="C80" s="2143"/>
      <c r="D80" s="1886" t="s">
        <v>2087</v>
      </c>
      <c r="E80" s="1886"/>
      <c r="F80" s="1886"/>
      <c r="G80" s="2144"/>
      <c r="H80" s="2145">
        <f>(INDEX(finPNLReg1Prod1EmpRecDismExp,xxIndexTeam))/(INDEX(capProd1Reg1Units,xxIndexTeam))</f>
        <v>1.3210238011159959E-2</v>
      </c>
      <c r="I80" s="2146"/>
      <c r="J80" s="1848"/>
      <c r="K80" s="2145">
        <f>(INDEX(finPNLReg1Prod3EmpRecDismExp,xxIndexTeam))/(INDEX(capProd3Reg1Units,xxIndexTeam))</f>
        <v>1.6744101614821229E-2</v>
      </c>
      <c r="L80" s="2146"/>
      <c r="M80" s="1848"/>
      <c r="N80" s="2145">
        <f>(INDEX(finPNLReg1Prod4EmpRecDismExp,xxIndexTeam))/(INDEX(capProd4Reg1Units,xxIndexTeam))</f>
        <v>1.6740696165491835E-2</v>
      </c>
      <c r="O80" s="2146"/>
      <c r="P80" s="1848"/>
      <c r="Q80" s="2153"/>
    </row>
    <row r="81" spans="2:17" ht="7.5" customHeight="1">
      <c r="B81" s="1885"/>
      <c r="C81" s="2049"/>
      <c r="D81" s="1886"/>
      <c r="E81" s="1886"/>
      <c r="F81" s="1886"/>
      <c r="G81" s="2050"/>
      <c r="H81" s="2051"/>
      <c r="I81" s="2052"/>
      <c r="J81" s="1848"/>
      <c r="K81" s="2051"/>
      <c r="L81" s="2052"/>
      <c r="M81" s="1848"/>
      <c r="N81" s="2051"/>
      <c r="O81" s="2052"/>
      <c r="P81" s="1848"/>
      <c r="Q81" s="2153"/>
    </row>
    <row r="82" spans="2:17" ht="12" customHeight="1">
      <c r="B82" s="2053"/>
      <c r="C82" s="1848"/>
      <c r="D82" s="1962" t="s">
        <v>2088</v>
      </c>
      <c r="E82" s="1886"/>
      <c r="F82" s="1886"/>
      <c r="G82" s="2055"/>
      <c r="H82" s="2059">
        <f ca="1">SUM(H75:H80)</f>
        <v>3.9937025582821337</v>
      </c>
      <c r="I82" s="2057"/>
      <c r="J82" s="1848"/>
      <c r="K82" s="2059">
        <f ca="1">SUM(K75:K80)</f>
        <v>5.5004598350502389</v>
      </c>
      <c r="L82" s="2057"/>
      <c r="M82" s="1848"/>
      <c r="N82" s="2059">
        <f ca="1">SUM(N75:N80)</f>
        <v>3.6290607424702777</v>
      </c>
      <c r="O82" s="2057"/>
      <c r="P82" s="1848"/>
      <c r="Q82" s="2153"/>
    </row>
    <row r="83" spans="2:17" ht="7.5" customHeight="1">
      <c r="B83" s="2053"/>
      <c r="C83" s="2049"/>
      <c r="D83" s="1886"/>
      <c r="E83" s="1886"/>
      <c r="F83" s="1886"/>
      <c r="G83" s="2050"/>
      <c r="H83" s="2082"/>
      <c r="I83" s="2015"/>
      <c r="J83" s="1848"/>
      <c r="K83" s="2082"/>
      <c r="L83" s="2015"/>
      <c r="M83" s="1848"/>
      <c r="N83" s="2082"/>
      <c r="O83" s="2015"/>
      <c r="P83" s="1848"/>
      <c r="Q83" s="2153"/>
    </row>
    <row r="84" spans="2:17" ht="12" customHeight="1">
      <c r="B84" s="2053"/>
      <c r="C84" s="2042"/>
      <c r="D84" s="1886" t="s">
        <v>728</v>
      </c>
      <c r="E84" s="1886"/>
      <c r="F84" s="1886"/>
      <c r="G84" s="2060"/>
      <c r="H84" s="2058">
        <f ca="1">H82/INDEX(capProd1Reg1Price, xxIndexTeam)</f>
        <v>0.42038974297706672</v>
      </c>
      <c r="I84" s="2137"/>
      <c r="J84" s="2138"/>
      <c r="K84" s="2058">
        <f ca="1">K82/INDEX(capProd3Reg1Price, xxIndexTeam)</f>
        <v>0.36669732233668262</v>
      </c>
      <c r="L84" s="2137"/>
      <c r="M84" s="2138"/>
      <c r="N84" s="2058">
        <f ca="1">N82/INDEX(capProd4Reg1Price, xxIndexTeam)</f>
        <v>0.2903248593976222</v>
      </c>
      <c r="O84" s="2137"/>
      <c r="P84" s="1848"/>
      <c r="Q84" s="2153"/>
    </row>
    <row r="85" spans="2:17" ht="12" customHeight="1" thickBot="1">
      <c r="B85" s="2154"/>
      <c r="C85" s="2155"/>
      <c r="D85" s="2156"/>
      <c r="E85" s="2156"/>
      <c r="F85" s="2156"/>
      <c r="G85" s="2157"/>
      <c r="H85" s="2156"/>
      <c r="I85" s="2157"/>
      <c r="J85" s="2156"/>
      <c r="K85" s="2156"/>
      <c r="L85" s="2156"/>
      <c r="M85" s="2156"/>
      <c r="N85" s="2156"/>
      <c r="O85" s="2156"/>
      <c r="P85" s="2157"/>
      <c r="Q85" s="2158"/>
    </row>
    <row r="86" spans="2:17" ht="15.75" thickBot="1">
      <c r="B86" s="2093"/>
      <c r="C86" s="1838"/>
      <c r="D86" s="1838"/>
      <c r="E86" s="1838"/>
      <c r="F86" s="1838"/>
      <c r="G86" s="1838"/>
      <c r="H86" s="1838"/>
      <c r="I86" s="1838"/>
      <c r="J86" s="1838"/>
      <c r="K86" s="1838"/>
      <c r="L86" s="1838"/>
      <c r="M86" s="1838"/>
      <c r="N86" s="1838"/>
      <c r="O86" s="1838"/>
      <c r="P86" s="1838"/>
      <c r="Q86" s="2159"/>
    </row>
  </sheetData>
  <mergeCells count="7">
    <mergeCell ref="C45:F45"/>
    <mergeCell ref="G42:H42"/>
    <mergeCell ref="J38:K39"/>
    <mergeCell ref="G39:H39"/>
    <mergeCell ref="G40:H40"/>
    <mergeCell ref="G41:H41"/>
    <mergeCell ref="G43:H43"/>
  </mergeCells>
  <phoneticPr fontId="0" type="noConversion"/>
  <dataValidations count="12">
    <dataValidation type="whole" allowBlank="1" showInputMessage="1" showErrorMessage="1" errorTitle="Input Error" error="Partner brand can only be one level higher from prior year.  " sqref="P15">
      <formula1>0</formula1>
      <formula2>Z62</formula2>
    </dataValidation>
    <dataValidation type="whole" allowBlank="1" showInputMessage="1" showErrorMessage="1" errorTitle="Input Error" error="Partner brand can only be one level higher from prior year.  " sqref="P16:P17">
      <formula1>0</formula1>
      <formula2>Z62</formula2>
    </dataValidation>
    <dataValidation type="list" allowBlank="1" showInputMessage="1" showErrorMessage="1" sqref="P24">
      <formula1>dataList1to10</formula1>
    </dataValidation>
    <dataValidation type="whole" operator="lessThanOrEqual" allowBlank="1" showInputMessage="1" showErrorMessage="1" errorTitle="Input Error" error="Family brand can be only three levels higher than prior year.  " sqref="P26 G26 I26 P11:P12 G11:G12 I11:I12">
      <formula1>3</formula1>
    </dataValidation>
    <dataValidation operator="lessThanOrEqual" allowBlank="1" showInputMessage="1" showErrorMessage="1" errorTitle="Input Error" error="Family brand can be only three levels higher than prior year.  " sqref="I27 P13:P14 G14 I13:I14 P22"/>
    <dataValidation type="decimal" allowBlank="1" showInputMessage="1" showErrorMessage="1" errorTitle="Pricing Error" error="Retailers will accept no more than a 10% price change." sqref="G19">
      <formula1>ROUNDDOWN(INDEX(obalReg1Prod1Price,xxIndexTeam)*0.9,2)</formula1>
      <formula2>ROUNDDOWN(INDEX(obalReg1Prod1Price,xxIndexTeam)*1.1,2)</formula2>
    </dataValidation>
    <dataValidation type="decimal" allowBlank="1" showInputMessage="1" showErrorMessage="1" errorTitle="Pricing Error" error="Retailers will accept no more than a 10% price change." sqref="I19">
      <formula1>ROUNDDOWN(INDEX(obalReg1Prod3Price,xxIndexTeam)*0.9,2)</formula1>
      <formula2>ROUNDDOWN(INDEX(obalReg1Prod3Price,xxIndexTeam)*1.1,2)</formula2>
    </dataValidation>
    <dataValidation type="decimal" allowBlank="1" showInputMessage="1" showErrorMessage="1" errorTitle="Pricing Error" error="Retailers will accept no more than a 10% price change." sqref="K19">
      <formula1>ROUNDDOWN(INDEX(obalReg1Prod4Price,xxIndexTeam)*0.9,2)</formula1>
      <formula2>ROUNDDOWN(INDEX(obalReg1Prod4Price,xxIndexTeam)*1.1,2)</formula2>
    </dataValidation>
    <dataValidation type="whole" allowBlank="1" showInputMessage="1" showErrorMessage="1" errorTitle="Inpurt Error" error="Speciality brand can only be one level higher from prior year.  " sqref="P21">
      <formula1>0</formula1>
      <formula2>#REF!</formula2>
    </dataValidation>
    <dataValidation type="whole" operator="lessThanOrEqual" allowBlank="1" showInputMessage="1" showErrorMessage="1" errorTitle="Inpurt Error" error="Speciality brand can only be one level higher from prior year.  " sqref="P19:P20">
      <formula1>1</formula1>
    </dataValidation>
    <dataValidation type="decimal" allowBlank="1" showInputMessage="1" showErrorMessage="1" sqref="K15 I15">
      <formula1>0</formula1>
      <formula2>1</formula2>
    </dataValidation>
    <dataValidation type="decimal" allowBlank="1" showErrorMessage="1" errorTitle="Forecast Error" error="You must enter a percentage value between -100% and 100%" sqref="G15">
      <formula1>-1</formula1>
      <formula2>1</formula2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indexed="23"/>
    <pageSetUpPr fitToPage="1"/>
  </sheetPr>
  <dimension ref="A1:Y86"/>
  <sheetViews>
    <sheetView zoomScale="116" workbookViewId="0">
      <pane ySplit="8" topLeftCell="A11" activePane="bottomLeft" state="frozenSplit"/>
      <selection activeCell="B2" sqref="B2:N100"/>
      <selection pane="bottomLeft" activeCell="K29" sqref="K29"/>
    </sheetView>
  </sheetViews>
  <sheetFormatPr defaultRowHeight="15"/>
  <cols>
    <col min="1" max="1" width="1.6640625" style="980" customWidth="1"/>
    <col min="2" max="2" width="1.5" style="980" customWidth="1"/>
    <col min="3" max="3" width="2.6640625" style="980" customWidth="1"/>
    <col min="4" max="4" width="11.83203125" style="980" customWidth="1"/>
    <col min="5" max="5" width="11.5" style="980" customWidth="1"/>
    <col min="6" max="6" width="8.5" style="980" customWidth="1"/>
    <col min="7" max="7" width="14.6640625" style="980" customWidth="1"/>
    <col min="8" max="8" width="3.33203125" style="980" customWidth="1"/>
    <col min="9" max="9" width="14.6640625" style="980" customWidth="1"/>
    <col min="10" max="10" width="3.33203125" style="980" customWidth="1"/>
    <col min="11" max="11" width="14.6640625" style="980" customWidth="1"/>
    <col min="12" max="14" width="3.33203125" style="980" customWidth="1"/>
    <col min="15" max="15" width="14.6640625" style="980" customWidth="1"/>
    <col min="16" max="16" width="15.33203125" style="980" customWidth="1"/>
    <col min="17" max="17" width="2" style="980" customWidth="1"/>
    <col min="18" max="18" width="3.6640625" style="925" customWidth="1"/>
    <col min="19" max="19" width="9.33203125" style="925" customWidth="1"/>
    <col min="20" max="20" width="11.5" style="925" customWidth="1"/>
    <col min="21" max="21" width="9.5" style="925" customWidth="1"/>
    <col min="22" max="22" width="9.33203125" style="925" customWidth="1"/>
    <col min="23" max="23" width="14.33203125" style="925" customWidth="1"/>
    <col min="24" max="24" width="4.33203125" style="925" customWidth="1"/>
    <col min="25" max="16384" width="9.33203125" style="925"/>
  </cols>
  <sheetData>
    <row r="1" spans="2:25" ht="7.5" customHeight="1" thickBot="1"/>
    <row r="2" spans="2:25" ht="15.75">
      <c r="B2" s="926"/>
      <c r="C2" s="927"/>
      <c r="D2" s="927"/>
      <c r="E2" s="927"/>
      <c r="F2" s="927"/>
      <c r="G2" s="927"/>
      <c r="H2" s="927"/>
      <c r="I2" s="927"/>
      <c r="J2" s="927"/>
      <c r="K2" s="927"/>
      <c r="L2" s="927"/>
      <c r="M2" s="927"/>
      <c r="N2" s="927"/>
      <c r="O2" s="927"/>
      <c r="P2" s="927"/>
      <c r="Q2" s="928"/>
      <c r="W2" s="1758" t="s">
        <v>505</v>
      </c>
      <c r="X2" s="1758">
        <f>xxSim0Tool1</f>
        <v>0</v>
      </c>
    </row>
    <row r="3" spans="2:25" ht="23.25">
      <c r="B3" s="981"/>
      <c r="C3" s="982"/>
      <c r="D3" s="982"/>
      <c r="E3" s="1848"/>
      <c r="F3" s="1848"/>
      <c r="G3" s="1848"/>
      <c r="H3" s="1848"/>
      <c r="I3" s="2101" t="s">
        <v>1152</v>
      </c>
      <c r="J3" s="1840"/>
      <c r="K3" s="1848"/>
      <c r="L3" s="1848"/>
      <c r="M3" s="1848"/>
      <c r="N3" s="1848"/>
      <c r="O3" s="1848"/>
      <c r="P3" s="2102" t="str">
        <f>INDEX(decTeamName,,xxIndexTeam)</f>
        <v>Vivia</v>
      </c>
      <c r="Q3" s="983"/>
      <c r="W3" s="1758" t="s">
        <v>190</v>
      </c>
      <c r="X3" s="1758">
        <f>xxYear</f>
        <v>1</v>
      </c>
    </row>
    <row r="4" spans="2:25" ht="6" customHeight="1">
      <c r="B4" s="984"/>
      <c r="C4" s="985"/>
      <c r="D4" s="985"/>
      <c r="E4" s="2103"/>
      <c r="F4" s="2103"/>
      <c r="G4" s="2103"/>
      <c r="H4" s="2103"/>
      <c r="I4" s="2103"/>
      <c r="J4" s="2103"/>
      <c r="K4" s="2103"/>
      <c r="L4" s="2103"/>
      <c r="M4" s="2103"/>
      <c r="N4" s="2103"/>
      <c r="O4" s="2103"/>
      <c r="P4" s="2103"/>
      <c r="Q4" s="933"/>
    </row>
    <row r="5" spans="2:25" ht="15.75">
      <c r="B5" s="986"/>
      <c r="C5" s="496"/>
      <c r="D5" s="987"/>
      <c r="E5" s="1676"/>
      <c r="F5" s="1676"/>
      <c r="G5" s="1676"/>
      <c r="H5" s="1676"/>
      <c r="I5" s="1676"/>
      <c r="J5" s="1676"/>
      <c r="K5" s="1676"/>
      <c r="L5" s="1676"/>
      <c r="M5" s="1676"/>
      <c r="N5" s="1676"/>
      <c r="O5" s="1676"/>
      <c r="P5" s="1863" t="str">
        <f ca="1">xxDashboard</f>
        <v>Corporate:   Net Rev Growth: 0.3%,   Op Margin: 23.3%   ROIC: 22.9%   Sustainability: 100.5   MTUs: 81</v>
      </c>
      <c r="Q5" s="988"/>
    </row>
    <row r="6" spans="2:25" ht="6" customHeight="1">
      <c r="B6" s="989"/>
      <c r="C6" s="496"/>
      <c r="D6" s="496"/>
      <c r="E6" s="1820"/>
      <c r="F6" s="1820"/>
      <c r="G6" s="2104"/>
      <c r="H6" s="2104"/>
      <c r="I6" s="2104"/>
      <c r="J6" s="2104"/>
      <c r="K6" s="2104"/>
      <c r="L6" s="2104"/>
      <c r="M6" s="2104"/>
      <c r="N6" s="2104"/>
      <c r="O6" s="2104"/>
      <c r="P6" s="2104"/>
      <c r="Q6" s="988"/>
    </row>
    <row r="7" spans="2:25" ht="15.75" customHeight="1">
      <c r="B7" s="989"/>
      <c r="C7" s="496"/>
      <c r="D7" s="496"/>
      <c r="E7" s="1820"/>
      <c r="F7" s="1820"/>
      <c r="G7" s="1676"/>
      <c r="H7" s="1676"/>
      <c r="I7" s="2104"/>
      <c r="J7" s="2104"/>
      <c r="K7" s="2104"/>
      <c r="L7" s="2104"/>
      <c r="M7" s="2104"/>
      <c r="N7" s="2104"/>
      <c r="O7" s="2104"/>
      <c r="P7" s="1863" t="str">
        <f ca="1">xxReg2Dashboard</f>
        <v>Escendia Market:   Beverage Rev: $4,947,600   F&amp;S Rev: $2,025,000   Op Margin: 24.4%</v>
      </c>
      <c r="Q7" s="988"/>
    </row>
    <row r="8" spans="2:25" ht="6.75" customHeight="1">
      <c r="B8" s="990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988"/>
    </row>
    <row r="9" spans="2:25" ht="9" customHeight="1">
      <c r="B9" s="991"/>
      <c r="C9" s="992"/>
      <c r="D9" s="496"/>
      <c r="E9" s="496"/>
      <c r="F9" s="496"/>
      <c r="G9" s="993"/>
      <c r="H9" s="993"/>
      <c r="I9" s="993"/>
      <c r="J9" s="993"/>
      <c r="K9" s="993"/>
      <c r="L9" s="993"/>
      <c r="M9" s="993"/>
      <c r="N9" s="993"/>
      <c r="O9" s="993"/>
      <c r="P9" s="993"/>
      <c r="Q9" s="994"/>
    </row>
    <row r="10" spans="2:25" ht="15.75">
      <c r="B10" s="991"/>
      <c r="C10" s="1820" t="s">
        <v>2751</v>
      </c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994"/>
    </row>
    <row r="11" spans="2:25" ht="9" customHeight="1">
      <c r="B11" s="991"/>
      <c r="C11" s="995"/>
      <c r="D11" s="496"/>
      <c r="E11" s="496"/>
      <c r="F11" s="496"/>
      <c r="G11" s="979"/>
      <c r="H11" s="996"/>
      <c r="I11" s="979"/>
      <c r="J11" s="996"/>
      <c r="K11" s="996"/>
      <c r="L11" s="996"/>
      <c r="M11" s="996"/>
      <c r="N11" s="996"/>
      <c r="O11" s="996"/>
      <c r="P11" s="979"/>
      <c r="Q11" s="994"/>
    </row>
    <row r="12" spans="2:25" s="980" customFormat="1" ht="12" customHeight="1">
      <c r="B12" s="991"/>
      <c r="C12" s="995"/>
      <c r="D12" s="496"/>
      <c r="E12" s="496"/>
      <c r="F12" s="496"/>
      <c r="G12" s="979"/>
      <c r="H12" s="996"/>
      <c r="I12" s="979"/>
      <c r="J12" s="996"/>
      <c r="K12" s="996"/>
      <c r="L12" s="996"/>
      <c r="M12" s="996"/>
      <c r="N12" s="996"/>
      <c r="O12" s="2098" t="s">
        <v>2750</v>
      </c>
      <c r="P12" s="1093"/>
      <c r="Q12" s="994"/>
    </row>
    <row r="13" spans="2:25" s="980" customFormat="1" ht="15.75">
      <c r="B13" s="991"/>
      <c r="C13" s="997"/>
      <c r="D13" s="987"/>
      <c r="E13" s="496"/>
      <c r="F13" s="998"/>
      <c r="G13" s="1937" t="str">
        <f>DataNameProd1</f>
        <v>CSD</v>
      </c>
      <c r="H13" s="1937"/>
      <c r="I13" s="1937" t="str">
        <f>DataNameProd3</f>
        <v>NCB</v>
      </c>
      <c r="J13" s="1820"/>
      <c r="K13" s="1937" t="str">
        <f>DataNameProd4</f>
        <v>F&amp;S</v>
      </c>
      <c r="L13" s="496"/>
      <c r="M13" s="496"/>
      <c r="N13" s="496"/>
      <c r="O13" s="496"/>
      <c r="P13" s="496"/>
      <c r="Q13" s="994"/>
    </row>
    <row r="14" spans="2:25" s="980" customFormat="1" ht="3.75" customHeight="1" thickBot="1">
      <c r="B14" s="991"/>
      <c r="C14" s="997"/>
      <c r="D14" s="987"/>
      <c r="E14" s="496"/>
      <c r="F14" s="496"/>
      <c r="G14" s="496"/>
      <c r="H14" s="496"/>
      <c r="I14" s="496"/>
      <c r="J14" s="496"/>
      <c r="K14" s="496"/>
      <c r="L14" s="496"/>
      <c r="M14" s="496"/>
      <c r="N14" s="496"/>
      <c r="O14" s="496"/>
      <c r="P14" s="496"/>
      <c r="Q14" s="994"/>
      <c r="T14" s="1000"/>
      <c r="U14" s="1000"/>
      <c r="V14" s="1000"/>
      <c r="W14" s="1000"/>
    </row>
    <row r="15" spans="2:25" s="980" customFormat="1" ht="16.5" thickBot="1">
      <c r="B15" s="991"/>
      <c r="C15" s="997"/>
      <c r="D15" s="1745" t="s">
        <v>2987</v>
      </c>
      <c r="E15" s="496"/>
      <c r="F15" s="496"/>
      <c r="G15" s="1205">
        <v>0.04</v>
      </c>
      <c r="H15" s="496"/>
      <c r="I15" s="1205">
        <v>0.1</v>
      </c>
      <c r="J15" s="496"/>
      <c r="K15" s="1205">
        <v>0.08</v>
      </c>
      <c r="L15" s="998"/>
      <c r="M15" s="496"/>
      <c r="N15" s="496"/>
      <c r="O15" s="496"/>
      <c r="P15" s="496"/>
      <c r="Q15" s="994"/>
      <c r="T15" s="1000"/>
      <c r="U15" s="1000"/>
      <c r="V15" s="1000"/>
      <c r="W15" s="1000"/>
      <c r="X15" s="1000"/>
      <c r="Y15" s="1000"/>
    </row>
    <row r="16" spans="2:25" s="980" customFormat="1" ht="15.75">
      <c r="B16" s="991"/>
      <c r="C16" s="997"/>
      <c r="D16" s="1941" t="s">
        <v>1452</v>
      </c>
      <c r="E16" s="1078"/>
      <c r="F16" s="1078"/>
      <c r="G16" s="2099">
        <f>INDEX(capProd1Reg2Units,xxIndexTeam)</f>
        <v>362759987</v>
      </c>
      <c r="H16" s="2099"/>
      <c r="I16" s="2099">
        <f>INDEX(capProd3Reg2Units,xxIndexTeam)</f>
        <v>260876000</v>
      </c>
      <c r="J16" s="2099"/>
      <c r="K16" s="2099">
        <f>INDEX(capProd4Reg2Units,xxIndexTeam)</f>
        <v>243000000</v>
      </c>
      <c r="L16" s="998"/>
      <c r="M16" s="996"/>
      <c r="N16" s="996"/>
      <c r="O16" s="996"/>
      <c r="P16" s="496"/>
      <c r="Q16" s="994"/>
      <c r="T16" s="1000"/>
      <c r="U16" s="1000"/>
      <c r="V16" s="1000"/>
      <c r="W16" s="1000"/>
      <c r="X16" s="1000"/>
      <c r="Y16" s="1000"/>
    </row>
    <row r="17" spans="2:25" s="980" customFormat="1" ht="15.75">
      <c r="B17" s="991"/>
      <c r="C17" s="997"/>
      <c r="D17" s="1941" t="s">
        <v>2830</v>
      </c>
      <c r="E17" s="1078"/>
      <c r="F17" s="1078"/>
      <c r="G17" s="2094">
        <f>INDEX(capProd1Reg2Units,xxIndexTeam)/INDEX(xxMMProd1Seg2Units,tlInputTeamYear+3)</f>
        <v>0.1955199998922042</v>
      </c>
      <c r="H17" s="2100"/>
      <c r="I17" s="2094">
        <f>INDEX(capProd3Reg2Units,xxIndexTeam)/INDEX(xxMMProd3Seg2Units,tlInputTeamYear+3)</f>
        <v>0.19359999999999999</v>
      </c>
      <c r="J17" s="2095"/>
      <c r="K17" s="2094">
        <f>INDEX(capProd4Reg2Units,xxIndexTeam)/INDEX(xxMMProd4Seg2Units,tlInputTeamYear+3)</f>
        <v>0.2</v>
      </c>
      <c r="L17" s="998"/>
      <c r="M17" s="996"/>
      <c r="N17" s="996"/>
      <c r="O17" s="996"/>
      <c r="P17" s="496"/>
      <c r="Q17" s="994"/>
      <c r="T17" s="1000"/>
      <c r="U17" s="1000"/>
      <c r="V17" s="1000"/>
      <c r="W17" s="1000"/>
      <c r="X17" s="1000"/>
      <c r="Y17" s="1000"/>
    </row>
    <row r="18" spans="2:25" s="1007" customFormat="1" ht="5.25" customHeight="1" thickBot="1">
      <c r="B18" s="1002"/>
      <c r="C18" s="1003"/>
      <c r="D18" s="1676"/>
      <c r="E18" s="496"/>
      <c r="F18" s="496"/>
      <c r="G18" s="996"/>
      <c r="H18" s="996"/>
      <c r="I18" s="996"/>
      <c r="J18" s="996"/>
      <c r="K18" s="496"/>
      <c r="L18" s="1091"/>
      <c r="M18" s="1005"/>
      <c r="N18" s="1005"/>
      <c r="O18" s="1005"/>
      <c r="P18" s="1005"/>
      <c r="Q18" s="1006"/>
      <c r="T18" s="1000"/>
      <c r="U18" s="1000"/>
      <c r="V18" s="1000"/>
      <c r="W18" s="1000"/>
    </row>
    <row r="19" spans="2:25" s="980" customFormat="1" ht="16.5" thickBot="1">
      <c r="B19" s="991"/>
      <c r="C19" s="995"/>
      <c r="D19" s="1936" t="s">
        <v>2035</v>
      </c>
      <c r="E19" s="1004"/>
      <c r="F19" s="1004"/>
      <c r="G19" s="1122">
        <v>7</v>
      </c>
      <c r="H19" s="1005"/>
      <c r="I19" s="1122">
        <v>10</v>
      </c>
      <c r="J19" s="1005"/>
      <c r="K19" s="1123">
        <v>9</v>
      </c>
      <c r="L19" s="998"/>
      <c r="M19" s="996"/>
      <c r="N19" s="996"/>
      <c r="O19" s="996"/>
      <c r="P19" s="979"/>
      <c r="Q19" s="994"/>
    </row>
    <row r="20" spans="2:25" s="980" customFormat="1" ht="15.75">
      <c r="B20" s="991"/>
      <c r="C20" s="995"/>
      <c r="D20" s="1941" t="s">
        <v>2264</v>
      </c>
      <c r="E20" s="1943"/>
      <c r="F20" s="1943"/>
      <c r="G20" s="2094">
        <f>INDEX(cbalReg2Prod1Price,xxIndexTeam)/INDEX(obalReg2Prod1Price,xxIndexTeam)-1</f>
        <v>0</v>
      </c>
      <c r="H20" s="2095"/>
      <c r="I20" s="2094">
        <f>INDEX(cbalReg2Prod3Price,xxIndexTeam)/INDEX(obalReg2Prod3Price,xxIndexTeam)-1</f>
        <v>0</v>
      </c>
      <c r="J20" s="2095"/>
      <c r="K20" s="2094">
        <f>INDEX(cbalReg2Prod4Price,xxIndexTeam)/INDEX(obalReg2Prod4Price,xxIndexTeam)-1</f>
        <v>0</v>
      </c>
      <c r="L20" s="998"/>
      <c r="M20" s="996"/>
      <c r="N20" s="996"/>
      <c r="O20" s="996"/>
      <c r="P20" s="979"/>
      <c r="Q20" s="994"/>
    </row>
    <row r="21" spans="2:25" s="980" customFormat="1" ht="6" customHeight="1">
      <c r="B21" s="991"/>
      <c r="C21" s="995"/>
      <c r="D21" s="1943"/>
      <c r="E21" s="1943"/>
      <c r="F21" s="1943"/>
      <c r="G21" s="2096"/>
      <c r="H21" s="2096"/>
      <c r="I21" s="2096"/>
      <c r="J21" s="2096"/>
      <c r="K21" s="2096"/>
      <c r="L21" s="998"/>
      <c r="M21" s="996"/>
      <c r="N21" s="996"/>
      <c r="O21" s="996"/>
      <c r="P21" s="496"/>
      <c r="Q21" s="994"/>
    </row>
    <row r="22" spans="2:25" s="980" customFormat="1" ht="15.75">
      <c r="B22" s="991"/>
      <c r="C22" s="995"/>
      <c r="D22" s="1941" t="s">
        <v>430</v>
      </c>
      <c r="E22" s="1943"/>
      <c r="F22" s="1943"/>
      <c r="G22" s="2097">
        <f>INDEX(finPNLReg2Prod1Rev,xxIndexTeam)</f>
        <v>2497600000</v>
      </c>
      <c r="H22" s="2096"/>
      <c r="I22" s="2097">
        <f>INDEX(finPNLReg2Prod3Rev,xxIndexTeam)</f>
        <v>2450000000</v>
      </c>
      <c r="J22" s="2096"/>
      <c r="K22" s="2097">
        <f>INDEX(finPNLReg2Prod4Rev,xxIndexTeam)</f>
        <v>2025000000</v>
      </c>
      <c r="L22" s="998"/>
      <c r="M22" s="996"/>
      <c r="N22" s="996"/>
      <c r="O22" s="996"/>
      <c r="P22" s="496"/>
      <c r="Q22" s="994"/>
    </row>
    <row r="23" spans="2:25" s="980" customFormat="1" ht="15.75">
      <c r="B23" s="991"/>
      <c r="C23" s="1003"/>
      <c r="D23" s="1941" t="s">
        <v>426</v>
      </c>
      <c r="E23" s="1943"/>
      <c r="F23" s="1943"/>
      <c r="G23" s="2094">
        <f>INDEX(finPNLReg2Prod1Rev,xxIndexTeam)/INDEX(obalReg2Prod1Rev,xxIndexTeam)-1</f>
        <v>2.2913256955810146E-2</v>
      </c>
      <c r="H23" s="2095"/>
      <c r="I23" s="2094">
        <f>INDEX(finPNLReg2Prod3Rev,xxIndexTeam)/INDEX(obalReg2Prod3Rev,xxIndexTeam)-1</f>
        <v>3.3057851239669311E-2</v>
      </c>
      <c r="J23" s="2095"/>
      <c r="K23" s="2094">
        <f>INDEX(finPNLReg2Prod4Rev,xxIndexTeam)/INDEX(obalReg2Prod4Rev,xxIndexTeam)-1</f>
        <v>0</v>
      </c>
      <c r="L23" s="998"/>
      <c r="M23" s="996"/>
      <c r="N23" s="996"/>
      <c r="O23" s="996"/>
      <c r="P23" s="996"/>
      <c r="Q23" s="994"/>
    </row>
    <row r="24" spans="2:25" s="980" customFormat="1" ht="7.5" customHeight="1">
      <c r="B24" s="991"/>
      <c r="C24" s="995"/>
      <c r="D24" s="998"/>
      <c r="E24" s="998"/>
      <c r="F24" s="998"/>
      <c r="G24" s="998"/>
      <c r="H24" s="998"/>
      <c r="I24" s="998"/>
      <c r="J24" s="998"/>
      <c r="K24" s="998"/>
      <c r="L24" s="998"/>
      <c r="M24" s="982"/>
      <c r="N24" s="982"/>
      <c r="O24" s="982"/>
      <c r="P24" s="979"/>
      <c r="Q24" s="994"/>
      <c r="T24" s="1000"/>
      <c r="U24" s="1000"/>
      <c r="V24" s="1000"/>
      <c r="W24" s="1000"/>
    </row>
    <row r="25" spans="2:25" ht="15.75">
      <c r="B25" s="991"/>
      <c r="C25" s="1820" t="s">
        <v>1720</v>
      </c>
      <c r="D25" s="496"/>
      <c r="E25" s="496"/>
      <c r="F25" s="496"/>
      <c r="G25" s="496"/>
      <c r="H25" s="496"/>
      <c r="I25" s="496"/>
      <c r="J25" s="496"/>
      <c r="K25" s="496"/>
      <c r="L25" s="496"/>
      <c r="M25" s="496"/>
      <c r="N25" s="496"/>
      <c r="O25" s="496"/>
      <c r="P25" s="496"/>
      <c r="Q25" s="994"/>
    </row>
    <row r="26" spans="2:25" ht="15.75">
      <c r="B26" s="991"/>
      <c r="C26" s="995"/>
      <c r="D26" s="496"/>
      <c r="E26" s="496"/>
      <c r="F26" s="979"/>
      <c r="G26" s="979"/>
      <c r="H26" s="979"/>
      <c r="I26" s="979"/>
      <c r="J26" s="996"/>
      <c r="K26" s="996"/>
      <c r="L26" s="996"/>
      <c r="M26" s="996"/>
      <c r="N26" s="996"/>
      <c r="O26" s="996"/>
      <c r="P26" s="979"/>
      <c r="Q26" s="994"/>
    </row>
    <row r="27" spans="2:25" s="980" customFormat="1" ht="15.75">
      <c r="B27" s="981"/>
      <c r="C27" s="982"/>
      <c r="D27" s="982"/>
      <c r="E27" s="982"/>
      <c r="F27" s="982"/>
      <c r="G27" s="1937" t="str">
        <f>DataNameProd1</f>
        <v>CSD</v>
      </c>
      <c r="H27" s="1937"/>
      <c r="I27" s="1937" t="str">
        <f>DataNameProd3</f>
        <v>NCB</v>
      </c>
      <c r="J27" s="1820"/>
      <c r="K27" s="1937" t="str">
        <f>DataNameProd4</f>
        <v>F&amp;S</v>
      </c>
      <c r="L27" s="982"/>
      <c r="M27" s="982"/>
      <c r="N27" s="2121" t="s">
        <v>3171</v>
      </c>
      <c r="O27" s="982"/>
      <c r="P27" s="982"/>
      <c r="Q27" s="983"/>
    </row>
    <row r="28" spans="2:25" s="980" customFormat="1" ht="6" customHeight="1" thickBot="1">
      <c r="B28" s="986"/>
      <c r="C28" s="496"/>
      <c r="D28" s="923"/>
      <c r="E28" s="496"/>
      <c r="F28" s="496"/>
      <c r="G28" s="982"/>
      <c r="H28" s="496"/>
      <c r="I28" s="496"/>
      <c r="J28" s="996"/>
      <c r="K28" s="996"/>
      <c r="L28" s="996"/>
      <c r="M28" s="996"/>
      <c r="N28" s="996"/>
      <c r="O28" s="996"/>
      <c r="P28" s="496"/>
      <c r="Q28" s="988"/>
    </row>
    <row r="29" spans="2:25" s="980" customFormat="1" ht="16.5" thickBot="1">
      <c r="B29" s="991"/>
      <c r="C29" s="1820"/>
      <c r="D29" s="1676" t="s">
        <v>4723</v>
      </c>
      <c r="E29" s="1820"/>
      <c r="F29" s="1820"/>
      <c r="G29" s="2462">
        <v>80</v>
      </c>
      <c r="H29" s="996"/>
      <c r="I29" s="2462">
        <v>65</v>
      </c>
      <c r="J29" s="982"/>
      <c r="K29" s="2462">
        <v>52</v>
      </c>
      <c r="L29" s="996"/>
      <c r="M29" s="998"/>
      <c r="N29" s="998"/>
      <c r="O29" s="998"/>
      <c r="P29" s="998"/>
      <c r="Q29" s="994"/>
    </row>
    <row r="30" spans="2:25" s="980" customFormat="1" ht="15.75">
      <c r="B30" s="991"/>
      <c r="C30" s="1820"/>
      <c r="D30" s="1941" t="s">
        <v>723</v>
      </c>
      <c r="E30" s="1943"/>
      <c r="F30" s="1943"/>
      <c r="G30" s="2094">
        <f>INDEX(capProd1AdvR2,xxIndexTeam)/INDEX(finPNLReg2Prod1Rev,xxIndexTeam)</f>
        <v>3.2030749519538756E-2</v>
      </c>
      <c r="H30" s="2095"/>
      <c r="I30" s="2094">
        <f>INDEX(capProd3AdvR2,xxIndexTeam)/INDEX(finPNLReg2Prod3Rev,xxIndexTeam)</f>
        <v>2.6530612244897958E-2</v>
      </c>
      <c r="J30" s="2095"/>
      <c r="K30" s="2094">
        <f>INDEX(capProd4AdvR2,xxIndexTeam)/INDEX(finPNLReg2Prod4Rev,xxIndexTeam)</f>
        <v>2.5679012345679011E-2</v>
      </c>
      <c r="L30" s="996"/>
      <c r="M30" s="998"/>
      <c r="N30" s="1097"/>
      <c r="O30" s="996"/>
      <c r="P30" s="496"/>
      <c r="Q30" s="994"/>
    </row>
    <row r="31" spans="2:25" s="980" customFormat="1" ht="7.5" customHeight="1" thickBot="1">
      <c r="B31" s="991"/>
      <c r="C31" s="1820"/>
      <c r="D31" s="1840"/>
      <c r="E31" s="1840"/>
      <c r="F31" s="1840"/>
      <c r="G31" s="998"/>
      <c r="H31" s="998"/>
      <c r="I31" s="998"/>
      <c r="J31" s="998"/>
      <c r="K31" s="998"/>
      <c r="L31" s="998"/>
      <c r="M31" s="998"/>
      <c r="N31" s="998"/>
      <c r="O31" s="998"/>
      <c r="P31" s="998"/>
      <c r="Q31" s="994"/>
    </row>
    <row r="32" spans="2:25" s="980" customFormat="1" ht="16.5" thickBot="1">
      <c r="B32" s="991"/>
      <c r="C32" s="1820"/>
      <c r="D32" s="1676" t="s">
        <v>4724</v>
      </c>
      <c r="E32" s="1820"/>
      <c r="F32" s="1820"/>
      <c r="G32" s="2462">
        <v>195</v>
      </c>
      <c r="H32" s="996"/>
      <c r="I32" s="2462">
        <v>165</v>
      </c>
      <c r="J32" s="982"/>
      <c r="K32" s="2462">
        <v>95</v>
      </c>
      <c r="L32" s="996"/>
      <c r="M32" s="998"/>
      <c r="N32" s="998"/>
      <c r="O32" s="998"/>
      <c r="P32" s="998"/>
      <c r="Q32" s="994"/>
    </row>
    <row r="33" spans="2:22" s="980" customFormat="1" ht="15.75">
      <c r="B33" s="991"/>
      <c r="C33" s="1820"/>
      <c r="D33" s="1941" t="s">
        <v>724</v>
      </c>
      <c r="E33" s="1943"/>
      <c r="F33" s="1943"/>
      <c r="G33" s="2094">
        <f>INDEX(capProd1PromoR2,xxIndexTeam)/INDEX(finPNLReg2Prod1Rev,xxIndexTeam)</f>
        <v>7.8074951953875718E-2</v>
      </c>
      <c r="H33" s="2096"/>
      <c r="I33" s="2094">
        <f>INDEX(capProd3PromoR2,xxIndexTeam)/INDEX(finPNLReg2Prod3Rev,xxIndexTeam)</f>
        <v>6.7346938775510207E-2</v>
      </c>
      <c r="J33" s="2096"/>
      <c r="K33" s="2094">
        <f>INDEX(capProd4PromoR2,xxIndexTeam)/INDEX(finPNLReg2Prod4Rev,xxIndexTeam)</f>
        <v>4.6913580246913583E-2</v>
      </c>
      <c r="L33" s="998"/>
      <c r="M33" s="998"/>
      <c r="N33" s="996"/>
      <c r="O33" s="996"/>
      <c r="P33" s="496"/>
      <c r="Q33" s="994"/>
    </row>
    <row r="34" spans="2:22" s="980" customFormat="1" ht="15.75">
      <c r="B34" s="991"/>
      <c r="C34" s="1820"/>
      <c r="D34" s="2105" t="s">
        <v>3085</v>
      </c>
      <c r="E34" s="1820"/>
      <c r="F34" s="1820"/>
      <c r="G34" s="2112">
        <f>INDEX(capProd1Reg2Price,xxIndexTeam)*(1-G33)</f>
        <v>6.4534753363228701</v>
      </c>
      <c r="H34" s="1820"/>
      <c r="I34" s="2112">
        <f>INDEX(capProd3Reg2Price,xxIndexTeam)*(1-I33)</f>
        <v>9.3265306122448983</v>
      </c>
      <c r="J34" s="1866"/>
      <c r="K34" s="2112">
        <f>INDEX(capProd4Reg2Price,xxIndexTeam)*(1-K33)</f>
        <v>8.5777777777777775</v>
      </c>
      <c r="L34" s="1629"/>
      <c r="M34" s="1629"/>
      <c r="P34" s="496"/>
      <c r="Q34" s="994"/>
    </row>
    <row r="35" spans="2:22" s="980" customFormat="1" ht="6" customHeight="1">
      <c r="B35" s="991"/>
      <c r="C35" s="1820"/>
      <c r="D35" s="1840"/>
      <c r="E35" s="1840"/>
      <c r="F35" s="1840"/>
      <c r="G35" s="1840"/>
      <c r="H35" s="1840"/>
      <c r="I35" s="1840"/>
      <c r="J35" s="1840"/>
      <c r="K35" s="1840"/>
      <c r="L35" s="1629"/>
      <c r="M35" s="1629"/>
      <c r="P35" s="496"/>
      <c r="Q35" s="994"/>
    </row>
    <row r="36" spans="2:22" s="980" customFormat="1" ht="15.75">
      <c r="B36" s="991"/>
      <c r="C36" s="1820"/>
      <c r="D36" s="1943" t="s">
        <v>725</v>
      </c>
      <c r="E36" s="1820"/>
      <c r="F36" s="1820"/>
      <c r="G36" s="2094">
        <f>G30+G33</f>
        <v>0.11010570147341447</v>
      </c>
      <c r="H36" s="2095"/>
      <c r="I36" s="2094">
        <f>I30+I33</f>
        <v>9.3877551020408165E-2</v>
      </c>
      <c r="J36" s="2095"/>
      <c r="K36" s="2094">
        <f>K30+K33</f>
        <v>7.2592592592592597E-2</v>
      </c>
      <c r="L36" s="996"/>
      <c r="M36" s="998"/>
      <c r="N36" s="998"/>
      <c r="O36" s="996"/>
      <c r="P36" s="1090"/>
      <c r="Q36" s="994"/>
    </row>
    <row r="37" spans="2:22" s="980" customFormat="1" ht="6" customHeight="1">
      <c r="B37" s="991"/>
      <c r="C37" s="1820"/>
      <c r="D37" s="1676"/>
      <c r="E37" s="1820"/>
      <c r="F37" s="1820"/>
      <c r="G37" s="998"/>
      <c r="H37" s="496"/>
      <c r="I37" s="496"/>
      <c r="J37" s="996"/>
      <c r="K37" s="996"/>
      <c r="L37" s="996"/>
      <c r="M37" s="1094"/>
      <c r="N37" s="996"/>
      <c r="O37" s="996"/>
      <c r="P37" s="996"/>
      <c r="Q37" s="994"/>
    </row>
    <row r="38" spans="2:22" s="980" customFormat="1" ht="16.5" customHeight="1" thickBot="1">
      <c r="B38" s="991"/>
      <c r="C38" s="1820"/>
      <c r="D38" s="1676"/>
      <c r="E38" s="1820"/>
      <c r="F38" s="1820"/>
      <c r="G38" s="998"/>
      <c r="H38" s="998"/>
      <c r="I38" s="998"/>
      <c r="J38" s="2600" t="s">
        <v>1722</v>
      </c>
      <c r="K38" s="2600"/>
      <c r="L38" s="1840"/>
      <c r="M38" s="1848"/>
      <c r="N38" s="1848"/>
      <c r="O38" s="2113" t="str">
        <f>"Level:  "&amp;ROUND(tlInputReg2ChanLevel/10,0)&amp;"  "</f>
        <v xml:space="preserve">Level:  3  </v>
      </c>
      <c r="P38" s="1820"/>
      <c r="Q38" s="994"/>
    </row>
    <row r="39" spans="2:22" s="980" customFormat="1" ht="16.5" customHeight="1" thickBot="1">
      <c r="B39" s="991"/>
      <c r="C39" s="1820"/>
      <c r="D39" s="2106" t="s">
        <v>2889</v>
      </c>
      <c r="E39" s="2107"/>
      <c r="F39" s="1840"/>
      <c r="G39" s="2601">
        <v>245</v>
      </c>
      <c r="H39" s="2602"/>
      <c r="I39" s="998"/>
      <c r="J39" s="2600"/>
      <c r="K39" s="2600"/>
      <c r="L39" s="1840"/>
      <c r="M39" s="1848"/>
      <c r="N39" s="1848"/>
      <c r="O39" s="2114"/>
      <c r="P39" s="1840"/>
      <c r="Q39" s="994"/>
      <c r="V39" s="1165">
        <v>30</v>
      </c>
    </row>
    <row r="40" spans="2:22" s="980" customFormat="1" ht="18" customHeight="1">
      <c r="B40" s="991"/>
      <c r="C40" s="1820"/>
      <c r="D40" s="2108" t="s">
        <v>1474</v>
      </c>
      <c r="E40" s="2109"/>
      <c r="F40" s="2109"/>
      <c r="G40" s="2603">
        <f>capEmp2RecDismExp</f>
        <v>5120500</v>
      </c>
      <c r="H40" s="2603"/>
      <c r="I40" s="496"/>
      <c r="J40" s="1820"/>
      <c r="K40" s="2115"/>
      <c r="L40" s="1840"/>
      <c r="M40" s="1820"/>
      <c r="N40" s="2116" t="s">
        <v>3917</v>
      </c>
      <c r="O40" s="2117">
        <f>INDEX(finPNLReg2COGSDistExp,xxIndexTeam)/(INDEX(capReg2Prod1UnitsSold,xxIndexTeam)+INDEX(capReg2Prod3UnitsSold,xxIndexTeam)+INDEX(capReg2Prod4UnitsSold,xxIndexTeam))</f>
        <v>1.0177521308069879</v>
      </c>
      <c r="P40" s="1840"/>
      <c r="Q40" s="994"/>
    </row>
    <row r="41" spans="2:22" s="980" customFormat="1" ht="15.75">
      <c r="B41" s="991"/>
      <c r="C41" s="1820"/>
      <c r="D41" s="2108" t="s">
        <v>2890</v>
      </c>
      <c r="E41" s="2109"/>
      <c r="F41" s="2109"/>
      <c r="G41" s="2604">
        <f>INDEX(capEmp2End,xxIndexTeam)</f>
        <v>2100</v>
      </c>
      <c r="H41" s="2604"/>
      <c r="I41" s="998"/>
      <c r="J41" s="1840"/>
      <c r="K41" s="1840"/>
      <c r="L41" s="1820"/>
      <c r="M41" s="1840"/>
      <c r="N41" s="2116" t="s">
        <v>1161</v>
      </c>
      <c r="O41" s="2118">
        <f>INDEX(paramChanLevelRamp,xxIndexTeam)</f>
        <v>0</v>
      </c>
      <c r="P41" s="2119"/>
      <c r="Q41" s="994"/>
    </row>
    <row r="42" spans="2:22" s="980" customFormat="1" ht="15.75">
      <c r="B42" s="991"/>
      <c r="C42" s="1820"/>
      <c r="D42" s="2108" t="s">
        <v>726</v>
      </c>
      <c r="E42" s="1923"/>
      <c r="F42" s="1923"/>
      <c r="G42" s="2599">
        <f>INDEX(finPNLReg2Rev,xxIndexTeam)/INDEX(capEmp2End,xxIndexTeam)</f>
        <v>3320285.7142857141</v>
      </c>
      <c r="H42" s="2599"/>
      <c r="I42" s="496"/>
      <c r="J42" s="1820"/>
      <c r="K42" s="1840"/>
      <c r="L42" s="1840"/>
      <c r="M42" s="1820"/>
      <c r="N42" s="2116" t="s">
        <v>1259</v>
      </c>
      <c r="O42" s="2120">
        <f>INDEX(capChanPenMTUs,xxIndexTeam)</f>
        <v>0</v>
      </c>
      <c r="P42" s="1820"/>
      <c r="Q42" s="994"/>
    </row>
    <row r="43" spans="2:22" s="980" customFormat="1" ht="15.75">
      <c r="B43" s="991"/>
      <c r="C43" s="1820"/>
      <c r="D43" s="2110" t="s">
        <v>642</v>
      </c>
      <c r="E43" s="2111"/>
      <c r="F43" s="2111"/>
      <c r="G43" s="2605">
        <f>INDEX(obalReg2Rev,xxIndexTeam)/INDEX(obalEmp2,xxIndexTeam)</f>
        <v>3256311.3142857142</v>
      </c>
      <c r="H43" s="2605"/>
      <c r="I43" s="496"/>
      <c r="J43" s="496"/>
      <c r="K43" s="998"/>
      <c r="L43" s="998"/>
      <c r="M43" s="496"/>
      <c r="N43" s="1242"/>
      <c r="O43" s="1243"/>
      <c r="P43" s="496"/>
      <c r="Q43" s="994"/>
    </row>
    <row r="44" spans="2:22" s="980" customFormat="1" ht="8.25" customHeight="1">
      <c r="B44" s="991"/>
      <c r="C44" s="1820"/>
      <c r="D44" s="2108"/>
      <c r="E44" s="1923"/>
      <c r="F44" s="1923"/>
      <c r="G44" s="1065"/>
      <c r="H44" s="1065"/>
      <c r="I44" s="496"/>
      <c r="J44" s="496"/>
      <c r="K44" s="998"/>
      <c r="L44" s="998"/>
      <c r="M44" s="496"/>
      <c r="N44" s="496"/>
      <c r="O44" s="496"/>
      <c r="P44" s="496"/>
      <c r="Q44" s="994"/>
    </row>
    <row r="45" spans="2:22" s="980" customFormat="1" ht="16.5" thickBot="1">
      <c r="B45" s="991"/>
      <c r="C45" s="2598" t="str">
        <f>"* After "&amp;TEXT(INDEX(paramEmp2AttRate,xxIndexTeam),"##%")&amp;" Salesforce Attrition"</f>
        <v>* After 12% Salesforce Attrition</v>
      </c>
      <c r="D45" s="2598"/>
      <c r="E45" s="2598"/>
      <c r="F45" s="2598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994"/>
    </row>
    <row r="46" spans="2:22" s="980" customFormat="1" ht="16.5" thickBot="1">
      <c r="B46" s="1337"/>
      <c r="C46" s="1338"/>
      <c r="D46" s="1338"/>
      <c r="E46" s="1338"/>
      <c r="F46" s="1338"/>
      <c r="G46" s="1009"/>
      <c r="H46" s="1338"/>
      <c r="I46" s="1338"/>
      <c r="J46" s="1338"/>
      <c r="K46" s="1338"/>
      <c r="L46" s="1338"/>
      <c r="M46" s="1338"/>
      <c r="N46" s="1338"/>
      <c r="O46" s="1338"/>
      <c r="P46" s="1338"/>
      <c r="Q46" s="1339"/>
    </row>
    <row r="47" spans="2:22" ht="16.5" thickBot="1">
      <c r="B47" s="1344"/>
      <c r="C47" s="1344"/>
      <c r="D47" s="1344"/>
      <c r="E47" s="1344"/>
      <c r="F47" s="1344"/>
      <c r="G47" s="1344"/>
      <c r="H47" s="1344"/>
      <c r="I47" s="1089"/>
      <c r="J47" s="1344"/>
      <c r="K47" s="1344"/>
      <c r="L47" s="1344"/>
      <c r="M47" s="1344"/>
      <c r="N47" s="1344"/>
      <c r="O47" s="1344"/>
      <c r="P47" s="1344"/>
      <c r="Q47" s="1344"/>
    </row>
    <row r="48" spans="2:22" ht="15.75" thickBot="1">
      <c r="B48" s="2122" t="s">
        <v>1152</v>
      </c>
      <c r="C48" s="2041"/>
      <c r="D48" s="2041"/>
      <c r="E48" s="2041"/>
      <c r="F48" s="2041"/>
      <c r="G48" s="2041"/>
      <c r="H48" s="2041"/>
      <c r="I48" s="2041"/>
      <c r="J48" s="2041"/>
      <c r="K48" s="2041"/>
      <c r="L48" s="2041"/>
      <c r="M48" s="2041"/>
      <c r="N48" s="2041"/>
      <c r="O48" s="2041"/>
      <c r="P48" s="2041"/>
      <c r="Q48" s="1775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9" spans="2:17" s="980" customFormat="1" ht="12" customHeight="1">
      <c r="B49" s="1877"/>
      <c r="C49" s="2123"/>
      <c r="D49" s="1946"/>
      <c r="E49" s="1946"/>
      <c r="F49" s="1946"/>
      <c r="G49" s="2124"/>
      <c r="H49" s="1946"/>
      <c r="I49" s="1946"/>
      <c r="J49" s="1946"/>
      <c r="K49" s="1946"/>
      <c r="L49" s="1946"/>
      <c r="M49" s="1946"/>
      <c r="N49" s="1946"/>
      <c r="O49" s="1946"/>
      <c r="P49" s="1326"/>
      <c r="Q49" s="1327"/>
    </row>
    <row r="50" spans="2:17" s="980" customFormat="1" ht="15.75">
      <c r="B50" s="1885"/>
      <c r="C50" s="2042"/>
      <c r="D50" s="1820"/>
      <c r="E50" s="1820"/>
      <c r="F50" s="1820"/>
      <c r="G50" s="2043"/>
      <c r="H50" s="2125" t="str">
        <f>DataNameProd1</f>
        <v>CSD</v>
      </c>
      <c r="I50" s="2125"/>
      <c r="J50" s="1848"/>
      <c r="K50" s="2125" t="str">
        <f>DataNameProd3</f>
        <v>NCB</v>
      </c>
      <c r="L50" s="2125"/>
      <c r="M50" s="1848"/>
      <c r="N50" s="2125" t="str">
        <f>DataNameProd4</f>
        <v>F&amp;S</v>
      </c>
      <c r="O50" s="2125"/>
      <c r="P50" s="982"/>
      <c r="Q50" s="988"/>
    </row>
    <row r="51" spans="2:17" s="980" customFormat="1" ht="15.75">
      <c r="B51" s="1885"/>
      <c r="C51" s="1820" t="s">
        <v>1650</v>
      </c>
      <c r="D51" s="1820"/>
      <c r="E51" s="1820"/>
      <c r="F51" s="1820"/>
      <c r="G51" s="1950"/>
      <c r="H51" s="1848"/>
      <c r="I51" s="1848"/>
      <c r="J51" s="1848"/>
      <c r="K51" s="1848"/>
      <c r="L51" s="1848"/>
      <c r="M51" s="1848"/>
      <c r="N51" s="1848"/>
      <c r="O51" s="1848"/>
      <c r="P51" s="982"/>
      <c r="Q51" s="988"/>
    </row>
    <row r="52" spans="2:17" s="980" customFormat="1" ht="7.5" customHeight="1">
      <c r="B52" s="1885"/>
      <c r="C52" s="2049"/>
      <c r="D52" s="1820"/>
      <c r="E52" s="1820"/>
      <c r="F52" s="1820"/>
      <c r="G52" s="2043"/>
      <c r="H52" s="1820"/>
      <c r="I52" s="1820"/>
      <c r="J52" s="1848"/>
      <c r="K52" s="1820"/>
      <c r="L52" s="1820"/>
      <c r="M52" s="1848"/>
      <c r="N52" s="1820"/>
      <c r="O52" s="1820"/>
      <c r="P52" s="982"/>
      <c r="Q52" s="988"/>
    </row>
    <row r="53" spans="2:17" s="980" customFormat="1" ht="12" customHeight="1">
      <c r="B53" s="1885"/>
      <c r="C53" s="1935"/>
      <c r="D53" s="1886" t="s">
        <v>1893</v>
      </c>
      <c r="E53" s="1886"/>
      <c r="F53" s="1886"/>
      <c r="G53" s="2055"/>
      <c r="H53" s="2126">
        <f>INDEX(capReg2Prod1UnitsSold, xxIndexTeam)</f>
        <v>356800000</v>
      </c>
      <c r="I53" s="2127"/>
      <c r="J53" s="2128"/>
      <c r="K53" s="2126">
        <f>INDEX(capReg2Prod3UnitsSold, xxIndexTeam)</f>
        <v>245000000</v>
      </c>
      <c r="L53" s="2127"/>
      <c r="M53" s="2128"/>
      <c r="N53" s="2126">
        <f>INDEX(capReg2Prod4UnitsSold, xxIndexTeam)</f>
        <v>225000000</v>
      </c>
      <c r="O53" s="2127"/>
      <c r="P53" s="982"/>
      <c r="Q53" s="988"/>
    </row>
    <row r="54" spans="2:17" s="980" customFormat="1" ht="12" customHeight="1">
      <c r="B54" s="1885"/>
      <c r="C54" s="1935"/>
      <c r="D54" s="2129" t="s">
        <v>596</v>
      </c>
      <c r="E54" s="2130"/>
      <c r="F54" s="2130"/>
      <c r="G54" s="2131"/>
      <c r="H54" s="2132">
        <f>(INDEX(capReg2Prod1UnitsSold, xxIndexTeam)-INDEX(obalProd1Reg2UnitsSold, xxIndexTeam))/INDEX(obalProd1Reg2UnitsSold, xxIndexTeam)</f>
        <v>2.2913256955810146E-2</v>
      </c>
      <c r="I54" s="2132"/>
      <c r="J54" s="2133"/>
      <c r="K54" s="2132">
        <f>(INDEX(capReg2Prod3UnitsSold, xxIndexTeam)-INDEX(obalProd3Reg2UnitsSold, xxIndexTeam))/INDEX(obalProd3Reg2UnitsSold, xxIndexTeam)</f>
        <v>3.3057851239669422E-2</v>
      </c>
      <c r="L54" s="2132"/>
      <c r="M54" s="2133"/>
      <c r="N54" s="2132">
        <f>(INDEX(capReg2Prod4UnitsSold, xxIndexTeam)-INDEX(obalProd4Reg2UnitsSold, xxIndexTeam))/INDEX(obalProd4Reg2UnitsSold, xxIndexTeam)</f>
        <v>0</v>
      </c>
      <c r="O54" s="2132"/>
      <c r="P54" s="982"/>
      <c r="Q54" s="988"/>
    </row>
    <row r="55" spans="2:17" s="980" customFormat="1" ht="12" customHeight="1">
      <c r="B55" s="1885"/>
      <c r="C55" s="1935"/>
      <c r="D55" s="1886" t="s">
        <v>3086</v>
      </c>
      <c r="E55" s="1886"/>
      <c r="F55" s="1886"/>
      <c r="G55" s="2044"/>
      <c r="H55" s="2047">
        <f>INDEX(capProd1Reg2Price, xxIndexTeam)</f>
        <v>7</v>
      </c>
      <c r="I55" s="2046"/>
      <c r="J55" s="1848"/>
      <c r="K55" s="2047">
        <f>INDEX(capProd3Reg2Price, xxIndexTeam)</f>
        <v>10</v>
      </c>
      <c r="L55" s="2046"/>
      <c r="M55" s="1848"/>
      <c r="N55" s="2047">
        <f>INDEX(capProd4Reg2Price, xxIndexTeam)</f>
        <v>9</v>
      </c>
      <c r="O55" s="2046"/>
      <c r="P55" s="982"/>
      <c r="Q55" s="988"/>
    </row>
    <row r="56" spans="2:17" s="980" customFormat="1" ht="7.5" customHeight="1">
      <c r="B56" s="1885"/>
      <c r="C56" s="2049"/>
      <c r="D56" s="1676"/>
      <c r="E56" s="1886"/>
      <c r="F56" s="1886"/>
      <c r="G56" s="2050"/>
      <c r="H56" s="2051"/>
      <c r="I56" s="2052"/>
      <c r="J56" s="1848"/>
      <c r="K56" s="2051"/>
      <c r="L56" s="2052"/>
      <c r="M56" s="1848"/>
      <c r="N56" s="2051"/>
      <c r="O56" s="2052"/>
      <c r="P56" s="982"/>
      <c r="Q56" s="988"/>
    </row>
    <row r="57" spans="2:17" s="980" customFormat="1" ht="12" customHeight="1">
      <c r="B57" s="2053"/>
      <c r="C57" s="2054"/>
      <c r="D57" s="1962" t="s">
        <v>727</v>
      </c>
      <c r="E57" s="1886"/>
      <c r="F57" s="1886"/>
      <c r="G57" s="2055"/>
      <c r="H57" s="2134">
        <f>H53*H55</f>
        <v>2497600000</v>
      </c>
      <c r="I57" s="2135"/>
      <c r="J57" s="2136"/>
      <c r="K57" s="2134">
        <f>K53*K55</f>
        <v>2450000000</v>
      </c>
      <c r="L57" s="2135"/>
      <c r="M57" s="2136"/>
      <c r="N57" s="2134">
        <f>N53*N55</f>
        <v>2025000000</v>
      </c>
      <c r="O57" s="2135"/>
      <c r="P57" s="982"/>
      <c r="Q57" s="988"/>
    </row>
    <row r="58" spans="2:17" s="980" customFormat="1" ht="12" customHeight="1">
      <c r="B58" s="2053"/>
      <c r="C58" s="2049"/>
      <c r="D58" s="1863"/>
      <c r="E58" s="1886"/>
      <c r="F58" s="1886"/>
      <c r="G58" s="2050"/>
      <c r="H58" s="2082"/>
      <c r="I58" s="2015"/>
      <c r="J58" s="1848"/>
      <c r="K58" s="2082"/>
      <c r="L58" s="2015"/>
      <c r="M58" s="1848"/>
      <c r="N58" s="2082"/>
      <c r="O58" s="2015"/>
      <c r="P58" s="982"/>
      <c r="Q58" s="988"/>
    </row>
    <row r="59" spans="2:17" s="980" customFormat="1" ht="12" customHeight="1">
      <c r="B59" s="2053"/>
      <c r="C59" s="2042"/>
      <c r="D59" s="1886" t="s">
        <v>730</v>
      </c>
      <c r="E59" s="1886"/>
      <c r="F59" s="1886"/>
      <c r="G59" s="2060"/>
      <c r="H59" s="2058">
        <f>H57/INDEX(finPNLRev, xxIndexTeam)</f>
        <v>9.5539292396805905E-2</v>
      </c>
      <c r="I59" s="2137"/>
      <c r="J59" s="2138"/>
      <c r="K59" s="2058">
        <f>K57/INDEX(finPNLRev, xxIndexTeam)</f>
        <v>9.3718476286104455E-2</v>
      </c>
      <c r="L59" s="2137"/>
      <c r="M59" s="2138"/>
      <c r="N59" s="2058">
        <f>N57/INDEX(finPNLRev, xxIndexTeam)</f>
        <v>7.7461189583412859E-2</v>
      </c>
      <c r="O59" s="2137"/>
      <c r="P59" s="982"/>
      <c r="Q59" s="988"/>
    </row>
    <row r="60" spans="2:17" s="980" customFormat="1" ht="12" customHeight="1">
      <c r="B60" s="2053"/>
      <c r="C60" s="2042"/>
      <c r="D60" s="1820"/>
      <c r="E60" s="1820"/>
      <c r="F60" s="1820"/>
      <c r="G60" s="2065"/>
      <c r="H60" s="2065"/>
      <c r="I60" s="1820"/>
      <c r="J60" s="1848"/>
      <c r="K60" s="1820"/>
      <c r="L60" s="1820"/>
      <c r="M60" s="1848"/>
      <c r="N60" s="1820"/>
      <c r="O60" s="2065"/>
      <c r="P60" s="982"/>
      <c r="Q60" s="988"/>
    </row>
    <row r="61" spans="2:17" s="980" customFormat="1" ht="15.75">
      <c r="B61" s="1885"/>
      <c r="C61" s="1820" t="s">
        <v>3050</v>
      </c>
      <c r="D61" s="1820"/>
      <c r="E61" s="1820"/>
      <c r="F61" s="1820"/>
      <c r="G61" s="1950"/>
      <c r="H61" s="2066"/>
      <c r="I61" s="2066"/>
      <c r="J61" s="1848"/>
      <c r="K61" s="2066"/>
      <c r="L61" s="2066"/>
      <c r="M61" s="1848"/>
      <c r="N61" s="2066"/>
      <c r="O61" s="2066"/>
      <c r="P61" s="982"/>
      <c r="Q61" s="988"/>
    </row>
    <row r="62" spans="2:17" s="980" customFormat="1" ht="7.5" customHeight="1">
      <c r="B62" s="1885"/>
      <c r="C62" s="1820"/>
      <c r="D62" s="1820"/>
      <c r="E62" s="1820"/>
      <c r="F62" s="1820"/>
      <c r="G62" s="2043"/>
      <c r="H62" s="2067"/>
      <c r="I62" s="2067"/>
      <c r="J62" s="1848"/>
      <c r="K62" s="2067"/>
      <c r="L62" s="2067"/>
      <c r="M62" s="1848"/>
      <c r="N62" s="2067"/>
      <c r="O62" s="2067"/>
      <c r="P62" s="982"/>
      <c r="Q62" s="988"/>
    </row>
    <row r="63" spans="2:17" s="980" customFormat="1" ht="12" customHeight="1">
      <c r="B63" s="1885"/>
      <c r="C63" s="1935"/>
      <c r="D63" s="1886" t="s">
        <v>1567</v>
      </c>
      <c r="E63" s="1886"/>
      <c r="F63" s="1886"/>
      <c r="G63" s="2055"/>
      <c r="H63" s="2068">
        <f>INDEX(capProd1COGSPUnitMat, xxIndexTeam)</f>
        <v>2.3189045275850999</v>
      </c>
      <c r="I63" s="2068"/>
      <c r="J63" s="1848"/>
      <c r="K63" s="2068">
        <f>INDEX(capProd3COGSPUnitMat, xxIndexTeam)</f>
        <v>4.004969096</v>
      </c>
      <c r="L63" s="2068"/>
      <c r="M63" s="1848"/>
      <c r="N63" s="2068">
        <f>INDEX(capProd4COGSPUnitMat, xxIndexTeam)</f>
        <v>3.3147265540000004</v>
      </c>
      <c r="O63" s="2068"/>
      <c r="P63" s="982"/>
      <c r="Q63" s="988"/>
    </row>
    <row r="64" spans="2:17" s="980" customFormat="1" ht="12" customHeight="1">
      <c r="B64" s="1885"/>
      <c r="C64" s="1935"/>
      <c r="D64" s="1886" t="s">
        <v>3260</v>
      </c>
      <c r="E64" s="1886"/>
      <c r="F64" s="1886"/>
      <c r="G64" s="1972"/>
      <c r="H64" s="2070">
        <f>INDEX(capReg2Prod1CostPUnitEmp3, xxIndexTeam)</f>
        <v>0.40686197998307172</v>
      </c>
      <c r="I64" s="2070"/>
      <c r="J64" s="1848"/>
      <c r="K64" s="2070">
        <f>INDEX(capReg2Prod3CostPUnitEmp3, xxIndexTeam)</f>
        <v>0.45542850894453502</v>
      </c>
      <c r="L64" s="2070"/>
      <c r="M64" s="1848"/>
      <c r="N64" s="2070">
        <f>INDEX(capReg2Prod4CostPUnitEmp3, xxIndexTeam)</f>
        <v>0.41920124118758345</v>
      </c>
      <c r="O64" s="2070"/>
      <c r="P64" s="982"/>
      <c r="Q64" s="988"/>
    </row>
    <row r="65" spans="2:17" s="980" customFormat="1" ht="12" customHeight="1">
      <c r="B65" s="1885"/>
      <c r="C65" s="1935"/>
      <c r="D65" s="1886" t="s">
        <v>1219</v>
      </c>
      <c r="E65" s="1886"/>
      <c r="F65" s="1886"/>
      <c r="G65" s="1972"/>
      <c r="H65" s="2070">
        <f ca="1">INDEX(capProd1COGSPUnitPlant1, xxIndexTeam)+INDEX(capProd1COGSPUnitDep,xxIndexTeam)</f>
        <v>0.22355773594064218</v>
      </c>
      <c r="I65" s="2070"/>
      <c r="J65" s="1848"/>
      <c r="K65" s="2070">
        <f ca="1">INDEX(capProd1COGSPUnitPlant1, xxIndexTeam)+INDEX(capProd3COGSPUnitDep,xxIndexTeam)</f>
        <v>0.45452210930880022</v>
      </c>
      <c r="L65" s="2070"/>
      <c r="M65" s="1848"/>
      <c r="N65" s="2070">
        <f ca="1">INDEX(capProd1COGSPUnitPlant1, xxIndexTeam)+INDEX(capProd4COGSPUnitDep,xxIndexTeam)</f>
        <v>0.39280894023400614</v>
      </c>
      <c r="O65" s="2070"/>
      <c r="P65" s="982"/>
      <c r="Q65" s="988"/>
    </row>
    <row r="66" spans="2:17" s="980" customFormat="1" ht="7.5" customHeight="1">
      <c r="B66" s="1885"/>
      <c r="C66" s="1935"/>
      <c r="D66" s="1886"/>
      <c r="E66" s="1886"/>
      <c r="F66" s="1886"/>
      <c r="G66" s="1972"/>
      <c r="H66" s="2070"/>
      <c r="I66" s="2070"/>
      <c r="J66" s="1848"/>
      <c r="K66" s="2070"/>
      <c r="L66" s="2070"/>
      <c r="M66" s="1848"/>
      <c r="N66" s="2070"/>
      <c r="O66" s="2070"/>
      <c r="P66" s="982"/>
      <c r="Q66" s="988"/>
    </row>
    <row r="67" spans="2:17" s="980" customFormat="1" ht="12" customHeight="1">
      <c r="B67" s="1885"/>
      <c r="C67" s="1848"/>
      <c r="D67" s="1962" t="s">
        <v>3127</v>
      </c>
      <c r="E67" s="1886"/>
      <c r="F67" s="1886"/>
      <c r="G67" s="2055"/>
      <c r="H67" s="2072">
        <f ca="1">SUM(H63:H65)</f>
        <v>2.9493242435088138</v>
      </c>
      <c r="I67" s="2072"/>
      <c r="J67" s="1848"/>
      <c r="K67" s="2072">
        <f ca="1">SUM(K63:K65)</f>
        <v>4.914919714253335</v>
      </c>
      <c r="L67" s="2072"/>
      <c r="M67" s="1848"/>
      <c r="N67" s="2072">
        <f ca="1">SUM(N63:N65)</f>
        <v>4.1267367354215896</v>
      </c>
      <c r="O67" s="2072"/>
      <c r="P67" s="982"/>
      <c r="Q67" s="988"/>
    </row>
    <row r="68" spans="2:17" s="980" customFormat="1" ht="7.5" customHeight="1">
      <c r="B68" s="1885"/>
      <c r="C68" s="2049"/>
      <c r="D68" s="1852"/>
      <c r="E68" s="1852"/>
      <c r="F68" s="1852"/>
      <c r="G68" s="2073"/>
      <c r="H68" s="2015"/>
      <c r="I68" s="2015"/>
      <c r="J68" s="1848"/>
      <c r="K68" s="2015"/>
      <c r="L68" s="2015"/>
      <c r="M68" s="1848"/>
      <c r="N68" s="2015"/>
      <c r="O68" s="2015"/>
      <c r="P68" s="982"/>
      <c r="Q68" s="988"/>
    </row>
    <row r="69" spans="2:17" s="980" customFormat="1" ht="12" customHeight="1">
      <c r="B69" s="1885"/>
      <c r="C69" s="2042"/>
      <c r="D69" s="1975" t="s">
        <v>728</v>
      </c>
      <c r="E69" s="1680"/>
      <c r="F69" s="1680"/>
      <c r="G69" s="2139"/>
      <c r="H69" s="2140">
        <f ca="1">H67/INDEX(capProd1Reg2Price, xxIndexTeam)</f>
        <v>0.4213320347869734</v>
      </c>
      <c r="I69" s="2140"/>
      <c r="J69" s="2141"/>
      <c r="K69" s="2140">
        <f ca="1">K67/INDEX(capProd3Reg2Price, xxIndexTeam)</f>
        <v>0.49149197142533352</v>
      </c>
      <c r="L69" s="2140"/>
      <c r="M69" s="2141"/>
      <c r="N69" s="2140">
        <f ca="1">N67/INDEX(capProd4Reg2Price, xxIndexTeam)</f>
        <v>0.45852630393573218</v>
      </c>
      <c r="O69" s="2140"/>
      <c r="P69" s="1075"/>
      <c r="Q69" s="988"/>
    </row>
    <row r="70" spans="2:17" s="980" customFormat="1" ht="7.5" customHeight="1">
      <c r="B70" s="1885"/>
      <c r="C70" s="2042"/>
      <c r="D70" s="2048"/>
      <c r="E70" s="2130"/>
      <c r="F70" s="2130"/>
      <c r="G70" s="2060"/>
      <c r="H70" s="2058"/>
      <c r="I70" s="2058"/>
      <c r="J70" s="2138"/>
      <c r="K70" s="2058"/>
      <c r="L70" s="2058"/>
      <c r="M70" s="2138"/>
      <c r="N70" s="2058"/>
      <c r="O70" s="2058"/>
      <c r="P70" s="982"/>
      <c r="Q70" s="988"/>
    </row>
    <row r="71" spans="2:17" s="980" customFormat="1" ht="12" customHeight="1">
      <c r="B71" s="1885"/>
      <c r="C71" s="1962"/>
      <c r="D71" s="1886" t="s">
        <v>731</v>
      </c>
      <c r="E71" s="1886"/>
      <c r="F71" s="1886"/>
      <c r="G71" s="2142"/>
      <c r="H71" s="2058">
        <f ca="1">toolPNLRegionB!G26/toolPNLRegionB!G9</f>
        <v>0.50059261773195096</v>
      </c>
      <c r="I71" s="2058"/>
      <c r="J71" s="2138"/>
      <c r="K71" s="2058">
        <f ca="1">toolPNLRegionB!I26/toolPNLRegionB!I9</f>
        <v>0.44106801089321729</v>
      </c>
      <c r="L71" s="2058"/>
      <c r="M71" s="2138"/>
      <c r="N71" s="2058">
        <f ca="1">toolPNLRegionB!K26/toolPNLRegionB!K9</f>
        <v>0.49448055532479529</v>
      </c>
      <c r="O71" s="2058"/>
      <c r="P71" s="982"/>
      <c r="Q71" s="988"/>
    </row>
    <row r="72" spans="2:17" s="980" customFormat="1" ht="12" customHeight="1">
      <c r="B72" s="1885"/>
      <c r="C72" s="2042"/>
      <c r="D72" s="1820"/>
      <c r="E72" s="1820"/>
      <c r="F72" s="1820"/>
      <c r="G72" s="2043"/>
      <c r="H72" s="1820"/>
      <c r="I72" s="1820"/>
      <c r="J72" s="1848"/>
      <c r="K72" s="1820"/>
      <c r="L72" s="1820"/>
      <c r="M72" s="1848"/>
      <c r="N72" s="1820"/>
      <c r="O72" s="1820"/>
      <c r="P72" s="982"/>
      <c r="Q72" s="988"/>
    </row>
    <row r="73" spans="2:17" s="980" customFormat="1" ht="15.75">
      <c r="B73" s="1885"/>
      <c r="C73" s="1820" t="s">
        <v>3051</v>
      </c>
      <c r="D73" s="1820"/>
      <c r="E73" s="1820"/>
      <c r="F73" s="1820"/>
      <c r="G73" s="1950"/>
      <c r="H73" s="2066"/>
      <c r="I73" s="2066"/>
      <c r="J73" s="1848"/>
      <c r="K73" s="2066"/>
      <c r="L73" s="2066"/>
      <c r="M73" s="1848"/>
      <c r="N73" s="2066"/>
      <c r="O73" s="2066"/>
      <c r="P73" s="982"/>
      <c r="Q73" s="988"/>
    </row>
    <row r="74" spans="2:17" s="980" customFormat="1" ht="7.5" customHeight="1">
      <c r="B74" s="1885"/>
      <c r="C74" s="2049"/>
      <c r="D74" s="1820"/>
      <c r="E74" s="1820"/>
      <c r="F74" s="1820"/>
      <c r="G74" s="2043"/>
      <c r="H74" s="1820"/>
      <c r="I74" s="1820"/>
      <c r="J74" s="1848"/>
      <c r="K74" s="1820"/>
      <c r="L74" s="1820"/>
      <c r="M74" s="1848"/>
      <c r="N74" s="1820"/>
      <c r="O74" s="1820"/>
      <c r="P74" s="982"/>
      <c r="Q74" s="988"/>
    </row>
    <row r="75" spans="2:17" s="980" customFormat="1" ht="12" customHeight="1">
      <c r="B75" s="1885"/>
      <c r="C75" s="1935"/>
      <c r="D75" s="1886" t="s">
        <v>1536</v>
      </c>
      <c r="E75" s="1886"/>
      <c r="F75" s="1886"/>
      <c r="G75" s="2055"/>
      <c r="H75" s="2068">
        <f>(INDEX(finPNLReg2Prod1AdvExp,xxIndexTeam)+INDEX(finPNLReg2Prod1PromoExp,xxIndexTeam))/INDEX(capProd1Reg2Units, xxIndexTeam)</f>
        <v>0.75807699265354755</v>
      </c>
      <c r="I75" s="2080"/>
      <c r="J75" s="1848"/>
      <c r="K75" s="2068">
        <f>(INDEX(finPNLReg2Prod3AdvExp,xxIndexTeam)+INDEX(finPNLReg2Prod3PromoExp,xxIndexTeam))/INDEX(capProd3Reg2Units, xxIndexTeam)</f>
        <v>0.88164491942532086</v>
      </c>
      <c r="L75" s="2080"/>
      <c r="M75" s="1848"/>
      <c r="N75" s="2068">
        <f>(INDEX(finPNLReg2Prod4AdvExp,xxIndexTeam)+INDEX(finPNLReg2Prod4PromoExp,xxIndexTeam))/INDEX(capProd4Reg2Units, xxIndexTeam)</f>
        <v>0.60493827160493829</v>
      </c>
      <c r="O75" s="2080"/>
      <c r="P75" s="982"/>
      <c r="Q75" s="988"/>
    </row>
    <row r="76" spans="2:17" s="980" customFormat="1" ht="12" customHeight="1">
      <c r="B76" s="1885"/>
      <c r="C76" s="1935"/>
      <c r="D76" s="1886" t="s">
        <v>2301</v>
      </c>
      <c r="E76" s="1886"/>
      <c r="F76" s="1886"/>
      <c r="G76" s="2044"/>
      <c r="H76" s="2081">
        <f ca="1">(INDEX(finPNLReg2Prod1InventoryHndlgExp,xxIndexTeam)/INDEX(capProd1Reg2Units,xxIndexTeam))+INDEX(paramReg2Prod1DistCostPUnit, xxIndexTeam)</f>
        <v>0.98553432843017397</v>
      </c>
      <c r="I76" s="2046"/>
      <c r="J76" s="1848"/>
      <c r="K76" s="2081">
        <f ca="1">(INDEX(finPNLReg2Prod3InventoryHndlgExp,xxIndexTeam)/INDEX(capProd3Reg2Units,xxIndexTeam))+INDEX(paramReg2Prod3DistCostPUnit, xxIndexTeam)</f>
        <v>1.1406162299046834</v>
      </c>
      <c r="L76" s="2046"/>
      <c r="M76" s="1848"/>
      <c r="N76" s="2081">
        <f ca="1">(INDEX(finPNLReg2Prod4InventoryHndlgExp,xxIndexTeam)/INDEX(capProd4Reg2Units,xxIndexTeam))+INDEX(paramReg2Prod4DistCostPUnit, xxIndexTeam)</f>
        <v>1.1412024706522832</v>
      </c>
      <c r="O76" s="2046"/>
      <c r="P76" s="982"/>
      <c r="Q76" s="988"/>
    </row>
    <row r="77" spans="2:17" s="980" customFormat="1" ht="12" customHeight="1">
      <c r="B77" s="1885"/>
      <c r="C77" s="1935"/>
      <c r="D77" s="1886" t="s">
        <v>1585</v>
      </c>
      <c r="E77" s="1886"/>
      <c r="F77" s="1886"/>
      <c r="G77" s="2044"/>
      <c r="H77" s="2081">
        <f>(INDEX(finPNLReg2Prod1FixedAdminExp,xxIndexTeam))/(INDEX(capProd1Reg2Units,xxIndexTeam))</f>
        <v>0.33143876091604335</v>
      </c>
      <c r="I77" s="2046"/>
      <c r="J77" s="1848"/>
      <c r="K77" s="2081">
        <f>(INDEX(finPNLReg2Prod3FixedAdminExp,xxIndexTeam))/(INDEX(capProd3Reg2Units,xxIndexTeam))</f>
        <v>0.46138014995630106</v>
      </c>
      <c r="L77" s="2046"/>
      <c r="M77" s="1848"/>
      <c r="N77" s="2081">
        <f>(INDEX(finPNLReg2Prod4FixedAdminExp,xxIndexTeam))/(INDEX(capProd4Reg2Units,xxIndexTeam))</f>
        <v>0.36349228773662551</v>
      </c>
      <c r="O77" s="2046"/>
      <c r="P77" s="982"/>
      <c r="Q77" s="988"/>
    </row>
    <row r="78" spans="2:17" s="980" customFormat="1" ht="12" customHeight="1">
      <c r="B78" s="1885"/>
      <c r="C78" s="1935"/>
      <c r="D78" s="1886" t="s">
        <v>1537</v>
      </c>
      <c r="E78" s="1886"/>
      <c r="F78" s="1886"/>
      <c r="G78" s="2055"/>
      <c r="H78" s="2081">
        <f>INDEX(finPNLReg2Prod1Emp1Exp,xxIndexTeam)/INDEX(capProd1Reg2Units, xxIndexTeam)</f>
        <v>0.10516791872902244</v>
      </c>
      <c r="I78" s="2080"/>
      <c r="J78" s="1848"/>
      <c r="K78" s="2081">
        <f>INDEX(finPNLReg2Prod3Emp1Exp,xxIndexTeam)/INDEX(capProd3Reg2Units, xxIndexTeam)</f>
        <v>0.15263472788173602</v>
      </c>
      <c r="L78" s="2080"/>
      <c r="M78" s="1848"/>
      <c r="N78" s="2081">
        <f>INDEX(finPNLReg2Prod4Emp1Exp,xxIndexTeam)/INDEX(capProd4Reg2Units, xxIndexTeam)</f>
        <v>0.15444670739986421</v>
      </c>
      <c r="O78" s="2080"/>
      <c r="P78" s="982"/>
      <c r="Q78" s="988"/>
    </row>
    <row r="79" spans="2:17" s="980" customFormat="1" ht="12" customHeight="1">
      <c r="B79" s="1885"/>
      <c r="C79" s="1935"/>
      <c r="D79" s="1886" t="s">
        <v>3243</v>
      </c>
      <c r="E79" s="1886"/>
      <c r="F79" s="1886"/>
      <c r="G79" s="2044"/>
      <c r="H79" s="2081">
        <f>(INDEX(finPNLReg2Prod1EmpAdminExp,xxIndexTeam)/(INDEX(capProd1Reg2Units,xxIndexTeam)))</f>
        <v>8.590888242679752E-2</v>
      </c>
      <c r="I79" s="2046"/>
      <c r="J79" s="1848"/>
      <c r="K79" s="2081">
        <f>(INDEX(finPNLReg2Prod3EmpAdminExp,xxIndexTeam)/(INDEX(capProd3Reg2Units,xxIndexTeam)))</f>
        <v>9.8659745921670081E-2</v>
      </c>
      <c r="L79" s="2046"/>
      <c r="M79" s="1848"/>
      <c r="N79" s="2081">
        <f>(INDEX(finPNLReg2Prod4EmpAdminExp,xxIndexTeam)/(INDEX(capProd4Reg2Units,xxIndexTeam)))</f>
        <v>9.2183177430618199E-2</v>
      </c>
      <c r="O79" s="2046"/>
      <c r="P79" s="982"/>
      <c r="Q79" s="988"/>
    </row>
    <row r="80" spans="2:17" s="980" customFormat="1" ht="12" customHeight="1">
      <c r="B80" s="1885"/>
      <c r="C80" s="2143"/>
      <c r="D80" s="1886" t="s">
        <v>2087</v>
      </c>
      <c r="E80" s="1886"/>
      <c r="F80" s="1886"/>
      <c r="G80" s="2144"/>
      <c r="H80" s="2145">
        <f>(INDEX(finPNLReg2Prod1EmpRecDismExp,xxIndexTeam))/(INDEX(capProd1Reg2Units,xxIndexTeam))</f>
        <v>6.7588060999272965E-3</v>
      </c>
      <c r="I80" s="2146"/>
      <c r="J80" s="1848"/>
      <c r="K80" s="2145">
        <f>(INDEX(finPNLReg2Prod3EmpRecDismExp,xxIndexTeam))/(INDEX(capProd3Reg2Units,xxIndexTeam))</f>
        <v>9.0074290521182567E-3</v>
      </c>
      <c r="L80" s="2146"/>
      <c r="M80" s="1848"/>
      <c r="N80" s="2145">
        <f>(INDEX(finPNLReg2Prod4EmpRecDismExp,xxIndexTeam))/(INDEX(capProd4Reg2Units,xxIndexTeam))</f>
        <v>8.878691853437334E-3</v>
      </c>
      <c r="O80" s="2146"/>
      <c r="P80" s="982"/>
      <c r="Q80" s="988"/>
    </row>
    <row r="81" spans="2:17" s="980" customFormat="1" ht="7.5" customHeight="1">
      <c r="B81" s="1885"/>
      <c r="C81" s="2049"/>
      <c r="D81" s="1886"/>
      <c r="E81" s="1886"/>
      <c r="F81" s="1886"/>
      <c r="G81" s="2050"/>
      <c r="H81" s="2051"/>
      <c r="I81" s="2052"/>
      <c r="J81" s="1848"/>
      <c r="K81" s="2051"/>
      <c r="L81" s="2052"/>
      <c r="M81" s="1848"/>
      <c r="N81" s="2051"/>
      <c r="O81" s="2052"/>
      <c r="P81" s="982"/>
      <c r="Q81" s="988"/>
    </row>
    <row r="82" spans="2:17" s="980" customFormat="1" ht="12" customHeight="1">
      <c r="B82" s="2053"/>
      <c r="C82" s="1848"/>
      <c r="D82" s="1962" t="s">
        <v>2088</v>
      </c>
      <c r="E82" s="1886"/>
      <c r="F82" s="1886"/>
      <c r="G82" s="2055"/>
      <c r="H82" s="2059">
        <f ca="1">SUM(H75:H80)</f>
        <v>2.2728856892555123</v>
      </c>
      <c r="I82" s="2057"/>
      <c r="J82" s="1848"/>
      <c r="K82" s="2059">
        <f ca="1">SUM(K75:K80)</f>
        <v>2.7439432021418302</v>
      </c>
      <c r="L82" s="2057"/>
      <c r="M82" s="1848"/>
      <c r="N82" s="2059">
        <f ca="1">SUM(N75:N80)</f>
        <v>2.3651416066777666</v>
      </c>
      <c r="O82" s="2057"/>
      <c r="P82" s="982"/>
      <c r="Q82" s="988"/>
    </row>
    <row r="83" spans="2:17" s="980" customFormat="1" ht="7.5" customHeight="1">
      <c r="B83" s="2053"/>
      <c r="C83" s="2049"/>
      <c r="D83" s="1886"/>
      <c r="E83" s="1886"/>
      <c r="F83" s="1886"/>
      <c r="G83" s="2050"/>
      <c r="H83" s="2082"/>
      <c r="I83" s="2015"/>
      <c r="J83" s="1848"/>
      <c r="K83" s="2082"/>
      <c r="L83" s="2015"/>
      <c r="M83" s="1848"/>
      <c r="N83" s="2082"/>
      <c r="O83" s="2015"/>
      <c r="P83" s="982"/>
      <c r="Q83" s="988"/>
    </row>
    <row r="84" spans="2:17" s="980" customFormat="1" ht="12" customHeight="1">
      <c r="B84" s="2053"/>
      <c r="C84" s="2042"/>
      <c r="D84" s="1886" t="s">
        <v>728</v>
      </c>
      <c r="E84" s="1886"/>
      <c r="F84" s="1886"/>
      <c r="G84" s="2060"/>
      <c r="H84" s="2058">
        <f ca="1">H82/INDEX(capProd1Reg2Price, xxIndexTeam)</f>
        <v>0.3246979556079303</v>
      </c>
      <c r="I84" s="2137"/>
      <c r="J84" s="2138"/>
      <c r="K84" s="2058">
        <f ca="1">K82/INDEX(capProd3Reg2Price, xxIndexTeam)</f>
        <v>0.27439432021418303</v>
      </c>
      <c r="L84" s="2137"/>
      <c r="M84" s="2138"/>
      <c r="N84" s="2058">
        <f ca="1">N82/INDEX(capProd4Reg2Price, xxIndexTeam)</f>
        <v>0.26279351185308519</v>
      </c>
      <c r="O84" s="2137"/>
      <c r="P84" s="982"/>
      <c r="Q84" s="988"/>
    </row>
    <row r="85" spans="2:17" s="980" customFormat="1" ht="12" customHeight="1" thickBot="1">
      <c r="B85" s="1328"/>
      <c r="C85" s="1329"/>
      <c r="D85" s="1330"/>
      <c r="E85" s="1330"/>
      <c r="F85" s="1330"/>
      <c r="G85" s="1331"/>
      <c r="H85" s="1330"/>
      <c r="I85" s="1331"/>
      <c r="J85" s="1330"/>
      <c r="K85" s="1330"/>
      <c r="L85" s="1330"/>
      <c r="M85" s="1330"/>
      <c r="N85" s="1330"/>
      <c r="O85" s="1330"/>
      <c r="P85" s="1331"/>
      <c r="Q85" s="1332"/>
    </row>
    <row r="86" spans="2:17" ht="15.75" thickBot="1">
      <c r="B86" s="1008"/>
      <c r="C86" s="1009"/>
      <c r="D86" s="1009"/>
      <c r="E86" s="1009"/>
      <c r="F86" s="1009"/>
      <c r="G86" s="1009"/>
      <c r="H86" s="1009"/>
      <c r="I86" s="1009"/>
      <c r="J86" s="1009"/>
      <c r="K86" s="1009"/>
      <c r="L86" s="1009"/>
      <c r="M86" s="1009"/>
      <c r="N86" s="1009"/>
      <c r="O86" s="1009"/>
      <c r="P86" s="1009"/>
      <c r="Q86" s="1010"/>
    </row>
  </sheetData>
  <mergeCells count="7">
    <mergeCell ref="C45:F45"/>
    <mergeCell ref="G39:H39"/>
    <mergeCell ref="J38:K39"/>
    <mergeCell ref="G40:H40"/>
    <mergeCell ref="G41:H41"/>
    <mergeCell ref="G42:H42"/>
    <mergeCell ref="G43:H43"/>
  </mergeCells>
  <phoneticPr fontId="0" type="noConversion"/>
  <dataValidations count="10">
    <dataValidation type="list" allowBlank="1" showInputMessage="1" showErrorMessage="1" sqref="P24">
      <formula1>dataList1to10</formula1>
    </dataValidation>
    <dataValidation type="whole" operator="lessThanOrEqual" allowBlank="1" showInputMessage="1" showErrorMessage="1" errorTitle="Input Error" error="Family brand can be only three levels higher than prior year.  " sqref="P26:P27 P11:P12 G11:G12 I11:I12">
      <formula1>3</formula1>
    </dataValidation>
    <dataValidation operator="lessThanOrEqual" allowBlank="1" showInputMessage="1" showErrorMessage="1" errorTitle="Input Error" error="Family brand can be only three levels higher than prior year.  " sqref="I27 G14 P13:P14 I13:I14 P22"/>
    <dataValidation type="decimal" allowBlank="1" showInputMessage="1" showErrorMessage="1" errorTitle="Pricing Error" error="Retailers will accept no more than a 10% price change." sqref="K19">
      <formula1>ROUNDDOWN(INDEX(obalReg2Prod4Price,xxIndexTeam)*0.9,2)</formula1>
      <formula2>ROUNDDOWN(INDEX(obalReg2Prod4Price,xxIndexTeam)*1.1,2)</formula2>
    </dataValidation>
    <dataValidation type="decimal" allowBlank="1" showInputMessage="1" showErrorMessage="1" errorTitle="Pricing Error" error="Retailers will accept no more than a 10% price change." sqref="I19">
      <formula1>ROUNDDOWN(INDEX(obalReg2Prod3Price,xxIndexTeam)*0.9,2)</formula1>
      <formula2>ROUNDDOWN(INDEX(obalReg2Prod3Price,xxIndexTeam)*1.1,2)</formula2>
    </dataValidation>
    <dataValidation type="decimal" allowBlank="1" showInputMessage="1" showErrorMessage="1" errorTitle="Pricing Error" error="Retailers will accept no more than a 10% price change." sqref="G19">
      <formula1>ROUNDDOWN(INDEX(obalReg2Prod1Price,xxIndexTeam)*0.9,2)</formula1>
      <formula2>ROUNDDOWN(INDEX(obalReg2Prod1Price,xxIndexTeam)*1.1,2)</formula2>
    </dataValidation>
    <dataValidation type="whole" allowBlank="1" showInputMessage="1" showErrorMessage="1" errorTitle="Input Error" error="Partner brand can only be one level higher from prior year.  " sqref="P15:P17">
      <formula1>0</formula1>
      <formula2>#REF!</formula2>
    </dataValidation>
    <dataValidation type="whole" allowBlank="1" showInputMessage="1" showErrorMessage="1" errorTitle="Inpurt Error" error="Speciality brand can only be one level higher from prior year.  " sqref="P21">
      <formula1>0</formula1>
      <formula2>#REF!</formula2>
    </dataValidation>
    <dataValidation type="whole" operator="lessThanOrEqual" allowBlank="1" showInputMessage="1" showErrorMessage="1" errorTitle="Inpurt Error" error="Speciality brand can only be one level higher from prior year.  " sqref="P19:P20">
      <formula1>1</formula1>
    </dataValidation>
    <dataValidation type="decimal" allowBlank="1" showInputMessage="1" showErrorMessage="1" sqref="G15 K15 I15">
      <formula1>0</formula1>
      <formula2>1</formula2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23"/>
    <pageSetUpPr fitToPage="1"/>
  </sheetPr>
  <dimension ref="A1:BJ102"/>
  <sheetViews>
    <sheetView zoomScale="116" workbookViewId="0">
      <pane ySplit="8" topLeftCell="A22" activePane="bottomLeft" state="frozen"/>
      <selection activeCell="B2" sqref="B2:N100"/>
      <selection pane="bottomLeft" activeCell="D31" sqref="D31:G31"/>
    </sheetView>
  </sheetViews>
  <sheetFormatPr defaultRowHeight="15"/>
  <cols>
    <col min="1" max="1" width="1.83203125" style="925" customWidth="1"/>
    <col min="2" max="2" width="1.5" style="925" customWidth="1"/>
    <col min="3" max="3" width="2.6640625" style="925" customWidth="1"/>
    <col min="4" max="4" width="11" style="925" customWidth="1"/>
    <col min="5" max="5" width="4.5" style="925" customWidth="1"/>
    <col min="6" max="6" width="4" style="925" customWidth="1"/>
    <col min="7" max="7" width="7" style="925" customWidth="1"/>
    <col min="8" max="8" width="3.33203125" style="925" customWidth="1"/>
    <col min="9" max="9" width="15.83203125" style="925" customWidth="1"/>
    <col min="10" max="10" width="3.33203125" style="925" customWidth="1"/>
    <col min="11" max="11" width="15.83203125" style="925" customWidth="1"/>
    <col min="12" max="12" width="3.33203125" style="925" customWidth="1"/>
    <col min="13" max="13" width="15.83203125" style="925" customWidth="1"/>
    <col min="14" max="14" width="3.33203125" style="925" customWidth="1"/>
    <col min="15" max="15" width="15.83203125" style="925" customWidth="1"/>
    <col min="16" max="16" width="3.33203125" style="925" customWidth="1"/>
    <col min="17" max="17" width="15.83203125" style="925" customWidth="1"/>
    <col min="18" max="18" width="2" style="925" customWidth="1"/>
    <col min="19" max="19" width="3.6640625" style="925" customWidth="1"/>
    <col min="20" max="20" width="9.33203125" style="925" customWidth="1"/>
    <col min="21" max="21" width="12.33203125" style="1062" customWidth="1"/>
    <col min="22" max="22" width="6.33203125" style="1062" customWidth="1"/>
    <col min="23" max="23" width="6" style="1062" customWidth="1"/>
    <col min="24" max="24" width="8.6640625" style="1062" customWidth="1"/>
    <col min="25" max="25" width="11.5" style="1062" customWidth="1"/>
    <col min="26" max="26" width="6.6640625" style="1062" customWidth="1"/>
    <col min="27" max="27" width="10.1640625" style="1062" bestFit="1" customWidth="1"/>
    <col min="28" max="28" width="11.83203125" style="1062" customWidth="1"/>
    <col min="29" max="62" width="9.33203125" style="1062" customWidth="1"/>
    <col min="63" max="16384" width="9.33203125" style="925"/>
  </cols>
  <sheetData>
    <row r="1" spans="2:62" ht="7.5" customHeight="1" thickBot="1">
      <c r="U1" s="956"/>
      <c r="V1" s="956"/>
      <c r="W1" s="956"/>
      <c r="X1" s="956"/>
      <c r="Y1" s="956"/>
      <c r="Z1" s="956"/>
      <c r="AA1" s="956"/>
      <c r="AB1" s="956"/>
      <c r="AC1" s="956"/>
      <c r="AD1" s="956"/>
      <c r="AE1" s="956"/>
      <c r="AF1" s="956"/>
      <c r="AG1" s="956"/>
      <c r="AH1" s="956"/>
      <c r="AI1" s="956"/>
      <c r="AJ1" s="956"/>
      <c r="AK1" s="956"/>
      <c r="AL1" s="956"/>
      <c r="AM1" s="956"/>
      <c r="AN1" s="956"/>
      <c r="AO1" s="956"/>
      <c r="AP1" s="956"/>
      <c r="AQ1" s="956"/>
      <c r="AR1" s="956"/>
      <c r="AS1" s="956"/>
      <c r="AT1" s="956"/>
      <c r="AU1" s="956"/>
      <c r="AV1" s="956"/>
      <c r="AW1" s="956"/>
      <c r="AX1" s="956"/>
      <c r="AY1" s="956"/>
      <c r="AZ1" s="956"/>
      <c r="BA1" s="956"/>
      <c r="BB1" s="956"/>
      <c r="BC1" s="956"/>
      <c r="BD1" s="956"/>
      <c r="BE1" s="956"/>
      <c r="BF1" s="956"/>
      <c r="BG1" s="956"/>
      <c r="BH1" s="956"/>
      <c r="BI1" s="956"/>
      <c r="BJ1" s="956"/>
    </row>
    <row r="2" spans="2:62" ht="15.75">
      <c r="B2" s="1732"/>
      <c r="C2" s="1733"/>
      <c r="D2" s="1733"/>
      <c r="E2" s="1733"/>
      <c r="F2" s="1733"/>
      <c r="G2" s="1733"/>
      <c r="H2" s="1733"/>
      <c r="I2" s="1733"/>
      <c r="J2" s="1733"/>
      <c r="K2" s="1733"/>
      <c r="L2" s="1733"/>
      <c r="M2" s="1733"/>
      <c r="N2" s="1733"/>
      <c r="O2" s="1733"/>
      <c r="P2" s="1733"/>
      <c r="Q2" s="1733"/>
      <c r="R2" s="928"/>
      <c r="U2" s="956"/>
      <c r="V2" s="925"/>
      <c r="W2" s="925"/>
      <c r="X2" s="956"/>
      <c r="Y2" s="1758" t="s">
        <v>505</v>
      </c>
      <c r="Z2" s="1758">
        <f>xxSim0Tool1</f>
        <v>0</v>
      </c>
      <c r="AA2" s="956"/>
      <c r="AB2" s="956"/>
      <c r="AC2" s="956"/>
      <c r="AD2" s="956"/>
      <c r="AE2" s="956"/>
      <c r="AF2" s="956"/>
      <c r="AG2" s="956"/>
      <c r="AH2" s="956"/>
      <c r="AI2" s="956"/>
      <c r="AJ2" s="956"/>
      <c r="AK2" s="956"/>
      <c r="AL2" s="956"/>
      <c r="AM2" s="956"/>
      <c r="AN2" s="956"/>
      <c r="AO2" s="956"/>
      <c r="AP2" s="956"/>
      <c r="AQ2" s="956"/>
      <c r="AR2" s="956"/>
      <c r="AS2" s="956"/>
      <c r="AT2" s="956"/>
      <c r="AU2" s="956"/>
      <c r="AV2" s="956"/>
      <c r="AW2" s="956"/>
      <c r="AX2" s="956"/>
      <c r="AY2" s="956"/>
      <c r="AZ2" s="956"/>
      <c r="BA2" s="956"/>
      <c r="BB2" s="956"/>
      <c r="BC2" s="956"/>
      <c r="BD2" s="956"/>
      <c r="BE2" s="956"/>
      <c r="BF2" s="956"/>
      <c r="BG2" s="956"/>
      <c r="BH2" s="956"/>
      <c r="BI2" s="956"/>
      <c r="BJ2" s="956"/>
    </row>
    <row r="3" spans="2:62" ht="23.25">
      <c r="B3" s="1735"/>
      <c r="C3" s="1736"/>
      <c r="D3" s="1736"/>
      <c r="E3" s="1736"/>
      <c r="F3" s="1736"/>
      <c r="G3" s="1736"/>
      <c r="H3" s="1736"/>
      <c r="I3" s="1736"/>
      <c r="J3" s="1737"/>
      <c r="K3" s="1737" t="s">
        <v>2966</v>
      </c>
      <c r="L3" s="1758"/>
      <c r="M3" s="1736"/>
      <c r="N3" s="1736"/>
      <c r="O3" s="1736"/>
      <c r="P3" s="1736"/>
      <c r="Q3" s="1738" t="str">
        <f>INDEX(decTeamName,,xxIndexTeam)</f>
        <v>Vivia</v>
      </c>
      <c r="R3" s="931"/>
      <c r="U3" s="956"/>
      <c r="V3" s="925"/>
      <c r="W3" s="925"/>
      <c r="X3" s="956"/>
      <c r="Y3" s="1758" t="s">
        <v>190</v>
      </c>
      <c r="Z3" s="1758">
        <f>xxYear</f>
        <v>1</v>
      </c>
      <c r="AA3" s="956"/>
      <c r="AB3" s="956"/>
      <c r="AC3" s="956"/>
      <c r="AD3" s="956"/>
      <c r="AE3" s="956"/>
      <c r="AF3" s="956"/>
      <c r="AG3" s="956"/>
      <c r="AH3" s="956"/>
      <c r="AI3" s="956"/>
      <c r="AJ3" s="956"/>
      <c r="AK3" s="956"/>
      <c r="AL3" s="956"/>
      <c r="AM3" s="956"/>
      <c r="AN3" s="956"/>
      <c r="AO3" s="956"/>
      <c r="AP3" s="956"/>
      <c r="AQ3" s="956"/>
      <c r="AR3" s="956"/>
      <c r="AS3" s="956"/>
      <c r="AT3" s="956"/>
      <c r="AU3" s="956"/>
      <c r="AV3" s="956"/>
      <c r="AW3" s="956"/>
      <c r="AX3" s="956"/>
      <c r="AY3" s="956"/>
      <c r="AZ3" s="956"/>
      <c r="BA3" s="956"/>
      <c r="BB3" s="956"/>
      <c r="BC3" s="956"/>
      <c r="BD3" s="956"/>
      <c r="BE3" s="956"/>
      <c r="BF3" s="956"/>
      <c r="BG3" s="956"/>
      <c r="BH3" s="956"/>
      <c r="BI3" s="956"/>
      <c r="BJ3" s="956"/>
    </row>
    <row r="4" spans="2:62" ht="6" customHeight="1">
      <c r="B4" s="1740"/>
      <c r="C4" s="1741"/>
      <c r="D4" s="1741"/>
      <c r="E4" s="1741"/>
      <c r="F4" s="1741"/>
      <c r="G4" s="1741"/>
      <c r="H4" s="1741"/>
      <c r="I4" s="1741"/>
      <c r="J4" s="1741"/>
      <c r="K4" s="1741"/>
      <c r="L4" s="1741"/>
      <c r="M4" s="1741"/>
      <c r="N4" s="1741"/>
      <c r="O4" s="1741"/>
      <c r="P4" s="1741"/>
      <c r="Q4" s="1741"/>
      <c r="R4" s="933"/>
      <c r="U4" s="956"/>
      <c r="V4" s="956"/>
      <c r="W4" s="956"/>
      <c r="X4" s="956"/>
      <c r="Y4" s="956"/>
      <c r="Z4" s="956"/>
      <c r="AA4" s="956"/>
      <c r="AB4" s="956"/>
      <c r="AC4" s="956"/>
      <c r="AD4" s="956"/>
      <c r="AE4" s="956"/>
      <c r="AF4" s="956"/>
      <c r="AG4" s="956"/>
      <c r="AH4" s="956"/>
      <c r="AI4" s="956"/>
      <c r="AJ4" s="956"/>
      <c r="AK4" s="956"/>
      <c r="AL4" s="956"/>
      <c r="AM4" s="956"/>
      <c r="AN4" s="956"/>
      <c r="AO4" s="956"/>
      <c r="AP4" s="956"/>
      <c r="AQ4" s="956"/>
      <c r="AR4" s="956"/>
      <c r="AS4" s="956"/>
      <c r="AT4" s="956"/>
      <c r="AU4" s="956"/>
      <c r="AV4" s="956"/>
      <c r="AW4" s="956"/>
      <c r="AX4" s="956"/>
      <c r="AY4" s="956"/>
      <c r="AZ4" s="956"/>
      <c r="BA4" s="956"/>
      <c r="BB4" s="956"/>
      <c r="BC4" s="956"/>
      <c r="BD4" s="956"/>
      <c r="BE4" s="956"/>
      <c r="BF4" s="956"/>
      <c r="BG4" s="956"/>
      <c r="BH4" s="956"/>
      <c r="BI4" s="956"/>
      <c r="BJ4" s="956"/>
    </row>
    <row r="5" spans="2:62" ht="15.75">
      <c r="B5" s="1743"/>
      <c r="C5" s="1744"/>
      <c r="D5" s="1745"/>
      <c r="E5" s="1745"/>
      <c r="F5" s="1745"/>
      <c r="G5" s="1745"/>
      <c r="H5" s="1745"/>
      <c r="I5" s="1745"/>
      <c r="J5" s="1745"/>
      <c r="K5" s="1745"/>
      <c r="L5" s="1745"/>
      <c r="M5" s="1745"/>
      <c r="N5" s="1745"/>
      <c r="O5" s="1745"/>
      <c r="P5" s="1745"/>
      <c r="Q5" s="1863" t="str">
        <f ca="1">xxDashboard</f>
        <v>Corporate:   Net Rev Growth: 0.3%,   Op Margin: 23.3%   ROIC: 22.9%   Sustainability: 100.5   MTUs: 81</v>
      </c>
      <c r="R5" s="936"/>
      <c r="U5" s="956"/>
      <c r="V5" s="956"/>
      <c r="W5" s="956"/>
      <c r="X5" s="956"/>
      <c r="Y5" s="956"/>
      <c r="Z5" s="956"/>
      <c r="AA5" s="956"/>
      <c r="AB5" s="956"/>
      <c r="AC5" s="956"/>
      <c r="AD5" s="956"/>
      <c r="AE5" s="956"/>
      <c r="AF5" s="956"/>
      <c r="AG5" s="956"/>
      <c r="AH5" s="956"/>
      <c r="AI5" s="956"/>
      <c r="AJ5" s="956"/>
      <c r="AK5" s="956"/>
      <c r="AL5" s="956"/>
      <c r="AM5" s="956"/>
      <c r="AN5" s="956"/>
      <c r="AO5" s="956"/>
      <c r="AP5" s="956"/>
      <c r="AQ5" s="956"/>
      <c r="AR5" s="956"/>
      <c r="AS5" s="956"/>
      <c r="AT5" s="956"/>
      <c r="AU5" s="956"/>
      <c r="AV5" s="956"/>
      <c r="AW5" s="956"/>
      <c r="AX5" s="956"/>
      <c r="AY5" s="956"/>
      <c r="AZ5" s="956"/>
      <c r="BA5" s="956"/>
      <c r="BB5" s="956"/>
      <c r="BC5" s="956"/>
      <c r="BD5" s="956"/>
      <c r="BE5" s="956"/>
      <c r="BF5" s="956"/>
      <c r="BG5" s="956"/>
      <c r="BH5" s="956"/>
      <c r="BI5" s="956"/>
      <c r="BJ5" s="956"/>
    </row>
    <row r="6" spans="2:62" ht="6" customHeight="1">
      <c r="B6" s="1747"/>
      <c r="C6" s="1744"/>
      <c r="D6" s="1744"/>
      <c r="E6" s="1744"/>
      <c r="F6" s="1744"/>
      <c r="G6" s="1748"/>
      <c r="H6" s="1748"/>
      <c r="I6" s="1748"/>
      <c r="J6" s="1748"/>
      <c r="K6" s="1748"/>
      <c r="L6" s="1748"/>
      <c r="M6" s="1748"/>
      <c r="N6" s="1748"/>
      <c r="O6" s="1748"/>
      <c r="P6" s="1748"/>
      <c r="Q6" s="1748"/>
      <c r="R6" s="936"/>
      <c r="U6" s="956"/>
      <c r="V6" s="956"/>
      <c r="W6" s="956"/>
      <c r="X6" s="956"/>
      <c r="Y6" s="956"/>
      <c r="Z6" s="956"/>
      <c r="AA6" s="956"/>
      <c r="AB6" s="956"/>
      <c r="AC6" s="956"/>
      <c r="AD6" s="956"/>
      <c r="AE6" s="956"/>
      <c r="AF6" s="956"/>
      <c r="AG6" s="956"/>
      <c r="AH6" s="956"/>
      <c r="AI6" s="956"/>
      <c r="AJ6" s="956"/>
      <c r="AK6" s="956"/>
      <c r="AL6" s="956"/>
      <c r="AM6" s="956"/>
      <c r="AN6" s="956"/>
      <c r="AO6" s="956"/>
      <c r="AP6" s="956"/>
      <c r="AQ6" s="956"/>
      <c r="AR6" s="956"/>
      <c r="AS6" s="956"/>
      <c r="AT6" s="956"/>
      <c r="AU6" s="956"/>
      <c r="AV6" s="956"/>
      <c r="AW6" s="956"/>
      <c r="AX6" s="956"/>
      <c r="AY6" s="956"/>
      <c r="AZ6" s="956"/>
      <c r="BA6" s="956"/>
      <c r="BB6" s="956"/>
      <c r="BC6" s="956"/>
      <c r="BD6" s="956"/>
      <c r="BE6" s="956"/>
      <c r="BF6" s="956"/>
      <c r="BG6" s="956"/>
      <c r="BH6" s="956"/>
      <c r="BI6" s="956"/>
      <c r="BJ6" s="956"/>
    </row>
    <row r="7" spans="2:62" ht="15.75" customHeight="1">
      <c r="B7" s="1747"/>
      <c r="C7" s="1744"/>
      <c r="D7" s="1744"/>
      <c r="E7" s="1744"/>
      <c r="F7" s="1744"/>
      <c r="G7" s="1745"/>
      <c r="H7" s="1745"/>
      <c r="I7" s="1748"/>
      <c r="J7" s="1748"/>
      <c r="K7" s="1748"/>
      <c r="L7" s="1748"/>
      <c r="M7" s="1748"/>
      <c r="N7" s="1748"/>
      <c r="O7" s="1748"/>
      <c r="P7" s="1748"/>
      <c r="Q7" s="1863" t="str">
        <f>xxRnDDashboard</f>
        <v>R&amp;D Focus:    CSD &amp; NCB: 0%    F&amp;S: 0%    Other: 0%</v>
      </c>
      <c r="R7" s="936"/>
      <c r="U7" s="956"/>
      <c r="V7" s="956"/>
      <c r="W7" s="956"/>
      <c r="X7" s="956"/>
      <c r="Y7" s="956"/>
      <c r="Z7" s="956"/>
      <c r="AA7" s="956"/>
      <c r="AB7" s="956"/>
      <c r="AC7" s="956"/>
      <c r="AD7" s="956"/>
      <c r="AE7" s="956"/>
      <c r="AF7" s="956"/>
      <c r="AG7" s="956"/>
      <c r="AH7" s="956"/>
      <c r="AI7" s="956"/>
      <c r="AJ7" s="956"/>
      <c r="AK7" s="956"/>
      <c r="AL7" s="956"/>
      <c r="AM7" s="956"/>
      <c r="AN7" s="956"/>
      <c r="AO7" s="956"/>
      <c r="AP7" s="956"/>
      <c r="AQ7" s="956"/>
      <c r="AR7" s="956"/>
      <c r="AS7" s="956"/>
      <c r="AT7" s="956"/>
      <c r="AU7" s="956"/>
      <c r="AV7" s="956"/>
      <c r="AW7" s="956"/>
      <c r="AX7" s="956"/>
      <c r="AY7" s="956"/>
      <c r="AZ7" s="956"/>
      <c r="BA7" s="956"/>
      <c r="BB7" s="956"/>
      <c r="BC7" s="956"/>
      <c r="BD7" s="956"/>
      <c r="BE7" s="956"/>
      <c r="BF7" s="956"/>
      <c r="BG7" s="956"/>
      <c r="BH7" s="956"/>
      <c r="BI7" s="956"/>
      <c r="BJ7" s="956"/>
    </row>
    <row r="8" spans="2:62" ht="6.75" customHeight="1">
      <c r="B8" s="938"/>
      <c r="C8" s="935"/>
      <c r="D8" s="935"/>
      <c r="E8" s="935"/>
      <c r="F8" s="935"/>
      <c r="G8" s="935"/>
      <c r="H8" s="935"/>
      <c r="I8" s="935"/>
      <c r="J8" s="935"/>
      <c r="K8" s="935"/>
      <c r="L8" s="935"/>
      <c r="M8" s="935"/>
      <c r="N8" s="935"/>
      <c r="O8" s="935"/>
      <c r="P8" s="935"/>
      <c r="Q8" s="935"/>
      <c r="R8" s="936"/>
      <c r="U8" s="956"/>
      <c r="V8" s="956"/>
      <c r="W8" s="956"/>
      <c r="X8" s="956"/>
      <c r="Y8" s="956"/>
      <c r="Z8" s="956"/>
      <c r="AA8" s="956"/>
      <c r="AB8" s="956"/>
      <c r="AC8" s="956"/>
      <c r="AD8" s="956"/>
      <c r="AE8" s="956"/>
      <c r="AF8" s="956"/>
      <c r="AG8" s="956"/>
      <c r="AH8" s="956"/>
      <c r="AI8" s="956"/>
      <c r="AJ8" s="956"/>
      <c r="AK8" s="956"/>
      <c r="AL8" s="956"/>
      <c r="AM8" s="956"/>
      <c r="AN8" s="956"/>
      <c r="AO8" s="956"/>
      <c r="AP8" s="956"/>
      <c r="AQ8" s="956"/>
      <c r="AR8" s="956"/>
      <c r="AS8" s="956"/>
      <c r="AT8" s="956"/>
      <c r="AU8" s="956"/>
      <c r="AV8" s="956"/>
      <c r="AW8" s="956"/>
      <c r="AX8" s="956"/>
      <c r="AY8" s="956"/>
      <c r="AZ8" s="956"/>
      <c r="BA8" s="956"/>
      <c r="BB8" s="956"/>
      <c r="BC8" s="956"/>
      <c r="BD8" s="956"/>
      <c r="BE8" s="956"/>
      <c r="BF8" s="956"/>
      <c r="BG8" s="956"/>
      <c r="BH8" s="956"/>
      <c r="BI8" s="956"/>
      <c r="BJ8" s="956"/>
    </row>
    <row r="9" spans="2:62" ht="9" customHeight="1">
      <c r="B9" s="939"/>
      <c r="C9" s="992"/>
      <c r="D9" s="496"/>
      <c r="E9" s="496"/>
      <c r="F9" s="496"/>
      <c r="G9" s="993"/>
      <c r="H9" s="993"/>
      <c r="I9" s="993"/>
      <c r="J9" s="993"/>
      <c r="K9" s="993"/>
      <c r="L9" s="993"/>
      <c r="M9" s="993"/>
      <c r="N9" s="993"/>
      <c r="O9" s="993"/>
      <c r="P9" s="993"/>
      <c r="Q9" s="993"/>
      <c r="R9" s="942"/>
      <c r="U9" s="956"/>
      <c r="V9" s="956"/>
      <c r="W9" s="956"/>
      <c r="X9" s="956"/>
      <c r="Y9" s="956"/>
      <c r="Z9" s="956"/>
      <c r="AA9" s="956"/>
      <c r="AB9" s="956"/>
      <c r="AC9" s="956"/>
      <c r="AD9" s="956"/>
      <c r="AE9" s="956"/>
      <c r="AF9" s="956"/>
      <c r="AG9" s="956"/>
      <c r="AH9" s="956"/>
      <c r="AI9" s="956"/>
      <c r="AJ9" s="956"/>
      <c r="AK9" s="956"/>
      <c r="AL9" s="956"/>
      <c r="AM9" s="956"/>
      <c r="AN9" s="956"/>
      <c r="AO9" s="956"/>
      <c r="AP9" s="956"/>
      <c r="AQ9" s="956"/>
      <c r="AR9" s="956"/>
      <c r="AS9" s="956"/>
      <c r="AT9" s="956"/>
      <c r="AU9" s="956"/>
      <c r="AV9" s="956"/>
      <c r="AW9" s="956"/>
      <c r="AX9" s="956"/>
      <c r="AY9" s="956"/>
      <c r="AZ9" s="956"/>
      <c r="BA9" s="956"/>
      <c r="BB9" s="956"/>
      <c r="BC9" s="956"/>
      <c r="BD9" s="956"/>
      <c r="BE9" s="956"/>
      <c r="BF9" s="956"/>
      <c r="BG9" s="956"/>
      <c r="BH9" s="956"/>
      <c r="BI9" s="956"/>
      <c r="BJ9" s="956"/>
    </row>
    <row r="10" spans="2:62" ht="15.75">
      <c r="B10" s="939"/>
      <c r="C10" s="1820" t="s">
        <v>97</v>
      </c>
      <c r="D10" s="1820"/>
      <c r="E10" s="1820"/>
      <c r="F10" s="1820"/>
      <c r="G10" s="1820"/>
      <c r="H10" s="1820"/>
      <c r="I10" s="1820"/>
      <c r="J10" s="1820"/>
      <c r="K10" s="1820"/>
      <c r="L10" s="1820"/>
      <c r="M10" s="1820"/>
      <c r="N10" s="1820"/>
      <c r="O10" s="1820"/>
      <c r="P10" s="1820"/>
      <c r="Q10" s="1820"/>
      <c r="R10" s="942"/>
      <c r="U10" s="956"/>
      <c r="V10" s="956"/>
      <c r="W10" s="956"/>
      <c r="X10" s="956"/>
      <c r="Y10" s="956"/>
      <c r="Z10" s="956"/>
      <c r="AA10" s="956"/>
      <c r="AB10" s="956"/>
      <c r="AC10" s="956"/>
      <c r="AD10" s="956"/>
      <c r="AE10" s="956"/>
      <c r="AF10" s="956"/>
      <c r="AG10" s="956"/>
      <c r="AH10" s="956"/>
      <c r="AI10" s="956"/>
      <c r="AJ10" s="956"/>
      <c r="AK10" s="956"/>
      <c r="AL10" s="956"/>
      <c r="AM10" s="956"/>
      <c r="AN10" s="956"/>
      <c r="AO10" s="956"/>
      <c r="AP10" s="956"/>
      <c r="AQ10" s="956"/>
      <c r="AR10" s="956"/>
      <c r="AS10" s="956"/>
      <c r="AT10" s="956"/>
      <c r="AU10" s="956"/>
      <c r="AV10" s="956"/>
      <c r="AW10" s="956"/>
      <c r="AX10" s="956"/>
      <c r="AY10" s="956"/>
      <c r="AZ10" s="956"/>
      <c r="BA10" s="956"/>
      <c r="BB10" s="956"/>
      <c r="BC10" s="956"/>
      <c r="BD10" s="956"/>
      <c r="BE10" s="956"/>
      <c r="BF10" s="956"/>
      <c r="BG10" s="956"/>
      <c r="BH10" s="956"/>
      <c r="BI10" s="956"/>
      <c r="BJ10" s="956"/>
    </row>
    <row r="11" spans="2:62" ht="15.75">
      <c r="B11" s="939"/>
      <c r="C11" s="995"/>
      <c r="D11" s="1820"/>
      <c r="E11" s="1820"/>
      <c r="F11" s="1820"/>
      <c r="G11" s="1865"/>
      <c r="H11" s="1866"/>
      <c r="I11" s="1865"/>
      <c r="J11" s="1866"/>
      <c r="K11" s="1866"/>
      <c r="L11" s="1866"/>
      <c r="M11" s="1866"/>
      <c r="N11" s="1866"/>
      <c r="O11" s="1865"/>
      <c r="P11" s="1866"/>
      <c r="Q11" s="1866"/>
      <c r="R11" s="936"/>
      <c r="U11" s="956"/>
      <c r="V11" s="956"/>
      <c r="W11" s="956"/>
      <c r="X11" s="956"/>
      <c r="Y11" s="956"/>
      <c r="Z11" s="956"/>
      <c r="AA11" s="956"/>
      <c r="AB11" s="956"/>
      <c r="AC11" s="956"/>
      <c r="AD11" s="956"/>
      <c r="AE11" s="956"/>
      <c r="AF11" s="956"/>
      <c r="AG11" s="956"/>
      <c r="AH11" s="956"/>
      <c r="AI11" s="956"/>
      <c r="AJ11" s="956"/>
      <c r="AK11" s="956"/>
      <c r="AL11" s="956"/>
      <c r="AM11" s="956"/>
      <c r="AN11" s="956"/>
      <c r="AO11" s="956"/>
      <c r="AP11" s="956"/>
      <c r="AQ11" s="956"/>
      <c r="AR11" s="956"/>
      <c r="AS11" s="956"/>
      <c r="AT11" s="956"/>
      <c r="AU11" s="956"/>
      <c r="AV11" s="956"/>
      <c r="AW11" s="956"/>
      <c r="AX11" s="956"/>
      <c r="AY11" s="956"/>
      <c r="AZ11" s="956"/>
      <c r="BA11" s="956"/>
      <c r="BB11" s="956"/>
      <c r="BC11" s="956"/>
      <c r="BD11" s="956"/>
      <c r="BE11" s="956"/>
      <c r="BF11" s="956"/>
      <c r="BG11" s="956"/>
      <c r="BH11" s="956"/>
      <c r="BI11" s="956"/>
      <c r="BJ11" s="956"/>
    </row>
    <row r="12" spans="2:62" ht="15.75">
      <c r="B12" s="939"/>
      <c r="C12" s="997"/>
      <c r="D12" s="1676"/>
      <c r="E12" s="1820"/>
      <c r="F12" s="1840"/>
      <c r="G12" s="2015" t="s">
        <v>1257</v>
      </c>
      <c r="H12" s="2015"/>
      <c r="I12" s="2015"/>
      <c r="J12" s="2015"/>
      <c r="K12" s="2016"/>
      <c r="L12" s="1758"/>
      <c r="M12" s="1937" t="s">
        <v>1258</v>
      </c>
      <c r="N12" s="1937"/>
      <c r="O12" s="1937" t="s">
        <v>1259</v>
      </c>
      <c r="P12" s="1937"/>
      <c r="Q12" s="2017"/>
      <c r="R12" s="1105" t="s">
        <v>2505</v>
      </c>
      <c r="U12" s="956"/>
      <c r="V12" s="1707" t="s">
        <v>2439</v>
      </c>
      <c r="W12" s="1707" t="s">
        <v>1352</v>
      </c>
      <c r="X12" s="1707" t="s">
        <v>1353</v>
      </c>
      <c r="Y12" s="1707" t="s">
        <v>2986</v>
      </c>
      <c r="Z12" s="1707" t="s">
        <v>2781</v>
      </c>
      <c r="AA12" s="1707" t="s">
        <v>1354</v>
      </c>
      <c r="AB12" s="1707" t="s">
        <v>1355</v>
      </c>
      <c r="AC12" s="1707" t="s">
        <v>2440</v>
      </c>
      <c r="AD12" s="1938"/>
      <c r="AE12" s="956"/>
      <c r="AF12" s="956"/>
      <c r="AG12" s="956"/>
      <c r="AH12" s="956"/>
      <c r="AI12" s="956"/>
      <c r="AJ12" s="956"/>
      <c r="AK12" s="956"/>
      <c r="AL12" s="956"/>
      <c r="AM12" s="956"/>
      <c r="AN12" s="956"/>
      <c r="AO12" s="956"/>
      <c r="AP12" s="956"/>
      <c r="AQ12" s="956"/>
      <c r="AR12" s="956"/>
      <c r="AS12" s="956"/>
      <c r="AT12" s="956"/>
      <c r="AU12" s="956"/>
      <c r="AV12" s="956"/>
      <c r="AW12" s="956"/>
      <c r="AX12" s="956"/>
      <c r="AY12" s="956"/>
      <c r="AZ12" s="956"/>
      <c r="BA12" s="956"/>
      <c r="BB12" s="956"/>
      <c r="BC12" s="956"/>
      <c r="BD12" s="956"/>
      <c r="BE12" s="956"/>
      <c r="BF12" s="956"/>
      <c r="BG12" s="956"/>
      <c r="BH12" s="956"/>
      <c r="BI12" s="956"/>
      <c r="BJ12" s="956"/>
    </row>
    <row r="13" spans="2:62" ht="9" customHeight="1" thickBot="1">
      <c r="B13" s="939"/>
      <c r="C13" s="997"/>
      <c r="D13" s="987"/>
      <c r="E13" s="496"/>
      <c r="F13" s="496"/>
      <c r="G13" s="496"/>
      <c r="H13" s="496"/>
      <c r="I13" s="496"/>
      <c r="J13" s="496"/>
      <c r="K13" s="947"/>
      <c r="L13" s="947"/>
      <c r="M13" s="496"/>
      <c r="N13" s="496"/>
      <c r="O13" s="496"/>
      <c r="P13" s="496"/>
      <c r="Q13" s="496"/>
      <c r="R13" s="988"/>
      <c r="U13" s="956"/>
      <c r="V13" s="1938"/>
      <c r="W13" s="1938"/>
      <c r="X13" s="1938"/>
      <c r="Y13" s="1938"/>
      <c r="Z13" s="2013"/>
      <c r="AA13" s="1938"/>
      <c r="AB13" s="1938"/>
      <c r="AC13" s="1938"/>
      <c r="AD13" s="1938"/>
      <c r="AE13" s="956"/>
      <c r="AF13" s="956"/>
      <c r="AG13" s="956"/>
      <c r="AH13" s="956"/>
      <c r="AI13" s="956"/>
      <c r="AJ13" s="956"/>
      <c r="AK13" s="956"/>
      <c r="AL13" s="956"/>
      <c r="AM13" s="956"/>
      <c r="AN13" s="956"/>
      <c r="AO13" s="956"/>
      <c r="AP13" s="956"/>
      <c r="AQ13" s="956"/>
      <c r="AR13" s="956"/>
      <c r="AS13" s="956"/>
      <c r="AT13" s="956"/>
      <c r="AU13" s="956"/>
      <c r="AV13" s="956"/>
      <c r="AW13" s="956"/>
      <c r="AX13" s="956"/>
      <c r="AY13" s="956"/>
      <c r="AZ13" s="956"/>
      <c r="BA13" s="956"/>
      <c r="BB13" s="956"/>
      <c r="BC13" s="956"/>
      <c r="BD13" s="956"/>
      <c r="BE13" s="956"/>
      <c r="BF13" s="956"/>
      <c r="BG13" s="956"/>
      <c r="BH13" s="956"/>
      <c r="BI13" s="956"/>
      <c r="BJ13" s="956"/>
    </row>
    <row r="14" spans="2:62" ht="16.5" thickBot="1">
      <c r="B14" s="939"/>
      <c r="C14" s="945"/>
      <c r="D14" s="1745" t="s">
        <v>1253</v>
      </c>
      <c r="E14" s="935"/>
      <c r="F14" s="935"/>
      <c r="G14" s="2601" t="s">
        <v>3889</v>
      </c>
      <c r="H14" s="2608"/>
      <c r="I14" s="2608"/>
      <c r="J14" s="2608"/>
      <c r="K14" s="2609"/>
      <c r="L14" s="947"/>
      <c r="M14" s="2475">
        <f>IF(OR(W14,Y14,Z14),"***",IF(tlInputInnov1="SELECT INNOVATION",0,INDEX(capInnov1Cost,xxIndexTeam)))</f>
        <v>0</v>
      </c>
      <c r="N14" s="2607">
        <f>IF(OR(W14,Y14,Z14),AA14,IF(tlInputInnov1="SELECT INNOVATION",0,INDEX(capRnD1MTUs,xxIndexTeam)))</f>
        <v>0</v>
      </c>
      <c r="O14" s="2607"/>
      <c r="P14" s="2607"/>
      <c r="Q14" s="2474">
        <f>IF(OR(W14,Y14,Z14),"***",IF(tlInputInnov1="SELECT INNOVATION",0,ROUND(VLOOKUP(tlInputInnov1,dataStdInnovsCost,6,0)*INDEX(paramRnDttmCoeff,xxIndexTeam)*12,1)&amp;" Months"))</f>
        <v>0</v>
      </c>
      <c r="R14" s="1102"/>
      <c r="U14" s="956"/>
      <c r="V14" s="2014">
        <f>VLOOKUP(tlInputInnov1,dataInnovsDets,3,0)</f>
        <v>0</v>
      </c>
      <c r="W14" s="1938">
        <f>IF(G14="SELECT INNOVATION",0,COUNTIF(obal!$E$304:$E$315,V14)&gt;0)</f>
        <v>0</v>
      </c>
      <c r="X14" s="1938" t="b">
        <f>COUNTIF(dataDInnovsList,tlInputInnov1)=1</f>
        <v>0</v>
      </c>
      <c r="Y14" s="1938">
        <v>0</v>
      </c>
      <c r="Z14" s="2013" t="b">
        <f>VLOOKUP(tlInputInnov1,dataInnovsDets,6,0)&gt;tlInputPlant1Flex</f>
        <v>0</v>
      </c>
      <c r="AA14" s="1938" t="b">
        <f>IF(W14,"ALREADY SELECTED",IF(Y14,"LIMIT ONE BREAKTHRU",IF(Z14,"PLANT FLEXIBILITY")))</f>
        <v>0</v>
      </c>
      <c r="AB14" s="1938">
        <f>IF(X14,1,0)</f>
        <v>0</v>
      </c>
      <c r="AC14" s="1938" t="b">
        <f>IF(X14,IF(NOT(Z14),tlInputInnov1,"Plant Flexibility Requirement"))</f>
        <v>0</v>
      </c>
      <c r="AD14" s="1938"/>
      <c r="AE14" s="956"/>
      <c r="AF14" s="956" t="b">
        <v>0</v>
      </c>
      <c r="AG14" s="956"/>
      <c r="AH14" s="956"/>
      <c r="AI14" s="956"/>
      <c r="AJ14" s="956"/>
      <c r="AK14" s="956"/>
      <c r="AL14" s="956"/>
      <c r="AM14" s="956"/>
      <c r="AN14" s="956"/>
      <c r="AO14" s="956"/>
      <c r="AP14" s="956"/>
      <c r="AQ14" s="956"/>
      <c r="AR14" s="956"/>
      <c r="AS14" s="956"/>
      <c r="AT14" s="956"/>
      <c r="AU14" s="956"/>
      <c r="AV14" s="956"/>
      <c r="AW14" s="956"/>
      <c r="AX14" s="956"/>
      <c r="AY14" s="956"/>
      <c r="AZ14" s="956"/>
      <c r="BA14" s="956"/>
      <c r="BB14" s="956"/>
      <c r="BC14" s="956"/>
      <c r="BD14" s="956"/>
      <c r="BE14" s="956"/>
      <c r="BF14" s="956"/>
      <c r="BG14" s="956"/>
      <c r="BH14" s="956"/>
      <c r="BI14" s="956"/>
      <c r="BJ14" s="956"/>
    </row>
    <row r="15" spans="2:62" ht="6" customHeight="1" thickBot="1">
      <c r="B15" s="939"/>
      <c r="C15" s="945"/>
      <c r="D15" s="1745"/>
      <c r="E15" s="935"/>
      <c r="F15" s="935"/>
      <c r="G15" s="944"/>
      <c r="H15" s="944"/>
      <c r="I15" s="935"/>
      <c r="J15" s="944"/>
      <c r="K15" s="947"/>
      <c r="L15" s="947"/>
      <c r="M15" s="2019"/>
      <c r="N15" s="2020"/>
      <c r="O15" s="2021"/>
      <c r="P15" s="2020"/>
      <c r="Q15" s="2018"/>
      <c r="R15" s="1103"/>
      <c r="U15" s="956"/>
      <c r="V15" s="2014">
        <v>0</v>
      </c>
      <c r="W15" s="1938">
        <v>0</v>
      </c>
      <c r="X15" s="1938">
        <v>0</v>
      </c>
      <c r="Y15" s="1938">
        <v>0</v>
      </c>
      <c r="Z15" s="2013">
        <v>0</v>
      </c>
      <c r="AA15" s="1938">
        <v>0</v>
      </c>
      <c r="AB15" s="1938">
        <v>0</v>
      </c>
      <c r="AC15" s="1938">
        <v>0</v>
      </c>
      <c r="AD15" s="1938"/>
      <c r="AE15" s="956"/>
      <c r="AF15" s="956"/>
      <c r="AG15" s="956"/>
      <c r="AH15" s="956"/>
      <c r="AI15" s="956"/>
      <c r="AJ15" s="956"/>
      <c r="AK15" s="956"/>
      <c r="AL15" s="956"/>
      <c r="AM15" s="956"/>
      <c r="AN15" s="956"/>
      <c r="AO15" s="956"/>
      <c r="AP15" s="956"/>
      <c r="AQ15" s="956"/>
      <c r="AR15" s="956"/>
      <c r="AS15" s="956"/>
      <c r="AT15" s="956"/>
      <c r="AU15" s="956"/>
      <c r="AV15" s="956"/>
      <c r="AW15" s="956"/>
      <c r="AX15" s="956"/>
      <c r="AY15" s="956"/>
      <c r="AZ15" s="956"/>
      <c r="BA15" s="956"/>
      <c r="BB15" s="956"/>
      <c r="BC15" s="956"/>
      <c r="BD15" s="956"/>
      <c r="BE15" s="956"/>
      <c r="BF15" s="956"/>
      <c r="BG15" s="956"/>
      <c r="BH15" s="956"/>
      <c r="BI15" s="956"/>
      <c r="BJ15" s="956"/>
    </row>
    <row r="16" spans="2:62" s="954" customFormat="1" ht="16.5" thickBot="1">
      <c r="B16" s="953"/>
      <c r="C16" s="946"/>
      <c r="D16" s="1745" t="s">
        <v>1255</v>
      </c>
      <c r="E16" s="948"/>
      <c r="F16" s="948"/>
      <c r="G16" s="2601" t="s">
        <v>3889</v>
      </c>
      <c r="H16" s="2610"/>
      <c r="I16" s="2610"/>
      <c r="J16" s="2610"/>
      <c r="K16" s="2602"/>
      <c r="L16" s="1106"/>
      <c r="M16" s="2474">
        <f>IF(OR(W16,Y16,Z16),"***",IF(tlInputInnov2="SELECT INNOVATION",0,INDEX(capInnov2Cost,xxIndexTeam)))</f>
        <v>0</v>
      </c>
      <c r="N16" s="2607">
        <f>IF(OR(W16,Y16,Z16),AA16,IF(tlInputInnov2="SELECT INNOVATION",0,INDEX(capRnD2MTUs,xxIndexTeam)))</f>
        <v>0</v>
      </c>
      <c r="O16" s="2607"/>
      <c r="P16" s="2607"/>
      <c r="Q16" s="2474">
        <f>IF(OR(W16,Y16,Z16),"***",IF(tlInputInnov2="SELECT INNOVATION",0,ROUND(VLOOKUP(tlInputInnov2,dataStdInnovsCost,6,0)*INDEX(paramRnDttmCoeff,xxIndexTeam)*12,1)&amp;" Months"))</f>
        <v>0</v>
      </c>
      <c r="R16" s="1102"/>
      <c r="U16" s="956"/>
      <c r="V16" s="2014">
        <f>VLOOKUP(tlInputInnov2,dataInnovsDets,3,0)</f>
        <v>0</v>
      </c>
      <c r="W16" s="1938">
        <f>IF(G16="SELECT INNOVATION",0,OR(COUNTIF(obal!$E$304:$E$315,V16)&gt;0,COUNTIF($G$14,G16)))</f>
        <v>0</v>
      </c>
      <c r="X16" s="1938" t="b">
        <f>COUNTIF(dataDInnovsList,tlInputInnov2)=1</f>
        <v>0</v>
      </c>
      <c r="Y16" s="1938" t="b">
        <f>AND(X16,COUNTIF(X14,TRUE)=1)</f>
        <v>0</v>
      </c>
      <c r="Z16" s="2013" t="b">
        <f>VLOOKUP(tlInputInnov2,dataInnovsDets,6,0)&gt;tlInputPlant1Flex</f>
        <v>0</v>
      </c>
      <c r="AA16" s="1938" t="b">
        <f>IF(W16,"ALREADY SELECTED",IF(Y16,"LIMIT ONE DISRUPTIVE",IF(Z16,"PLANT FLEXIBILITY")))</f>
        <v>0</v>
      </c>
      <c r="AB16" s="1938">
        <f>IF(X16,1+AB14,0)</f>
        <v>0</v>
      </c>
      <c r="AC16" s="1938" t="b">
        <f>IF(X16,IF(NOT(Z16),tlInputInnov2,"Plant Flexibility Requirement"))</f>
        <v>0</v>
      </c>
      <c r="AD16" s="1938"/>
      <c r="AE16" s="1060"/>
      <c r="AF16" s="956" t="b">
        <v>0</v>
      </c>
      <c r="AG16" s="1060"/>
      <c r="AH16" s="1060"/>
      <c r="AI16" s="1060"/>
      <c r="AJ16" s="1060"/>
      <c r="AK16" s="1060"/>
      <c r="AL16" s="1060"/>
      <c r="AM16" s="1060"/>
      <c r="AN16" s="1060"/>
      <c r="AO16" s="1060"/>
      <c r="AP16" s="1060"/>
      <c r="AQ16" s="1060"/>
      <c r="AR16" s="1060"/>
      <c r="AS16" s="1060"/>
      <c r="AT16" s="1060"/>
      <c r="AU16" s="1060"/>
      <c r="AV16" s="1060"/>
      <c r="AW16" s="1060"/>
      <c r="AX16" s="1060"/>
      <c r="AY16" s="1060"/>
      <c r="AZ16" s="1060"/>
      <c r="BA16" s="1060"/>
      <c r="BB16" s="1060"/>
      <c r="BC16" s="1060"/>
      <c r="BD16" s="1060"/>
      <c r="BE16" s="1060"/>
      <c r="BF16" s="1060"/>
      <c r="BG16" s="1060"/>
      <c r="BH16" s="1060"/>
      <c r="BI16" s="1060"/>
      <c r="BJ16" s="1060"/>
    </row>
    <row r="17" spans="1:62" ht="6" customHeight="1" thickBot="1">
      <c r="A17" s="925">
        <f>IF(COUNTIF(dataUnlockedList,"unlocked")&gt;0,0,5)</f>
        <v>5</v>
      </c>
      <c r="B17" s="939"/>
      <c r="C17" s="943"/>
      <c r="D17" s="1745"/>
      <c r="E17" s="935"/>
      <c r="F17" s="935"/>
      <c r="G17" s="944"/>
      <c r="H17" s="944"/>
      <c r="I17" s="935"/>
      <c r="J17" s="944"/>
      <c r="K17" s="947"/>
      <c r="L17" s="947"/>
      <c r="M17" s="2474"/>
      <c r="N17" s="2476"/>
      <c r="O17" s="2477"/>
      <c r="P17" s="2476"/>
      <c r="Q17" s="2478"/>
      <c r="R17" s="1103"/>
      <c r="U17" s="956"/>
      <c r="V17" s="2014">
        <v>0</v>
      </c>
      <c r="W17" s="1938">
        <v>0</v>
      </c>
      <c r="X17" s="1938">
        <v>0</v>
      </c>
      <c r="Y17" s="1938">
        <v>0</v>
      </c>
      <c r="Z17" s="2013">
        <v>0</v>
      </c>
      <c r="AA17" s="1938">
        <v>0</v>
      </c>
      <c r="AB17" s="1938">
        <v>0</v>
      </c>
      <c r="AC17" s="1938">
        <v>0</v>
      </c>
      <c r="AD17" s="1938"/>
      <c r="AE17" s="956"/>
      <c r="AF17" s="956"/>
      <c r="AG17" s="956"/>
      <c r="AH17" s="956"/>
      <c r="AI17" s="956"/>
      <c r="AJ17" s="956"/>
      <c r="AK17" s="956"/>
      <c r="AL17" s="956"/>
      <c r="AM17" s="956"/>
      <c r="AN17" s="956"/>
      <c r="AO17" s="956"/>
      <c r="AP17" s="956"/>
      <c r="AQ17" s="956"/>
      <c r="AR17" s="956"/>
      <c r="AS17" s="956"/>
      <c r="AT17" s="956"/>
      <c r="AU17" s="956"/>
      <c r="AV17" s="956"/>
      <c r="AW17" s="956"/>
      <c r="AX17" s="956"/>
      <c r="AY17" s="956"/>
      <c r="AZ17" s="956"/>
      <c r="BA17" s="956"/>
      <c r="BB17" s="956"/>
      <c r="BC17" s="956"/>
      <c r="BD17" s="956"/>
      <c r="BE17" s="956"/>
      <c r="BF17" s="956"/>
      <c r="BG17" s="956"/>
      <c r="BH17" s="956"/>
      <c r="BI17" s="956"/>
      <c r="BJ17" s="956"/>
    </row>
    <row r="18" spans="1:62" ht="16.5" thickBot="1">
      <c r="A18" s="925">
        <f>IF(COUNTIF(dataUnlockedList,"unlocked")&gt;0,0,5)</f>
        <v>5</v>
      </c>
      <c r="B18" s="939"/>
      <c r="C18" s="943"/>
      <c r="D18" s="1745" t="s">
        <v>1254</v>
      </c>
      <c r="E18" s="935"/>
      <c r="F18" s="935"/>
      <c r="G18" s="2601" t="s">
        <v>3889</v>
      </c>
      <c r="H18" s="2610"/>
      <c r="I18" s="2610"/>
      <c r="J18" s="2610"/>
      <c r="K18" s="2602"/>
      <c r="L18" s="947"/>
      <c r="M18" s="2474">
        <f>IF(OR(W18,Y18,Z18),"***",IF(tlInputInnov3="SELECT INNOVATION",0,INDEX(capInnov3Cost,xxIndexTeam)))</f>
        <v>0</v>
      </c>
      <c r="N18" s="2607">
        <f>IF(OR(W18,Y18,Z18),AA18,IF(tlInputInnov3="SELECT INNOVATION",0,INDEX(capRnD3MTUs,xxIndexTeam)))</f>
        <v>0</v>
      </c>
      <c r="O18" s="2607"/>
      <c r="P18" s="2607"/>
      <c r="Q18" s="2474">
        <f>IF(OR(W18,Y18,Z18),"***",IF(tlInputInnov3="SELECT INNOVATION",0,ROUND(VLOOKUP(tlInputInnov3,dataStdInnovsCost,6,0)*INDEX(paramRnDttmCoeff,xxIndexTeam)*12,1)&amp;" Months"))</f>
        <v>0</v>
      </c>
      <c r="R18" s="1102"/>
      <c r="U18" s="956"/>
      <c r="V18" s="2014">
        <f>VLOOKUP(tlInputInnov3,dataInnovsDets,3,0)</f>
        <v>0</v>
      </c>
      <c r="W18" s="1938">
        <f>IF(G18="SELECT INNOVATION",0,OR(COUNTIF(obal!$E$304:$E$315,V18)&gt;0,COUNTIF($G$14:G16,G18)))</f>
        <v>0</v>
      </c>
      <c r="X18" s="1938" t="b">
        <f>COUNTIF(dataDInnovsList,tlInputInnov3)=1</f>
        <v>0</v>
      </c>
      <c r="Y18" s="1938" t="b">
        <f>AND(X18,COUNTIF(X14:X16,TRUE)&gt;=1)</f>
        <v>0</v>
      </c>
      <c r="Z18" s="2013" t="b">
        <f>VLOOKUP(tlInputInnov3,dataInnovsDets,6,0)&gt;tlInputPlant1Flex</f>
        <v>0</v>
      </c>
      <c r="AA18" s="1938" t="b">
        <f>IF(W18,"ALREADY SELECTED",IF(Y18,"LIMIT ONE DISRUPTIVE",IF(Z18,"PLANT FLEXIBILITY")))</f>
        <v>0</v>
      </c>
      <c r="AB18" s="1938">
        <f>IF(X18,1+SUM(AB14:AB16),0)</f>
        <v>0</v>
      </c>
      <c r="AC18" s="1938" t="b">
        <f>IF(X18,IF(NOT(Z18),tlInputInnov3,"Plant Flexibility Requirement"))</f>
        <v>0</v>
      </c>
      <c r="AD18" s="1938"/>
      <c r="AE18" s="956"/>
      <c r="AF18" s="956" t="b">
        <v>0</v>
      </c>
      <c r="AG18" s="956"/>
      <c r="AH18" s="956"/>
      <c r="AI18" s="956"/>
      <c r="AJ18" s="956"/>
      <c r="AK18" s="956"/>
      <c r="AL18" s="956"/>
      <c r="AM18" s="956"/>
      <c r="AN18" s="956"/>
      <c r="AO18" s="956"/>
      <c r="AP18" s="956"/>
      <c r="AQ18" s="956"/>
      <c r="AR18" s="956"/>
      <c r="AS18" s="956"/>
      <c r="AT18" s="956"/>
      <c r="AU18" s="956"/>
      <c r="AV18" s="956"/>
      <c r="AW18" s="956"/>
      <c r="AX18" s="956"/>
      <c r="AY18" s="956"/>
      <c r="AZ18" s="956"/>
      <c r="BA18" s="956"/>
      <c r="BB18" s="956"/>
      <c r="BC18" s="956"/>
      <c r="BD18" s="956"/>
      <c r="BE18" s="956"/>
      <c r="BF18" s="956"/>
      <c r="BG18" s="956"/>
      <c r="BH18" s="956"/>
      <c r="BI18" s="956"/>
      <c r="BJ18" s="956"/>
    </row>
    <row r="19" spans="1:62" ht="6" customHeight="1" thickBot="1">
      <c r="A19" s="925">
        <v>5</v>
      </c>
      <c r="B19" s="939"/>
      <c r="C19" s="946"/>
      <c r="D19" s="1745"/>
      <c r="E19" s="935"/>
      <c r="F19" s="935"/>
      <c r="G19" s="944"/>
      <c r="H19" s="944"/>
      <c r="I19" s="935"/>
      <c r="J19" s="944"/>
      <c r="K19" s="947"/>
      <c r="L19" s="947"/>
      <c r="M19" s="2474"/>
      <c r="N19" s="2476"/>
      <c r="O19" s="2477"/>
      <c r="P19" s="2476"/>
      <c r="Q19" s="2476"/>
      <c r="R19" s="1103"/>
      <c r="U19" s="956"/>
      <c r="V19" s="2014">
        <v>0</v>
      </c>
      <c r="W19" s="1938">
        <v>0</v>
      </c>
      <c r="X19" s="1938">
        <v>0</v>
      </c>
      <c r="Y19" s="1938">
        <v>0</v>
      </c>
      <c r="Z19" s="2013">
        <v>0</v>
      </c>
      <c r="AA19" s="1938">
        <v>0</v>
      </c>
      <c r="AB19" s="1938">
        <v>0</v>
      </c>
      <c r="AC19" s="1938">
        <v>0</v>
      </c>
      <c r="AD19" s="1938"/>
      <c r="AE19" s="956"/>
      <c r="AF19" s="956"/>
      <c r="AG19" s="956"/>
      <c r="AH19" s="956"/>
      <c r="AI19" s="956"/>
      <c r="AJ19" s="956"/>
      <c r="AK19" s="956"/>
      <c r="AL19" s="956"/>
      <c r="AM19" s="956"/>
      <c r="AN19" s="956"/>
      <c r="AO19" s="956"/>
      <c r="AP19" s="956"/>
      <c r="AQ19" s="956"/>
      <c r="AR19" s="956"/>
      <c r="AS19" s="956"/>
      <c r="AT19" s="956"/>
      <c r="AU19" s="956"/>
      <c r="AV19" s="956"/>
      <c r="AW19" s="956"/>
      <c r="AX19" s="956"/>
      <c r="AY19" s="956"/>
      <c r="AZ19" s="956"/>
      <c r="BA19" s="956"/>
      <c r="BB19" s="956"/>
      <c r="BC19" s="956"/>
      <c r="BD19" s="956"/>
      <c r="BE19" s="956"/>
      <c r="BF19" s="956"/>
      <c r="BG19" s="956"/>
      <c r="BH19" s="956"/>
      <c r="BI19" s="956"/>
      <c r="BJ19" s="956"/>
    </row>
    <row r="20" spans="1:62" ht="16.5" thickBot="1">
      <c r="A20" s="925">
        <v>5</v>
      </c>
      <c r="B20" s="939"/>
      <c r="C20" s="943"/>
      <c r="D20" s="1745" t="s">
        <v>1256</v>
      </c>
      <c r="E20" s="935"/>
      <c r="F20" s="935"/>
      <c r="G20" s="2601" t="s">
        <v>3889</v>
      </c>
      <c r="H20" s="2610"/>
      <c r="I20" s="2610"/>
      <c r="J20" s="2610"/>
      <c r="K20" s="2602"/>
      <c r="L20" s="947"/>
      <c r="M20" s="2474">
        <f>IF(OR(W20,Y20,Z20),"***",IF(tlInputInnov4="SELECT INNOVATION",0,INDEX(capInnov4Cost,xxIndexTeam)))</f>
        <v>0</v>
      </c>
      <c r="N20" s="2607">
        <f>IF(OR(W20,Y20,Z20),AA20,IF(tlInputInnov4="SELECT INNOVATION",0,INDEX(capRnD4MTUs,xxIndexTeam)))</f>
        <v>0</v>
      </c>
      <c r="O20" s="2607"/>
      <c r="P20" s="2607"/>
      <c r="Q20" s="2474">
        <f>IF(OR(W20,Y20,Z20),"***",IF(tlInputInnov4="SELECT INNOVATION",0,ROUND(VLOOKUP(tlInputInnov4,dataStdInnovsCost,6,0)*INDEX(paramRnDttmCoeff,xxIndexTeam)*12,1)&amp;" Months"))</f>
        <v>0</v>
      </c>
      <c r="R20" s="1102"/>
      <c r="U20" s="956"/>
      <c r="V20" s="2014">
        <f>VLOOKUP(tlInputInnov4,dataInnovsDets,3,0)</f>
        <v>0</v>
      </c>
      <c r="W20" s="1938">
        <f>IF(G20="SELECT INNOVATION",0,OR(COUNTIF(obal!$E$304:$E$315,V20)&gt;0,COUNTIF($G$14:G18,G20)))</f>
        <v>0</v>
      </c>
      <c r="X20" s="1938" t="b">
        <f>COUNTIF(dataDInnovsList,tlInputInnov4)=1</f>
        <v>0</v>
      </c>
      <c r="Y20" s="1938" t="b">
        <f>AND(X20,COUNTIF(X14:X18,TRUE)&gt;=1)</f>
        <v>0</v>
      </c>
      <c r="Z20" s="2013" t="b">
        <f>VLOOKUP(tlInputInnov4,dataInnovsDets,6,0)&gt;tlInputPlant1Flex</f>
        <v>0</v>
      </c>
      <c r="AA20" s="1938" t="b">
        <f>IF(W20,"ALREADY SELECTED",IF(Y20,"LIMIT ONE DISRUPTIVE",IF(Z20,"PLANT FLEXIBILITY")))</f>
        <v>0</v>
      </c>
      <c r="AB20" s="1938">
        <f>IF(X20,1+SUM(AB14:AB18),0)</f>
        <v>0</v>
      </c>
      <c r="AC20" s="1938" t="b">
        <f>IF(X20,IF(NOT(Z20),tlInputInnov4,"Plant Flexibility Requirement"))</f>
        <v>0</v>
      </c>
      <c r="AD20" s="1938"/>
      <c r="AE20" s="956"/>
      <c r="AF20" s="956" t="b">
        <v>0</v>
      </c>
      <c r="AG20" s="956"/>
      <c r="AH20" s="956"/>
      <c r="AI20" s="956"/>
      <c r="AJ20" s="956"/>
      <c r="AK20" s="956"/>
      <c r="AL20" s="956"/>
      <c r="AM20" s="956"/>
      <c r="AN20" s="956"/>
      <c r="AO20" s="956"/>
      <c r="AP20" s="956"/>
      <c r="AQ20" s="956"/>
      <c r="AR20" s="956"/>
      <c r="AS20" s="956"/>
      <c r="AT20" s="956"/>
      <c r="AU20" s="956"/>
      <c r="AV20" s="956"/>
      <c r="AW20" s="956"/>
      <c r="AX20" s="956"/>
      <c r="AY20" s="956"/>
      <c r="AZ20" s="956"/>
      <c r="BA20" s="956"/>
      <c r="BB20" s="956"/>
      <c r="BC20" s="956"/>
      <c r="BD20" s="956"/>
      <c r="BE20" s="956"/>
      <c r="BF20" s="956"/>
      <c r="BG20" s="956"/>
      <c r="BH20" s="956"/>
      <c r="BI20" s="956"/>
      <c r="BJ20" s="956"/>
    </row>
    <row r="21" spans="1:62" ht="6" customHeight="1">
      <c r="B21" s="939"/>
      <c r="C21" s="943"/>
      <c r="D21" s="923"/>
      <c r="E21" s="935"/>
      <c r="F21" s="935"/>
      <c r="G21" s="923"/>
      <c r="H21" s="923"/>
      <c r="I21" s="923"/>
      <c r="J21" s="930"/>
      <c r="K21" s="947"/>
      <c r="L21" s="947"/>
      <c r="M21" s="2022"/>
      <c r="N21" s="2023"/>
      <c r="O21" s="2024"/>
      <c r="P21" s="2023"/>
      <c r="Q21" s="1870"/>
      <c r="R21" s="1104"/>
      <c r="U21" s="956"/>
      <c r="V21" s="1938">
        <v>0</v>
      </c>
      <c r="W21" s="1938">
        <v>0</v>
      </c>
      <c r="X21" s="1938">
        <v>0</v>
      </c>
      <c r="Y21" s="1938">
        <v>0</v>
      </c>
      <c r="Z21" s="2013">
        <v>0</v>
      </c>
      <c r="AA21" s="1938">
        <v>0</v>
      </c>
      <c r="AB21" s="1938">
        <v>1</v>
      </c>
      <c r="AC21" s="1938">
        <v>0</v>
      </c>
      <c r="AD21" s="1938"/>
      <c r="AE21" s="956"/>
      <c r="AF21" s="956"/>
      <c r="AG21" s="956"/>
      <c r="AH21" s="956"/>
      <c r="AI21" s="956"/>
      <c r="AJ21" s="956"/>
      <c r="AK21" s="956"/>
      <c r="AL21" s="956"/>
      <c r="AM21" s="956"/>
      <c r="AN21" s="956"/>
      <c r="AO21" s="956"/>
      <c r="AP21" s="956"/>
      <c r="AQ21" s="956"/>
      <c r="AR21" s="956"/>
      <c r="AS21" s="956"/>
      <c r="AT21" s="956"/>
      <c r="AU21" s="956"/>
      <c r="AV21" s="956"/>
      <c r="AW21" s="956"/>
      <c r="AX21" s="956"/>
      <c r="AY21" s="956"/>
      <c r="AZ21" s="956"/>
      <c r="BA21" s="956"/>
      <c r="BB21" s="956"/>
      <c r="BC21" s="956"/>
      <c r="BD21" s="956"/>
      <c r="BE21" s="956"/>
      <c r="BF21" s="956"/>
      <c r="BG21" s="956"/>
      <c r="BH21" s="956"/>
      <c r="BI21" s="956"/>
      <c r="BJ21" s="956"/>
    </row>
    <row r="22" spans="1:62" ht="19.5" customHeight="1">
      <c r="B22" s="939"/>
      <c r="C22" s="943"/>
      <c r="D22" s="923"/>
      <c r="E22" s="935"/>
      <c r="F22" s="935"/>
      <c r="G22" s="923"/>
      <c r="H22" s="923"/>
      <c r="I22" s="947"/>
      <c r="J22" s="1087"/>
      <c r="K22" s="2026" t="s">
        <v>2377</v>
      </c>
      <c r="L22" s="947"/>
      <c r="M22" s="2479">
        <f>SUM(tlOutput_toolRnD_M14,tlOutput_toolRnD_M16,tlOutput_toolRnD_M18,tlOutput_toolRnD_M20)</f>
        <v>0</v>
      </c>
      <c r="N22" s="2025"/>
      <c r="O22" s="2480">
        <f>SUM(Innov1MTUs,Innov2MTUs,Innov3MTUs,Innov4MTUs)</f>
        <v>0</v>
      </c>
      <c r="P22" s="1870"/>
      <c r="Q22" s="1870"/>
      <c r="R22" s="1104"/>
      <c r="U22" s="956"/>
      <c r="V22" s="956"/>
      <c r="W22" s="956"/>
      <c r="X22" s="956"/>
      <c r="Y22" s="956"/>
      <c r="Z22" s="956"/>
      <c r="AA22" s="956"/>
      <c r="AB22" s="956"/>
      <c r="AC22" s="956"/>
      <c r="AD22" s="956"/>
      <c r="AE22" s="956"/>
      <c r="AF22" s="956"/>
      <c r="AG22" s="956"/>
      <c r="AH22" s="956"/>
      <c r="AI22" s="956"/>
      <c r="AJ22" s="956"/>
      <c r="AK22" s="956"/>
      <c r="AL22" s="956"/>
      <c r="AM22" s="956"/>
      <c r="AN22" s="956"/>
      <c r="AO22" s="956"/>
      <c r="AP22" s="956"/>
      <c r="AQ22" s="956"/>
      <c r="AR22" s="956"/>
      <c r="AS22" s="956"/>
      <c r="AT22" s="956"/>
      <c r="AU22" s="956"/>
      <c r="AV22" s="956"/>
      <c r="AW22" s="956"/>
      <c r="AX22" s="956"/>
      <c r="AY22" s="956"/>
      <c r="AZ22" s="956"/>
      <c r="BA22" s="956"/>
      <c r="BB22" s="956"/>
      <c r="BC22" s="956"/>
      <c r="BD22" s="956"/>
      <c r="BE22" s="956"/>
      <c r="BF22" s="956"/>
      <c r="BG22" s="956"/>
      <c r="BH22" s="956"/>
      <c r="BI22" s="956"/>
      <c r="BJ22" s="956"/>
    </row>
    <row r="23" spans="1:62" ht="7.5" customHeight="1">
      <c r="B23" s="939"/>
      <c r="C23" s="935"/>
      <c r="D23" s="935"/>
      <c r="E23" s="935"/>
      <c r="F23" s="935"/>
      <c r="G23" s="935"/>
      <c r="H23" s="935"/>
      <c r="I23" s="935"/>
      <c r="J23" s="944"/>
      <c r="K23" s="996"/>
      <c r="L23" s="996"/>
      <c r="M23" s="996"/>
      <c r="N23" s="996"/>
      <c r="O23" s="496"/>
      <c r="P23" s="996"/>
      <c r="Q23" s="996"/>
      <c r="R23" s="936"/>
      <c r="U23" s="956"/>
      <c r="V23" s="956"/>
      <c r="W23" s="956"/>
      <c r="X23" s="956"/>
      <c r="Y23" s="956"/>
      <c r="Z23" s="956"/>
      <c r="AA23" s="956"/>
      <c r="AB23" s="956"/>
      <c r="AC23" s="956"/>
      <c r="AD23" s="956"/>
      <c r="AE23" s="956"/>
      <c r="AF23" s="956"/>
      <c r="AG23" s="956"/>
      <c r="AH23" s="956"/>
      <c r="AI23" s="956"/>
      <c r="AJ23" s="956"/>
      <c r="AK23" s="956"/>
      <c r="AL23" s="956"/>
      <c r="AM23" s="956"/>
      <c r="AN23" s="956"/>
      <c r="AO23" s="956"/>
      <c r="AP23" s="956"/>
      <c r="AQ23" s="956"/>
      <c r="AR23" s="956"/>
      <c r="AS23" s="956"/>
      <c r="AT23" s="956"/>
      <c r="AU23" s="956"/>
      <c r="AV23" s="956"/>
      <c r="AW23" s="956"/>
      <c r="AX23" s="956"/>
      <c r="AY23" s="956"/>
      <c r="AZ23" s="956"/>
      <c r="BA23" s="956"/>
      <c r="BB23" s="956"/>
      <c r="BC23" s="956"/>
      <c r="BD23" s="956"/>
      <c r="BE23" s="956"/>
      <c r="BF23" s="956"/>
      <c r="BG23" s="956"/>
      <c r="BH23" s="956"/>
      <c r="BI23" s="956"/>
      <c r="BJ23" s="956"/>
    </row>
    <row r="24" spans="1:62" ht="15.75">
      <c r="A24" s="925">
        <f t="shared" ref="A24:A29" si="0">IF(COUNTIF(dataUnlockedList,"unlocked")&gt;0,0,5)</f>
        <v>5</v>
      </c>
      <c r="B24" s="939"/>
      <c r="C24" s="1744" t="str">
        <f>DataNameProd2&amp;" Innovations"</f>
        <v>Breakthrough Innovations</v>
      </c>
      <c r="D24" s="935"/>
      <c r="E24" s="935"/>
      <c r="F24" s="935"/>
      <c r="G24" s="935"/>
      <c r="H24" s="935"/>
      <c r="I24" s="935"/>
      <c r="J24" s="935"/>
      <c r="K24" s="496"/>
      <c r="L24" s="496"/>
      <c r="M24" s="496"/>
      <c r="N24" s="496"/>
      <c r="O24" s="496"/>
      <c r="P24" s="496"/>
      <c r="Q24" s="496"/>
      <c r="R24" s="936"/>
      <c r="U24" s="956"/>
      <c r="V24" s="956"/>
      <c r="W24" s="956"/>
      <c r="X24" s="956"/>
      <c r="Y24" s="956"/>
      <c r="Z24" s="956"/>
      <c r="AA24" s="956"/>
      <c r="AB24" s="956"/>
      <c r="AC24" s="956"/>
      <c r="AD24" s="956"/>
      <c r="AE24" s="956"/>
      <c r="AF24" s="956"/>
      <c r="AG24" s="956"/>
      <c r="AH24" s="956"/>
      <c r="AI24" s="956"/>
      <c r="AJ24" s="956"/>
      <c r="AK24" s="956"/>
      <c r="AL24" s="956"/>
      <c r="AM24" s="956"/>
      <c r="AN24" s="956"/>
      <c r="AO24" s="956"/>
      <c r="AP24" s="956"/>
      <c r="AQ24" s="956"/>
      <c r="AR24" s="956"/>
      <c r="AS24" s="956"/>
      <c r="AT24" s="956"/>
      <c r="AU24" s="956"/>
      <c r="AV24" s="956"/>
      <c r="AW24" s="956"/>
      <c r="AX24" s="956"/>
      <c r="AY24" s="956"/>
      <c r="AZ24" s="956"/>
      <c r="BA24" s="956"/>
      <c r="BB24" s="956"/>
      <c r="BC24" s="956"/>
      <c r="BD24" s="956"/>
      <c r="BE24" s="956"/>
      <c r="BF24" s="956"/>
      <c r="BG24" s="956"/>
      <c r="BH24" s="956"/>
      <c r="BI24" s="956"/>
      <c r="BJ24" s="956"/>
    </row>
    <row r="25" spans="1:62" ht="15.75">
      <c r="A25" s="925">
        <f t="shared" si="0"/>
        <v>5</v>
      </c>
      <c r="B25" s="939"/>
      <c r="C25" s="943"/>
      <c r="D25" s="935"/>
      <c r="E25" s="935"/>
      <c r="F25" s="935"/>
      <c r="G25" s="951"/>
      <c r="H25" s="944"/>
      <c r="I25" s="951"/>
      <c r="J25" s="944"/>
      <c r="K25" s="944"/>
      <c r="L25" s="944"/>
      <c r="M25" s="944"/>
      <c r="N25" s="944"/>
      <c r="O25" s="979"/>
      <c r="P25" s="944"/>
      <c r="Q25" s="944"/>
      <c r="R25" s="942"/>
      <c r="X25" s="956"/>
      <c r="Y25" s="956"/>
      <c r="Z25" s="956"/>
      <c r="AA25" s="956"/>
      <c r="AB25" s="956"/>
      <c r="AC25" s="956"/>
      <c r="AD25" s="956"/>
      <c r="AE25" s="956"/>
      <c r="AF25" s="956"/>
      <c r="AG25" s="956"/>
      <c r="AH25" s="956"/>
      <c r="AI25" s="956"/>
      <c r="AJ25" s="956"/>
      <c r="AK25" s="956"/>
      <c r="AL25" s="956"/>
      <c r="AM25" s="956"/>
      <c r="AN25" s="956"/>
      <c r="AO25" s="956"/>
      <c r="AP25" s="956"/>
      <c r="AQ25" s="956"/>
      <c r="AR25" s="956"/>
      <c r="AS25" s="956"/>
      <c r="AT25" s="956"/>
      <c r="AU25" s="956"/>
      <c r="AV25" s="956"/>
      <c r="AW25" s="956"/>
      <c r="AX25" s="956"/>
      <c r="AY25" s="956"/>
      <c r="AZ25" s="956"/>
      <c r="BA25" s="956"/>
      <c r="BB25" s="956"/>
      <c r="BC25" s="956"/>
      <c r="BD25" s="956"/>
      <c r="BE25" s="956"/>
      <c r="BF25" s="956"/>
      <c r="BG25" s="925"/>
      <c r="BH25" s="925"/>
      <c r="BI25" s="925"/>
      <c r="BJ25" s="925"/>
    </row>
    <row r="26" spans="1:62" ht="27.75" customHeight="1">
      <c r="A26" s="925">
        <f t="shared" si="0"/>
        <v>5</v>
      </c>
      <c r="B26" s="939"/>
      <c r="C26" s="935"/>
      <c r="D26" s="2611" t="str">
        <f>DataNameProd2&amp;" Product"</f>
        <v>Breakthrough Product</v>
      </c>
      <c r="E26" s="2611"/>
      <c r="F26" s="2611"/>
      <c r="G26" s="2611"/>
      <c r="H26" s="2027"/>
      <c r="I26" s="2027" t="s">
        <v>2745</v>
      </c>
      <c r="J26" s="2027"/>
      <c r="K26" s="2027" t="s">
        <v>2035</v>
      </c>
      <c r="L26" s="2027"/>
      <c r="M26" s="2027" t="s">
        <v>2894</v>
      </c>
      <c r="N26" s="2027"/>
      <c r="O26" s="2027" t="s">
        <v>2895</v>
      </c>
      <c r="P26" s="2027"/>
      <c r="Q26" s="2027" t="s">
        <v>1473</v>
      </c>
      <c r="R26" s="1753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1"/>
      <c r="AV26" s="1061"/>
      <c r="AW26" s="1061"/>
      <c r="AX26" s="1061"/>
      <c r="AY26" s="1061"/>
      <c r="AZ26" s="1061"/>
      <c r="BA26" s="1061"/>
      <c r="BB26" s="1061"/>
      <c r="BC26" s="1061"/>
      <c r="BD26" s="1061"/>
      <c r="BE26" s="1061"/>
      <c r="BF26" s="1061"/>
      <c r="BG26" s="925"/>
      <c r="BH26" s="925"/>
      <c r="BI26" s="925"/>
      <c r="BJ26" s="925"/>
    </row>
    <row r="27" spans="1:62" ht="8.25" customHeight="1" thickBot="1">
      <c r="A27" s="925">
        <f t="shared" si="0"/>
        <v>5</v>
      </c>
      <c r="B27" s="939"/>
      <c r="C27" s="935"/>
      <c r="D27" s="935"/>
      <c r="E27" s="935"/>
      <c r="F27" s="935"/>
      <c r="G27" s="935"/>
      <c r="H27" s="935"/>
      <c r="I27" s="935"/>
      <c r="J27" s="944"/>
      <c r="K27" s="944"/>
      <c r="L27" s="944"/>
      <c r="M27" s="944"/>
      <c r="N27" s="944"/>
      <c r="O27" s="935"/>
      <c r="P27" s="944"/>
      <c r="Q27" s="935"/>
      <c r="R27" s="942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1"/>
      <c r="AV27" s="1061"/>
      <c r="AW27" s="1061"/>
      <c r="AX27" s="1061"/>
      <c r="AY27" s="1061"/>
      <c r="AZ27" s="1061"/>
      <c r="BA27" s="1061"/>
      <c r="BB27" s="1061"/>
      <c r="BC27" s="1061"/>
      <c r="BD27" s="1061"/>
      <c r="BE27" s="1061"/>
      <c r="BF27" s="1061"/>
      <c r="BG27" s="925"/>
      <c r="BH27" s="925"/>
      <c r="BI27" s="925"/>
      <c r="BJ27" s="925"/>
    </row>
    <row r="28" spans="1:62" ht="16.5" thickBot="1">
      <c r="A28" s="925">
        <f t="shared" si="0"/>
        <v>5</v>
      </c>
      <c r="B28" s="939"/>
      <c r="C28" s="935"/>
      <c r="D28" s="2612">
        <f>IF(INDEX(obalDisrupt1,xxIndexTeam)&lt;&gt;0,INDEX(obalDisrupt1,xxIndexTeam),VLOOKUP(1,$AB$14:$AC$21,2,FALSE))</f>
        <v>0</v>
      </c>
      <c r="E28" s="2613"/>
      <c r="F28" s="2613"/>
      <c r="G28" s="2614"/>
      <c r="H28" s="935"/>
      <c r="I28" s="485" t="s">
        <v>1706</v>
      </c>
      <c r="J28" s="944"/>
      <c r="K28" s="415">
        <v>1</v>
      </c>
      <c r="L28" s="944"/>
      <c r="M28" s="415">
        <v>1</v>
      </c>
      <c r="N28" s="944"/>
      <c r="O28" s="415">
        <v>1</v>
      </c>
      <c r="P28" s="944"/>
      <c r="Q28" s="1044">
        <v>1000</v>
      </c>
      <c r="R28" s="942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1"/>
      <c r="AV28" s="1061"/>
      <c r="AW28" s="1061"/>
      <c r="AX28" s="1061"/>
      <c r="AY28" s="1061"/>
      <c r="AZ28" s="1061"/>
      <c r="BA28" s="1061"/>
      <c r="BB28" s="1061"/>
      <c r="BC28" s="1061"/>
      <c r="BD28" s="1061"/>
      <c r="BE28" s="1061"/>
      <c r="BF28" s="1061"/>
      <c r="BG28" s="925"/>
      <c r="BH28" s="925"/>
      <c r="BI28" s="925"/>
      <c r="BJ28" s="925"/>
    </row>
    <row r="29" spans="1:62" ht="11.25" customHeight="1">
      <c r="A29" s="925">
        <f t="shared" si="0"/>
        <v>5</v>
      </c>
      <c r="B29" s="939"/>
      <c r="C29" s="935"/>
      <c r="D29" s="952"/>
      <c r="E29" s="935"/>
      <c r="F29" s="935"/>
      <c r="G29" s="935"/>
      <c r="H29" s="935"/>
      <c r="I29" s="935"/>
      <c r="J29" s="944"/>
      <c r="K29" s="944"/>
      <c r="L29" s="944"/>
      <c r="M29" s="944"/>
      <c r="N29" s="944"/>
      <c r="O29" s="935"/>
      <c r="P29" s="944"/>
      <c r="Q29" s="935"/>
      <c r="R29" s="942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1"/>
      <c r="AV29" s="1061"/>
      <c r="AW29" s="1061"/>
      <c r="AX29" s="1061"/>
      <c r="AY29" s="1061"/>
      <c r="AZ29" s="1061"/>
      <c r="BA29" s="1061"/>
      <c r="BB29" s="1061"/>
      <c r="BC29" s="1061"/>
      <c r="BD29" s="1061"/>
      <c r="BE29" s="1061"/>
      <c r="BF29" s="1061"/>
      <c r="BG29" s="925"/>
      <c r="BH29" s="925"/>
      <c r="BI29" s="925"/>
      <c r="BJ29" s="925"/>
    </row>
    <row r="30" spans="1:62" ht="11.25" customHeight="1" thickBot="1">
      <c r="A30" s="925">
        <f>IF(COUNTIF(obal!$E$221:$E$222,"&lt;&gt;0")&gt;0,0,5)</f>
        <v>5</v>
      </c>
      <c r="B30" s="939"/>
      <c r="C30" s="935"/>
      <c r="D30" s="923"/>
      <c r="E30" s="935"/>
      <c r="F30" s="935"/>
      <c r="G30" s="935"/>
      <c r="H30" s="935"/>
      <c r="I30" s="935"/>
      <c r="J30" s="944"/>
      <c r="K30" s="944"/>
      <c r="L30" s="944"/>
      <c r="M30" s="944"/>
      <c r="N30" s="944"/>
      <c r="O30" s="935"/>
      <c r="P30" s="944"/>
      <c r="Q30" s="935"/>
      <c r="R30" s="942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1"/>
      <c r="AV30" s="1061"/>
      <c r="AW30" s="1061"/>
      <c r="AX30" s="1061"/>
      <c r="AY30" s="1061"/>
      <c r="AZ30" s="1061"/>
      <c r="BA30" s="1061"/>
      <c r="BB30" s="1061"/>
      <c r="BC30" s="1061"/>
      <c r="BD30" s="1061"/>
      <c r="BE30" s="1061"/>
      <c r="BF30" s="1061"/>
      <c r="BG30" s="925"/>
      <c r="BH30" s="925"/>
      <c r="BI30" s="925"/>
      <c r="BJ30" s="925"/>
    </row>
    <row r="31" spans="1:62" ht="16.5" thickBot="1">
      <c r="A31" s="925">
        <f>IF(COUNTIF(obal!$E$221:$E$222,"&lt;&gt;0")&gt;0,0,5)</f>
        <v>5</v>
      </c>
      <c r="B31" s="939"/>
      <c r="C31" s="935"/>
      <c r="D31" s="2612">
        <f>IF(INDEX(obalDisrupt2,xxIndexTeam)&lt;&gt;0,INDEX(obalDisrupt2,xxIndexTeam),IF(INDEX(obalDisrupt1,xxIndexTeam)&lt;&gt;0,VLOOKUP(1,$AB$14:$AC$21,2,FALSE),0))</f>
        <v>0</v>
      </c>
      <c r="E31" s="2613"/>
      <c r="F31" s="2613"/>
      <c r="G31" s="2614"/>
      <c r="H31" s="935"/>
      <c r="I31" s="489" t="s">
        <v>1706</v>
      </c>
      <c r="J31" s="944"/>
      <c r="K31" s="415">
        <v>1</v>
      </c>
      <c r="L31" s="944"/>
      <c r="M31" s="415">
        <v>1</v>
      </c>
      <c r="N31" s="944"/>
      <c r="O31" s="415">
        <v>1</v>
      </c>
      <c r="P31" s="944"/>
      <c r="Q31" s="1044">
        <v>1000</v>
      </c>
      <c r="R31" s="942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1"/>
      <c r="AV31" s="1061"/>
      <c r="AW31" s="1061"/>
      <c r="AX31" s="1061"/>
      <c r="AY31" s="1061"/>
      <c r="AZ31" s="1061"/>
      <c r="BA31" s="1061"/>
      <c r="BB31" s="1061"/>
      <c r="BC31" s="1061"/>
      <c r="BD31" s="1061"/>
      <c r="BE31" s="1061"/>
      <c r="BF31" s="1061"/>
      <c r="BG31" s="925"/>
      <c r="BH31" s="925"/>
      <c r="BI31" s="925"/>
      <c r="BJ31" s="925"/>
    </row>
    <row r="32" spans="1:62" ht="6" customHeight="1">
      <c r="A32" s="925">
        <f>IF(COUNTIF(obal!$E$221:$E$222,"&lt;&gt;0")&gt;0,0,5)</f>
        <v>5</v>
      </c>
      <c r="B32" s="939"/>
      <c r="C32" s="935"/>
      <c r="D32" s="935"/>
      <c r="E32" s="935"/>
      <c r="F32" s="935"/>
      <c r="G32" s="935"/>
      <c r="H32" s="935"/>
      <c r="I32" s="935"/>
      <c r="J32" s="944"/>
      <c r="K32" s="944"/>
      <c r="L32" s="944"/>
      <c r="M32" s="944"/>
      <c r="N32" s="944"/>
      <c r="O32" s="935"/>
      <c r="P32" s="944"/>
      <c r="Q32" s="944"/>
      <c r="R32" s="942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1"/>
      <c r="AV32" s="1061"/>
      <c r="AW32" s="1061"/>
      <c r="AX32" s="1061"/>
      <c r="AY32" s="1061"/>
      <c r="AZ32" s="1061"/>
      <c r="BA32" s="1061"/>
      <c r="BB32" s="1061"/>
      <c r="BC32" s="1061"/>
      <c r="BD32" s="1061"/>
      <c r="BE32" s="1061"/>
      <c r="BF32" s="1061"/>
      <c r="BG32" s="925"/>
      <c r="BH32" s="925"/>
      <c r="BI32" s="925"/>
      <c r="BJ32" s="925"/>
    </row>
    <row r="33" spans="2:62" ht="16.5" thickBot="1">
      <c r="B33" s="939"/>
      <c r="C33" s="935"/>
      <c r="D33" s="923"/>
      <c r="E33" s="935"/>
      <c r="F33" s="935"/>
      <c r="G33" s="935"/>
      <c r="H33" s="935"/>
      <c r="I33" s="935"/>
      <c r="J33" s="944"/>
      <c r="K33" s="944"/>
      <c r="L33" s="944"/>
      <c r="M33" s="944"/>
      <c r="N33" s="944"/>
      <c r="O33" s="935"/>
      <c r="P33" s="944"/>
      <c r="Q33" s="944"/>
      <c r="R33" s="942"/>
      <c r="BG33" s="925"/>
      <c r="BH33" s="925"/>
      <c r="BI33" s="925"/>
      <c r="BJ33" s="925"/>
    </row>
    <row r="34" spans="2:62" ht="16.5" thickBot="1">
      <c r="B34" s="1341"/>
      <c r="C34" s="1342"/>
      <c r="D34" s="1342"/>
      <c r="E34" s="1342"/>
      <c r="F34" s="1342"/>
      <c r="G34" s="949"/>
      <c r="H34" s="1342"/>
      <c r="I34" s="1342"/>
      <c r="J34" s="1342"/>
      <c r="K34" s="1342"/>
      <c r="L34" s="1342"/>
      <c r="M34" s="1342"/>
      <c r="N34" s="1342"/>
      <c r="O34" s="1342"/>
      <c r="P34" s="1342"/>
      <c r="Q34" s="1342"/>
      <c r="R34" s="1343"/>
      <c r="BG34" s="925"/>
      <c r="BH34" s="925"/>
      <c r="BI34" s="925"/>
      <c r="BJ34" s="925"/>
    </row>
    <row r="35" spans="2:62" ht="16.5" thickBot="1">
      <c r="B35" s="1340"/>
      <c r="C35" s="1340"/>
      <c r="D35" s="1340"/>
      <c r="E35" s="1340"/>
      <c r="F35" s="1340"/>
      <c r="G35" s="1340"/>
      <c r="H35" s="1340"/>
      <c r="I35" s="1088"/>
      <c r="J35" s="1340"/>
      <c r="K35" s="1340"/>
      <c r="L35" s="1340"/>
      <c r="M35" s="1340"/>
      <c r="N35" s="1340"/>
      <c r="O35" s="1340"/>
      <c r="P35" s="1340"/>
      <c r="Q35" s="1340"/>
      <c r="R35" s="1340"/>
      <c r="BG35" s="925"/>
      <c r="BH35" s="925"/>
      <c r="BI35" s="925"/>
      <c r="BJ35" s="925"/>
    </row>
    <row r="36" spans="2:62" ht="15.75" thickBot="1">
      <c r="B36" s="1773" t="s">
        <v>2966</v>
      </c>
      <c r="C36" s="1774"/>
      <c r="D36" s="1774"/>
      <c r="E36" s="1774"/>
      <c r="F36" s="1774"/>
      <c r="G36" s="1774"/>
      <c r="H36" s="1774"/>
      <c r="I36" s="1774"/>
      <c r="J36" s="1774"/>
      <c r="K36" s="1774"/>
      <c r="L36" s="1774"/>
      <c r="M36" s="1774"/>
      <c r="N36" s="1774"/>
      <c r="O36" s="1774"/>
      <c r="P36" s="1774"/>
      <c r="Q36" s="1774"/>
      <c r="R36" s="1775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S36" s="1758"/>
      <c r="T36" s="1758"/>
      <c r="U36" s="2013"/>
      <c r="V36" s="2013"/>
      <c r="W36" s="2013"/>
      <c r="X36" s="2013"/>
      <c r="Y36" s="2013"/>
      <c r="Z36" s="2013"/>
      <c r="BG36" s="925"/>
      <c r="BH36" s="925"/>
      <c r="BI36" s="925"/>
      <c r="BJ36" s="925"/>
    </row>
    <row r="37" spans="2:62" ht="8.25" customHeight="1">
      <c r="B37" s="2028"/>
      <c r="C37" s="2029"/>
      <c r="D37" s="2029"/>
      <c r="E37" s="2029"/>
      <c r="F37" s="2029"/>
      <c r="G37" s="2029"/>
      <c r="H37" s="2029"/>
      <c r="I37" s="2029"/>
      <c r="J37" s="2029"/>
      <c r="K37" s="2029"/>
      <c r="L37" s="2029"/>
      <c r="M37" s="2029"/>
      <c r="N37" s="2029"/>
      <c r="O37" s="2029"/>
      <c r="P37" s="2029"/>
      <c r="Q37" s="2029"/>
      <c r="R37" s="2030"/>
      <c r="S37" s="1758"/>
      <c r="T37" s="1758"/>
      <c r="U37" s="2013"/>
      <c r="V37" s="2013"/>
      <c r="W37" s="2013"/>
      <c r="X37" s="2013"/>
      <c r="Y37" s="2013"/>
      <c r="Z37" s="2013"/>
      <c r="BG37" s="925"/>
      <c r="BH37" s="925"/>
      <c r="BI37" s="925"/>
      <c r="BJ37" s="925"/>
    </row>
    <row r="38" spans="2:62" ht="19.5" customHeight="1">
      <c r="B38" s="2031"/>
      <c r="C38" s="1758"/>
      <c r="D38" s="1758"/>
      <c r="E38" s="1758"/>
      <c r="F38" s="1758"/>
      <c r="G38" s="2032" t="s">
        <v>641</v>
      </c>
      <c r="H38" s="2016"/>
      <c r="I38" s="2033"/>
      <c r="J38" s="2033"/>
      <c r="K38" s="2034"/>
      <c r="L38" s="2033"/>
      <c r="M38" s="2033"/>
      <c r="N38" s="2033"/>
      <c r="O38" s="2033"/>
      <c r="P38" s="2035"/>
      <c r="Q38" s="2035"/>
      <c r="R38" s="1742"/>
      <c r="S38" s="1758"/>
      <c r="T38" s="1758"/>
      <c r="U38" s="2013"/>
      <c r="V38" s="2013"/>
      <c r="W38" s="2013"/>
      <c r="X38" s="2013"/>
      <c r="Y38" s="2013"/>
      <c r="Z38" s="2013"/>
      <c r="BG38" s="925"/>
      <c r="BH38" s="925"/>
      <c r="BI38" s="925"/>
      <c r="BJ38" s="925"/>
    </row>
    <row r="39" spans="2:62">
      <c r="B39" s="2031"/>
      <c r="C39" s="1758"/>
      <c r="D39" s="1758"/>
      <c r="E39" s="1758"/>
      <c r="F39" s="1758"/>
      <c r="G39" s="2035"/>
      <c r="H39" s="2035"/>
      <c r="I39" s="2035"/>
      <c r="J39" s="2035"/>
      <c r="K39" s="2035"/>
      <c r="L39" s="2035"/>
      <c r="M39" s="2035"/>
      <c r="N39" s="2035"/>
      <c r="O39" s="2035"/>
      <c r="P39" s="2035"/>
      <c r="Q39" s="2035"/>
      <c r="R39" s="1742"/>
      <c r="S39" s="1758"/>
      <c r="T39" s="1758"/>
      <c r="U39" s="2013"/>
      <c r="V39" s="2013"/>
      <c r="W39" s="2013"/>
      <c r="X39" s="2013"/>
      <c r="Y39" s="2013"/>
      <c r="Z39" s="2013"/>
      <c r="BG39" s="925"/>
      <c r="BH39" s="925"/>
      <c r="BI39" s="925"/>
      <c r="BJ39" s="925"/>
    </row>
    <row r="40" spans="2:62">
      <c r="B40" s="2031"/>
      <c r="C40" s="1758"/>
      <c r="D40" s="1758"/>
      <c r="E40" s="1758"/>
      <c r="F40" s="1758"/>
      <c r="G40" s="2035"/>
      <c r="H40" s="2035"/>
      <c r="I40" s="2035"/>
      <c r="J40" s="2035"/>
      <c r="K40" s="2035"/>
      <c r="L40" s="2035"/>
      <c r="M40" s="2035"/>
      <c r="N40" s="2035"/>
      <c r="O40" s="2035"/>
      <c r="P40" s="2035"/>
      <c r="Q40" s="2035"/>
      <c r="R40" s="1742"/>
      <c r="S40" s="1758"/>
      <c r="T40" s="1758"/>
      <c r="U40" s="2013"/>
      <c r="V40" s="2013"/>
      <c r="W40" s="2013"/>
      <c r="X40" s="2013"/>
      <c r="Y40" s="2013"/>
      <c r="Z40" s="2013"/>
      <c r="BG40" s="925"/>
      <c r="BH40" s="925"/>
      <c r="BI40" s="925"/>
      <c r="BJ40" s="925"/>
    </row>
    <row r="41" spans="2:62">
      <c r="B41" s="2031"/>
      <c r="C41" s="1758"/>
      <c r="D41" s="1758"/>
      <c r="E41" s="1758"/>
      <c r="F41" s="1758"/>
      <c r="G41" s="2035"/>
      <c r="H41" s="2035"/>
      <c r="I41" s="2035"/>
      <c r="J41" s="2035"/>
      <c r="K41" s="2035"/>
      <c r="L41" s="2035"/>
      <c r="M41" s="2035"/>
      <c r="N41" s="2035"/>
      <c r="O41" s="2035"/>
      <c r="P41" s="2035"/>
      <c r="Q41" s="2035"/>
      <c r="R41" s="1742"/>
      <c r="S41" s="1758"/>
      <c r="T41" s="1758"/>
      <c r="U41" s="2013"/>
      <c r="V41" s="2013"/>
      <c r="W41" s="2013"/>
      <c r="X41" s="2013"/>
      <c r="Y41" s="2013"/>
      <c r="Z41" s="2013"/>
      <c r="BG41" s="925"/>
      <c r="BH41" s="925"/>
      <c r="BI41" s="925"/>
      <c r="BJ41" s="925"/>
    </row>
    <row r="42" spans="2:62">
      <c r="B42" s="2031"/>
      <c r="C42" s="1758"/>
      <c r="D42" s="1758"/>
      <c r="E42" s="1758"/>
      <c r="F42" s="1758"/>
      <c r="G42" s="2035"/>
      <c r="H42" s="2035"/>
      <c r="I42" s="2035"/>
      <c r="J42" s="2035"/>
      <c r="K42" s="2035"/>
      <c r="L42" s="2035"/>
      <c r="M42" s="2035"/>
      <c r="N42" s="2035"/>
      <c r="O42" s="2035"/>
      <c r="P42" s="2035"/>
      <c r="Q42" s="2035"/>
      <c r="R42" s="1742"/>
      <c r="S42" s="1758"/>
      <c r="T42" s="1758"/>
      <c r="U42" s="2013"/>
      <c r="V42" s="2013"/>
      <c r="W42" s="2013"/>
      <c r="X42" s="2013"/>
      <c r="Y42" s="2013"/>
      <c r="Z42" s="2013"/>
      <c r="BG42" s="925"/>
      <c r="BH42" s="925"/>
      <c r="BI42" s="925"/>
      <c r="BJ42" s="925"/>
    </row>
    <row r="43" spans="2:62">
      <c r="B43" s="2031"/>
      <c r="C43" s="1758"/>
      <c r="D43" s="1758"/>
      <c r="E43" s="1758"/>
      <c r="F43" s="1758"/>
      <c r="G43" s="2035"/>
      <c r="H43" s="2035"/>
      <c r="I43" s="2035"/>
      <c r="J43" s="2035"/>
      <c r="K43" s="2035"/>
      <c r="L43" s="2035"/>
      <c r="M43" s="2035"/>
      <c r="N43" s="2035"/>
      <c r="O43" s="2035"/>
      <c r="P43" s="2035"/>
      <c r="Q43" s="2035"/>
      <c r="R43" s="1742"/>
      <c r="S43" s="1758"/>
      <c r="T43" s="1758"/>
      <c r="U43" s="2013"/>
      <c r="V43" s="2013"/>
      <c r="W43" s="2013"/>
      <c r="X43" s="2013"/>
      <c r="Y43" s="2013"/>
      <c r="Z43" s="2013"/>
      <c r="BG43" s="925"/>
      <c r="BH43" s="925"/>
      <c r="BI43" s="925"/>
      <c r="BJ43" s="925"/>
    </row>
    <row r="44" spans="2:62">
      <c r="B44" s="2031"/>
      <c r="C44" s="1758"/>
      <c r="D44" s="1758"/>
      <c r="E44" s="1758"/>
      <c r="F44" s="1758"/>
      <c r="G44" s="2035"/>
      <c r="H44" s="2035"/>
      <c r="I44" s="2035"/>
      <c r="J44" s="2035"/>
      <c r="K44" s="2035"/>
      <c r="L44" s="2035"/>
      <c r="M44" s="2035"/>
      <c r="N44" s="2035"/>
      <c r="O44" s="2035"/>
      <c r="P44" s="2035"/>
      <c r="Q44" s="2035"/>
      <c r="R44" s="1742"/>
      <c r="S44" s="1758"/>
      <c r="T44" s="1758"/>
      <c r="U44" s="2013"/>
      <c r="V44" s="2013"/>
      <c r="W44" s="2013"/>
      <c r="X44" s="2013"/>
      <c r="Y44" s="2013"/>
      <c r="Z44" s="2013"/>
      <c r="BG44" s="925"/>
      <c r="BH44" s="925"/>
      <c r="BI44" s="925"/>
      <c r="BJ44" s="925"/>
    </row>
    <row r="45" spans="2:62">
      <c r="B45" s="2031"/>
      <c r="C45" s="1758"/>
      <c r="D45" s="1758"/>
      <c r="E45" s="1758"/>
      <c r="F45" s="1758"/>
      <c r="G45" s="2035"/>
      <c r="H45" s="2035"/>
      <c r="I45" s="2035"/>
      <c r="J45" s="2035"/>
      <c r="K45" s="2035"/>
      <c r="L45" s="2035"/>
      <c r="M45" s="2035"/>
      <c r="N45" s="2035"/>
      <c r="O45" s="2035"/>
      <c r="P45" s="2035"/>
      <c r="Q45" s="2035"/>
      <c r="R45" s="1742"/>
      <c r="S45" s="1758"/>
      <c r="T45" s="1758"/>
      <c r="U45" s="2013"/>
      <c r="V45" s="2013"/>
      <c r="W45" s="2013"/>
      <c r="X45" s="2013"/>
      <c r="Y45" s="2013"/>
      <c r="Z45" s="2013"/>
      <c r="BG45" s="925"/>
      <c r="BH45" s="925"/>
      <c r="BI45" s="925"/>
      <c r="BJ45" s="925"/>
    </row>
    <row r="46" spans="2:62">
      <c r="B46" s="2031"/>
      <c r="C46" s="1758"/>
      <c r="D46" s="1758"/>
      <c r="E46" s="1758"/>
      <c r="F46" s="1758"/>
      <c r="G46" s="2035"/>
      <c r="H46" s="2035"/>
      <c r="I46" s="2035"/>
      <c r="J46" s="2035"/>
      <c r="K46" s="2035"/>
      <c r="L46" s="2035"/>
      <c r="M46" s="2035"/>
      <c r="N46" s="2035"/>
      <c r="O46" s="2035"/>
      <c r="P46" s="2035"/>
      <c r="Q46" s="2035"/>
      <c r="R46" s="1742"/>
      <c r="S46" s="1758"/>
      <c r="T46" s="1758"/>
      <c r="U46" s="2013"/>
      <c r="V46" s="2013"/>
      <c r="W46" s="2013"/>
      <c r="X46" s="2013"/>
      <c r="Y46" s="2013"/>
      <c r="Z46" s="2013"/>
      <c r="BG46" s="925"/>
      <c r="BH46" s="925"/>
      <c r="BI46" s="925"/>
      <c r="BJ46" s="925"/>
    </row>
    <row r="47" spans="2:62">
      <c r="B47" s="2031"/>
      <c r="C47" s="1758"/>
      <c r="D47" s="1758"/>
      <c r="E47" s="1758"/>
      <c r="F47" s="1758"/>
      <c r="G47" s="2035"/>
      <c r="H47" s="2035"/>
      <c r="I47" s="2035"/>
      <c r="J47" s="2036"/>
      <c r="K47" s="2036"/>
      <c r="L47" s="2036"/>
      <c r="M47" s="2036"/>
      <c r="N47" s="2035"/>
      <c r="O47" s="2035"/>
      <c r="P47" s="2035"/>
      <c r="Q47" s="2035"/>
      <c r="R47" s="1742"/>
      <c r="S47" s="1758"/>
      <c r="T47" s="1758"/>
      <c r="U47" s="2013"/>
      <c r="V47" s="2013"/>
      <c r="W47" s="2013"/>
      <c r="X47" s="2013"/>
      <c r="Y47" s="2013"/>
      <c r="Z47" s="2013"/>
      <c r="BG47" s="925"/>
      <c r="BH47" s="925"/>
      <c r="BI47" s="925"/>
      <c r="BJ47" s="925"/>
    </row>
    <row r="48" spans="2:62" ht="15.75" thickBot="1">
      <c r="B48" s="2037"/>
      <c r="C48" s="2038"/>
      <c r="D48" s="2038"/>
      <c r="E48" s="2038"/>
      <c r="F48" s="2038"/>
      <c r="G48" s="2038"/>
      <c r="H48" s="2038"/>
      <c r="I48" s="2038"/>
      <c r="J48" s="2038"/>
      <c r="K48" s="2038"/>
      <c r="L48" s="2038"/>
      <c r="M48" s="2038"/>
      <c r="N48" s="2038"/>
      <c r="O48" s="2038"/>
      <c r="P48" s="2038"/>
      <c r="Q48" s="2038"/>
      <c r="R48" s="2039"/>
      <c r="S48" s="1758"/>
      <c r="T48" s="1758"/>
      <c r="U48" s="2013"/>
      <c r="V48" s="2013"/>
      <c r="W48" s="2013"/>
      <c r="X48" s="2013"/>
      <c r="Y48" s="2013"/>
      <c r="Z48" s="2013"/>
      <c r="BG48" s="925"/>
      <c r="BH48" s="925"/>
      <c r="BI48" s="925"/>
      <c r="BJ48" s="925"/>
    </row>
    <row r="49" spans="1:62" ht="16.5" thickBot="1">
      <c r="A49" s="925">
        <f t="shared" ref="A49:A88" si="1">IF(COUNTIF(dataUnlockedList,"unlocked")&gt;0,0,5)</f>
        <v>5</v>
      </c>
      <c r="B49" s="2040" t="str">
        <f>DataNameProd2</f>
        <v>Breakthrough</v>
      </c>
      <c r="C49" s="2041"/>
      <c r="D49" s="2041"/>
      <c r="E49" s="2041"/>
      <c r="F49" s="2041"/>
      <c r="G49" s="2041"/>
      <c r="H49" s="2041"/>
      <c r="I49" s="2041"/>
      <c r="J49" s="1779"/>
      <c r="K49" s="1779"/>
      <c r="L49" s="1779"/>
      <c r="M49" s="1779"/>
      <c r="N49" s="1779"/>
      <c r="O49" s="1778"/>
      <c r="P49" s="1779"/>
      <c r="Q49" s="1779"/>
      <c r="R49" s="1780"/>
      <c r="S49" s="1758"/>
      <c r="T49" s="1758"/>
      <c r="U49" s="2013"/>
      <c r="V49" s="2013"/>
      <c r="W49" s="2013"/>
      <c r="X49" s="2013"/>
      <c r="Y49" s="2013"/>
      <c r="Z49" s="2013"/>
      <c r="BG49" s="925"/>
      <c r="BH49" s="925"/>
      <c r="BI49" s="925"/>
      <c r="BJ49" s="925"/>
    </row>
    <row r="50" spans="1:62" ht="15.75">
      <c r="A50" s="925">
        <f t="shared" si="1"/>
        <v>5</v>
      </c>
      <c r="B50" s="1885"/>
      <c r="C50" s="2042"/>
      <c r="D50" s="1820"/>
      <c r="E50" s="1820"/>
      <c r="F50" s="1820"/>
      <c r="G50" s="2043"/>
      <c r="H50" s="1820"/>
      <c r="I50" s="1820"/>
      <c r="J50" s="1782"/>
      <c r="K50" s="1782"/>
      <c r="L50" s="1782"/>
      <c r="M50" s="1782"/>
      <c r="N50" s="1782"/>
      <c r="O50" s="1782"/>
      <c r="P50" s="1782"/>
      <c r="Q50" s="1782"/>
      <c r="R50" s="1783"/>
      <c r="S50" s="1758"/>
      <c r="T50" s="1758"/>
      <c r="U50" s="2013"/>
      <c r="V50" s="2013"/>
      <c r="W50" s="2013"/>
      <c r="X50" s="2013"/>
      <c r="Y50" s="2013"/>
      <c r="Z50" s="2013"/>
    </row>
    <row r="51" spans="1:62" ht="15.75">
      <c r="A51" s="925">
        <f t="shared" si="1"/>
        <v>5</v>
      </c>
      <c r="B51" s="1885"/>
      <c r="C51" s="2042"/>
      <c r="D51" s="1820"/>
      <c r="E51" s="1820"/>
      <c r="F51" s="1820"/>
      <c r="G51" s="2043"/>
      <c r="H51" s="1736"/>
      <c r="I51" s="1736"/>
      <c r="J51" s="2615" t="str">
        <f>DataNameProd2&amp;" 1"</f>
        <v>Breakthrough 1</v>
      </c>
      <c r="K51" s="2615"/>
      <c r="L51" s="2615"/>
      <c r="M51" s="1901"/>
      <c r="N51" s="2615">
        <f>IF(tlInputDisrupt2=0,0,DataNameProd2&amp;" 2")</f>
        <v>0</v>
      </c>
      <c r="O51" s="2615"/>
      <c r="P51" s="2615"/>
      <c r="Q51" s="1736"/>
      <c r="R51" s="1746"/>
      <c r="S51" s="1758"/>
      <c r="T51" s="1758"/>
      <c r="U51" s="2013"/>
      <c r="V51" s="2013"/>
      <c r="W51" s="2013"/>
      <c r="X51" s="2013"/>
      <c r="Y51" s="2013"/>
      <c r="Z51" s="2013"/>
    </row>
    <row r="52" spans="1:62" ht="15.75">
      <c r="A52" s="925">
        <f t="shared" si="1"/>
        <v>5</v>
      </c>
      <c r="B52" s="1885"/>
      <c r="C52" s="1820" t="s">
        <v>1650</v>
      </c>
      <c r="D52" s="1820"/>
      <c r="E52" s="1820"/>
      <c r="F52" s="1820"/>
      <c r="G52" s="1950"/>
      <c r="H52" s="1736"/>
      <c r="I52" s="1736"/>
      <c r="J52" s="1848"/>
      <c r="K52" s="1848"/>
      <c r="L52" s="1744"/>
      <c r="M52" s="1736"/>
      <c r="N52" s="1848"/>
      <c r="O52" s="1848"/>
      <c r="P52" s="1744"/>
      <c r="Q52" s="1736"/>
      <c r="R52" s="1746"/>
      <c r="S52" s="1758"/>
      <c r="T52" s="1758"/>
      <c r="U52" s="2013"/>
      <c r="V52" s="2013"/>
      <c r="W52" s="2013"/>
      <c r="X52" s="2013"/>
      <c r="Y52" s="2013"/>
      <c r="Z52" s="2013"/>
    </row>
    <row r="53" spans="1:62" ht="8.25" customHeight="1">
      <c r="A53" s="925">
        <f t="shared" si="1"/>
        <v>5</v>
      </c>
      <c r="B53" s="1885"/>
      <c r="C53" s="1935"/>
      <c r="D53" s="1886"/>
      <c r="E53" s="1886"/>
      <c r="F53" s="1886"/>
      <c r="G53" s="2044"/>
      <c r="H53" s="1736"/>
      <c r="I53" s="1736"/>
      <c r="J53" s="2045"/>
      <c r="K53" s="2046"/>
      <c r="L53" s="1791"/>
      <c r="M53" s="1736"/>
      <c r="N53" s="2045"/>
      <c r="O53" s="2046"/>
      <c r="P53" s="1791"/>
      <c r="Q53" s="1736"/>
      <c r="R53" s="1746"/>
      <c r="S53" s="1758"/>
      <c r="T53" s="1758"/>
      <c r="U53" s="2013"/>
      <c r="V53" s="2013"/>
      <c r="W53" s="2013"/>
      <c r="X53" s="2013"/>
      <c r="Y53" s="2013"/>
      <c r="Z53" s="2013"/>
    </row>
    <row r="54" spans="1:62" ht="12" customHeight="1">
      <c r="A54" s="925">
        <f t="shared" si="1"/>
        <v>5</v>
      </c>
      <c r="B54" s="1885"/>
      <c r="C54" s="1935"/>
      <c r="D54" s="1886" t="s">
        <v>3662</v>
      </c>
      <c r="E54" s="1886"/>
      <c r="F54" s="1886"/>
      <c r="G54" s="2044"/>
      <c r="H54" s="1736"/>
      <c r="I54" s="1736"/>
      <c r="J54" s="2047">
        <f>INDEX(capProd2Reg1Price, xxIndexTeam)</f>
        <v>1</v>
      </c>
      <c r="K54" s="2046"/>
      <c r="L54" s="1791"/>
      <c r="M54" s="1736"/>
      <c r="N54" s="2047">
        <f>INDEX(capProd2Reg2Price, xxIndexTeam)</f>
        <v>1</v>
      </c>
      <c r="O54" s="2046"/>
      <c r="P54" s="1791"/>
      <c r="Q54" s="1736"/>
      <c r="R54" s="1746"/>
      <c r="S54" s="1758"/>
      <c r="T54" s="1758"/>
      <c r="U54" s="2013"/>
      <c r="V54" s="2013"/>
      <c r="W54" s="2013"/>
      <c r="X54" s="2013"/>
      <c r="Y54" s="2013">
        <f t="shared" ref="Y54:Y59" si="2">IF(tlInputDisrupt2=0,0,1)</f>
        <v>0</v>
      </c>
      <c r="Z54" s="2013"/>
    </row>
    <row r="55" spans="1:62" ht="12" customHeight="1">
      <c r="A55" s="925">
        <f t="shared" si="1"/>
        <v>5</v>
      </c>
      <c r="B55" s="1885"/>
      <c r="C55" s="1935"/>
      <c r="D55" s="1886" t="s">
        <v>3663</v>
      </c>
      <c r="E55" s="1886"/>
      <c r="F55" s="1886"/>
      <c r="G55" s="2044"/>
      <c r="H55" s="1736"/>
      <c r="I55" s="1736"/>
      <c r="J55" s="1736"/>
      <c r="K55" s="2046"/>
      <c r="L55" s="1791"/>
      <c r="M55" s="1736"/>
      <c r="N55" s="1736"/>
      <c r="O55" s="2046"/>
      <c r="P55" s="1791"/>
      <c r="Q55" s="1736"/>
      <c r="R55" s="1746"/>
      <c r="S55" s="1758"/>
      <c r="T55" s="1758"/>
      <c r="U55" s="2013"/>
      <c r="V55" s="2013"/>
      <c r="W55" s="2013"/>
      <c r="X55" s="2013"/>
      <c r="Y55" s="2013">
        <f t="shared" si="2"/>
        <v>0</v>
      </c>
      <c r="Z55" s="2013"/>
    </row>
    <row r="56" spans="1:62" ht="12" customHeight="1">
      <c r="A56" s="925">
        <f t="shared" si="1"/>
        <v>5</v>
      </c>
      <c r="B56" s="1885"/>
      <c r="C56" s="1935"/>
      <c r="D56" s="2048" t="s">
        <v>1598</v>
      </c>
      <c r="E56" s="1886"/>
      <c r="F56" s="1886"/>
      <c r="G56" s="2044"/>
      <c r="H56" s="1736"/>
      <c r="I56" s="1736"/>
      <c r="J56" s="2045">
        <f>HLOOKUP(INDEX(cbalDisrupt1,xxIndexTeam),dataDisruptWeight,2,0)*INDEX(capReg1Prod2UnitsSold, xxIndexTeam)</f>
        <v>0</v>
      </c>
      <c r="K56" s="2046"/>
      <c r="L56" s="1791"/>
      <c r="M56" s="1736"/>
      <c r="N56" s="2045">
        <f>HLOOKUP(INDEX(cbalDisrupt2,xxIndexTeam),dataDisruptWeight,2,0)*INDEX(capReg2Prod2UnitsSold, xxIndexTeam)</f>
        <v>0</v>
      </c>
      <c r="O56" s="2046"/>
      <c r="P56" s="1791"/>
      <c r="Q56" s="1736"/>
      <c r="R56" s="1746"/>
      <c r="S56" s="1758"/>
      <c r="T56" s="1758"/>
      <c r="U56" s="2013"/>
      <c r="V56" s="2013"/>
      <c r="W56" s="2013"/>
      <c r="X56" s="2013"/>
      <c r="Y56" s="2013">
        <f t="shared" si="2"/>
        <v>0</v>
      </c>
      <c r="Z56" s="2013"/>
    </row>
    <row r="57" spans="1:62" ht="12" customHeight="1">
      <c r="A57" s="925">
        <f t="shared" si="1"/>
        <v>5</v>
      </c>
      <c r="B57" s="1885"/>
      <c r="C57" s="1935"/>
      <c r="D57" s="2048" t="s">
        <v>1599</v>
      </c>
      <c r="E57" s="1886"/>
      <c r="F57" s="1886"/>
      <c r="G57" s="2044"/>
      <c r="H57" s="1736"/>
      <c r="I57" s="1736"/>
      <c r="J57" s="2045">
        <f>HLOOKUP(INDEX(cbalDisrupt1,xxIndexTeam),dataDisruptWeight,3,0)*INDEX(capReg1Prod2UnitsSold, xxIndexTeam)</f>
        <v>0</v>
      </c>
      <c r="K57" s="2046"/>
      <c r="L57" s="1791"/>
      <c r="M57" s="1736"/>
      <c r="N57" s="2045">
        <f>HLOOKUP(INDEX(cbalDisrupt2,xxIndexTeam),dataDisruptWeight,3,0)*INDEX(capReg2Prod2UnitsSold, xxIndexTeam)</f>
        <v>0</v>
      </c>
      <c r="O57" s="2046"/>
      <c r="P57" s="1791"/>
      <c r="Q57" s="1736"/>
      <c r="R57" s="1746"/>
      <c r="S57" s="1758"/>
      <c r="T57" s="1758"/>
      <c r="U57" s="2013"/>
      <c r="V57" s="2013"/>
      <c r="W57" s="2013"/>
      <c r="X57" s="2013"/>
      <c r="Y57" s="2013">
        <f t="shared" si="2"/>
        <v>0</v>
      </c>
      <c r="Z57" s="2013"/>
    </row>
    <row r="58" spans="1:62" ht="8.25" customHeight="1">
      <c r="A58" s="925">
        <f t="shared" si="1"/>
        <v>5</v>
      </c>
      <c r="B58" s="1885"/>
      <c r="C58" s="2049"/>
      <c r="D58" s="1676"/>
      <c r="E58" s="1886"/>
      <c r="F58" s="1886"/>
      <c r="G58" s="2050"/>
      <c r="H58" s="1736"/>
      <c r="I58" s="1736"/>
      <c r="J58" s="2051"/>
      <c r="K58" s="2052"/>
      <c r="L58" s="1791"/>
      <c r="M58" s="1736"/>
      <c r="N58" s="2051"/>
      <c r="O58" s="2052"/>
      <c r="P58" s="1791"/>
      <c r="Q58" s="1736"/>
      <c r="R58" s="1746"/>
      <c r="S58" s="1758"/>
      <c r="T58" s="1758"/>
      <c r="U58" s="2013"/>
      <c r="V58" s="2013"/>
      <c r="W58" s="2013"/>
      <c r="X58" s="2013"/>
      <c r="Y58" s="2013">
        <f t="shared" si="2"/>
        <v>0</v>
      </c>
      <c r="Z58" s="2013"/>
    </row>
    <row r="59" spans="1:62" ht="12" customHeight="1">
      <c r="A59" s="925">
        <f t="shared" si="1"/>
        <v>5</v>
      </c>
      <c r="B59" s="2053"/>
      <c r="C59" s="2054"/>
      <c r="D59" s="1962" t="s">
        <v>2546</v>
      </c>
      <c r="E59" s="1886"/>
      <c r="F59" s="1886"/>
      <c r="G59" s="2055"/>
      <c r="H59" s="1736"/>
      <c r="I59" s="1736"/>
      <c r="J59" s="2056">
        <f>J56*J54+J54*J57</f>
        <v>0</v>
      </c>
      <c r="K59" s="2057"/>
      <c r="L59" s="1791"/>
      <c r="M59" s="1736"/>
      <c r="N59" s="2056">
        <f>N56*N54+N54*N57</f>
        <v>0</v>
      </c>
      <c r="O59" s="2057"/>
      <c r="P59" s="1791"/>
      <c r="Q59" s="1736"/>
      <c r="R59" s="1746"/>
      <c r="S59" s="1758"/>
      <c r="T59" s="1758"/>
      <c r="U59" s="2013"/>
      <c r="V59" s="2013"/>
      <c r="W59" s="2013"/>
      <c r="X59" s="2013"/>
      <c r="Y59" s="2013">
        <f t="shared" si="2"/>
        <v>0</v>
      </c>
      <c r="Z59" s="2013"/>
    </row>
    <row r="60" spans="1:62" ht="12" customHeight="1">
      <c r="A60" s="925">
        <f t="shared" si="1"/>
        <v>5</v>
      </c>
      <c r="B60" s="2053"/>
      <c r="C60" s="2054"/>
      <c r="D60" s="2048" t="s">
        <v>1930</v>
      </c>
      <c r="E60" s="1886"/>
      <c r="F60" s="1886"/>
      <c r="G60" s="2055"/>
      <c r="H60" s="1736"/>
      <c r="I60" s="1736"/>
      <c r="J60" s="2045">
        <f>INDEX(finPNLReg1Prod2PromoExpS1,xxIndexTeam)</f>
        <v>0</v>
      </c>
      <c r="K60" s="2057"/>
      <c r="L60" s="1791"/>
      <c r="M60" s="1736"/>
      <c r="N60" s="2058">
        <f>INDEX(finPNLReg2Prod2PromoExpS2,xxIndexTeam)</f>
        <v>0</v>
      </c>
      <c r="O60" s="2057"/>
      <c r="P60" s="1791"/>
      <c r="Q60" s="1736"/>
      <c r="R60" s="1746"/>
      <c r="S60" s="1758"/>
      <c r="T60" s="1758"/>
      <c r="U60" s="2013"/>
      <c r="V60" s="2013"/>
      <c r="W60" s="2013"/>
      <c r="X60" s="2013"/>
      <c r="Y60" s="2013"/>
      <c r="Z60" s="2013"/>
    </row>
    <row r="61" spans="1:62" ht="5.25" customHeight="1">
      <c r="A61" s="925">
        <f t="shared" si="1"/>
        <v>5</v>
      </c>
      <c r="B61" s="2053"/>
      <c r="C61" s="2054"/>
      <c r="D61" s="1962"/>
      <c r="E61" s="1886"/>
      <c r="F61" s="1886"/>
      <c r="G61" s="2055"/>
      <c r="H61" s="1736"/>
      <c r="I61" s="1736"/>
      <c r="J61" s="2056"/>
      <c r="K61" s="2057"/>
      <c r="L61" s="1791"/>
      <c r="M61" s="1736"/>
      <c r="N61" s="2056"/>
      <c r="O61" s="2057"/>
      <c r="P61" s="1791"/>
      <c r="Q61" s="1736"/>
      <c r="R61" s="1746"/>
      <c r="S61" s="1758"/>
      <c r="T61" s="1758"/>
      <c r="U61" s="2013"/>
      <c r="V61" s="2013"/>
      <c r="W61" s="2013"/>
      <c r="X61" s="2013"/>
      <c r="Y61" s="2013"/>
      <c r="Z61" s="2013"/>
    </row>
    <row r="62" spans="1:62" ht="12" customHeight="1">
      <c r="A62" s="925">
        <f t="shared" si="1"/>
        <v>5</v>
      </c>
      <c r="B62" s="2053"/>
      <c r="C62" s="2054"/>
      <c r="D62" s="1962" t="s">
        <v>2547</v>
      </c>
      <c r="E62" s="1886"/>
      <c r="F62" s="1886"/>
      <c r="G62" s="2055"/>
      <c r="H62" s="1736"/>
      <c r="I62" s="1736"/>
      <c r="J62" s="2056">
        <f>J59-J60</f>
        <v>0</v>
      </c>
      <c r="K62" s="2057"/>
      <c r="L62" s="1791"/>
      <c r="M62" s="1736"/>
      <c r="N62" s="2059">
        <f>N59-N60</f>
        <v>0</v>
      </c>
      <c r="O62" s="2057"/>
      <c r="P62" s="1791"/>
      <c r="Q62" s="1736"/>
      <c r="R62" s="1746"/>
      <c r="S62" s="1758"/>
      <c r="T62" s="1758"/>
      <c r="U62" s="2013"/>
      <c r="V62" s="2013"/>
      <c r="W62" s="2013"/>
      <c r="X62" s="2013"/>
      <c r="Y62" s="2013"/>
      <c r="Z62" s="2013"/>
    </row>
    <row r="63" spans="1:62" ht="5.25" customHeight="1">
      <c r="A63" s="925">
        <f t="shared" si="1"/>
        <v>5</v>
      </c>
      <c r="B63" s="2053"/>
      <c r="C63" s="2054"/>
      <c r="D63" s="1962"/>
      <c r="E63" s="1886"/>
      <c r="F63" s="1886"/>
      <c r="G63" s="2055"/>
      <c r="H63" s="1736"/>
      <c r="I63" s="1736"/>
      <c r="J63" s="2056"/>
      <c r="K63" s="2057"/>
      <c r="L63" s="1791"/>
      <c r="M63" s="1736"/>
      <c r="N63" s="2056"/>
      <c r="O63" s="2057"/>
      <c r="P63" s="1791"/>
      <c r="Q63" s="1736"/>
      <c r="R63" s="1746"/>
      <c r="S63" s="1758"/>
      <c r="T63" s="1758"/>
      <c r="U63" s="2013"/>
      <c r="V63" s="2013"/>
      <c r="W63" s="2013"/>
      <c r="X63" s="2013"/>
      <c r="Y63" s="2013"/>
      <c r="Z63" s="2013"/>
    </row>
    <row r="64" spans="1:62" ht="12" customHeight="1">
      <c r="A64" s="925">
        <f t="shared" si="1"/>
        <v>5</v>
      </c>
      <c r="B64" s="2053"/>
      <c r="C64" s="2042"/>
      <c r="D64" s="2048" t="s">
        <v>732</v>
      </c>
      <c r="E64" s="1886"/>
      <c r="F64" s="1886"/>
      <c r="G64" s="2060"/>
      <c r="H64" s="1760"/>
      <c r="I64" s="1760"/>
      <c r="J64" s="2058">
        <f>J62/INDEX(finPNLNetRev,xxIndexTeam)</f>
        <v>0</v>
      </c>
      <c r="K64" s="2061"/>
      <c r="L64" s="2062"/>
      <c r="M64" s="2063"/>
      <c r="N64" s="2058">
        <f>N62/INDEX(finPNLNetRev, xxIndexTeam)</f>
        <v>0</v>
      </c>
      <c r="O64" s="2061"/>
      <c r="P64" s="2064"/>
      <c r="Q64" s="1736"/>
      <c r="R64" s="1746"/>
      <c r="S64" s="1758"/>
      <c r="T64" s="1758"/>
      <c r="U64" s="2013"/>
      <c r="V64" s="2013"/>
      <c r="W64" s="2013"/>
      <c r="X64" s="2013"/>
      <c r="Y64" s="2013">
        <f t="shared" ref="Y64:Y73" si="3">IF(tlInputDisrupt2=0,0,1)</f>
        <v>0</v>
      </c>
      <c r="Z64" s="2013"/>
    </row>
    <row r="65" spans="1:26" ht="12" customHeight="1">
      <c r="A65" s="925">
        <f t="shared" si="1"/>
        <v>5</v>
      </c>
      <c r="B65" s="2053"/>
      <c r="C65" s="2042"/>
      <c r="D65" s="1820"/>
      <c r="E65" s="1820"/>
      <c r="F65" s="1820"/>
      <c r="G65" s="2065"/>
      <c r="H65" s="1736"/>
      <c r="I65" s="1736"/>
      <c r="J65" s="2065"/>
      <c r="K65" s="1820"/>
      <c r="L65" s="1791"/>
      <c r="M65" s="1736"/>
      <c r="N65" s="2065"/>
      <c r="O65" s="1820"/>
      <c r="P65" s="1791"/>
      <c r="Q65" s="1736"/>
      <c r="R65" s="1746"/>
      <c r="S65" s="1758"/>
      <c r="T65" s="1758"/>
      <c r="U65" s="2013"/>
      <c r="V65" s="2013"/>
      <c r="W65" s="2013"/>
      <c r="X65" s="2013"/>
      <c r="Y65" s="2013">
        <f t="shared" si="3"/>
        <v>0</v>
      </c>
      <c r="Z65" s="2013"/>
    </row>
    <row r="66" spans="1:26" ht="12.75" customHeight="1">
      <c r="A66" s="925">
        <f t="shared" si="1"/>
        <v>5</v>
      </c>
      <c r="B66" s="1885"/>
      <c r="C66" s="1820" t="s">
        <v>3050</v>
      </c>
      <c r="D66" s="1820"/>
      <c r="E66" s="1820"/>
      <c r="F66" s="1820"/>
      <c r="G66" s="1950"/>
      <c r="H66" s="1736"/>
      <c r="I66" s="1736"/>
      <c r="J66" s="2066"/>
      <c r="K66" s="2066"/>
      <c r="L66" s="1791"/>
      <c r="M66" s="1736"/>
      <c r="N66" s="2066"/>
      <c r="O66" s="2066"/>
      <c r="P66" s="1791"/>
      <c r="Q66" s="1736"/>
      <c r="R66" s="1746"/>
      <c r="S66" s="1758"/>
      <c r="T66" s="1758"/>
      <c r="U66" s="2013"/>
      <c r="V66" s="2013"/>
      <c r="W66" s="2013"/>
      <c r="X66" s="2013"/>
      <c r="Y66" s="2013">
        <f t="shared" si="3"/>
        <v>0</v>
      </c>
      <c r="Z66" s="2013"/>
    </row>
    <row r="67" spans="1:26" ht="7.5" customHeight="1">
      <c r="A67" s="925">
        <f t="shared" si="1"/>
        <v>5</v>
      </c>
      <c r="B67" s="1885"/>
      <c r="C67" s="1820"/>
      <c r="D67" s="1820"/>
      <c r="E67" s="1820"/>
      <c r="F67" s="1820"/>
      <c r="G67" s="2043"/>
      <c r="H67" s="1736"/>
      <c r="I67" s="1736"/>
      <c r="J67" s="2067"/>
      <c r="K67" s="2067"/>
      <c r="L67" s="1793"/>
      <c r="M67" s="1736"/>
      <c r="N67" s="2067"/>
      <c r="O67" s="2067"/>
      <c r="P67" s="1793"/>
      <c r="Q67" s="1736"/>
      <c r="R67" s="1794"/>
      <c r="S67" s="1758"/>
      <c r="T67" s="1758"/>
      <c r="U67" s="2013"/>
      <c r="V67" s="2013"/>
      <c r="W67" s="2013"/>
      <c r="X67" s="2013"/>
      <c r="Y67" s="2013">
        <f t="shared" si="3"/>
        <v>0</v>
      </c>
      <c r="Z67" s="2013"/>
    </row>
    <row r="68" spans="1:26" ht="12" customHeight="1">
      <c r="A68" s="925">
        <f t="shared" si="1"/>
        <v>5</v>
      </c>
      <c r="B68" s="1885"/>
      <c r="C68" s="1935"/>
      <c r="D68" s="1886" t="s">
        <v>1567</v>
      </c>
      <c r="E68" s="1886"/>
      <c r="F68" s="1886"/>
      <c r="G68" s="2055"/>
      <c r="H68" s="1736"/>
      <c r="I68" s="1736"/>
      <c r="J68" s="2068">
        <f>INDEX(capProd21COGSPUnitMat, xxIndexTeam)</f>
        <v>0</v>
      </c>
      <c r="K68" s="2068"/>
      <c r="L68" s="1744"/>
      <c r="M68" s="1736"/>
      <c r="N68" s="2068">
        <f>INDEX(capProd22COGSPUnitMat, xxIndexTeam)</f>
        <v>0</v>
      </c>
      <c r="O68" s="2068"/>
      <c r="P68" s="1744"/>
      <c r="Q68" s="1736"/>
      <c r="R68" s="1746"/>
      <c r="S68" s="1758"/>
      <c r="T68" s="1758"/>
      <c r="U68" s="2013"/>
      <c r="V68" s="2013"/>
      <c r="W68" s="2013"/>
      <c r="X68" s="2013"/>
      <c r="Y68" s="2013">
        <f t="shared" si="3"/>
        <v>0</v>
      </c>
      <c r="Z68" s="2013"/>
    </row>
    <row r="69" spans="1:26" ht="12" customHeight="1">
      <c r="A69" s="925">
        <f t="shared" si="1"/>
        <v>5</v>
      </c>
      <c r="B69" s="1885"/>
      <c r="C69" s="1935"/>
      <c r="D69" s="1886" t="s">
        <v>3263</v>
      </c>
      <c r="E69" s="1886"/>
      <c r="F69" s="1886"/>
      <c r="G69" s="1972"/>
      <c r="H69" s="1736"/>
      <c r="I69" s="1736"/>
      <c r="J69" s="2069">
        <f>INDEX(capProd21COGSPUnitPlant1, xxIndexTeam)+INDEX(capReg1Prod21CostPUnitEmp3, xxIndexTeam)+INDEX(capReg2Prod21CostPUnitEmp3, xxIndexTeam)</f>
        <v>0</v>
      </c>
      <c r="K69" s="2070"/>
      <c r="L69" s="1789"/>
      <c r="M69" s="1736"/>
      <c r="N69" s="2069">
        <f>INDEX(capProd22COGSPUnitPlant1, xxIndexTeam)+INDEX(capReg1Prod22CostPUnitEmp3, xxIndexTeam)+INDEX(capReg2Prod22CostPUnitEmp3, xxIndexTeam)</f>
        <v>0</v>
      </c>
      <c r="O69" s="2070"/>
      <c r="P69" s="1789"/>
      <c r="Q69" s="1736"/>
      <c r="R69" s="1746"/>
      <c r="S69" s="1758"/>
      <c r="T69" s="1758"/>
      <c r="U69" s="2013"/>
      <c r="V69" s="2013"/>
      <c r="W69" s="2013"/>
      <c r="X69" s="2013"/>
      <c r="Y69" s="2013">
        <f t="shared" si="3"/>
        <v>0</v>
      </c>
      <c r="Z69" s="2013"/>
    </row>
    <row r="70" spans="1:26" ht="7.5" customHeight="1">
      <c r="A70" s="925">
        <f t="shared" si="1"/>
        <v>5</v>
      </c>
      <c r="B70" s="1885"/>
      <c r="C70" s="1935"/>
      <c r="D70" s="1886"/>
      <c r="E70" s="1886"/>
      <c r="F70" s="1886"/>
      <c r="G70" s="1972"/>
      <c r="H70" s="1736"/>
      <c r="I70" s="1736"/>
      <c r="J70" s="2070"/>
      <c r="K70" s="2070"/>
      <c r="L70" s="1798"/>
      <c r="M70" s="1736"/>
      <c r="N70" s="2070"/>
      <c r="O70" s="2071"/>
      <c r="P70" s="1798"/>
      <c r="Q70" s="1736"/>
      <c r="R70" s="1746"/>
      <c r="S70" s="1758"/>
      <c r="T70" s="1758"/>
      <c r="U70" s="2013"/>
      <c r="V70" s="2013"/>
      <c r="W70" s="2013"/>
      <c r="X70" s="2013"/>
      <c r="Y70" s="2013">
        <f t="shared" si="3"/>
        <v>0</v>
      </c>
      <c r="Z70" s="2013"/>
    </row>
    <row r="71" spans="1:26" ht="11.25" customHeight="1">
      <c r="A71" s="925">
        <f t="shared" si="1"/>
        <v>5</v>
      </c>
      <c r="B71" s="1885"/>
      <c r="C71" s="1848"/>
      <c r="D71" s="1962" t="s">
        <v>3661</v>
      </c>
      <c r="E71" s="1886"/>
      <c r="F71" s="1886"/>
      <c r="G71" s="2055"/>
      <c r="H71" s="1736"/>
      <c r="I71" s="1736"/>
      <c r="J71" s="2072">
        <f>J69+J68</f>
        <v>0</v>
      </c>
      <c r="K71" s="2072"/>
      <c r="L71" s="1798"/>
      <c r="M71" s="1736"/>
      <c r="N71" s="2072">
        <f>N69+N68</f>
        <v>0</v>
      </c>
      <c r="O71" s="2072"/>
      <c r="P71" s="1798"/>
      <c r="Q71" s="1736"/>
      <c r="R71" s="1746"/>
      <c r="S71" s="1758"/>
      <c r="T71" s="1758"/>
      <c r="U71" s="2013"/>
      <c r="V71" s="2013"/>
      <c r="W71" s="2013"/>
      <c r="X71" s="2013"/>
      <c r="Y71" s="2013">
        <f t="shared" si="3"/>
        <v>0</v>
      </c>
      <c r="Z71" s="2013"/>
    </row>
    <row r="72" spans="1:26" ht="7.5" customHeight="1">
      <c r="A72" s="925">
        <f t="shared" si="1"/>
        <v>5</v>
      </c>
      <c r="B72" s="1885"/>
      <c r="C72" s="2049"/>
      <c r="D72" s="1852"/>
      <c r="E72" s="1852"/>
      <c r="F72" s="1852"/>
      <c r="G72" s="2073"/>
      <c r="H72" s="1736"/>
      <c r="I72" s="1736"/>
      <c r="J72" s="2015"/>
      <c r="K72" s="2015"/>
      <c r="L72" s="1800"/>
      <c r="M72" s="1736"/>
      <c r="N72" s="2015"/>
      <c r="O72" s="2015"/>
      <c r="P72" s="1800"/>
      <c r="Q72" s="1736"/>
      <c r="R72" s="1746"/>
      <c r="S72" s="1758"/>
      <c r="T72" s="1758"/>
      <c r="U72" s="2013"/>
      <c r="V72" s="2013"/>
      <c r="W72" s="2013"/>
      <c r="X72" s="2013"/>
      <c r="Y72" s="2013">
        <f t="shared" si="3"/>
        <v>0</v>
      </c>
      <c r="Z72" s="2013"/>
    </row>
    <row r="73" spans="1:26" ht="12" customHeight="1">
      <c r="A73" s="925">
        <f t="shared" si="1"/>
        <v>5</v>
      </c>
      <c r="B73" s="1885"/>
      <c r="C73" s="2042"/>
      <c r="D73" s="2048" t="s">
        <v>729</v>
      </c>
      <c r="E73" s="2048"/>
      <c r="F73" s="2048"/>
      <c r="G73" s="2074"/>
      <c r="H73" s="1760"/>
      <c r="I73" s="1760"/>
      <c r="J73" s="2058" t="e">
        <f>J71*(J56+J57)/J62</f>
        <v>#DIV/0!</v>
      </c>
      <c r="K73" s="2058"/>
      <c r="L73" s="2075"/>
      <c r="M73" s="2063"/>
      <c r="N73" s="2058" t="e">
        <f>N71*(N56+N57)/N62</f>
        <v>#DIV/0!</v>
      </c>
      <c r="O73" s="2058"/>
      <c r="P73" s="1798"/>
      <c r="Q73" s="1736"/>
      <c r="R73" s="1746"/>
      <c r="S73" s="1758"/>
      <c r="T73" s="1758"/>
      <c r="U73" s="2013"/>
      <c r="V73" s="2013"/>
      <c r="W73" s="2013"/>
      <c r="X73" s="2013"/>
      <c r="Y73" s="2013">
        <f t="shared" si="3"/>
        <v>0</v>
      </c>
      <c r="Z73" s="2013"/>
    </row>
    <row r="74" spans="1:26" ht="5.25" customHeight="1">
      <c r="A74" s="925">
        <f t="shared" si="1"/>
        <v>5</v>
      </c>
      <c r="B74" s="1885"/>
      <c r="C74" s="2042"/>
      <c r="D74" s="2048"/>
      <c r="E74" s="2048"/>
      <c r="F74" s="2048"/>
      <c r="G74" s="2074"/>
      <c r="H74" s="1736"/>
      <c r="I74" s="1736"/>
      <c r="J74" s="2058"/>
      <c r="K74" s="2058"/>
      <c r="L74" s="2076"/>
      <c r="M74" s="2077"/>
      <c r="N74" s="2058"/>
      <c r="O74" s="2058"/>
      <c r="P74" s="1798"/>
      <c r="Q74" s="1736"/>
      <c r="R74" s="1746"/>
      <c r="S74" s="1758"/>
      <c r="T74" s="1758"/>
      <c r="U74" s="2013"/>
      <c r="V74" s="2013"/>
      <c r="W74" s="2013"/>
      <c r="X74" s="2013"/>
      <c r="Y74" s="2013"/>
      <c r="Z74" s="2013"/>
    </row>
    <row r="75" spans="1:26" ht="12" customHeight="1">
      <c r="A75" s="925">
        <f t="shared" si="1"/>
        <v>5</v>
      </c>
      <c r="B75" s="1885"/>
      <c r="C75" s="1962"/>
      <c r="D75" s="2048" t="s">
        <v>733</v>
      </c>
      <c r="E75" s="1966"/>
      <c r="F75" s="1966"/>
      <c r="G75" s="2078"/>
      <c r="H75" s="1736"/>
      <c r="I75" s="1736"/>
      <c r="J75" s="2079" t="e">
        <f>INDEX(finPNLReg1Prod2GrossMarginS1,xxIndexTeam)/J62</f>
        <v>#DIV/0!</v>
      </c>
      <c r="K75" s="2058"/>
      <c r="L75" s="2076"/>
      <c r="M75" s="2077"/>
      <c r="N75" s="2058">
        <f>IF(N61=0,0,INDEX(finPNLReg2Prod2GrossMarginS2,xxIndexTeam)/N62)</f>
        <v>0</v>
      </c>
      <c r="O75" s="2058"/>
      <c r="P75" s="1793"/>
      <c r="Q75" s="1736"/>
      <c r="R75" s="1794"/>
      <c r="S75" s="1758"/>
      <c r="T75" s="1758"/>
      <c r="U75" s="2013"/>
      <c r="V75" s="2013"/>
      <c r="W75" s="2013"/>
      <c r="X75" s="2013"/>
      <c r="Y75" s="2013">
        <f t="shared" ref="Y75:Y87" si="4">IF(tlInputDisrupt2=0,0,1)</f>
        <v>0</v>
      </c>
      <c r="Z75" s="2013"/>
    </row>
    <row r="76" spans="1:26" ht="12" customHeight="1">
      <c r="A76" s="925">
        <f t="shared" si="1"/>
        <v>5</v>
      </c>
      <c r="B76" s="1885"/>
      <c r="C76" s="2042"/>
      <c r="D76" s="1820"/>
      <c r="E76" s="1820"/>
      <c r="F76" s="1820"/>
      <c r="G76" s="2043"/>
      <c r="H76" s="1736"/>
      <c r="I76" s="1736"/>
      <c r="J76" s="1820"/>
      <c r="K76" s="1820"/>
      <c r="L76" s="1793"/>
      <c r="M76" s="1736"/>
      <c r="N76" s="1820"/>
      <c r="O76" s="1820"/>
      <c r="P76" s="1793"/>
      <c r="Q76" s="1736"/>
      <c r="R76" s="1794"/>
      <c r="S76" s="1758"/>
      <c r="T76" s="1758"/>
      <c r="U76" s="2013"/>
      <c r="V76" s="2013"/>
      <c r="W76" s="2013"/>
      <c r="X76" s="2013"/>
      <c r="Y76" s="2013">
        <f t="shared" si="4"/>
        <v>0</v>
      </c>
      <c r="Z76" s="2013"/>
    </row>
    <row r="77" spans="1:26" ht="12.75" customHeight="1">
      <c r="A77" s="925">
        <f t="shared" si="1"/>
        <v>5</v>
      </c>
      <c r="B77" s="1885"/>
      <c r="C77" s="1820" t="s">
        <v>3051</v>
      </c>
      <c r="D77" s="1820"/>
      <c r="E77" s="1820"/>
      <c r="F77" s="1820"/>
      <c r="G77" s="1950"/>
      <c r="H77" s="1736"/>
      <c r="I77" s="1736"/>
      <c r="J77" s="2066"/>
      <c r="K77" s="2066"/>
      <c r="L77" s="1793"/>
      <c r="M77" s="1736"/>
      <c r="N77" s="2066"/>
      <c r="O77" s="2066"/>
      <c r="P77" s="1793"/>
      <c r="Q77" s="1736"/>
      <c r="R77" s="1794"/>
      <c r="S77" s="1758"/>
      <c r="T77" s="1758"/>
      <c r="U77" s="2013"/>
      <c r="V77" s="2013"/>
      <c r="W77" s="2013"/>
      <c r="X77" s="2013"/>
      <c r="Y77" s="2013">
        <f t="shared" si="4"/>
        <v>0</v>
      </c>
      <c r="Z77" s="2013"/>
    </row>
    <row r="78" spans="1:26" ht="7.5" customHeight="1">
      <c r="A78" s="925">
        <f t="shared" si="1"/>
        <v>5</v>
      </c>
      <c r="B78" s="1885"/>
      <c r="C78" s="2049"/>
      <c r="D78" s="1820"/>
      <c r="E78" s="1820"/>
      <c r="F78" s="1820"/>
      <c r="G78" s="2043"/>
      <c r="H78" s="1736"/>
      <c r="I78" s="1736"/>
      <c r="J78" s="1820"/>
      <c r="K78" s="1820"/>
      <c r="L78" s="1744"/>
      <c r="M78" s="1736"/>
      <c r="N78" s="1820"/>
      <c r="O78" s="1820"/>
      <c r="P78" s="1744"/>
      <c r="Q78" s="1736"/>
      <c r="R78" s="1746"/>
      <c r="S78" s="1758"/>
      <c r="T78" s="1758"/>
      <c r="U78" s="2013"/>
      <c r="V78" s="2013"/>
      <c r="W78" s="2013"/>
      <c r="X78" s="2013"/>
      <c r="Y78" s="2013">
        <f t="shared" si="4"/>
        <v>0</v>
      </c>
      <c r="Z78" s="2013"/>
    </row>
    <row r="79" spans="1:26" ht="12" customHeight="1">
      <c r="A79" s="925">
        <f t="shared" si="1"/>
        <v>5</v>
      </c>
      <c r="B79" s="1885"/>
      <c r="C79" s="1935"/>
      <c r="D79" s="1886" t="s">
        <v>1537</v>
      </c>
      <c r="E79" s="1886"/>
      <c r="F79" s="1886"/>
      <c r="G79" s="2055"/>
      <c r="H79" s="1736"/>
      <c r="I79" s="1736"/>
      <c r="J79" s="2068">
        <f>(INDEX(finPNLReg1Prod2AdvExpS1,xxIndexTeam)+INDEX(finPNLReg1Prod2Emp1ExpS1,xxIndexTeam))/INDEX(capProd2Reg1Units, xxIndexTeam)</f>
        <v>0</v>
      </c>
      <c r="K79" s="2080"/>
      <c r="L79" s="1916"/>
      <c r="M79" s="1736"/>
      <c r="N79" s="2068">
        <f>(INDEX(finPNLReg2Prod2AdvExpS2,xxIndexTeam)+INDEX(finPNLReg2Prod2Emp2ExpS2,xxIndexTeam))/INDEX(capProd2Reg2Units, xxIndexTeam)</f>
        <v>0</v>
      </c>
      <c r="O79" s="2080"/>
      <c r="P79" s="1916"/>
      <c r="Q79" s="1736"/>
      <c r="R79" s="1917"/>
      <c r="S79" s="1758"/>
      <c r="T79" s="1758"/>
      <c r="U79" s="2013"/>
      <c r="V79" s="2013"/>
      <c r="W79" s="2013"/>
      <c r="X79" s="2013"/>
      <c r="Y79" s="2013">
        <f t="shared" si="4"/>
        <v>0</v>
      </c>
      <c r="Z79" s="2013"/>
    </row>
    <row r="80" spans="1:26" ht="12" customHeight="1">
      <c r="A80" s="925">
        <f t="shared" si="1"/>
        <v>5</v>
      </c>
      <c r="B80" s="1885"/>
      <c r="C80" s="1935"/>
      <c r="D80" s="1886" t="s">
        <v>3268</v>
      </c>
      <c r="E80" s="1886"/>
      <c r="F80" s="1886"/>
      <c r="G80" s="1972"/>
      <c r="H80" s="1736"/>
      <c r="I80" s="1736"/>
      <c r="J80" s="1736"/>
      <c r="K80" s="2070"/>
      <c r="L80" s="1798"/>
      <c r="M80" s="1736"/>
      <c r="N80" s="1736"/>
      <c r="O80" s="2070"/>
      <c r="P80" s="1798"/>
      <c r="Q80" s="1736"/>
      <c r="R80" s="1746"/>
      <c r="S80" s="1758"/>
      <c r="T80" s="1758"/>
      <c r="U80" s="2013"/>
      <c r="V80" s="2013"/>
      <c r="W80" s="2013"/>
      <c r="X80" s="2013"/>
      <c r="Y80" s="2013">
        <f t="shared" si="4"/>
        <v>0</v>
      </c>
      <c r="Z80" s="2013"/>
    </row>
    <row r="81" spans="1:62" ht="12" customHeight="1">
      <c r="A81" s="925">
        <f t="shared" si="1"/>
        <v>5</v>
      </c>
      <c r="B81" s="1885"/>
      <c r="C81" s="1935"/>
      <c r="D81" s="2048" t="s">
        <v>1598</v>
      </c>
      <c r="E81" s="1886"/>
      <c r="F81" s="1886"/>
      <c r="G81" s="1972"/>
      <c r="H81" s="1736"/>
      <c r="I81" s="1736"/>
      <c r="J81" s="2070">
        <f>HLOOKUP(INDEX(cbalDisrupt1,xxIndexTeam),dataDisruptWeight,2,0)*INDEX(finPNLReg1Prod2InventoryHndlgExpS1,xxIndexTeam)/INDEX(capProd2Reg1Units,xxIndexTeam)+INDEX(paramReg1Prod2DistCostPUnit, xxIndexTeam)</f>
        <v>0.95869249999999995</v>
      </c>
      <c r="K81" s="2070"/>
      <c r="L81" s="1798"/>
      <c r="M81" s="1736"/>
      <c r="N81" s="1736">
        <f>HLOOKUP(INDEX(cbalDisrupt2,xxIndexTeam),dataDisruptWeight,2,0)*INDEX(finPNLReg2Prod2InventoryHndlgExpS2,xxIndexTeam)/INDEX(capProd2Reg2Units,xxIndexTeam)+INDEX(paramReg1Prod2DistCostPUnit, xxIndexTeam)</f>
        <v>0.95869249999999995</v>
      </c>
      <c r="O81" s="2070"/>
      <c r="P81" s="1798"/>
      <c r="Q81" s="1736"/>
      <c r="R81" s="1746"/>
      <c r="S81" s="1758"/>
      <c r="T81" s="1758"/>
      <c r="U81" s="2013"/>
      <c r="V81" s="2013"/>
      <c r="W81" s="2013"/>
      <c r="X81" s="2013"/>
      <c r="Y81" s="2013">
        <f t="shared" si="4"/>
        <v>0</v>
      </c>
      <c r="Z81" s="2013"/>
    </row>
    <row r="82" spans="1:62" ht="12" customHeight="1">
      <c r="A82" s="925">
        <f t="shared" si="1"/>
        <v>5</v>
      </c>
      <c r="B82" s="1885"/>
      <c r="C82" s="1935"/>
      <c r="D82" s="2048" t="s">
        <v>1599</v>
      </c>
      <c r="E82" s="1886"/>
      <c r="F82" s="1886"/>
      <c r="G82" s="1972"/>
      <c r="H82" s="1736"/>
      <c r="I82" s="1736"/>
      <c r="J82" s="2070">
        <f>HLOOKUP(INDEX(cbalDisrupt1,xxIndexTeam),dataDisruptWeight,3,0)*INDEX(finPNLReg1Prod2InventoryHndlgExpS1,xxIndexTeam)/INDEX(capProd2Reg1Units,xxIndexTeam)+INDEX(paramReg2Prod2DistCostPUnit, xxIndexTeam)</f>
        <v>1.0910613000000002</v>
      </c>
      <c r="K82" s="2070"/>
      <c r="L82" s="1798"/>
      <c r="M82" s="1736"/>
      <c r="N82" s="1736">
        <f>HLOOKUP(INDEX(cbalDisrupt2,xxIndexTeam),dataDisruptWeight,3,0)*INDEX(finPNLReg2Prod2InventoryHndlgExpS2,xxIndexTeam)/INDEX(capProd2Reg1Units,xxIndexTeam)+INDEX(paramReg2Prod2DistCostPUnit, xxIndexTeam)</f>
        <v>1.0910613000000002</v>
      </c>
      <c r="O82" s="2070"/>
      <c r="P82" s="1798"/>
      <c r="Q82" s="1736"/>
      <c r="R82" s="1746"/>
      <c r="S82" s="1758"/>
      <c r="T82" s="1758"/>
      <c r="U82" s="2013"/>
      <c r="V82" s="2013"/>
      <c r="W82" s="2013"/>
      <c r="X82" s="2013"/>
      <c r="Y82" s="2013">
        <f t="shared" si="4"/>
        <v>0</v>
      </c>
      <c r="Z82" s="2013"/>
    </row>
    <row r="83" spans="1:62" ht="12" customHeight="1">
      <c r="A83" s="925">
        <f t="shared" si="1"/>
        <v>5</v>
      </c>
      <c r="B83" s="1885"/>
      <c r="C83" s="1935"/>
      <c r="D83" s="1886" t="s">
        <v>3052</v>
      </c>
      <c r="E83" s="1886"/>
      <c r="F83" s="1886"/>
      <c r="G83" s="2044"/>
      <c r="H83" s="1736"/>
      <c r="I83" s="1736"/>
      <c r="J83" s="2081">
        <f>(INDEX(finPNLReg1Prod2EmpAdminExpS1,xxIndexTeam)+INDEX(finPNLReg1Prod2FixedAdminExpS1,xxIndexTeam)+INDEX(finPNLReg1Prod2EmpRecDismExpS1,xxIndexTeam))/(INDEX(capProd2Reg1Units,xxIndexTeam))</f>
        <v>0</v>
      </c>
      <c r="K83" s="2046"/>
      <c r="L83" s="1744"/>
      <c r="M83" s="1736"/>
      <c r="N83" s="2081">
        <f>(INDEX(finPNLReg2Prod2EmpAdminExpS2,xxIndexTeam)+INDEX(finPNLReg2Prod2FixedAdminExpS2,xxIndexTeam)+INDEX(finPNLReg2Prod2EmpRecDismExpS2,xxIndexTeam))/(INDEX(capProd2Reg2Units,xxIndexTeam))</f>
        <v>0</v>
      </c>
      <c r="O83" s="2046"/>
      <c r="P83" s="1744"/>
      <c r="Q83" s="1736"/>
      <c r="R83" s="1746"/>
      <c r="S83" s="1758"/>
      <c r="T83" s="1758"/>
      <c r="U83" s="2013"/>
      <c r="V83" s="2013"/>
      <c r="W83" s="2013"/>
      <c r="X83" s="2013"/>
      <c r="Y83" s="2013">
        <f t="shared" si="4"/>
        <v>0</v>
      </c>
      <c r="Z83" s="2013"/>
    </row>
    <row r="84" spans="1:62" ht="7.5" customHeight="1">
      <c r="A84" s="925">
        <f t="shared" si="1"/>
        <v>5</v>
      </c>
      <c r="B84" s="1885"/>
      <c r="C84" s="2049"/>
      <c r="D84" s="1886"/>
      <c r="E84" s="1886"/>
      <c r="F84" s="1886"/>
      <c r="G84" s="2050"/>
      <c r="H84" s="1736"/>
      <c r="I84" s="1736"/>
      <c r="J84" s="2051"/>
      <c r="K84" s="2052"/>
      <c r="L84" s="1793"/>
      <c r="M84" s="1736"/>
      <c r="N84" s="2051"/>
      <c r="O84" s="2052"/>
      <c r="P84" s="1793"/>
      <c r="Q84" s="1736"/>
      <c r="R84" s="1746"/>
      <c r="S84" s="1758"/>
      <c r="T84" s="1758"/>
      <c r="U84" s="2013"/>
      <c r="V84" s="2013"/>
      <c r="W84" s="2013"/>
      <c r="X84" s="2013"/>
      <c r="Y84" s="2013">
        <f t="shared" si="4"/>
        <v>0</v>
      </c>
      <c r="Z84" s="2013"/>
    </row>
    <row r="85" spans="1:62" ht="12.75" customHeight="1">
      <c r="A85" s="925">
        <f t="shared" si="1"/>
        <v>5</v>
      </c>
      <c r="B85" s="2053"/>
      <c r="C85" s="1848"/>
      <c r="D85" s="1962" t="s">
        <v>2088</v>
      </c>
      <c r="E85" s="1886"/>
      <c r="F85" s="1886"/>
      <c r="G85" s="2055"/>
      <c r="H85" s="1736"/>
      <c r="I85" s="1736"/>
      <c r="J85" s="2059">
        <f>SUM(J79:J83)</f>
        <v>2.0497538000000004</v>
      </c>
      <c r="K85" s="2057"/>
      <c r="L85" s="1793"/>
      <c r="M85" s="1736"/>
      <c r="N85" s="2059">
        <f>SUM(N79:N83)</f>
        <v>2.0497538000000004</v>
      </c>
      <c r="O85" s="2057"/>
      <c r="P85" s="1793"/>
      <c r="Q85" s="1736"/>
      <c r="R85" s="1746"/>
      <c r="S85" s="1758"/>
      <c r="T85" s="1758"/>
      <c r="U85" s="2013"/>
      <c r="V85" s="2013"/>
      <c r="W85" s="2013"/>
      <c r="X85" s="2013"/>
      <c r="Y85" s="2013">
        <f t="shared" si="4"/>
        <v>0</v>
      </c>
      <c r="Z85" s="2013"/>
    </row>
    <row r="86" spans="1:62" ht="7.5" customHeight="1">
      <c r="A86" s="925">
        <f t="shared" si="1"/>
        <v>5</v>
      </c>
      <c r="B86" s="2053"/>
      <c r="C86" s="2049"/>
      <c r="D86" s="1886"/>
      <c r="E86" s="1886"/>
      <c r="F86" s="1886"/>
      <c r="G86" s="2050"/>
      <c r="H86" s="1736"/>
      <c r="I86" s="1736"/>
      <c r="J86" s="2082"/>
      <c r="K86" s="2015"/>
      <c r="L86" s="1793"/>
      <c r="M86" s="1736"/>
      <c r="N86" s="2082"/>
      <c r="O86" s="2015"/>
      <c r="P86" s="1793"/>
      <c r="Q86" s="1736"/>
      <c r="R86" s="1746"/>
      <c r="S86" s="1758"/>
      <c r="T86" s="1758"/>
      <c r="U86" s="2013"/>
      <c r="V86" s="2013"/>
      <c r="W86" s="2013"/>
      <c r="X86" s="2013"/>
      <c r="Y86" s="2013">
        <f t="shared" si="4"/>
        <v>0</v>
      </c>
      <c r="Z86" s="2013"/>
    </row>
    <row r="87" spans="1:62" ht="12.75" customHeight="1">
      <c r="A87" s="925">
        <f t="shared" si="1"/>
        <v>5</v>
      </c>
      <c r="B87" s="2053"/>
      <c r="C87" s="2042"/>
      <c r="D87" s="1886" t="s">
        <v>729</v>
      </c>
      <c r="E87" s="1886"/>
      <c r="F87" s="1886"/>
      <c r="G87" s="2060"/>
      <c r="H87" s="1736"/>
      <c r="I87" s="1736"/>
      <c r="J87" s="2083" t="e">
        <f>J85/(J62/(J57+J56))</f>
        <v>#DIV/0!</v>
      </c>
      <c r="K87" s="2084"/>
      <c r="L87" s="1800"/>
      <c r="M87" s="2085"/>
      <c r="N87" s="2083" t="e">
        <f>N85/(N62/(N57+N56))</f>
        <v>#DIV/0!</v>
      </c>
      <c r="O87" s="2084"/>
      <c r="P87" s="1793"/>
      <c r="Q87" s="1736"/>
      <c r="R87" s="1746"/>
      <c r="S87" s="1758"/>
      <c r="T87" s="1758"/>
      <c r="U87" s="2013"/>
      <c r="V87" s="2013"/>
      <c r="W87" s="2013"/>
      <c r="X87" s="2013"/>
      <c r="Y87" s="2013">
        <f t="shared" si="4"/>
        <v>0</v>
      </c>
      <c r="Z87" s="2013"/>
    </row>
    <row r="88" spans="1:62" ht="16.5" thickBot="1">
      <c r="A88" s="925">
        <f t="shared" si="1"/>
        <v>5</v>
      </c>
      <c r="B88" s="2053"/>
      <c r="C88" s="2042"/>
      <c r="D88" s="1820"/>
      <c r="E88" s="1820"/>
      <c r="F88" s="1820"/>
      <c r="G88" s="2065"/>
      <c r="H88" s="1820"/>
      <c r="I88" s="2065"/>
      <c r="J88" s="1806"/>
      <c r="K88" s="1806"/>
      <c r="L88" s="1806"/>
      <c r="M88" s="1806"/>
      <c r="N88" s="1806"/>
      <c r="O88" s="1806"/>
      <c r="P88" s="1806"/>
      <c r="Q88" s="1806"/>
      <c r="R88" s="1746"/>
      <c r="S88" s="1758"/>
      <c r="T88" s="1758"/>
      <c r="U88" s="2013"/>
      <c r="V88" s="2013"/>
      <c r="W88" s="2013"/>
      <c r="X88" s="2013"/>
      <c r="Y88" s="2013"/>
      <c r="Z88" s="2013"/>
    </row>
    <row r="89" spans="1:62" ht="15.75" thickBot="1">
      <c r="A89" s="980"/>
      <c r="B89" s="1841" t="s">
        <v>4778</v>
      </c>
      <c r="C89" s="1842"/>
      <c r="D89" s="1843"/>
      <c r="E89" s="1843"/>
      <c r="F89" s="1843"/>
      <c r="G89" s="1843"/>
      <c r="H89" s="1843"/>
      <c r="I89" s="1843"/>
      <c r="J89" s="1843"/>
      <c r="K89" s="1843"/>
      <c r="L89" s="1843"/>
      <c r="M89" s="1843"/>
      <c r="N89" s="1843"/>
      <c r="O89" s="1843"/>
      <c r="P89" s="1843"/>
      <c r="Q89" s="1843"/>
      <c r="R89" s="1844"/>
      <c r="S89" s="1758"/>
      <c r="T89" s="1758"/>
      <c r="U89" s="1758"/>
      <c r="V89" s="1758"/>
      <c r="W89" s="1758"/>
      <c r="X89" s="1758"/>
      <c r="Y89" s="1758"/>
      <c r="Z89" s="1758"/>
      <c r="AA89" s="925"/>
      <c r="AB89" s="925"/>
      <c r="AC89" s="925"/>
      <c r="AD89" s="925"/>
      <c r="AE89" s="925"/>
      <c r="AF89" s="925"/>
      <c r="AG89" s="925"/>
      <c r="AH89" s="925"/>
      <c r="AI89" s="925"/>
      <c r="AJ89" s="925"/>
      <c r="AK89" s="925"/>
      <c r="AL89" s="925"/>
      <c r="AM89" s="925"/>
      <c r="AN89" s="925"/>
      <c r="AO89" s="925"/>
      <c r="AP89" s="925"/>
      <c r="AQ89" s="925"/>
      <c r="AR89" s="925"/>
      <c r="AS89" s="925"/>
      <c r="AT89" s="925"/>
      <c r="AU89" s="925"/>
      <c r="AV89" s="925"/>
      <c r="AW89" s="925"/>
      <c r="AX89" s="925"/>
      <c r="AY89" s="925"/>
      <c r="AZ89" s="925"/>
      <c r="BA89" s="925"/>
      <c r="BB89" s="925"/>
      <c r="BC89" s="925"/>
      <c r="BD89" s="925"/>
      <c r="BE89" s="925"/>
      <c r="BF89" s="925"/>
      <c r="BG89" s="925"/>
      <c r="BH89" s="925"/>
      <c r="BI89" s="925"/>
      <c r="BJ89" s="925"/>
    </row>
    <row r="90" spans="1:62" ht="6" customHeight="1">
      <c r="A90" s="980"/>
      <c r="B90" s="1830"/>
      <c r="C90" s="1831"/>
      <c r="D90" s="1831"/>
      <c r="E90" s="1831"/>
      <c r="F90" s="1831"/>
      <c r="G90" s="1831"/>
      <c r="H90" s="1831"/>
      <c r="I90" s="1831"/>
      <c r="J90" s="1831"/>
      <c r="K90" s="1831"/>
      <c r="L90" s="1831"/>
      <c r="M90" s="1831"/>
      <c r="N90" s="1831"/>
      <c r="O90" s="1831"/>
      <c r="P90" s="1831"/>
      <c r="Q90" s="1831"/>
      <c r="R90" s="1835"/>
      <c r="S90" s="1758"/>
      <c r="T90" s="1758"/>
      <c r="U90" s="1758"/>
      <c r="V90" s="1758"/>
      <c r="W90" s="1758"/>
      <c r="X90" s="1758"/>
      <c r="Y90" s="1758"/>
      <c r="Z90" s="1758"/>
      <c r="AA90" s="925"/>
      <c r="AB90" s="925"/>
      <c r="AC90" s="925"/>
      <c r="AD90" s="925"/>
      <c r="AE90" s="925"/>
      <c r="AF90" s="925"/>
      <c r="AG90" s="925"/>
      <c r="AH90" s="925"/>
      <c r="AI90" s="925"/>
      <c r="AJ90" s="925"/>
      <c r="AK90" s="925"/>
      <c r="AL90" s="925"/>
      <c r="AM90" s="925"/>
      <c r="AN90" s="925"/>
      <c r="AO90" s="925"/>
      <c r="AP90" s="925"/>
      <c r="AQ90" s="925"/>
      <c r="AR90" s="925"/>
      <c r="AS90" s="925"/>
      <c r="AT90" s="925"/>
      <c r="AU90" s="925"/>
      <c r="AV90" s="925"/>
      <c r="AW90" s="925"/>
      <c r="AX90" s="925"/>
      <c r="AY90" s="925"/>
      <c r="AZ90" s="925"/>
      <c r="BA90" s="925"/>
      <c r="BB90" s="925"/>
      <c r="BC90" s="925"/>
      <c r="BD90" s="925"/>
      <c r="BE90" s="925"/>
      <c r="BF90" s="925"/>
      <c r="BG90" s="925"/>
      <c r="BH90" s="925"/>
      <c r="BI90" s="925"/>
      <c r="BJ90" s="925"/>
    </row>
    <row r="91" spans="1:62" ht="15.75" thickBot="1">
      <c r="A91" s="980"/>
      <c r="B91" s="1830"/>
      <c r="C91" s="1736"/>
      <c r="D91" s="1919" t="s">
        <v>506</v>
      </c>
      <c r="E91" s="1760"/>
      <c r="F91" s="1919" t="s">
        <v>509</v>
      </c>
      <c r="G91" s="2003"/>
      <c r="H91" s="2086"/>
      <c r="I91" s="2086"/>
      <c r="J91" s="1886"/>
      <c r="K91" s="1919" t="s">
        <v>507</v>
      </c>
      <c r="L91" s="2003"/>
      <c r="M91" s="1919"/>
      <c r="N91" s="1886"/>
      <c r="O91" s="1919" t="s">
        <v>508</v>
      </c>
      <c r="P91" s="1850"/>
      <c r="Q91" s="1849"/>
      <c r="R91" s="1835"/>
      <c r="S91" s="1758"/>
      <c r="T91" s="1758"/>
      <c r="U91" s="1758"/>
      <c r="V91" s="1758"/>
      <c r="W91" s="1758"/>
      <c r="X91" s="1758"/>
      <c r="Y91" s="1758"/>
      <c r="Z91" s="1758"/>
      <c r="AA91" s="925"/>
      <c r="AB91" s="925"/>
      <c r="AC91" s="925"/>
      <c r="AD91" s="925"/>
      <c r="AE91" s="925"/>
      <c r="AF91" s="925"/>
      <c r="AG91" s="925"/>
      <c r="AH91" s="925"/>
      <c r="AI91" s="925"/>
      <c r="AJ91" s="925"/>
      <c r="AK91" s="925"/>
      <c r="AL91" s="925"/>
      <c r="AM91" s="925"/>
      <c r="AN91" s="925"/>
      <c r="AO91" s="925"/>
      <c r="AP91" s="925"/>
      <c r="AQ91" s="925"/>
      <c r="AR91" s="925"/>
      <c r="AS91" s="925"/>
      <c r="AT91" s="925"/>
      <c r="AU91" s="925"/>
      <c r="AV91" s="925"/>
      <c r="AW91" s="925"/>
      <c r="AX91" s="925"/>
      <c r="AY91" s="925"/>
      <c r="AZ91" s="925"/>
      <c r="BA91" s="925"/>
      <c r="BB91" s="925"/>
      <c r="BC91" s="925"/>
      <c r="BD91" s="925"/>
      <c r="BE91" s="925"/>
      <c r="BF91" s="925"/>
      <c r="BG91" s="925"/>
      <c r="BH91" s="925"/>
      <c r="BI91" s="925"/>
      <c r="BJ91" s="925"/>
    </row>
    <row r="92" spans="1:62" ht="7.5" customHeight="1">
      <c r="A92" s="980"/>
      <c r="B92" s="1830"/>
      <c r="C92" s="1831"/>
      <c r="D92" s="1681"/>
      <c r="E92" s="1736"/>
      <c r="F92" s="1681"/>
      <c r="G92" s="1848"/>
      <c r="H92" s="1736"/>
      <c r="I92" s="1736"/>
      <c r="J92" s="1848"/>
      <c r="K92" s="1736"/>
      <c r="L92" s="1831"/>
      <c r="M92" s="1831"/>
      <c r="N92" s="1831"/>
      <c r="O92" s="1736"/>
      <c r="P92" s="1831"/>
      <c r="Q92" s="1831"/>
      <c r="R92" s="1835"/>
      <c r="S92" s="1758"/>
      <c r="T92" s="1758"/>
      <c r="U92" s="1758"/>
      <c r="V92" s="1758"/>
      <c r="W92" s="1758"/>
      <c r="X92" s="1758"/>
      <c r="Y92" s="1758"/>
      <c r="Z92" s="1758"/>
      <c r="AA92" s="925"/>
      <c r="AB92" s="925"/>
      <c r="AC92" s="925"/>
      <c r="AD92" s="925"/>
      <c r="AE92" s="925"/>
      <c r="AF92" s="925"/>
      <c r="AG92" s="925"/>
      <c r="AH92" s="925"/>
      <c r="AI92" s="925"/>
      <c r="AJ92" s="925"/>
      <c r="AK92" s="925"/>
      <c r="AL92" s="925"/>
      <c r="AM92" s="925"/>
      <c r="AN92" s="925"/>
      <c r="AO92" s="925"/>
      <c r="AP92" s="925"/>
      <c r="AQ92" s="925"/>
      <c r="AR92" s="925"/>
      <c r="AS92" s="925"/>
      <c r="AT92" s="925"/>
      <c r="AU92" s="925"/>
      <c r="AV92" s="925"/>
      <c r="AW92" s="925"/>
      <c r="AX92" s="925"/>
      <c r="AY92" s="925"/>
      <c r="AZ92" s="925"/>
      <c r="BA92" s="925"/>
      <c r="BB92" s="925"/>
      <c r="BC92" s="925"/>
      <c r="BD92" s="925"/>
      <c r="BE92" s="925"/>
      <c r="BF92" s="925"/>
      <c r="BG92" s="925"/>
      <c r="BH92" s="925"/>
      <c r="BI92" s="925"/>
      <c r="BJ92" s="925"/>
    </row>
    <row r="93" spans="1:62" ht="22.5" customHeight="1">
      <c r="A93" s="980"/>
      <c r="B93" s="1830"/>
      <c r="C93" s="1831"/>
      <c r="D93" s="2087" t="s">
        <v>1407</v>
      </c>
      <c r="E93" s="1736"/>
      <c r="F93" s="2606" t="str">
        <f>INDEX(DataPage!$G$318:$G$337,MATCH(INDEX(cbal!$E304:$I304,xxIndexTeam),DataPage!$I$318:$I$337,0))</f>
        <v>SELECT INNOVATION</v>
      </c>
      <c r="G93" s="2606"/>
      <c r="H93" s="2606"/>
      <c r="I93" s="2606"/>
      <c r="J93" s="2088"/>
      <c r="K93" s="2606" t="str">
        <f>INDEX(DataPage!$G$318:$G$337,MATCH(INDEX(cbal!$E308:$I308,xxIndexTeam),DataPage!$I$318:$I$337,0))</f>
        <v>SELECT INNOVATION</v>
      </c>
      <c r="L93" s="2606"/>
      <c r="M93" s="2606"/>
      <c r="N93" s="2089"/>
      <c r="O93" s="2606" t="str">
        <f>INDEX(DataPage!$G$318:$G$337,MATCH(INDEX(cbal!$E312:$I312,xxIndexTeam),DataPage!$I$318:$I$337,0))</f>
        <v>SELECT INNOVATION</v>
      </c>
      <c r="P93" s="2606"/>
      <c r="Q93" s="2606"/>
      <c r="R93" s="1835"/>
      <c r="S93" s="1758"/>
      <c r="T93" s="1758"/>
      <c r="U93" s="1758"/>
      <c r="V93" s="1758"/>
      <c r="W93" s="1758"/>
      <c r="X93" s="1758"/>
      <c r="Y93" s="1758"/>
      <c r="Z93" s="1758"/>
      <c r="AA93" s="925"/>
      <c r="AB93" s="925"/>
      <c r="AC93" s="925"/>
      <c r="AD93" s="925"/>
      <c r="AE93" s="925"/>
      <c r="AF93" s="925"/>
      <c r="AG93" s="925"/>
      <c r="AH93" s="925"/>
      <c r="AI93" s="925"/>
      <c r="AJ93" s="925"/>
      <c r="AK93" s="925"/>
      <c r="AL93" s="925"/>
      <c r="AM93" s="925"/>
      <c r="AN93" s="925"/>
      <c r="AO93" s="925"/>
      <c r="AP93" s="925"/>
      <c r="AQ93" s="925"/>
      <c r="AR93" s="925"/>
      <c r="AS93" s="925"/>
      <c r="AT93" s="925"/>
      <c r="AU93" s="925"/>
      <c r="AV93" s="925"/>
      <c r="AW93" s="925"/>
      <c r="AX93" s="925"/>
      <c r="AY93" s="925"/>
      <c r="AZ93" s="925"/>
      <c r="BA93" s="925"/>
      <c r="BB93" s="925"/>
      <c r="BC93" s="925"/>
      <c r="BD93" s="925"/>
      <c r="BE93" s="925"/>
      <c r="BF93" s="925"/>
      <c r="BG93" s="925"/>
      <c r="BH93" s="925"/>
      <c r="BI93" s="925"/>
      <c r="BJ93" s="925"/>
    </row>
    <row r="94" spans="1:62" ht="6" customHeight="1">
      <c r="A94" s="980"/>
      <c r="B94" s="1830"/>
      <c r="C94" s="1831"/>
      <c r="D94" s="2087"/>
      <c r="E94" s="1736"/>
      <c r="F94" s="1736"/>
      <c r="G94" s="1736"/>
      <c r="H94" s="1736"/>
      <c r="I94" s="1736"/>
      <c r="J94" s="2088"/>
      <c r="K94" s="1736"/>
      <c r="L94" s="1736"/>
      <c r="M94" s="1736"/>
      <c r="N94" s="2090"/>
      <c r="O94" s="1736"/>
      <c r="P94" s="1736"/>
      <c r="Q94" s="1736"/>
      <c r="R94" s="1835"/>
      <c r="S94" s="1758"/>
      <c r="T94" s="1758"/>
      <c r="U94" s="1758"/>
      <c r="V94" s="1758"/>
      <c r="W94" s="1758"/>
      <c r="X94" s="1758"/>
      <c r="Y94" s="1758"/>
      <c r="Z94" s="1758"/>
      <c r="AA94" s="925"/>
      <c r="AB94" s="925"/>
      <c r="AC94" s="925"/>
      <c r="AD94" s="925"/>
      <c r="AE94" s="925"/>
      <c r="AF94" s="925"/>
      <c r="AG94" s="925"/>
      <c r="AH94" s="925"/>
      <c r="AI94" s="925"/>
      <c r="AJ94" s="925"/>
      <c r="AK94" s="925"/>
      <c r="AL94" s="925"/>
      <c r="AM94" s="925"/>
      <c r="AN94" s="925"/>
      <c r="AO94" s="925"/>
      <c r="AP94" s="925"/>
      <c r="AQ94" s="925"/>
      <c r="AR94" s="925"/>
      <c r="AS94" s="925"/>
      <c r="AT94" s="925"/>
      <c r="AU94" s="925"/>
      <c r="AV94" s="925"/>
      <c r="AW94" s="925"/>
      <c r="AX94" s="925"/>
      <c r="AY94" s="925"/>
      <c r="AZ94" s="925"/>
      <c r="BA94" s="925"/>
      <c r="BB94" s="925"/>
      <c r="BC94" s="925"/>
      <c r="BD94" s="925"/>
      <c r="BE94" s="925"/>
      <c r="BF94" s="925"/>
      <c r="BG94" s="925"/>
      <c r="BH94" s="925"/>
      <c r="BI94" s="925"/>
      <c r="BJ94" s="925"/>
    </row>
    <row r="95" spans="1:62" ht="22.5" customHeight="1">
      <c r="A95" s="980"/>
      <c r="B95" s="1830"/>
      <c r="C95" s="1831"/>
      <c r="D95" s="2087" t="s">
        <v>1408</v>
      </c>
      <c r="E95" s="1736"/>
      <c r="F95" s="2606" t="str">
        <f>INDEX(DataPage!$G$318:$G$337,MATCH(INDEX(cbal!$E305:$I305,xxIndexTeam),DataPage!$I$318:$I$337,0))</f>
        <v>SELECT INNOVATION</v>
      </c>
      <c r="G95" s="2606"/>
      <c r="H95" s="2606"/>
      <c r="I95" s="2606"/>
      <c r="J95" s="2088"/>
      <c r="K95" s="2606" t="str">
        <f>INDEX(DataPage!$G$318:$G$337,MATCH(INDEX(cbal!$E309:$I309,xxIndexTeam),DataPage!$I$318:$I$337,0))</f>
        <v>SELECT INNOVATION</v>
      </c>
      <c r="L95" s="2606"/>
      <c r="M95" s="2606"/>
      <c r="N95" s="2091"/>
      <c r="O95" s="2606" t="str">
        <f>INDEX(DataPage!$G$318:$G$337,MATCH(INDEX(cbal!$E313:$I313,xxIndexTeam),DataPage!$I$318:$I$337,0))</f>
        <v>SELECT INNOVATION</v>
      </c>
      <c r="P95" s="2606"/>
      <c r="Q95" s="2606"/>
      <c r="R95" s="1835"/>
      <c r="S95" s="1758"/>
      <c r="T95" s="1758"/>
      <c r="U95" s="1758"/>
      <c r="V95" s="1758"/>
      <c r="W95" s="1758"/>
      <c r="X95" s="1758"/>
      <c r="Y95" s="1758"/>
      <c r="Z95" s="1758"/>
      <c r="AA95" s="925"/>
      <c r="AB95" s="925"/>
      <c r="AC95" s="925"/>
      <c r="AD95" s="925"/>
      <c r="AE95" s="925"/>
      <c r="AF95" s="925"/>
      <c r="AG95" s="925"/>
      <c r="AH95" s="925"/>
      <c r="AI95" s="925"/>
      <c r="AJ95" s="925"/>
      <c r="AK95" s="925"/>
      <c r="AL95" s="925"/>
      <c r="AM95" s="925"/>
      <c r="AN95" s="925"/>
      <c r="AO95" s="925"/>
      <c r="AP95" s="925"/>
      <c r="AQ95" s="925"/>
      <c r="AR95" s="925"/>
      <c r="AS95" s="925"/>
      <c r="AT95" s="925"/>
      <c r="AU95" s="925"/>
      <c r="AV95" s="925"/>
      <c r="AW95" s="925"/>
      <c r="AX95" s="925"/>
      <c r="AY95" s="925"/>
      <c r="AZ95" s="925"/>
      <c r="BA95" s="925"/>
      <c r="BB95" s="925"/>
      <c r="BC95" s="925"/>
      <c r="BD95" s="925"/>
      <c r="BE95" s="925"/>
      <c r="BF95" s="925"/>
      <c r="BG95" s="925"/>
      <c r="BH95" s="925"/>
      <c r="BI95" s="925"/>
      <c r="BJ95" s="925"/>
    </row>
    <row r="96" spans="1:62" ht="6" customHeight="1">
      <c r="A96" s="925">
        <f>IF(COUNTIF(dataUnlockedList,"unlocked")&gt;0,0,5)</f>
        <v>5</v>
      </c>
      <c r="B96" s="1830"/>
      <c r="C96" s="1831"/>
      <c r="D96" s="2087"/>
      <c r="E96" s="1736"/>
      <c r="F96" s="1736"/>
      <c r="G96" s="1736"/>
      <c r="H96" s="1736"/>
      <c r="I96" s="1736"/>
      <c r="J96" s="2088"/>
      <c r="K96" s="1736"/>
      <c r="L96" s="1736"/>
      <c r="M96" s="1736"/>
      <c r="N96" s="2090"/>
      <c r="O96" s="1736"/>
      <c r="P96" s="1736"/>
      <c r="Q96" s="1736"/>
      <c r="R96" s="1835"/>
      <c r="S96" s="1758"/>
      <c r="T96" s="1758"/>
      <c r="U96" s="1758"/>
      <c r="V96" s="1758"/>
      <c r="W96" s="1758"/>
      <c r="X96" s="1758"/>
      <c r="Y96" s="1758"/>
      <c r="Z96" s="1758"/>
      <c r="AA96" s="925"/>
      <c r="AB96" s="925"/>
      <c r="AC96" s="925"/>
      <c r="AD96" s="925"/>
      <c r="AE96" s="925"/>
      <c r="AF96" s="925"/>
      <c r="AG96" s="925"/>
      <c r="AH96" s="925"/>
      <c r="AI96" s="925"/>
      <c r="AJ96" s="925"/>
      <c r="AK96" s="925"/>
      <c r="AL96" s="925"/>
      <c r="AM96" s="925"/>
      <c r="AN96" s="925"/>
      <c r="AO96" s="925"/>
      <c r="AP96" s="925"/>
      <c r="AQ96" s="925"/>
      <c r="AR96" s="925"/>
      <c r="AS96" s="925"/>
      <c r="AT96" s="925"/>
      <c r="AU96" s="925"/>
      <c r="AV96" s="925"/>
      <c r="AW96" s="925"/>
      <c r="AX96" s="925"/>
      <c r="AY96" s="925"/>
      <c r="AZ96" s="925"/>
      <c r="BA96" s="925"/>
      <c r="BB96" s="925"/>
      <c r="BC96" s="925"/>
      <c r="BD96" s="925"/>
      <c r="BE96" s="925"/>
      <c r="BF96" s="925"/>
      <c r="BG96" s="925"/>
      <c r="BH96" s="925"/>
      <c r="BI96" s="925"/>
      <c r="BJ96" s="925"/>
    </row>
    <row r="97" spans="1:62" ht="22.5" customHeight="1">
      <c r="A97" s="925">
        <f>IF(COUNTIF(dataUnlockedList,"unlocked")&gt;0,0,5)</f>
        <v>5</v>
      </c>
      <c r="B97" s="1830"/>
      <c r="C97" s="1831"/>
      <c r="D97" s="2087" t="s">
        <v>1409</v>
      </c>
      <c r="E97" s="1736"/>
      <c r="F97" s="2606" t="str">
        <f>INDEX(DataPage!$G$318:$G$337,MATCH(INDEX(cbal!$E306:$I306,xxIndexTeam),DataPage!$I$318:$I$337,0))</f>
        <v>SELECT INNOVATION</v>
      </c>
      <c r="G97" s="2606"/>
      <c r="H97" s="2606"/>
      <c r="I97" s="2606"/>
      <c r="J97" s="2088"/>
      <c r="K97" s="2606" t="str">
        <f>INDEX(DataPage!$G$318:$G$337,MATCH(INDEX(cbal!$E310:$I310,xxIndexTeam),DataPage!$I$318:$I$337,0))</f>
        <v>SELECT INNOVATION</v>
      </c>
      <c r="L97" s="2606"/>
      <c r="M97" s="2606"/>
      <c r="N97" s="2091"/>
      <c r="O97" s="2606" t="str">
        <f>INDEX(DataPage!$G$318:$G$337,MATCH(INDEX(cbal!$E314:$I314,xxIndexTeam),DataPage!$I$318:$I$337,0))</f>
        <v>SELECT INNOVATION</v>
      </c>
      <c r="P97" s="2606"/>
      <c r="Q97" s="2606"/>
      <c r="R97" s="1835"/>
      <c r="S97" s="1758"/>
      <c r="T97" s="1758"/>
      <c r="U97" s="1758"/>
      <c r="V97" s="1758"/>
      <c r="W97" s="1758"/>
      <c r="X97" s="1758"/>
      <c r="Y97" s="1758"/>
      <c r="Z97" s="1758"/>
      <c r="AA97" s="925"/>
      <c r="AB97" s="925"/>
      <c r="AC97" s="925"/>
      <c r="AD97" s="925"/>
      <c r="AE97" s="925"/>
      <c r="AF97" s="925"/>
      <c r="AG97" s="925"/>
      <c r="AH97" s="925"/>
      <c r="AI97" s="925"/>
      <c r="AJ97" s="925"/>
      <c r="AK97" s="925"/>
      <c r="AL97" s="925"/>
      <c r="AM97" s="925"/>
      <c r="AN97" s="925"/>
      <c r="AO97" s="925"/>
      <c r="AP97" s="925"/>
      <c r="AQ97" s="925"/>
      <c r="AR97" s="925"/>
      <c r="AS97" s="925"/>
      <c r="AT97" s="925"/>
      <c r="AU97" s="925"/>
      <c r="AV97" s="925"/>
      <c r="AW97" s="925"/>
      <c r="AX97" s="925"/>
      <c r="AY97" s="925"/>
      <c r="AZ97" s="925"/>
      <c r="BA97" s="925"/>
      <c r="BB97" s="925"/>
      <c r="BC97" s="925"/>
      <c r="BD97" s="925"/>
      <c r="BE97" s="925"/>
      <c r="BF97" s="925"/>
      <c r="BG97" s="925"/>
      <c r="BH97" s="925"/>
      <c r="BI97" s="925"/>
      <c r="BJ97" s="925"/>
    </row>
    <row r="98" spans="1:62" ht="6" customHeight="1">
      <c r="A98" s="925">
        <v>5</v>
      </c>
      <c r="B98" s="1830"/>
      <c r="C98" s="1831"/>
      <c r="D98" s="2087"/>
      <c r="E98" s="1736"/>
      <c r="F98" s="1736"/>
      <c r="G98" s="1736"/>
      <c r="H98" s="1736"/>
      <c r="I98" s="1736"/>
      <c r="J98" s="2088"/>
      <c r="K98" s="1736"/>
      <c r="L98" s="1736"/>
      <c r="M98" s="1736"/>
      <c r="N98" s="2091"/>
      <c r="O98" s="1736"/>
      <c r="P98" s="1736"/>
      <c r="Q98" s="1736"/>
      <c r="R98" s="1835"/>
      <c r="S98" s="1758"/>
      <c r="T98" s="1758"/>
      <c r="U98" s="1758"/>
      <c r="V98" s="1758"/>
      <c r="W98" s="1758"/>
      <c r="X98" s="1758"/>
      <c r="Y98" s="1758"/>
      <c r="Z98" s="1758"/>
      <c r="AA98" s="925"/>
      <c r="AB98" s="925"/>
      <c r="AC98" s="925"/>
      <c r="AD98" s="925"/>
      <c r="AE98" s="925"/>
      <c r="AF98" s="925"/>
      <c r="AG98" s="925"/>
      <c r="AH98" s="925"/>
      <c r="AI98" s="925"/>
      <c r="AJ98" s="925"/>
      <c r="AK98" s="925"/>
      <c r="AL98" s="925"/>
      <c r="AM98" s="925"/>
      <c r="AN98" s="925"/>
      <c r="AO98" s="925"/>
      <c r="AP98" s="925"/>
      <c r="AQ98" s="925"/>
      <c r="AR98" s="925"/>
      <c r="AS98" s="925"/>
      <c r="AT98" s="925"/>
      <c r="AU98" s="925"/>
      <c r="AV98" s="925"/>
      <c r="AW98" s="925"/>
      <c r="AX98" s="925"/>
      <c r="AY98" s="925"/>
      <c r="AZ98" s="925"/>
      <c r="BA98" s="925"/>
      <c r="BB98" s="925"/>
      <c r="BC98" s="925"/>
      <c r="BD98" s="925"/>
      <c r="BE98" s="925"/>
      <c r="BF98" s="925"/>
      <c r="BG98" s="925"/>
      <c r="BH98" s="925"/>
      <c r="BI98" s="925"/>
      <c r="BJ98" s="925"/>
    </row>
    <row r="99" spans="1:62" ht="22.5" customHeight="1">
      <c r="A99" s="925">
        <v>5</v>
      </c>
      <c r="B99" s="1830"/>
      <c r="C99" s="1831"/>
      <c r="D99" s="2087" t="s">
        <v>1410</v>
      </c>
      <c r="E99" s="1736"/>
      <c r="F99" s="2606" t="str">
        <f>INDEX(DataPage!$G$318:$G$337,MATCH(INDEX(cbal!$E307:$I307,xxIndexTeam),DataPage!$I$318:$I$337,0))</f>
        <v>SELECT INNOVATION</v>
      </c>
      <c r="G99" s="2606"/>
      <c r="H99" s="2606"/>
      <c r="I99" s="2606"/>
      <c r="J99" s="2088"/>
      <c r="K99" s="2606" t="str">
        <f>INDEX(DataPage!$G$318:$G$337,MATCH(INDEX(cbal!$E311:$I311,xxIndexTeam),DataPage!$I$318:$I$337,0))</f>
        <v>SELECT INNOVATION</v>
      </c>
      <c r="L99" s="2606"/>
      <c r="M99" s="2606"/>
      <c r="N99" s="2091"/>
      <c r="O99" s="2606" t="str">
        <f>INDEX(DataPage!$G$318:$G$337,MATCH(INDEX(cbal!$E315:$I315,xxIndexTeam),DataPage!$I$318:$I$337,0))</f>
        <v>SELECT INNOVATION</v>
      </c>
      <c r="P99" s="2606"/>
      <c r="Q99" s="2606"/>
      <c r="R99" s="1835"/>
      <c r="S99" s="1758"/>
      <c r="T99" s="1758"/>
      <c r="U99" s="1758"/>
      <c r="V99" s="1758"/>
      <c r="W99" s="1758"/>
      <c r="X99" s="1758"/>
      <c r="Y99" s="1758"/>
      <c r="Z99" s="1758"/>
      <c r="AA99" s="925"/>
      <c r="AB99" s="925"/>
      <c r="AC99" s="925"/>
      <c r="AD99" s="925"/>
      <c r="AE99" s="925"/>
      <c r="AF99" s="925"/>
      <c r="AG99" s="925"/>
      <c r="AH99" s="925"/>
      <c r="AI99" s="925"/>
      <c r="AJ99" s="925"/>
      <c r="AK99" s="925"/>
      <c r="AL99" s="925"/>
      <c r="AM99" s="925"/>
      <c r="AN99" s="925"/>
      <c r="AO99" s="925"/>
      <c r="AP99" s="925"/>
      <c r="AQ99" s="925"/>
      <c r="AR99" s="925"/>
      <c r="AS99" s="925"/>
      <c r="AT99" s="925"/>
      <c r="AU99" s="925"/>
      <c r="AV99" s="925"/>
      <c r="AW99" s="925"/>
      <c r="AX99" s="925"/>
      <c r="AY99" s="925"/>
      <c r="AZ99" s="925"/>
      <c r="BA99" s="925"/>
      <c r="BB99" s="925"/>
      <c r="BC99" s="925"/>
      <c r="BD99" s="925"/>
      <c r="BE99" s="925"/>
      <c r="BF99" s="925"/>
      <c r="BG99" s="925"/>
      <c r="BH99" s="925"/>
      <c r="BI99" s="925"/>
      <c r="BJ99" s="925"/>
    </row>
    <row r="100" spans="1:62" ht="8.25" customHeight="1" thickBot="1">
      <c r="A100" s="980"/>
      <c r="B100" s="1854"/>
      <c r="C100" s="1850"/>
      <c r="D100" s="1849"/>
      <c r="E100" s="1850"/>
      <c r="F100" s="1855"/>
      <c r="G100" s="1855"/>
      <c r="H100" s="1850"/>
      <c r="I100" s="2092"/>
      <c r="J100" s="1855"/>
      <c r="K100" s="1850"/>
      <c r="L100" s="1850"/>
      <c r="M100" s="1850"/>
      <c r="N100" s="1850"/>
      <c r="O100" s="1850"/>
      <c r="P100" s="1850"/>
      <c r="Q100" s="1850"/>
      <c r="R100" s="1856"/>
      <c r="S100" s="1758"/>
      <c r="T100" s="1758"/>
      <c r="U100" s="1758"/>
      <c r="V100" s="1758"/>
      <c r="W100" s="1758"/>
      <c r="X100" s="1758"/>
      <c r="Y100" s="1758"/>
      <c r="Z100" s="1758"/>
      <c r="AA100" s="925"/>
      <c r="AB100" s="925"/>
      <c r="AC100" s="925"/>
      <c r="AD100" s="925"/>
      <c r="AE100" s="925"/>
      <c r="AF100" s="925"/>
      <c r="AG100" s="925"/>
      <c r="AH100" s="925"/>
      <c r="AI100" s="925"/>
      <c r="AJ100" s="925"/>
      <c r="AK100" s="925"/>
      <c r="AL100" s="925"/>
      <c r="AM100" s="925"/>
      <c r="AN100" s="925"/>
      <c r="AO100" s="925"/>
      <c r="AP100" s="925"/>
      <c r="AQ100" s="925"/>
      <c r="AR100" s="925"/>
      <c r="AS100" s="925"/>
      <c r="AT100" s="925"/>
      <c r="AU100" s="925"/>
      <c r="AV100" s="925"/>
      <c r="AW100" s="925"/>
      <c r="AX100" s="925"/>
      <c r="AY100" s="925"/>
      <c r="AZ100" s="925"/>
      <c r="BA100" s="925"/>
      <c r="BB100" s="925"/>
      <c r="BC100" s="925"/>
      <c r="BD100" s="925"/>
      <c r="BE100" s="925"/>
      <c r="BF100" s="925"/>
      <c r="BG100" s="925"/>
      <c r="BH100" s="925"/>
      <c r="BI100" s="925"/>
      <c r="BJ100" s="925"/>
    </row>
    <row r="101" spans="1:62" ht="15.75" thickBot="1">
      <c r="B101" s="2093"/>
      <c r="C101" s="1838"/>
      <c r="D101" s="1838"/>
      <c r="E101" s="1838"/>
      <c r="F101" s="1838"/>
      <c r="G101" s="1838"/>
      <c r="H101" s="1838"/>
      <c r="I101" s="1838"/>
      <c r="J101" s="1838"/>
      <c r="K101" s="1838"/>
      <c r="L101" s="1838"/>
      <c r="M101" s="1838"/>
      <c r="N101" s="1838"/>
      <c r="O101" s="1838"/>
      <c r="P101" s="1838"/>
      <c r="Q101" s="1838"/>
      <c r="R101" s="1780"/>
      <c r="S101" s="1758"/>
      <c r="T101" s="1758"/>
      <c r="U101" s="2013"/>
      <c r="V101" s="2013"/>
      <c r="W101" s="2013"/>
      <c r="X101" s="2013"/>
      <c r="Y101" s="2013"/>
      <c r="Z101" s="2013"/>
    </row>
    <row r="102" spans="1:62">
      <c r="G102" s="950"/>
    </row>
  </sheetData>
  <dataConsolidate/>
  <mergeCells count="25">
    <mergeCell ref="O93:Q93"/>
    <mergeCell ref="D26:G26"/>
    <mergeCell ref="D28:G28"/>
    <mergeCell ref="D31:G31"/>
    <mergeCell ref="N51:P51"/>
    <mergeCell ref="J51:L51"/>
    <mergeCell ref="K93:M93"/>
    <mergeCell ref="F93:I93"/>
    <mergeCell ref="N20:P20"/>
    <mergeCell ref="G14:K14"/>
    <mergeCell ref="G16:K16"/>
    <mergeCell ref="G18:K18"/>
    <mergeCell ref="N14:P14"/>
    <mergeCell ref="N16:P16"/>
    <mergeCell ref="N18:P18"/>
    <mergeCell ref="G20:K20"/>
    <mergeCell ref="F99:I99"/>
    <mergeCell ref="K99:M99"/>
    <mergeCell ref="O99:Q99"/>
    <mergeCell ref="F95:I95"/>
    <mergeCell ref="F97:I97"/>
    <mergeCell ref="K97:M97"/>
    <mergeCell ref="K95:M95"/>
    <mergeCell ref="O95:Q95"/>
    <mergeCell ref="O97:Q97"/>
  </mergeCells>
  <phoneticPr fontId="0" type="noConversion"/>
  <conditionalFormatting sqref="N19 N15 N17">
    <cfRule type="expression" dxfId="23" priority="1" stopIfTrue="1">
      <formula>OR(W15,Y15)</formula>
    </cfRule>
  </conditionalFormatting>
  <conditionalFormatting sqref="P20 P14 P16 P18">
    <cfRule type="expression" dxfId="22" priority="2" stopIfTrue="1">
      <formula>OR(Y14,AC14)</formula>
    </cfRule>
  </conditionalFormatting>
  <conditionalFormatting sqref="O19:P19 O20 P15 O14:O16 O17:P17 O18">
    <cfRule type="expression" dxfId="21" priority="3" stopIfTrue="1">
      <formula>OR(X14,AA14)</formula>
    </cfRule>
  </conditionalFormatting>
  <conditionalFormatting sqref="R19 R15 R17">
    <cfRule type="expression" dxfId="20" priority="4" stopIfTrue="1">
      <formula>OR(AB15,#REF!)</formula>
    </cfRule>
  </conditionalFormatting>
  <conditionalFormatting sqref="N16 N14 N18 N20">
    <cfRule type="expression" dxfId="19" priority="5" stopIfTrue="1">
      <formula>OR(W14,Y14,Z14)</formula>
    </cfRule>
  </conditionalFormatting>
  <conditionalFormatting sqref="N54:O87">
    <cfRule type="expression" dxfId="18" priority="6" stopIfTrue="1">
      <formula>$Y54=0</formula>
    </cfRule>
  </conditionalFormatting>
  <conditionalFormatting sqref="P51:P87 N51:O53">
    <cfRule type="cellIs" dxfId="17" priority="7" stopIfTrue="1" operator="equal">
      <formula>0</formula>
    </cfRule>
  </conditionalFormatting>
  <conditionalFormatting sqref="D28 D31:G31">
    <cfRule type="cellIs" dxfId="16" priority="8" stopIfTrue="1" operator="equal">
      <formula>"Plant Flexibility Requirement"</formula>
    </cfRule>
  </conditionalFormatting>
  <dataValidations count="5">
    <dataValidation operator="lessThanOrEqual" allowBlank="1" showInputMessage="1" showErrorMessage="1" errorTitle="Input Error" error="Family brand can be only three levels higher than prior year.  " sqref="Q12:Q13 G13 I12:I13 R12"/>
    <dataValidation allowBlank="1" showInputMessage="1" showErrorMessage="1" errorTitle="Input Error" error="Partner brand can only be one level higher from prior year.  " sqref="Q14:Q21"/>
    <dataValidation type="whole" operator="lessThanOrEqual" allowBlank="1" showInputMessage="1" showErrorMessage="1" errorTitle="Input Error" error="Family brand can be only three levels higher than prior year.  " sqref="O25 I11 G11 O11">
      <formula1>3</formula1>
    </dataValidation>
    <dataValidation type="list" allowBlank="1" showInputMessage="1" showErrorMessage="1" sqref="I28 I31">
      <formula1>dataBrandRange</formula1>
    </dataValidation>
    <dataValidation type="list" allowBlank="1" showInputMessage="1" showErrorMessage="1" sqref="G20 G16 G18 G14:K14">
      <formula1>dataInnovList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23"/>
    <pageSetUpPr fitToPage="1"/>
  </sheetPr>
  <dimension ref="A1:BE98"/>
  <sheetViews>
    <sheetView zoomScale="116" workbookViewId="0">
      <pane ySplit="8" topLeftCell="A11" activePane="bottomLeft" state="frozen"/>
      <selection activeCell="B2" sqref="B2:N100"/>
      <selection pane="bottomLeft" activeCell="D22" sqref="D22"/>
    </sheetView>
  </sheetViews>
  <sheetFormatPr defaultRowHeight="15"/>
  <cols>
    <col min="1" max="1" width="1.6640625" style="925" customWidth="1"/>
    <col min="2" max="2" width="1.5" style="925" customWidth="1"/>
    <col min="3" max="3" width="2.6640625" style="925" customWidth="1"/>
    <col min="4" max="4" width="9.33203125" style="925" customWidth="1"/>
    <col min="5" max="5" width="11.5" style="925" customWidth="1"/>
    <col min="6" max="6" width="9.33203125" style="925" customWidth="1"/>
    <col min="7" max="7" width="14.6640625" style="925" customWidth="1"/>
    <col min="8" max="8" width="5" style="925" customWidth="1"/>
    <col min="9" max="9" width="14.6640625" style="925" customWidth="1"/>
    <col min="10" max="10" width="5.1640625" style="925" customWidth="1"/>
    <col min="11" max="11" width="14.6640625" style="925" customWidth="1"/>
    <col min="12" max="12" width="5.1640625" style="925" customWidth="1"/>
    <col min="13" max="13" width="14.6640625" style="925" customWidth="1"/>
    <col min="14" max="14" width="11.6640625" style="925" customWidth="1"/>
    <col min="15" max="15" width="6.5" style="925" customWidth="1"/>
    <col min="16" max="16" width="2" style="925" customWidth="1"/>
    <col min="17" max="17" width="3.6640625" style="925" customWidth="1"/>
    <col min="18" max="19" width="9.33203125" style="925" customWidth="1"/>
    <col min="20" max="20" width="11.83203125" style="925" customWidth="1"/>
    <col min="21" max="21" width="10" style="925" customWidth="1"/>
    <col min="22" max="22" width="14.6640625" style="925" customWidth="1"/>
    <col min="23" max="23" width="5.1640625" style="925" customWidth="1"/>
    <col min="24" max="16384" width="9.33203125" style="925"/>
  </cols>
  <sheetData>
    <row r="1" spans="2:24" ht="7.5" customHeight="1" thickBot="1">
      <c r="V1" s="1758"/>
      <c r="W1" s="1758"/>
      <c r="X1" s="1758"/>
    </row>
    <row r="2" spans="2:24" ht="15.75">
      <c r="B2" s="926"/>
      <c r="C2" s="927"/>
      <c r="D2" s="927"/>
      <c r="E2" s="927"/>
      <c r="F2" s="927"/>
      <c r="G2" s="927"/>
      <c r="H2" s="927"/>
      <c r="I2" s="927"/>
      <c r="J2" s="927"/>
      <c r="K2" s="927"/>
      <c r="L2" s="927"/>
      <c r="M2" s="927"/>
      <c r="N2" s="927"/>
      <c r="O2" s="927"/>
      <c r="P2" s="928"/>
      <c r="V2" s="1758" t="s">
        <v>505</v>
      </c>
      <c r="W2" s="1758">
        <f>xxSim0Tool1</f>
        <v>0</v>
      </c>
      <c r="X2" s="1758"/>
    </row>
    <row r="3" spans="2:24" ht="23.25">
      <c r="B3" s="929"/>
      <c r="C3" s="930"/>
      <c r="D3" s="1736"/>
      <c r="E3" s="1736"/>
      <c r="F3" s="1736"/>
      <c r="G3" s="1736"/>
      <c r="H3" s="1736"/>
      <c r="I3" s="1737" t="s">
        <v>98</v>
      </c>
      <c r="J3" s="1758"/>
      <c r="K3" s="1736"/>
      <c r="L3" s="1736"/>
      <c r="M3" s="1736"/>
      <c r="N3" s="1736"/>
      <c r="O3" s="1738" t="str">
        <f>INDEX(decTeamName,,xxIndexTeam)</f>
        <v>Vivia</v>
      </c>
      <c r="P3" s="931"/>
      <c r="V3" s="1758" t="s">
        <v>190</v>
      </c>
      <c r="W3" s="1758">
        <f>xxYear</f>
        <v>1</v>
      </c>
      <c r="X3" s="1758"/>
    </row>
    <row r="4" spans="2:24" ht="6" customHeight="1">
      <c r="B4" s="932"/>
      <c r="C4" s="924"/>
      <c r="D4" s="1741"/>
      <c r="E4" s="1741"/>
      <c r="F4" s="1741"/>
      <c r="G4" s="1741"/>
      <c r="H4" s="1741"/>
      <c r="I4" s="1741"/>
      <c r="J4" s="1741"/>
      <c r="K4" s="1741"/>
      <c r="L4" s="1741"/>
      <c r="M4" s="1741"/>
      <c r="N4" s="1741"/>
      <c r="O4" s="1741"/>
      <c r="P4" s="933"/>
      <c r="V4" s="1758"/>
      <c r="W4" s="1758"/>
      <c r="X4" s="1758"/>
    </row>
    <row r="5" spans="2:24" ht="15.75">
      <c r="B5" s="934"/>
      <c r="C5" s="935"/>
      <c r="D5" s="1745"/>
      <c r="E5" s="1745"/>
      <c r="F5" s="1745"/>
      <c r="G5" s="1745"/>
      <c r="H5" s="1745"/>
      <c r="I5" s="1745"/>
      <c r="J5" s="1745"/>
      <c r="K5" s="1745"/>
      <c r="L5" s="1745"/>
      <c r="M5" s="1745"/>
      <c r="N5" s="1745"/>
      <c r="O5" s="1863" t="str">
        <f ca="1">xxDashboard</f>
        <v>Corporate:   Net Rev Growth: 0.3%,   Op Margin: 23.3%   ROIC: 22.9%   Sustainability: 100.5   MTUs: 81</v>
      </c>
      <c r="P5" s="936"/>
      <c r="V5" s="1758"/>
      <c r="W5" s="1758"/>
      <c r="X5" s="1758"/>
    </row>
    <row r="6" spans="2:24" ht="6" customHeight="1">
      <c r="B6" s="937"/>
      <c r="C6" s="935"/>
      <c r="D6" s="1744"/>
      <c r="E6" s="1744"/>
      <c r="F6" s="1744"/>
      <c r="G6" s="1748"/>
      <c r="H6" s="1748"/>
      <c r="I6" s="1748"/>
      <c r="J6" s="1748"/>
      <c r="K6" s="1748"/>
      <c r="L6" s="1748"/>
      <c r="M6" s="1748"/>
      <c r="N6" s="1748"/>
      <c r="O6" s="1748"/>
      <c r="P6" s="936"/>
      <c r="V6" s="1758"/>
      <c r="W6" s="1758"/>
      <c r="X6" s="1758"/>
    </row>
    <row r="7" spans="2:24" ht="15.75" customHeight="1">
      <c r="B7" s="937"/>
      <c r="C7" s="935"/>
      <c r="D7" s="1744"/>
      <c r="E7" s="1744"/>
      <c r="F7" s="1744"/>
      <c r="G7" s="1745"/>
      <c r="H7" s="1745"/>
      <c r="I7" s="1748"/>
      <c r="J7" s="1748"/>
      <c r="K7" s="1748"/>
      <c r="L7" s="1748"/>
      <c r="M7" s="1748"/>
      <c r="N7" s="1748"/>
      <c r="O7" s="1863" t="str">
        <f ca="1">xxOpsDashboard</f>
        <v>Operations:    Plant Lines: 931    Vetera: 66%    Escendia: 34%   Plant Efficiency: 76.5%</v>
      </c>
      <c r="P7" s="936"/>
      <c r="V7" s="1758"/>
      <c r="W7" s="1758"/>
      <c r="X7" s="1758"/>
    </row>
    <row r="8" spans="2:24" ht="6.75" customHeight="1">
      <c r="B8" s="938"/>
      <c r="C8" s="935"/>
      <c r="D8" s="935"/>
      <c r="E8" s="935"/>
      <c r="F8" s="935"/>
      <c r="G8" s="935"/>
      <c r="H8" s="935"/>
      <c r="I8" s="935"/>
      <c r="J8" s="935"/>
      <c r="K8" s="935"/>
      <c r="L8" s="935"/>
      <c r="M8" s="935"/>
      <c r="N8" s="935"/>
      <c r="O8" s="935"/>
      <c r="P8" s="936"/>
      <c r="V8" s="1758"/>
      <c r="W8" s="1758"/>
      <c r="X8" s="1758"/>
    </row>
    <row r="9" spans="2:24" ht="9" customHeight="1">
      <c r="B9" s="939"/>
      <c r="C9" s="940"/>
      <c r="D9" s="935"/>
      <c r="E9" s="935"/>
      <c r="F9" s="935"/>
      <c r="G9" s="941"/>
      <c r="H9" s="993"/>
      <c r="I9" s="993"/>
      <c r="J9" s="993"/>
      <c r="K9" s="993"/>
      <c r="L9" s="993"/>
      <c r="M9" s="993"/>
      <c r="N9" s="993"/>
      <c r="O9" s="993"/>
      <c r="P9" s="994"/>
      <c r="Q9" s="980"/>
      <c r="R9" s="980"/>
      <c r="S9" s="980"/>
      <c r="T9" s="980"/>
      <c r="V9" s="1758"/>
      <c r="W9" s="1758"/>
      <c r="X9" s="1758"/>
    </row>
    <row r="10" spans="2:24" ht="15.75">
      <c r="B10" s="939"/>
      <c r="C10" s="1744" t="s">
        <v>1648</v>
      </c>
      <c r="D10" s="1744"/>
      <c r="E10" s="1820"/>
      <c r="F10" s="1820"/>
      <c r="G10" s="1820"/>
      <c r="H10" s="496"/>
      <c r="I10" s="496"/>
      <c r="J10" s="496"/>
      <c r="K10" s="496"/>
      <c r="L10" s="496"/>
      <c r="M10" s="496"/>
      <c r="N10" s="496"/>
      <c r="O10" s="496"/>
      <c r="P10" s="994"/>
      <c r="Q10" s="980"/>
      <c r="R10" s="980"/>
      <c r="S10" s="980"/>
      <c r="T10" s="980"/>
      <c r="V10" s="1758"/>
      <c r="W10" s="1758"/>
      <c r="X10" s="1758"/>
    </row>
    <row r="11" spans="2:24" ht="9" customHeight="1">
      <c r="B11" s="939"/>
      <c r="C11" s="943"/>
      <c r="D11" s="935"/>
      <c r="E11" s="496"/>
      <c r="F11" s="496"/>
      <c r="G11" s="979"/>
      <c r="H11" s="996"/>
      <c r="I11" s="979"/>
      <c r="J11" s="996"/>
      <c r="K11" s="996"/>
      <c r="L11" s="996"/>
      <c r="M11" s="996"/>
      <c r="N11" s="996"/>
      <c r="O11" s="979"/>
      <c r="P11" s="994"/>
      <c r="Q11" s="980"/>
      <c r="R11" s="980"/>
      <c r="S11" s="980"/>
      <c r="T11" s="980"/>
      <c r="V11" s="1758"/>
      <c r="W11" s="1758"/>
      <c r="X11" s="1758"/>
    </row>
    <row r="12" spans="2:24" ht="15.75">
      <c r="B12" s="939"/>
      <c r="C12" s="945"/>
      <c r="D12" s="923"/>
      <c r="E12" s="496"/>
      <c r="F12" s="982"/>
      <c r="G12" s="999"/>
      <c r="H12" s="999"/>
      <c r="I12" s="1942" t="s">
        <v>522</v>
      </c>
      <c r="J12" s="1943"/>
      <c r="K12" s="1943"/>
      <c r="L12" s="1943"/>
      <c r="M12" s="1942" t="s">
        <v>1669</v>
      </c>
      <c r="N12" s="1820"/>
      <c r="O12" s="496"/>
      <c r="P12" s="994"/>
      <c r="Q12" s="980"/>
      <c r="R12" s="980"/>
      <c r="S12" s="980"/>
      <c r="T12" s="980"/>
      <c r="V12" s="1758"/>
      <c r="W12" s="1758"/>
      <c r="X12" s="1758"/>
    </row>
    <row r="13" spans="2:24" ht="3.75" customHeight="1" thickBot="1">
      <c r="B13" s="939"/>
      <c r="C13" s="1757"/>
      <c r="D13" s="1745"/>
      <c r="E13" s="1744"/>
      <c r="F13" s="1744"/>
      <c r="G13" s="935"/>
      <c r="H13" s="496"/>
      <c r="I13" s="1943"/>
      <c r="J13" s="1943"/>
      <c r="K13" s="1943"/>
      <c r="L13" s="1943"/>
      <c r="M13" s="1943"/>
      <c r="N13" s="1820"/>
      <c r="O13" s="496"/>
      <c r="P13" s="994"/>
      <c r="Q13" s="980"/>
      <c r="R13" s="980"/>
      <c r="S13" s="1000"/>
      <c r="T13" s="1000"/>
      <c r="U13" s="956"/>
      <c r="V13" s="1938"/>
      <c r="W13" s="1758"/>
      <c r="X13" s="1758"/>
    </row>
    <row r="14" spans="2:24" ht="16.5" thickBot="1">
      <c r="B14" s="939"/>
      <c r="C14" s="1757"/>
      <c r="D14" s="1745" t="s">
        <v>1105</v>
      </c>
      <c r="E14" s="1744"/>
      <c r="F14" s="1744"/>
      <c r="G14" s="416">
        <v>20</v>
      </c>
      <c r="H14" s="496"/>
      <c r="I14" s="1944">
        <f>INDEX(capPlant1InvestmentNew,xxIndexTeam)</f>
        <v>160000000</v>
      </c>
      <c r="J14" s="1820"/>
      <c r="K14" s="1820"/>
      <c r="L14" s="1820"/>
      <c r="M14" s="1820"/>
      <c r="N14" s="1820"/>
      <c r="O14" s="496"/>
      <c r="P14" s="994"/>
      <c r="Q14" s="980"/>
      <c r="R14" s="980"/>
      <c r="S14" s="1000"/>
      <c r="T14" s="1000"/>
      <c r="U14" s="956"/>
      <c r="V14" s="1939">
        <v>0</v>
      </c>
      <c r="W14" s="1758"/>
      <c r="X14" s="1758" t="s">
        <v>216</v>
      </c>
    </row>
    <row r="15" spans="2:24" ht="15.75">
      <c r="B15" s="939"/>
      <c r="C15" s="1757"/>
      <c r="D15" s="1940" t="s">
        <v>2746</v>
      </c>
      <c r="E15" s="1744"/>
      <c r="F15" s="1744"/>
      <c r="G15" s="955"/>
      <c r="H15" s="1001"/>
      <c r="I15" s="1889"/>
      <c r="J15" s="1866"/>
      <c r="K15" s="1866"/>
      <c r="L15" s="1866"/>
      <c r="M15" s="1866"/>
      <c r="N15" s="1866"/>
      <c r="O15" s="496"/>
      <c r="P15" s="994"/>
      <c r="Q15" s="980"/>
      <c r="R15" s="980"/>
      <c r="S15" s="1000"/>
      <c r="T15" s="1000"/>
      <c r="U15" s="956"/>
      <c r="V15" s="956"/>
    </row>
    <row r="16" spans="2:24" ht="6.75" customHeight="1" thickBot="1">
      <c r="B16" s="939"/>
      <c r="C16" s="1757"/>
      <c r="D16" s="1745"/>
      <c r="E16" s="1744"/>
      <c r="F16" s="1744"/>
      <c r="G16" s="944"/>
      <c r="H16" s="996"/>
      <c r="I16" s="1866"/>
      <c r="J16" s="1866"/>
      <c r="K16" s="1866"/>
      <c r="L16" s="1866"/>
      <c r="M16" s="1866"/>
      <c r="N16" s="1866"/>
      <c r="O16" s="496"/>
      <c r="P16" s="994"/>
      <c r="Q16" s="980"/>
      <c r="R16" s="980"/>
      <c r="S16" s="1000"/>
      <c r="T16" s="1000"/>
      <c r="U16" s="956"/>
      <c r="V16" s="956"/>
    </row>
    <row r="17" spans="1:22" s="954" customFormat="1" ht="16.5" thickBot="1">
      <c r="B17" s="953"/>
      <c r="C17" s="1762"/>
      <c r="D17" s="1763" t="s">
        <v>1702</v>
      </c>
      <c r="E17" s="1764"/>
      <c r="F17" s="1764"/>
      <c r="G17" s="416">
        <v>1000</v>
      </c>
      <c r="H17" s="1005"/>
      <c r="I17" s="1944">
        <f>INDEX(capReg1Emp3RecDismExp,xxIndexTeam)+INDEX(capReg2Emp3RecDismExp,xxIndexTeam)</f>
        <v>14984005.656625358</v>
      </c>
      <c r="J17" s="1945"/>
      <c r="K17" s="1945"/>
      <c r="L17" s="1945"/>
      <c r="M17" s="1945"/>
      <c r="N17" s="1945"/>
      <c r="O17" s="1005"/>
      <c r="P17" s="1006"/>
      <c r="Q17" s="1007"/>
      <c r="R17" s="1007"/>
      <c r="S17" s="1000"/>
      <c r="T17" s="1000"/>
      <c r="U17" s="956"/>
      <c r="V17" s="956"/>
    </row>
    <row r="18" spans="1:22" ht="15.75">
      <c r="B18" s="939"/>
      <c r="C18" s="1754"/>
      <c r="D18" s="1940" t="s">
        <v>2747</v>
      </c>
      <c r="E18" s="1744"/>
      <c r="F18" s="1744"/>
      <c r="G18" s="944"/>
      <c r="H18" s="996"/>
      <c r="I18" s="1866"/>
      <c r="J18" s="1866"/>
      <c r="K18" s="1866"/>
      <c r="L18" s="1866"/>
      <c r="M18" s="1866"/>
      <c r="N18" s="1866"/>
      <c r="O18" s="979"/>
      <c r="P18" s="994"/>
      <c r="Q18" s="980"/>
      <c r="R18" s="980"/>
      <c r="S18" s="980"/>
      <c r="T18" s="980"/>
    </row>
    <row r="19" spans="1:22" ht="6" customHeight="1" thickBot="1">
      <c r="B19" s="939"/>
      <c r="C19" s="1754"/>
      <c r="D19" s="1745"/>
      <c r="E19" s="1744"/>
      <c r="F19" s="1744"/>
      <c r="G19" s="944"/>
      <c r="H19" s="996"/>
      <c r="I19" s="1866"/>
      <c r="J19" s="1866"/>
      <c r="K19" s="1866"/>
      <c r="L19" s="1866"/>
      <c r="M19" s="1866"/>
      <c r="N19" s="1866"/>
      <c r="O19" s="979"/>
      <c r="P19" s="994"/>
      <c r="Q19" s="980"/>
      <c r="R19" s="980"/>
      <c r="S19" s="980"/>
      <c r="T19" s="980"/>
    </row>
    <row r="20" spans="1:22" ht="16.5" thickBot="1">
      <c r="B20" s="939"/>
      <c r="C20" s="1754"/>
      <c r="D20" s="1745" t="s">
        <v>1260</v>
      </c>
      <c r="E20" s="1744"/>
      <c r="F20" s="1744"/>
      <c r="G20" s="416">
        <v>3</v>
      </c>
      <c r="H20" s="996"/>
      <c r="I20" s="1944">
        <f>INDEX(paramPlantFlexRamp,xxIndexTeam)</f>
        <v>0</v>
      </c>
      <c r="J20" s="1866"/>
      <c r="K20" s="1866"/>
      <c r="L20" s="1866"/>
      <c r="M20" s="1866"/>
      <c r="N20" s="1866"/>
      <c r="O20" s="496"/>
      <c r="P20" s="994"/>
      <c r="Q20" s="980"/>
      <c r="R20" s="980"/>
      <c r="S20" s="980"/>
      <c r="T20" s="980"/>
    </row>
    <row r="21" spans="1:22" ht="6" customHeight="1">
      <c r="A21" s="980"/>
      <c r="B21" s="991"/>
      <c r="C21" s="1875"/>
      <c r="D21" s="1758"/>
      <c r="E21" s="1758"/>
      <c r="F21" s="1758"/>
      <c r="G21" s="947"/>
      <c r="H21" s="947"/>
      <c r="I21" s="947"/>
      <c r="J21" s="996"/>
      <c r="K21" s="996"/>
      <c r="L21" s="996"/>
      <c r="M21" s="996"/>
      <c r="N21" s="996"/>
      <c r="O21" s="496"/>
      <c r="P21" s="994"/>
      <c r="Q21" s="980"/>
      <c r="R21" s="980"/>
      <c r="S21" s="980"/>
      <c r="T21" s="980"/>
    </row>
    <row r="22" spans="1:22" ht="15.75">
      <c r="A22" s="980"/>
      <c r="B22" s="991"/>
      <c r="C22" s="1935"/>
      <c r="D22" s="1941" t="str">
        <f>"MTUs Required:         "&amp;INDEX(capPlantFlexMTUs,xxIndexTeam)+INDEX(capPlantCapMTUs,xxIndexTeam)</f>
        <v>MTUs Required:         4</v>
      </c>
      <c r="E22" s="1758"/>
      <c r="F22" s="1758"/>
      <c r="G22" s="947"/>
      <c r="H22" s="947"/>
      <c r="I22" s="1294"/>
      <c r="J22" s="996"/>
      <c r="K22" s="996"/>
      <c r="L22" s="996"/>
      <c r="M22" s="996"/>
      <c r="N22" s="996"/>
      <c r="O22" s="996"/>
      <c r="P22" s="994"/>
      <c r="Q22" s="980"/>
      <c r="R22" s="980"/>
      <c r="S22" s="980"/>
      <c r="T22" s="980"/>
    </row>
    <row r="23" spans="1:22" ht="15.75">
      <c r="A23" s="980"/>
      <c r="B23" s="991"/>
      <c r="C23" s="1003"/>
      <c r="D23" s="1097"/>
      <c r="E23" s="496"/>
      <c r="F23" s="496"/>
      <c r="G23" s="947"/>
      <c r="H23" s="996"/>
      <c r="I23" s="1264"/>
      <c r="J23" s="996"/>
      <c r="K23" s="996"/>
      <c r="L23" s="996"/>
      <c r="M23" s="996"/>
      <c r="N23" s="996"/>
      <c r="O23" s="996"/>
      <c r="P23" s="994"/>
      <c r="Q23" s="980"/>
      <c r="R23" s="980"/>
      <c r="S23" s="980"/>
      <c r="T23" s="980"/>
    </row>
    <row r="24" spans="1:22" ht="16.5" thickBot="1">
      <c r="A24" s="980"/>
      <c r="B24" s="991"/>
      <c r="C24" s="995"/>
      <c r="D24" s="987"/>
      <c r="E24" s="496"/>
      <c r="F24" s="496"/>
      <c r="G24" s="1086"/>
      <c r="H24" s="996"/>
      <c r="I24" s="1086"/>
      <c r="J24" s="982"/>
      <c r="K24" s="982"/>
      <c r="L24" s="982"/>
      <c r="M24" s="982"/>
      <c r="N24" s="982"/>
      <c r="O24" s="979"/>
      <c r="P24" s="994"/>
      <c r="Q24" s="980"/>
      <c r="R24" s="980"/>
      <c r="S24" s="1000"/>
      <c r="T24" s="1000"/>
      <c r="U24" s="956"/>
      <c r="V24" s="956"/>
    </row>
    <row r="25" spans="1:22" ht="15.75" hidden="1">
      <c r="A25" s="980"/>
      <c r="B25" s="991"/>
      <c r="C25" s="496" t="s">
        <v>1252</v>
      </c>
      <c r="D25" s="496"/>
      <c r="E25" s="496"/>
      <c r="F25" s="496"/>
      <c r="G25" s="496"/>
      <c r="H25" s="496"/>
      <c r="I25" s="496"/>
      <c r="J25" s="496"/>
      <c r="K25" s="496"/>
      <c r="L25" s="496"/>
      <c r="M25" s="496"/>
      <c r="N25" s="496"/>
      <c r="O25" s="496"/>
      <c r="P25" s="994"/>
      <c r="Q25" s="980"/>
      <c r="R25" s="980"/>
      <c r="S25" s="980"/>
      <c r="T25" s="980"/>
    </row>
    <row r="26" spans="1:22" ht="15.75" hidden="1">
      <c r="A26" s="980"/>
      <c r="B26" s="991"/>
      <c r="C26" s="995"/>
      <c r="D26" s="496"/>
      <c r="E26" s="496"/>
      <c r="F26" s="496"/>
      <c r="G26" s="979"/>
      <c r="H26" s="996"/>
      <c r="I26" s="979"/>
      <c r="J26" s="996"/>
      <c r="K26" s="996"/>
      <c r="L26" s="996"/>
      <c r="M26" s="996"/>
      <c r="N26" s="996"/>
      <c r="O26" s="979"/>
      <c r="P26" s="994"/>
      <c r="Q26" s="980"/>
      <c r="R26" s="980"/>
      <c r="S26" s="980"/>
      <c r="T26" s="980"/>
    </row>
    <row r="27" spans="1:22" ht="15.75" hidden="1">
      <c r="A27" s="980"/>
      <c r="B27" s="991"/>
      <c r="C27" s="496"/>
      <c r="D27" s="987"/>
      <c r="E27" s="987"/>
      <c r="F27" s="987"/>
      <c r="G27" s="987"/>
      <c r="H27" s="496"/>
      <c r="I27" s="496"/>
      <c r="J27" s="996"/>
      <c r="K27" s="996"/>
      <c r="L27" s="996"/>
      <c r="M27" s="996"/>
      <c r="N27" s="996"/>
      <c r="O27" s="496"/>
      <c r="P27" s="994"/>
      <c r="Q27" s="980"/>
      <c r="R27" s="980"/>
      <c r="S27" s="980"/>
      <c r="T27" s="980"/>
    </row>
    <row r="28" spans="1:22" ht="15.75" hidden="1">
      <c r="A28" s="980"/>
      <c r="B28" s="991"/>
      <c r="C28" s="496"/>
      <c r="D28" s="987"/>
      <c r="E28" s="987"/>
      <c r="F28" s="987"/>
      <c r="G28" s="987"/>
      <c r="H28" s="496"/>
      <c r="I28" s="496"/>
      <c r="J28" s="996"/>
      <c r="K28" s="996"/>
      <c r="L28" s="996"/>
      <c r="M28" s="996"/>
      <c r="N28" s="996"/>
      <c r="O28" s="496"/>
      <c r="P28" s="994"/>
      <c r="Q28" s="980"/>
      <c r="R28" s="980"/>
      <c r="S28" s="980"/>
      <c r="T28" s="980"/>
    </row>
    <row r="29" spans="1:22" ht="6.75" hidden="1" customHeight="1">
      <c r="A29" s="980"/>
      <c r="B29" s="991"/>
      <c r="C29" s="496"/>
      <c r="D29" s="987"/>
      <c r="E29" s="987"/>
      <c r="F29" s="987"/>
      <c r="G29" s="987"/>
      <c r="H29" s="496"/>
      <c r="I29" s="496"/>
      <c r="J29" s="996"/>
      <c r="K29" s="996"/>
      <c r="L29" s="996"/>
      <c r="M29" s="996"/>
      <c r="N29" s="996"/>
      <c r="O29" s="496"/>
      <c r="P29" s="994"/>
      <c r="Q29" s="980"/>
      <c r="R29" s="980"/>
      <c r="S29" s="980"/>
      <c r="T29" s="980"/>
    </row>
    <row r="30" spans="1:22" ht="15.75" hidden="1">
      <c r="A30" s="980"/>
      <c r="B30" s="991"/>
      <c r="C30" s="496"/>
      <c r="D30" s="987"/>
      <c r="E30" s="987"/>
      <c r="F30" s="987"/>
      <c r="G30" s="987"/>
      <c r="H30" s="496"/>
      <c r="I30" s="496"/>
      <c r="J30" s="996"/>
      <c r="K30" s="996"/>
      <c r="L30" s="996"/>
      <c r="M30" s="996"/>
      <c r="N30" s="996"/>
      <c r="O30" s="496"/>
      <c r="P30" s="994"/>
      <c r="Q30" s="980"/>
      <c r="R30" s="980"/>
      <c r="S30" s="980"/>
      <c r="T30" s="980"/>
    </row>
    <row r="31" spans="1:22" ht="15.75" hidden="1">
      <c r="A31" s="980"/>
      <c r="B31" s="991"/>
      <c r="C31" s="496"/>
      <c r="D31" s="987"/>
      <c r="E31" s="987"/>
      <c r="F31" s="987"/>
      <c r="G31" s="987"/>
      <c r="H31" s="496"/>
      <c r="I31" s="496"/>
      <c r="J31" s="996"/>
      <c r="K31" s="996"/>
      <c r="L31" s="996"/>
      <c r="M31" s="996"/>
      <c r="N31" s="996"/>
      <c r="O31" s="496"/>
      <c r="P31" s="994"/>
      <c r="Q31" s="980"/>
      <c r="R31" s="980"/>
      <c r="S31" s="980"/>
      <c r="T31" s="980"/>
    </row>
    <row r="32" spans="1:22" ht="6" hidden="1" customHeight="1">
      <c r="A32" s="980"/>
      <c r="B32" s="991"/>
      <c r="C32" s="496"/>
      <c r="D32" s="987"/>
      <c r="E32" s="987"/>
      <c r="F32" s="987"/>
      <c r="G32" s="987"/>
      <c r="H32" s="496"/>
      <c r="I32" s="496"/>
      <c r="J32" s="996"/>
      <c r="K32" s="996"/>
      <c r="L32" s="996"/>
      <c r="M32" s="996"/>
      <c r="N32" s="996"/>
      <c r="O32" s="496"/>
      <c r="P32" s="994"/>
      <c r="Q32" s="980"/>
      <c r="R32" s="980"/>
      <c r="S32" s="980"/>
      <c r="T32" s="980"/>
    </row>
    <row r="33" spans="1:57" ht="15.75" hidden="1">
      <c r="A33" s="980"/>
      <c r="B33" s="991"/>
      <c r="C33" s="496"/>
      <c r="D33" s="987"/>
      <c r="E33" s="987"/>
      <c r="F33" s="987"/>
      <c r="G33" s="987"/>
      <c r="H33" s="496"/>
      <c r="I33" s="496"/>
      <c r="J33" s="996"/>
      <c r="K33" s="996"/>
      <c r="L33" s="996"/>
      <c r="M33" s="996"/>
      <c r="N33" s="996"/>
      <c r="O33" s="496"/>
      <c r="P33" s="994"/>
      <c r="Q33" s="980"/>
      <c r="R33" s="980"/>
      <c r="S33" s="980"/>
      <c r="T33" s="980"/>
    </row>
    <row r="34" spans="1:57" ht="6" hidden="1" customHeight="1">
      <c r="A34" s="980"/>
      <c r="B34" s="991"/>
      <c r="C34" s="496"/>
      <c r="D34" s="987"/>
      <c r="E34" s="987"/>
      <c r="F34" s="987"/>
      <c r="G34" s="987"/>
      <c r="H34" s="496"/>
      <c r="I34" s="496"/>
      <c r="J34" s="996"/>
      <c r="K34" s="996"/>
      <c r="L34" s="996"/>
      <c r="M34" s="996"/>
      <c r="N34" s="996"/>
      <c r="O34" s="496"/>
      <c r="P34" s="994"/>
      <c r="Q34" s="980"/>
      <c r="R34" s="980"/>
      <c r="S34" s="980"/>
      <c r="T34" s="980"/>
    </row>
    <row r="35" spans="1:57" ht="15.75" hidden="1">
      <c r="A35" s="980"/>
      <c r="B35" s="991"/>
      <c r="C35" s="496"/>
      <c r="D35" s="987"/>
      <c r="E35" s="987"/>
      <c r="F35" s="987"/>
      <c r="G35" s="987"/>
      <c r="H35" s="496"/>
      <c r="I35" s="496"/>
      <c r="J35" s="996"/>
      <c r="K35" s="996"/>
      <c r="L35" s="996"/>
      <c r="M35" s="996"/>
      <c r="N35" s="996"/>
      <c r="O35" s="496"/>
      <c r="P35" s="994"/>
      <c r="Q35" s="980"/>
      <c r="R35" s="980"/>
      <c r="S35" s="980"/>
      <c r="T35" s="980"/>
    </row>
    <row r="36" spans="1:57" ht="8.25" hidden="1" customHeight="1">
      <c r="A36" s="980"/>
      <c r="B36" s="991"/>
      <c r="C36" s="496"/>
      <c r="D36" s="987"/>
      <c r="E36" s="987"/>
      <c r="F36" s="987"/>
      <c r="G36" s="987"/>
      <c r="H36" s="496"/>
      <c r="I36" s="496"/>
      <c r="J36" s="996"/>
      <c r="K36" s="996"/>
      <c r="L36" s="996"/>
      <c r="M36" s="996"/>
      <c r="N36" s="996"/>
      <c r="O36" s="496"/>
      <c r="P36" s="994"/>
      <c r="Q36" s="980"/>
      <c r="R36" s="980"/>
      <c r="S36" s="980"/>
      <c r="T36" s="980"/>
    </row>
    <row r="37" spans="1:57" ht="15.75" hidden="1">
      <c r="A37" s="980"/>
      <c r="B37" s="991"/>
      <c r="C37" s="496"/>
      <c r="D37" s="987"/>
      <c r="E37" s="987"/>
      <c r="F37" s="987"/>
      <c r="G37" s="987"/>
      <c r="H37" s="496"/>
      <c r="I37" s="496"/>
      <c r="J37" s="996"/>
      <c r="K37" s="996"/>
      <c r="L37" s="996"/>
      <c r="M37" s="996"/>
      <c r="N37" s="996"/>
      <c r="O37" s="496"/>
      <c r="P37" s="994"/>
      <c r="Q37" s="980"/>
      <c r="R37" s="980"/>
      <c r="S37" s="980"/>
      <c r="T37" s="980"/>
    </row>
    <row r="38" spans="1:57" ht="15.75" hidden="1">
      <c r="A38" s="980"/>
      <c r="B38" s="991"/>
      <c r="C38" s="496"/>
      <c r="D38" s="496"/>
      <c r="E38" s="496"/>
      <c r="F38" s="496"/>
      <c r="G38" s="496"/>
      <c r="H38" s="496"/>
      <c r="I38" s="496"/>
      <c r="J38" s="496"/>
      <c r="K38" s="496"/>
      <c r="L38" s="496"/>
      <c r="M38" s="496"/>
      <c r="N38" s="496"/>
      <c r="O38" s="496"/>
      <c r="P38" s="994"/>
      <c r="Q38" s="980"/>
      <c r="R38" s="980"/>
      <c r="S38" s="980"/>
      <c r="T38" s="980"/>
    </row>
    <row r="39" spans="1:57" ht="16.5" thickBot="1">
      <c r="A39" s="980"/>
      <c r="B39" s="1337"/>
      <c r="C39" s="1338"/>
      <c r="D39" s="1338"/>
      <c r="E39" s="1338"/>
      <c r="F39" s="1338"/>
      <c r="G39" s="1009"/>
      <c r="H39" s="1338"/>
      <c r="I39" s="1338"/>
      <c r="J39" s="1338"/>
      <c r="K39" s="1338"/>
      <c r="L39" s="1338"/>
      <c r="M39" s="1338"/>
      <c r="N39" s="1338"/>
      <c r="O39" s="1338"/>
      <c r="P39" s="1339"/>
      <c r="Q39" s="980"/>
      <c r="R39" s="980"/>
      <c r="S39" s="980"/>
      <c r="T39" s="980"/>
    </row>
    <row r="40" spans="1:57" ht="16.5" thickBot="1">
      <c r="A40" s="980"/>
      <c r="B40" s="1344"/>
      <c r="C40" s="1344"/>
      <c r="D40" s="1344"/>
      <c r="E40" s="1344"/>
      <c r="F40" s="1344"/>
      <c r="G40" s="1344"/>
      <c r="H40" s="1344"/>
      <c r="I40" s="1089"/>
      <c r="J40" s="1344"/>
      <c r="K40" s="1344"/>
      <c r="L40" s="1344"/>
      <c r="M40" s="1344"/>
      <c r="N40" s="1344"/>
      <c r="O40" s="1344"/>
      <c r="P40" s="1344"/>
      <c r="Q40" s="980"/>
      <c r="R40" s="980"/>
      <c r="S40" s="980"/>
      <c r="T40" s="980"/>
    </row>
    <row r="41" spans="1:57" ht="15.75" thickBot="1">
      <c r="B41" s="1773" t="s">
        <v>2361</v>
      </c>
      <c r="C41" s="1774"/>
      <c r="D41" s="1774"/>
      <c r="E41" s="1774"/>
      <c r="F41" s="1774"/>
      <c r="G41" s="1774"/>
      <c r="H41" s="1774"/>
      <c r="I41" s="1774"/>
      <c r="J41" s="1774"/>
      <c r="K41" s="1774"/>
      <c r="L41" s="1774"/>
      <c r="M41" s="1774"/>
      <c r="N41" s="1774"/>
      <c r="O41" s="1774"/>
      <c r="P41" s="1775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  <c r="T41" s="1062"/>
      <c r="U41" s="1062"/>
      <c r="V41" s="1062"/>
      <c r="W41" s="1062"/>
      <c r="X41" s="1062"/>
      <c r="Y41" s="1062"/>
      <c r="Z41" s="1062"/>
      <c r="AA41" s="1062"/>
      <c r="AB41" s="1062"/>
      <c r="AC41" s="1062"/>
      <c r="AD41" s="1062"/>
      <c r="AE41" s="1062"/>
      <c r="AF41" s="1062"/>
      <c r="AG41" s="1062"/>
      <c r="AH41" s="1062"/>
      <c r="AI41" s="1062"/>
      <c r="AJ41" s="1062"/>
      <c r="AK41" s="1062"/>
      <c r="AL41" s="1062"/>
      <c r="AM41" s="1062"/>
      <c r="AN41" s="1062"/>
      <c r="AO41" s="1062"/>
      <c r="AP41" s="1062"/>
      <c r="AQ41" s="1062"/>
      <c r="AR41" s="1062"/>
      <c r="AS41" s="1062"/>
      <c r="AT41" s="1062"/>
      <c r="AU41" s="1062"/>
      <c r="AV41" s="1062"/>
      <c r="AW41" s="1062"/>
      <c r="AX41" s="1062"/>
      <c r="AY41" s="1062"/>
      <c r="AZ41" s="1062"/>
      <c r="BA41" s="1062"/>
      <c r="BB41" s="1062"/>
      <c r="BC41" s="1062"/>
      <c r="BD41" s="1062"/>
      <c r="BE41" s="1062"/>
    </row>
    <row r="42" spans="1:57" s="980" customFormat="1" ht="7.5" customHeight="1">
      <c r="B42" s="1877"/>
      <c r="C42" s="1946"/>
      <c r="D42" s="1946"/>
      <c r="E42" s="1946"/>
      <c r="F42" s="1946"/>
      <c r="G42" s="1947"/>
      <c r="H42" s="1946"/>
      <c r="I42" s="1948"/>
      <c r="J42" s="1948"/>
      <c r="K42" s="1948"/>
      <c r="L42" s="1948"/>
      <c r="M42" s="1948"/>
      <c r="N42" s="1948"/>
      <c r="O42" s="1948"/>
      <c r="P42" s="1949"/>
    </row>
    <row r="43" spans="1:57" s="980" customFormat="1" ht="15.75">
      <c r="B43" s="1781"/>
      <c r="C43" s="1820"/>
      <c r="D43" s="1820"/>
      <c r="E43" s="1820"/>
      <c r="F43" s="1820"/>
      <c r="G43" s="1950"/>
      <c r="H43" s="1820"/>
      <c r="I43" s="1951" t="str">
        <f>DataNameProd1</f>
        <v>CSD</v>
      </c>
      <c r="J43" s="1889"/>
      <c r="K43" s="1951" t="str">
        <f>DataNameProd3</f>
        <v>NCB</v>
      </c>
      <c r="L43" s="1889"/>
      <c r="M43" s="1951" t="str">
        <f>DataNameProd4</f>
        <v>F&amp;S</v>
      </c>
      <c r="N43" s="1848"/>
      <c r="O43" s="1848"/>
      <c r="P43" s="1794"/>
      <c r="Q43" s="925"/>
    </row>
    <row r="44" spans="1:57" ht="15.75">
      <c r="B44" s="1885" t="s">
        <v>1652</v>
      </c>
      <c r="C44" s="1744"/>
      <c r="D44" s="1886"/>
      <c r="E44" s="1886"/>
      <c r="F44" s="1886"/>
      <c r="G44" s="1886"/>
      <c r="H44" s="1886"/>
      <c r="I44" s="1736"/>
      <c r="J44" s="1736"/>
      <c r="K44" s="1736"/>
      <c r="L44" s="1736"/>
      <c r="M44" s="1736"/>
      <c r="N44" s="1744"/>
      <c r="O44" s="1952"/>
      <c r="P44" s="1746"/>
    </row>
    <row r="45" spans="1:57" ht="7.5" customHeight="1">
      <c r="B45" s="1743"/>
      <c r="C45" s="1744"/>
      <c r="D45" s="1886"/>
      <c r="E45" s="1886"/>
      <c r="F45" s="1886"/>
      <c r="G45" s="1886"/>
      <c r="H45" s="1886"/>
      <c r="I45" s="1953"/>
      <c r="J45" s="1889"/>
      <c r="K45" s="1888"/>
      <c r="L45" s="1889"/>
      <c r="M45" s="1888"/>
      <c r="N45" s="1744"/>
      <c r="O45" s="1744"/>
      <c r="P45" s="1746"/>
    </row>
    <row r="46" spans="1:57" ht="12" customHeight="1">
      <c r="B46" s="1743"/>
      <c r="C46" s="1762"/>
      <c r="D46" s="1736"/>
      <c r="E46" s="1886" t="s">
        <v>2844</v>
      </c>
      <c r="F46" s="1886"/>
      <c r="G46" s="1886"/>
      <c r="H46" s="1886"/>
      <c r="I46" s="1954">
        <f>INDEX(capProd1Reg1Units, xxIndexTeam)+INDEX(capProd1Reg2Units, xxIndexTeam)</f>
        <v>1104473008</v>
      </c>
      <c r="J46" s="1955"/>
      <c r="K46" s="1954">
        <f>INDEX(capProd3Reg1Units, xxIndexTeam)+INDEX(capProd3Reg2Units, xxIndexTeam)</f>
        <v>634579400</v>
      </c>
      <c r="L46" s="1954"/>
      <c r="M46" s="1954">
        <f>INDEX(capProd4Reg1Units, xxIndexTeam)+INDEX(capProd4Reg2Units, xxIndexTeam)</f>
        <v>795534000</v>
      </c>
      <c r="N46" s="1789"/>
      <c r="O46" s="1787"/>
      <c r="P46" s="1746"/>
    </row>
    <row r="47" spans="1:57" ht="12" customHeight="1">
      <c r="B47" s="1743"/>
      <c r="C47" s="1762"/>
      <c r="D47" s="1736"/>
      <c r="E47" s="2617" t="s">
        <v>1647</v>
      </c>
      <c r="F47" s="2617"/>
      <c r="G47" s="2617"/>
      <c r="H47" s="2617"/>
      <c r="I47" s="1956">
        <f>MIN(I46, (INDEX(obalProd1Reg1UnitsFG, xxIndexTeam)+INDEX(obalProd1Reg2UnitsFG, xxIndexTeam)))</f>
        <v>0</v>
      </c>
      <c r="J47" s="1957"/>
      <c r="K47" s="1956">
        <f>MIN(K46, (INDEX(obalProd3Reg1UnitsFG, xxIndexTeam)+INDEX(obalProd3Reg2UnitsFG, xxIndexTeam)))</f>
        <v>0</v>
      </c>
      <c r="L47" s="1957"/>
      <c r="M47" s="1956">
        <f>MIN(M46, (INDEX(obalProd4Reg1UnitsFG, xxIndexTeam)+INDEX(obalProd4Reg2UnitsFG, xxIndexTeam)))</f>
        <v>1259732</v>
      </c>
      <c r="N47" s="1791"/>
      <c r="O47" s="1791"/>
      <c r="P47" s="1746"/>
    </row>
    <row r="48" spans="1:57" ht="12" customHeight="1">
      <c r="B48" s="1743"/>
      <c r="C48" s="1762"/>
      <c r="D48" s="1736"/>
      <c r="E48" s="1886" t="s">
        <v>3882</v>
      </c>
      <c r="F48" s="1886"/>
      <c r="G48" s="1886"/>
      <c r="H48" s="1886"/>
      <c r="I48" s="1954">
        <f>I46-I47</f>
        <v>1104473008</v>
      </c>
      <c r="J48" s="1886"/>
      <c r="K48" s="1954">
        <f>K46-K47</f>
        <v>634579400</v>
      </c>
      <c r="L48" s="1886"/>
      <c r="M48" s="1954">
        <f>M46-M47</f>
        <v>794274268</v>
      </c>
      <c r="N48" s="1791"/>
      <c r="O48" s="1791"/>
      <c r="P48" s="1746"/>
    </row>
    <row r="49" spans="2:16" ht="12" customHeight="1">
      <c r="B49" s="1743"/>
      <c r="C49" s="1958"/>
      <c r="D49" s="1886"/>
      <c r="E49" s="1886"/>
      <c r="F49" s="1886"/>
      <c r="G49" s="1886"/>
      <c r="H49" s="1886"/>
      <c r="I49" s="1886"/>
      <c r="J49" s="1886"/>
      <c r="K49" s="1886"/>
      <c r="L49" s="1886"/>
      <c r="M49" s="1886"/>
      <c r="N49" s="1791"/>
      <c r="O49" s="1791"/>
      <c r="P49" s="1746"/>
    </row>
    <row r="50" spans="2:16" ht="15.75">
      <c r="B50" s="1885" t="s">
        <v>903</v>
      </c>
      <c r="C50" s="1676"/>
      <c r="D50" s="1736"/>
      <c r="E50" s="1736"/>
      <c r="F50" s="1736"/>
      <c r="G50" s="1736"/>
      <c r="H50" s="1676"/>
      <c r="I50" s="1953"/>
      <c r="J50" s="1889"/>
      <c r="K50" s="1953"/>
      <c r="L50" s="1889"/>
      <c r="M50" s="1953"/>
      <c r="N50" s="1744"/>
      <c r="O50" s="1808"/>
      <c r="P50" s="1783"/>
    </row>
    <row r="51" spans="2:16" ht="12" customHeight="1">
      <c r="B51" s="1903"/>
      <c r="C51" s="1736"/>
      <c r="D51" s="1736"/>
      <c r="E51" s="1959"/>
      <c r="F51" s="1886"/>
      <c r="G51" s="1901"/>
      <c r="H51" s="1886"/>
      <c r="I51" s="1960"/>
      <c r="J51" s="1960"/>
      <c r="K51" s="1960"/>
      <c r="L51" s="1960"/>
      <c r="M51" s="1960"/>
      <c r="N51" s="1736"/>
      <c r="O51" s="1736"/>
      <c r="P51" s="1783"/>
    </row>
    <row r="52" spans="2:16" ht="12" customHeight="1">
      <c r="B52" s="1903"/>
      <c r="C52" s="1736"/>
      <c r="D52" s="1736"/>
      <c r="E52" s="1959" t="s">
        <v>905</v>
      </c>
      <c r="F52" s="1886"/>
      <c r="G52" s="1901"/>
      <c r="H52" s="1886"/>
      <c r="I52" s="1960"/>
      <c r="J52" s="1960"/>
      <c r="K52" s="1960"/>
      <c r="L52" s="1960"/>
      <c r="M52" s="1960"/>
      <c r="N52" s="1736"/>
      <c r="O52" s="1736"/>
      <c r="P52" s="1783"/>
    </row>
    <row r="53" spans="2:16" ht="12" customHeight="1">
      <c r="B53" s="1903"/>
      <c r="C53" s="1736"/>
      <c r="D53" s="1736"/>
      <c r="E53" s="1961" t="s">
        <v>1598</v>
      </c>
      <c r="F53" s="1886"/>
      <c r="G53" s="1901"/>
      <c r="H53" s="1886"/>
      <c r="I53" s="1955">
        <f>INDEX(cbalProd1Reg1UnitsFG, xxIndexTeam)</f>
        <v>0</v>
      </c>
      <c r="J53" s="1955"/>
      <c r="K53" s="1955">
        <f>INDEX(cbalProd3Reg1UnitsFG, xxIndexTeam)</f>
        <v>4225850</v>
      </c>
      <c r="L53" s="1955"/>
      <c r="M53" s="1955">
        <f>INDEX(cbalProd4Reg1UnitsFG, xxIndexTeam)</f>
        <v>2166800</v>
      </c>
      <c r="N53" s="1736"/>
      <c r="O53" s="1736"/>
      <c r="P53" s="1783"/>
    </row>
    <row r="54" spans="2:16" ht="12" customHeight="1">
      <c r="B54" s="1903"/>
      <c r="C54" s="1736"/>
      <c r="D54" s="1736"/>
      <c r="E54" s="1961" t="s">
        <v>1599</v>
      </c>
      <c r="F54" s="1886"/>
      <c r="G54" s="1901"/>
      <c r="H54" s="1886"/>
      <c r="I54" s="1955">
        <f>INDEX(cbalProd1Reg2UnitsFG, xxIndexTeam)</f>
        <v>2383994.8000000003</v>
      </c>
      <c r="J54" s="1955"/>
      <c r="K54" s="1955">
        <f>INDEX(cbalProd3Reg2UnitsFG, xxIndexTeam)</f>
        <v>3969000</v>
      </c>
      <c r="L54" s="1955"/>
      <c r="M54" s="1955">
        <f>INDEX(cbalProd4Reg2UnitsFG, xxIndexTeam)</f>
        <v>3600000</v>
      </c>
      <c r="N54" s="1736"/>
      <c r="O54" s="1736"/>
      <c r="P54" s="1783"/>
    </row>
    <row r="55" spans="2:16" ht="7.5" customHeight="1">
      <c r="B55" s="1903"/>
      <c r="C55" s="1736"/>
      <c r="D55" s="1736"/>
      <c r="E55" s="1961"/>
      <c r="F55" s="1886"/>
      <c r="G55" s="1901"/>
      <c r="H55" s="1886"/>
      <c r="I55" s="1960"/>
      <c r="J55" s="1960"/>
      <c r="K55" s="1960"/>
      <c r="L55" s="1960"/>
      <c r="M55" s="1960"/>
      <c r="N55" s="1736"/>
      <c r="O55" s="1736"/>
      <c r="P55" s="1783"/>
    </row>
    <row r="56" spans="2:16" ht="12" customHeight="1">
      <c r="B56" s="1903"/>
      <c r="C56" s="1736"/>
      <c r="D56" s="1736"/>
      <c r="E56" s="1962" t="s">
        <v>1314</v>
      </c>
      <c r="F56" s="1676"/>
      <c r="G56" s="1744"/>
      <c r="H56" s="1676"/>
      <c r="I56" s="1963">
        <f>SUM(I53:I54)</f>
        <v>2383994.8000000003</v>
      </c>
      <c r="J56" s="1964"/>
      <c r="K56" s="1963">
        <f>SUM(K53:K54)</f>
        <v>8194850</v>
      </c>
      <c r="L56" s="1964"/>
      <c r="M56" s="1963">
        <f>SUM(M53:M54)</f>
        <v>5766800</v>
      </c>
      <c r="N56" s="1736"/>
      <c r="O56" s="1736"/>
      <c r="P56" s="1783"/>
    </row>
    <row r="57" spans="2:16" s="1088" customFormat="1" ht="12" customHeight="1">
      <c r="B57" s="1903"/>
      <c r="C57" s="1676"/>
      <c r="D57" s="1676"/>
      <c r="E57" s="1676"/>
      <c r="F57" s="1676"/>
      <c r="G57" s="1676"/>
      <c r="H57" s="1676"/>
      <c r="I57" s="1676"/>
      <c r="J57" s="1676"/>
      <c r="K57" s="1676"/>
      <c r="L57" s="1736"/>
      <c r="M57" s="1736"/>
      <c r="N57" s="1736"/>
      <c r="O57" s="1736"/>
      <c r="P57" s="1746"/>
    </row>
    <row r="58" spans="2:16" ht="12" customHeight="1">
      <c r="B58" s="1903"/>
      <c r="C58" s="1736"/>
      <c r="D58" s="1736"/>
      <c r="E58" s="1676" t="s">
        <v>908</v>
      </c>
      <c r="F58" s="1886"/>
      <c r="G58" s="1901"/>
      <c r="H58" s="1886"/>
      <c r="I58" s="1960"/>
      <c r="J58" s="1886"/>
      <c r="K58" s="1960"/>
      <c r="L58" s="1886"/>
      <c r="M58" s="1960"/>
      <c r="N58" s="1736"/>
      <c r="O58" s="1736"/>
      <c r="P58" s="1783"/>
    </row>
    <row r="59" spans="2:16" ht="12" customHeight="1">
      <c r="B59" s="1903"/>
      <c r="C59" s="1736"/>
      <c r="D59" s="1736"/>
      <c r="E59" s="1961" t="s">
        <v>1598</v>
      </c>
      <c r="F59" s="1676"/>
      <c r="G59" s="1736"/>
      <c r="H59" s="1676"/>
      <c r="I59" s="1955">
        <f>INDEX(cbalProd1Reg1UnitsWIP, xxIndexTeam)</f>
        <v>171628</v>
      </c>
      <c r="J59" s="1955"/>
      <c r="K59" s="1955">
        <f>INDEX(cbalProd3Reg1UnitsWIP, xxIndexTeam)</f>
        <v>211622</v>
      </c>
      <c r="L59" s="1955"/>
      <c r="M59" s="1955">
        <f>INDEX(cbalProd4Reg1UnitsWIP, xxIndexTeam)</f>
        <v>641312</v>
      </c>
      <c r="N59" s="1736"/>
      <c r="O59" s="1736"/>
      <c r="P59" s="1783"/>
    </row>
    <row r="60" spans="2:16" ht="12" customHeight="1">
      <c r="B60" s="1903"/>
      <c r="C60" s="1736"/>
      <c r="D60" s="1736"/>
      <c r="E60" s="1961" t="s">
        <v>1599</v>
      </c>
      <c r="F60" s="1676"/>
      <c r="G60" s="1736"/>
      <c r="H60" s="1676"/>
      <c r="I60" s="1955">
        <f>INDEX(cbalProd1Reg2UnitsWIP, xxIndexTeam)</f>
        <v>82562</v>
      </c>
      <c r="J60" s="1955"/>
      <c r="K60" s="1955">
        <f>INDEX(cbalProd3Reg2UnitsWIP, xxIndexTeam)</f>
        <v>145314</v>
      </c>
      <c r="L60" s="1955"/>
      <c r="M60" s="1955">
        <f>INDEX(cbalProd4Reg2UnitsWIP, xxIndexTeam)</f>
        <v>266664</v>
      </c>
      <c r="N60" s="1736"/>
      <c r="O60" s="1736"/>
      <c r="P60" s="1783"/>
    </row>
    <row r="61" spans="2:16" ht="7.5" customHeight="1">
      <c r="B61" s="1903"/>
      <c r="C61" s="1736"/>
      <c r="D61" s="1736"/>
      <c r="E61" s="1961"/>
      <c r="F61" s="1886"/>
      <c r="G61" s="1901"/>
      <c r="H61" s="1886"/>
      <c r="I61" s="1960"/>
      <c r="J61" s="1960"/>
      <c r="K61" s="1960"/>
      <c r="L61" s="1960"/>
      <c r="M61" s="1960"/>
      <c r="N61" s="1736"/>
      <c r="O61" s="1736"/>
      <c r="P61" s="1783"/>
    </row>
    <row r="62" spans="2:16" ht="12" customHeight="1">
      <c r="B62" s="1903"/>
      <c r="C62" s="1736"/>
      <c r="D62" s="1736"/>
      <c r="E62" s="1962" t="s">
        <v>904</v>
      </c>
      <c r="F62" s="1676"/>
      <c r="G62" s="1744"/>
      <c r="H62" s="1676"/>
      <c r="I62" s="1963">
        <f>SUM(I59:I60)</f>
        <v>254190</v>
      </c>
      <c r="J62" s="1964"/>
      <c r="K62" s="1963">
        <f>SUM(K59:K60)</f>
        <v>356936</v>
      </c>
      <c r="L62" s="1964"/>
      <c r="M62" s="1963">
        <f>SUM(M59:M60)</f>
        <v>907976</v>
      </c>
      <c r="N62" s="1736"/>
      <c r="O62" s="1736"/>
      <c r="P62" s="1783"/>
    </row>
    <row r="63" spans="2:16" ht="12" customHeight="1">
      <c r="B63" s="1903"/>
      <c r="C63" s="1736"/>
      <c r="D63" s="1736"/>
      <c r="E63" s="1965"/>
      <c r="F63" s="1886"/>
      <c r="G63" s="1901"/>
      <c r="H63" s="1886"/>
      <c r="I63" s="1960"/>
      <c r="J63" s="1960"/>
      <c r="K63" s="1960"/>
      <c r="L63" s="1960"/>
      <c r="M63" s="1960"/>
      <c r="N63" s="1736"/>
      <c r="O63" s="1736"/>
      <c r="P63" s="1783"/>
    </row>
    <row r="64" spans="2:16" ht="12" customHeight="1">
      <c r="B64" s="1903"/>
      <c r="C64" s="1736"/>
      <c r="D64" s="1736"/>
      <c r="E64" s="1962" t="s">
        <v>906</v>
      </c>
      <c r="F64" s="1886"/>
      <c r="G64" s="1901"/>
      <c r="H64" s="1886"/>
      <c r="I64" s="1960"/>
      <c r="J64" s="1960"/>
      <c r="K64" s="1960"/>
      <c r="L64" s="1960"/>
      <c r="M64" s="1960"/>
      <c r="N64" s="1736"/>
      <c r="O64" s="1736"/>
      <c r="P64" s="1783"/>
    </row>
    <row r="65" spans="2:17" ht="12" customHeight="1">
      <c r="B65" s="1903"/>
      <c r="C65" s="1736"/>
      <c r="D65" s="1736"/>
      <c r="E65" s="1966" t="s">
        <v>907</v>
      </c>
      <c r="F65" s="1886"/>
      <c r="G65" s="1901"/>
      <c r="H65" s="1886"/>
      <c r="I65" s="1967">
        <f>INDEX(cbalReg1Prod1MatValue,xxIndexTeam)/24+INDEX(cbalReg2Prod1MatValue, xxIndexTeam)/24</f>
        <v>11283267.221508287</v>
      </c>
      <c r="J65" s="1967"/>
      <c r="K65" s="1967">
        <f>INDEX(cbalReg1Prod3MatValue,xxIndexTeam)/24+INDEX(cbalReg2Prod3MatValue, xxIndexTeam)/24</f>
        <v>10456373.587881131</v>
      </c>
      <c r="L65" s="1967"/>
      <c r="M65" s="1967">
        <f>INDEX(cbalReg1Prod4MatValue,xxIndexTeam)/24+INDEX(cbalReg2Prod4MatValue, xxIndexTeam)/24</f>
        <v>13208925.259704996</v>
      </c>
      <c r="N65" s="1736"/>
      <c r="O65" s="1736"/>
      <c r="P65" s="1783"/>
    </row>
    <row r="66" spans="2:17" ht="12" customHeight="1">
      <c r="B66" s="1903"/>
      <c r="C66" s="1736"/>
      <c r="D66" s="1736"/>
      <c r="E66" s="1966" t="s">
        <v>3673</v>
      </c>
      <c r="F66" s="1886"/>
      <c r="G66" s="1901"/>
      <c r="H66" s="1886"/>
      <c r="I66" s="1967">
        <f>INDEX(cbalReg1Prod1WIPValue,xxIndexTeam)+INDEX(cbalReg2Prod1WIPValue, xxIndexTeam)</f>
        <v>589442.34186685656</v>
      </c>
      <c r="J66" s="1967"/>
      <c r="K66" s="1967">
        <f>INDEX(cbalReg1Prod3WIPValue,xxIndexTeam)+INDEX(cbalReg2Prod3WIPValue, xxIndexTeam)</f>
        <v>1429517.6492498559</v>
      </c>
      <c r="L66" s="1967"/>
      <c r="M66" s="1967">
        <f>INDEX(cbalReg1Prod4WIPValue,xxIndexTeam)+INDEX(cbalReg2Prod4WIPValue, xxIndexTeam)</f>
        <v>3009692.1575947041</v>
      </c>
      <c r="N66" s="1736"/>
      <c r="O66" s="1736"/>
      <c r="P66" s="1783"/>
    </row>
    <row r="67" spans="2:17" ht="12" customHeight="1">
      <c r="B67" s="1903"/>
      <c r="C67" s="1736"/>
      <c r="D67" s="1736"/>
      <c r="E67" s="1966" t="s">
        <v>3415</v>
      </c>
      <c r="F67" s="1886"/>
      <c r="G67" s="1901"/>
      <c r="H67" s="1886"/>
      <c r="I67" s="1967">
        <f ca="1">INDEX(cbalReg1Prod1FGValue,xxIndexTeam)+INDEX(cbalReg2Prod1FGValue, xxIndexTeam)</f>
        <v>7031173.6600389471</v>
      </c>
      <c r="J67" s="1967"/>
      <c r="K67" s="1967">
        <f ca="1">INDEX(cbalReg1Prod3FGValue, xxIndexTeam)+INDEX(cbalReg2Prod3FGValue, xxIndexTeam)</f>
        <v>45535096.579160444</v>
      </c>
      <c r="L67" s="1967"/>
      <c r="M67" s="1967">
        <f ca="1">INDEX(cbalReg1Prod4FGValue, xxIndexTeam)+INDEX(cbalReg2Prod4FGValue, xxIndexTeam)</f>
        <v>26280019.035193272</v>
      </c>
      <c r="N67" s="1736"/>
      <c r="O67" s="1736"/>
      <c r="P67" s="1783"/>
    </row>
    <row r="68" spans="2:17" ht="7.5" customHeight="1">
      <c r="B68" s="1903"/>
      <c r="C68" s="1736"/>
      <c r="D68" s="1736"/>
      <c r="E68" s="1961"/>
      <c r="F68" s="1886"/>
      <c r="G68" s="1901"/>
      <c r="H68" s="1886"/>
      <c r="I68" s="1960"/>
      <c r="J68" s="1960"/>
      <c r="K68" s="1960"/>
      <c r="L68" s="1960"/>
      <c r="M68" s="1960"/>
      <c r="N68" s="1736"/>
      <c r="O68" s="1736"/>
      <c r="P68" s="1783"/>
    </row>
    <row r="69" spans="2:17" ht="12" customHeight="1">
      <c r="B69" s="1903"/>
      <c r="C69" s="1736"/>
      <c r="D69" s="1736"/>
      <c r="E69" s="1962" t="s">
        <v>904</v>
      </c>
      <c r="F69" s="1676"/>
      <c r="G69" s="1744"/>
      <c r="H69" s="1676"/>
      <c r="I69" s="1968">
        <f ca="1">SUM(I65:I67)</f>
        <v>18903883.22341409</v>
      </c>
      <c r="J69" s="1964"/>
      <c r="K69" s="1968">
        <f ca="1">SUM(K65:K67)</f>
        <v>57420987.816291429</v>
      </c>
      <c r="L69" s="1964"/>
      <c r="M69" s="1968">
        <f ca="1">SUM(M65:M67)</f>
        <v>42498636.452492967</v>
      </c>
      <c r="N69" s="1736"/>
      <c r="O69" s="1736"/>
      <c r="P69" s="1783"/>
    </row>
    <row r="70" spans="2:17" ht="12" customHeight="1">
      <c r="B70" s="1903"/>
      <c r="C70" s="1736"/>
      <c r="D70" s="1736"/>
      <c r="E70" s="1962"/>
      <c r="F70" s="1676"/>
      <c r="G70" s="1744"/>
      <c r="H70" s="1676"/>
      <c r="I70" s="1969"/>
      <c r="J70" s="1964"/>
      <c r="K70" s="1969"/>
      <c r="L70" s="1964"/>
      <c r="M70" s="1969"/>
      <c r="N70" s="1736"/>
      <c r="O70" s="1736"/>
      <c r="P70" s="1783"/>
    </row>
    <row r="71" spans="2:17" s="1089" customFormat="1" ht="15.75">
      <c r="B71" s="1885" t="s">
        <v>988</v>
      </c>
      <c r="C71" s="1820"/>
      <c r="D71" s="1820"/>
      <c r="E71" s="1820"/>
      <c r="F71" s="1820"/>
      <c r="G71" s="1950"/>
      <c r="H71" s="1820"/>
      <c r="I71" s="1848"/>
      <c r="J71" s="1848"/>
      <c r="K71" s="1848"/>
      <c r="L71" s="1848"/>
      <c r="M71" s="1848"/>
      <c r="N71" s="1848"/>
      <c r="O71" s="1848"/>
      <c r="P71" s="1794"/>
      <c r="Q71" s="1088"/>
    </row>
    <row r="72" spans="2:17" ht="7.5" customHeight="1">
      <c r="B72" s="1743"/>
      <c r="C72" s="1782"/>
      <c r="D72" s="1782"/>
      <c r="E72" s="1782"/>
      <c r="F72" s="1782"/>
      <c r="G72" s="1782"/>
      <c r="H72" s="1782"/>
      <c r="I72" s="1782"/>
      <c r="J72" s="1782"/>
      <c r="K72" s="1782"/>
      <c r="L72" s="1782"/>
      <c r="M72" s="1782"/>
      <c r="N72" s="1782"/>
      <c r="O72" s="1782"/>
      <c r="P72" s="1783"/>
    </row>
    <row r="73" spans="2:17" ht="12" customHeight="1">
      <c r="B73" s="1903"/>
      <c r="C73" s="1736"/>
      <c r="D73" s="1736"/>
      <c r="E73" s="1970" t="s">
        <v>1567</v>
      </c>
      <c r="F73" s="1901"/>
      <c r="G73" s="1886"/>
      <c r="H73" s="1901"/>
      <c r="I73" s="1971">
        <f>INDEX(capProd1COGSPUnitMat, xxIndexTeam)</f>
        <v>2.3189045275850999</v>
      </c>
      <c r="J73" s="1971"/>
      <c r="K73" s="1971">
        <f>INDEX(capProd3COGSPUnitMat, xxIndexTeam)</f>
        <v>4.004969096</v>
      </c>
      <c r="L73" s="1971"/>
      <c r="M73" s="1971">
        <f>INDEX(capProd4COGSPUnitMat, xxIndexTeam)</f>
        <v>3.3147265540000004</v>
      </c>
      <c r="N73" s="1744"/>
      <c r="O73" s="1744"/>
      <c r="P73" s="1746"/>
    </row>
    <row r="74" spans="2:17" ht="12" customHeight="1">
      <c r="B74" s="1903"/>
      <c r="C74" s="1736"/>
      <c r="D74" s="1736"/>
      <c r="E74" s="1970" t="s">
        <v>3260</v>
      </c>
      <c r="F74" s="1901"/>
      <c r="G74" s="1886"/>
      <c r="H74" s="1901"/>
      <c r="I74" s="1972"/>
      <c r="J74" s="1972"/>
      <c r="K74" s="1972"/>
      <c r="L74" s="1972"/>
      <c r="M74" s="1972"/>
      <c r="N74" s="1744"/>
      <c r="O74" s="1744"/>
      <c r="P74" s="1746"/>
    </row>
    <row r="75" spans="2:17" ht="12" customHeight="1">
      <c r="B75" s="1903"/>
      <c r="C75" s="1736"/>
      <c r="D75" s="1736"/>
      <c r="E75" s="1966" t="s">
        <v>1598</v>
      </c>
      <c r="F75" s="1901"/>
      <c r="G75" s="1886"/>
      <c r="H75" s="1901"/>
      <c r="I75" s="1972">
        <f>INDEX(capReg1Prod1CostPUnitEmp3, xxIndexTeam)</f>
        <v>1.5168384461231603</v>
      </c>
      <c r="J75" s="1972"/>
      <c r="K75" s="1972">
        <f>INDEX(capReg1Prod3CostPUnitEmp3, xxIndexTeam)</f>
        <v>1.6979012682786405</v>
      </c>
      <c r="L75" s="1972"/>
      <c r="M75" s="1972">
        <f>INDEX(capReg1Prod4CostPUnitEmp3, xxIndexTeam)</f>
        <v>1.5628409401201129</v>
      </c>
      <c r="N75" s="1744"/>
      <c r="O75" s="1744"/>
      <c r="P75" s="1746"/>
    </row>
    <row r="76" spans="2:17" ht="12" customHeight="1">
      <c r="B76" s="1903"/>
      <c r="C76" s="1736"/>
      <c r="D76" s="1736"/>
      <c r="E76" s="1966" t="s">
        <v>1599</v>
      </c>
      <c r="F76" s="1901"/>
      <c r="G76" s="1886"/>
      <c r="H76" s="1901"/>
      <c r="I76" s="1972">
        <f>INDEX(capReg2Prod1CostPUnitEmp3, xxIndexTeam)</f>
        <v>0.40686197998307172</v>
      </c>
      <c r="J76" s="1972"/>
      <c r="K76" s="1972">
        <f>INDEX(capReg2Prod3CostPUnitEmp3, xxIndexTeam)</f>
        <v>0.45542850894453502</v>
      </c>
      <c r="L76" s="1972"/>
      <c r="M76" s="1972">
        <f>INDEX(capReg2Prod4CostPUnitEmp3, xxIndexTeam)</f>
        <v>0.41920124118758345</v>
      </c>
      <c r="N76" s="1744"/>
      <c r="O76" s="1744"/>
      <c r="P76" s="1746"/>
    </row>
    <row r="77" spans="2:17" ht="15.75">
      <c r="B77" s="1903"/>
      <c r="C77" s="1736"/>
      <c r="D77" s="1736"/>
      <c r="E77" s="1970" t="s">
        <v>1568</v>
      </c>
      <c r="F77" s="1901"/>
      <c r="G77" s="1886"/>
      <c r="H77" s="1901"/>
      <c r="I77" s="1972">
        <f ca="1">INDEX(capProd1COGSPUnitPlant1, xxIndexTeam)+INDEX(capProd1COGSPUnitDep,xxIndexTeam)</f>
        <v>0.22355773594064218</v>
      </c>
      <c r="J77" s="1972"/>
      <c r="K77" s="1972">
        <f ca="1">INDEX(capProd3COGSPUnitPlant1, xxIndexTeam)+INDEX(capProd3COGSPUnitDep,xxIndexTeam)</f>
        <v>0.45544503636414352</v>
      </c>
      <c r="L77" s="1972"/>
      <c r="M77" s="1972">
        <f ca="1">INDEX(capProd4COGSPUnitPlant1, xxIndexTeam)+INDEX(capProd4COGSPUnitDep,xxIndexTeam)</f>
        <v>0.39348784876508747</v>
      </c>
      <c r="N77" s="1789"/>
      <c r="O77" s="1789"/>
      <c r="P77" s="1746"/>
    </row>
    <row r="78" spans="2:17" ht="7.5" customHeight="1">
      <c r="B78" s="1903"/>
      <c r="C78" s="1736"/>
      <c r="D78" s="1736"/>
      <c r="E78" s="1676"/>
      <c r="F78" s="1676"/>
      <c r="G78" s="1973"/>
      <c r="H78" s="1736"/>
      <c r="I78" s="1973"/>
      <c r="J78" s="1973"/>
      <c r="K78" s="1973"/>
      <c r="L78" s="1973"/>
      <c r="M78" s="1973"/>
      <c r="N78" s="1793"/>
      <c r="O78" s="1803"/>
      <c r="P78" s="1746"/>
    </row>
    <row r="79" spans="2:17" ht="12" customHeight="1">
      <c r="B79" s="1735"/>
      <c r="C79" s="1736"/>
      <c r="D79" s="1736"/>
      <c r="E79" s="1676" t="s">
        <v>3127</v>
      </c>
      <c r="F79" s="1676"/>
      <c r="G79" s="1736"/>
      <c r="H79" s="1736"/>
      <c r="I79" s="1973">
        <f ca="1">toolPNL!G23</f>
        <v>3.6987819745338055</v>
      </c>
      <c r="J79" s="1973"/>
      <c r="K79" s="1973">
        <f ca="1">toolPNL!I23</f>
        <v>5.6525022979252588</v>
      </c>
      <c r="L79" s="1973"/>
      <c r="M79" s="1973">
        <f ca="1">toolPNL!K23</f>
        <v>4.9355351182626457</v>
      </c>
      <c r="N79" s="1793"/>
      <c r="O79" s="1793"/>
      <c r="P79" s="1746"/>
    </row>
    <row r="80" spans="2:17" ht="7.5" customHeight="1">
      <c r="B80" s="1903"/>
      <c r="C80" s="1736"/>
      <c r="D80" s="1736"/>
      <c r="E80" s="1676"/>
      <c r="F80" s="1676"/>
      <c r="G80" s="1974"/>
      <c r="H80" s="1676"/>
      <c r="I80" s="1974"/>
      <c r="J80" s="1676"/>
      <c r="K80" s="1974"/>
      <c r="L80" s="1676"/>
      <c r="M80" s="1676"/>
      <c r="N80" s="1793"/>
      <c r="O80" s="1803"/>
      <c r="P80" s="1746"/>
    </row>
    <row r="81" spans="2:17" ht="12" customHeight="1">
      <c r="B81" s="1903"/>
      <c r="C81" s="1736"/>
      <c r="D81" s="1736"/>
      <c r="E81" s="1975" t="s">
        <v>735</v>
      </c>
      <c r="F81" s="1901"/>
      <c r="G81" s="1886"/>
      <c r="H81" s="1901"/>
      <c r="I81" s="1976">
        <f ca="1">I79/INDEX(capProd1Reg1Price, xxIndexTeam)</f>
        <v>0.38934547100355849</v>
      </c>
      <c r="J81" s="1976"/>
      <c r="K81" s="1976">
        <f ca="1">K79/INDEX(capProd3Reg1Price, xxIndexTeam)</f>
        <v>0.37683348652835058</v>
      </c>
      <c r="L81" s="1976"/>
      <c r="M81" s="1976">
        <f ca="1">M79/INDEX(capProd4Reg1Price, xxIndexTeam)</f>
        <v>0.39484280946101163</v>
      </c>
      <c r="N81" s="1793"/>
      <c r="O81" s="1793"/>
      <c r="P81" s="1746"/>
    </row>
    <row r="82" spans="2:17" ht="12" customHeight="1">
      <c r="B82" s="1903"/>
      <c r="C82" s="1736"/>
      <c r="D82" s="1736"/>
      <c r="E82" s="1975" t="s">
        <v>736</v>
      </c>
      <c r="F82" s="1901"/>
      <c r="G82" s="1886"/>
      <c r="H82" s="1901"/>
      <c r="I82" s="1976">
        <f ca="1">I79/INDEX(capProd1Reg2Price,xxIndexTeam)</f>
        <v>0.52839742493340081</v>
      </c>
      <c r="J82" s="1976"/>
      <c r="K82" s="1976">
        <f ca="1">K79/INDEX(capProd3Reg2Price,xxIndexTeam)</f>
        <v>0.56525022979252593</v>
      </c>
      <c r="L82" s="1976"/>
      <c r="M82" s="1976">
        <f ca="1">M79/INDEX(capProd4Reg2Price,xxIndexTeam)</f>
        <v>0.54839279091807169</v>
      </c>
      <c r="N82" s="1806"/>
      <c r="O82" s="1805"/>
      <c r="P82" s="1746"/>
    </row>
    <row r="83" spans="2:17" ht="7.5" customHeight="1">
      <c r="B83" s="1903"/>
      <c r="C83" s="1736"/>
      <c r="D83" s="1736"/>
      <c r="E83" s="1977"/>
      <c r="F83" s="1676"/>
      <c r="G83" s="1978"/>
      <c r="H83" s="1978"/>
      <c r="I83" s="1978"/>
      <c r="J83" s="1978"/>
      <c r="K83" s="1978"/>
      <c r="L83" s="1676"/>
      <c r="M83" s="1676"/>
      <c r="N83" s="1798"/>
      <c r="O83" s="1797"/>
      <c r="P83" s="1746"/>
    </row>
    <row r="84" spans="2:17" ht="12" customHeight="1">
      <c r="B84" s="2009"/>
      <c r="C84" s="1745"/>
      <c r="D84" s="1745"/>
      <c r="E84" s="1979" t="s">
        <v>734</v>
      </c>
      <c r="F84" s="1980"/>
      <c r="G84" s="1981"/>
      <c r="H84" s="1981"/>
      <c r="I84" s="1982">
        <f ca="1">toolPNL!G26</f>
        <v>0.48560259152862839</v>
      </c>
      <c r="J84" s="1983"/>
      <c r="K84" s="1982">
        <f ca="1">toolPNL!I26</f>
        <v>0.49842585035514292</v>
      </c>
      <c r="L84" s="1983"/>
      <c r="M84" s="1982">
        <f ca="1">toolPNL!K26</f>
        <v>0.52349129228119373</v>
      </c>
      <c r="N84" s="1782"/>
      <c r="O84" s="1782"/>
      <c r="P84" s="1783"/>
    </row>
    <row r="85" spans="2:17" ht="12" customHeight="1" thickBot="1">
      <c r="B85" s="2010"/>
      <c r="C85" s="1676"/>
      <c r="D85" s="1676"/>
      <c r="E85" s="1676"/>
      <c r="F85" s="1676"/>
      <c r="G85" s="1676"/>
      <c r="H85" s="1676"/>
      <c r="I85" s="1973"/>
      <c r="J85" s="1676"/>
      <c r="K85" s="1676"/>
      <c r="L85" s="1736"/>
      <c r="M85" s="1736"/>
      <c r="N85" s="1813"/>
      <c r="O85" s="1812"/>
      <c r="P85" s="1746"/>
    </row>
    <row r="86" spans="2:17" ht="16.5" thickBot="1">
      <c r="B86" s="2011" t="s">
        <v>1651</v>
      </c>
      <c r="C86" s="1984"/>
      <c r="D86" s="1984"/>
      <c r="E86" s="1984"/>
      <c r="F86" s="1984"/>
      <c r="G86" s="1984"/>
      <c r="H86" s="1984"/>
      <c r="I86" s="1985"/>
      <c r="J86" s="1986"/>
      <c r="K86" s="1986"/>
      <c r="L86" s="1987"/>
      <c r="M86" s="1988"/>
      <c r="N86" s="1987"/>
      <c r="O86" s="1984"/>
      <c r="P86" s="1780"/>
    </row>
    <row r="87" spans="2:17" s="1089" customFormat="1" ht="7.5" customHeight="1">
      <c r="B87" s="1885"/>
      <c r="C87" s="1820"/>
      <c r="D87" s="1820"/>
      <c r="E87" s="1820"/>
      <c r="F87" s="1820"/>
      <c r="G87" s="1950"/>
      <c r="H87" s="1820"/>
      <c r="I87" s="1848"/>
      <c r="J87" s="1848"/>
      <c r="K87" s="1848"/>
      <c r="L87" s="1848"/>
      <c r="M87" s="1848"/>
      <c r="N87" s="1848"/>
      <c r="O87" s="1848"/>
      <c r="P87" s="1794"/>
      <c r="Q87" s="1088"/>
    </row>
    <row r="88" spans="2:17" s="1089" customFormat="1" ht="15.75">
      <c r="B88" s="1885" t="s">
        <v>3001</v>
      </c>
      <c r="C88" s="1820"/>
      <c r="D88" s="1820"/>
      <c r="E88" s="1820"/>
      <c r="F88" s="1820"/>
      <c r="G88" s="1950"/>
      <c r="H88" s="1820"/>
      <c r="I88" s="1848"/>
      <c r="J88" s="1989" t="s">
        <v>1538</v>
      </c>
      <c r="K88" s="1848"/>
      <c r="L88" s="1848"/>
      <c r="M88" s="1848"/>
      <c r="N88" s="1848"/>
      <c r="O88" s="1848"/>
      <c r="P88" s="1794"/>
      <c r="Q88" s="1088"/>
    </row>
    <row r="89" spans="2:17" ht="12" customHeight="1">
      <c r="B89" s="1743"/>
      <c r="C89" s="1990"/>
      <c r="D89" s="1736"/>
      <c r="E89" s="1886"/>
      <c r="F89" s="1676"/>
      <c r="G89" s="1736"/>
      <c r="H89" s="1676"/>
      <c r="I89" s="1888"/>
      <c r="J89" s="1676"/>
      <c r="K89" s="1736"/>
      <c r="L89" s="1886"/>
      <c r="M89" s="1886"/>
      <c r="N89" s="1886"/>
      <c r="O89" s="1886"/>
      <c r="P89" s="1746"/>
    </row>
    <row r="90" spans="2:17" ht="15.75">
      <c r="B90" s="1743"/>
      <c r="C90" s="1990"/>
      <c r="D90" s="1901"/>
      <c r="E90" s="1886"/>
      <c r="F90" s="1991" t="s">
        <v>3094</v>
      </c>
      <c r="G90" s="1901"/>
      <c r="H90" s="1886"/>
      <c r="I90" s="1992">
        <f>INDEX(capPlant1UnitsChange,xxIndexTeam)</f>
        <v>20</v>
      </c>
      <c r="J90" s="1886"/>
      <c r="K90" s="1901"/>
      <c r="L90" s="1901"/>
      <c r="M90" s="1991" t="s">
        <v>660</v>
      </c>
      <c r="N90" s="2619">
        <f>INDEX(obalEmp3, xxIndexTeam)</f>
        <v>76566</v>
      </c>
      <c r="O90" s="2619"/>
      <c r="P90" s="1746"/>
    </row>
    <row r="91" spans="2:17" ht="15.75">
      <c r="B91" s="1743"/>
      <c r="C91" s="1762"/>
      <c r="D91" s="1901"/>
      <c r="E91" s="1886"/>
      <c r="F91" s="1991" t="s">
        <v>2960</v>
      </c>
      <c r="G91" s="1901"/>
      <c r="H91" s="1886"/>
      <c r="I91" s="1992">
        <f>INDEX(cbalPlant1Units, xxIndexTeam)</f>
        <v>931</v>
      </c>
      <c r="J91" s="1886"/>
      <c r="K91" s="1901"/>
      <c r="L91" s="1901"/>
      <c r="M91" s="1991" t="s">
        <v>1539</v>
      </c>
      <c r="N91" s="2619">
        <f>INDEX(capEmp3Change,xxIndexTeam)</f>
        <v>1000</v>
      </c>
      <c r="O91" s="2619"/>
      <c r="P91" s="1794"/>
    </row>
    <row r="92" spans="2:17" ht="15.75">
      <c r="B92" s="1743"/>
      <c r="C92" s="1762"/>
      <c r="D92" s="1901"/>
      <c r="E92" s="1886"/>
      <c r="F92" s="1991" t="s">
        <v>3002</v>
      </c>
      <c r="G92" s="1901"/>
      <c r="H92" s="1886"/>
      <c r="I92" s="1993">
        <f ca="1">INDEX(capPlant1HoursAvail, xxIndexTeam)</f>
        <v>4273290</v>
      </c>
      <c r="J92" s="1886"/>
      <c r="K92" s="1901"/>
      <c r="L92" s="1901"/>
      <c r="M92" s="1991" t="s">
        <v>1540</v>
      </c>
      <c r="N92" s="2619">
        <f>INDEX(capEmp3Att, xxIndexTeam)</f>
        <v>7657</v>
      </c>
      <c r="O92" s="2619"/>
      <c r="P92" s="1746"/>
    </row>
    <row r="93" spans="2:17" ht="15.75">
      <c r="B93" s="1743"/>
      <c r="C93" s="1994"/>
      <c r="D93" s="1901"/>
      <c r="E93" s="1886"/>
      <c r="F93" s="1991" t="s">
        <v>2260</v>
      </c>
      <c r="G93" s="1901"/>
      <c r="H93" s="1901"/>
      <c r="I93" s="1995">
        <f ca="1">INDEX(capPlant1Utiliz, xxIndexTeam)</f>
        <v>0.91400000000000003</v>
      </c>
      <c r="J93" s="1886"/>
      <c r="K93" s="1901"/>
      <c r="L93" s="1901"/>
      <c r="M93" s="1991" t="s">
        <v>2888</v>
      </c>
      <c r="N93" s="2619">
        <f>N90+N91-N92</f>
        <v>69909</v>
      </c>
      <c r="O93" s="2619"/>
      <c r="P93" s="1746"/>
    </row>
    <row r="94" spans="2:17" ht="15.75">
      <c r="B94" s="1743"/>
      <c r="C94" s="1994"/>
      <c r="D94" s="1901"/>
      <c r="E94" s="1886"/>
      <c r="F94" s="1991" t="s">
        <v>3643</v>
      </c>
      <c r="G94" s="1901"/>
      <c r="H94" s="1886"/>
      <c r="I94" s="1996">
        <f ca="1">INDEX(capPlant1MachExCapCost, xxIndexTeam)</f>
        <v>0</v>
      </c>
      <c r="J94" s="1886"/>
      <c r="K94" s="1901"/>
      <c r="L94" s="1901"/>
      <c r="M94" s="1991" t="s">
        <v>2261</v>
      </c>
      <c r="N94" s="2618">
        <f>INDEX(capEmp3Utiliz, xxIndexTeam)</f>
        <v>1.0371559793673131</v>
      </c>
      <c r="O94" s="2618"/>
      <c r="P94" s="1746"/>
    </row>
    <row r="95" spans="2:17" ht="15.75">
      <c r="B95" s="1743"/>
      <c r="C95" s="1994"/>
      <c r="D95" s="1901"/>
      <c r="E95" s="1886"/>
      <c r="F95" s="1991" t="s">
        <v>2933</v>
      </c>
      <c r="G95" s="1901"/>
      <c r="H95" s="1886"/>
      <c r="I95" s="1997">
        <f ca="1">INDEX(capPlant1MachInEffCost, xxIndexTeam)</f>
        <v>1004223.1499999999</v>
      </c>
      <c r="J95" s="1886"/>
      <c r="K95" s="1901"/>
      <c r="L95" s="1901"/>
      <c r="M95" s="1991" t="str">
        <f>IF((INDEX(capReg1Emp3OTCost, xxIndexTeam)+INDEX(capReg2Emp3OTCost, xxIndexTeam))&gt;0,"Overtime Expense for Labor","Excess Capacity Expense")</f>
        <v>Overtime Expense for Labor</v>
      </c>
      <c r="N95" s="2616">
        <f>IF((INDEX(capReg1Emp3OTCost, xxIndexTeam)+INDEX(capReg2Emp3OTCost, xxIndexTeam))&gt;0,INDEX(capReg1Emp3OTCost, xxIndexTeam)+INDEX(capReg2Emp3OTCost, xxIndexTeam),INDEX(capReg1Emp3ExCapCost,xxIndexTeam)+INDEX(capReg2Emp3ExCapCost,xxIndexTeam))</f>
        <v>170162689.63380381</v>
      </c>
      <c r="O95" s="2616"/>
      <c r="P95" s="1746"/>
    </row>
    <row r="96" spans="2:17" ht="15.75">
      <c r="B96" s="1743"/>
      <c r="C96" s="1762"/>
      <c r="D96" s="1901"/>
      <c r="E96" s="1886"/>
      <c r="F96" s="1991" t="s">
        <v>3573</v>
      </c>
      <c r="G96" s="1901"/>
      <c r="H96" s="1886"/>
      <c r="I96" s="1998">
        <f>INDEX(capPlant1CapitalMaint, xxIndexTeam)</f>
        <v>818084000</v>
      </c>
      <c r="J96" s="1999"/>
      <c r="K96" s="1901"/>
      <c r="L96" s="1991"/>
      <c r="M96" s="1886"/>
      <c r="N96" s="2000"/>
      <c r="O96" s="1886"/>
      <c r="P96" s="1794"/>
    </row>
    <row r="97" spans="2:16" ht="16.5" thickBot="1">
      <c r="B97" s="2012"/>
      <c r="C97" s="2001"/>
      <c r="D97" s="2002"/>
      <c r="E97" s="2003"/>
      <c r="F97" s="2004"/>
      <c r="G97" s="2002"/>
      <c r="H97" s="2003"/>
      <c r="I97" s="2005"/>
      <c r="J97" s="2003"/>
      <c r="K97" s="2002"/>
      <c r="L97" s="2004"/>
      <c r="M97" s="2003"/>
      <c r="N97" s="2006"/>
      <c r="O97" s="2003"/>
      <c r="P97" s="2007"/>
    </row>
    <row r="98" spans="2:16" ht="16.5" thickBot="1">
      <c r="B98" s="2011"/>
      <c r="C98" s="1984"/>
      <c r="D98" s="1984"/>
      <c r="E98" s="1984"/>
      <c r="F98" s="1984"/>
      <c r="G98" s="1984"/>
      <c r="H98" s="1984"/>
      <c r="I98" s="1984"/>
      <c r="J98" s="1984"/>
      <c r="K98" s="1984"/>
      <c r="L98" s="1984"/>
      <c r="M98" s="1984"/>
      <c r="N98" s="1984"/>
      <c r="O98" s="1984"/>
      <c r="P98" s="2008"/>
    </row>
  </sheetData>
  <mergeCells count="7">
    <mergeCell ref="N95:O95"/>
    <mergeCell ref="E47:H47"/>
    <mergeCell ref="N94:O94"/>
    <mergeCell ref="N93:O93"/>
    <mergeCell ref="N92:O92"/>
    <mergeCell ref="N91:O91"/>
    <mergeCell ref="N90:O90"/>
  </mergeCells>
  <phoneticPr fontId="0" type="noConversion"/>
  <dataValidations count="9">
    <dataValidation type="whole" allowBlank="1" showInputMessage="1" showErrorMessage="1" errorTitle="Input Error" error="Partner brand can only be one level higher from prior year.  " sqref="O14">
      <formula1>0</formula1>
      <formula2>Y45</formula2>
    </dataValidation>
    <dataValidation type="whole" allowBlank="1" showInputMessage="1" showErrorMessage="1" errorTitle="Input Error" error="Partner brand can only be one level higher from prior year.  " sqref="O15:O16">
      <formula1>0</formula1>
      <formula2>Y45</formula2>
    </dataValidation>
    <dataValidation type="whole" allowBlank="1" showInputMessage="1" showErrorMessage="1" errorTitle="Inpurt Error" error="Speciality brand can only be one level higher from prior year.  " sqref="O20">
      <formula1>0</formula1>
      <formula2>#REF!</formula2>
    </dataValidation>
    <dataValidation type="whole" operator="lessThanOrEqual" allowBlank="1" showInputMessage="1" showErrorMessage="1" errorTitle="Input Error" error="Family brand can be only three levels higher than prior year.  " sqref="O26 I11 O11 G11">
      <formula1>3</formula1>
    </dataValidation>
    <dataValidation type="list" allowBlank="1" showInputMessage="1" showErrorMessage="1" sqref="O24 G20">
      <formula1>dataList1to10</formula1>
    </dataValidation>
    <dataValidation type="whole" operator="lessThanOrEqual" allowBlank="1" showInputMessage="1" showErrorMessage="1" errorTitle="Inpurt Error" error="Speciality brand can only be one level higher from prior year.  " sqref="O18:O19">
      <formula1>1</formula1>
    </dataValidation>
    <dataValidation operator="lessThanOrEqual" allowBlank="1" showInputMessage="1" showErrorMessage="1" errorTitle="Input Error" error="Family brand can be only three levels higher than prior year.  " sqref="O21 I12:I13 O12:O13 G13"/>
    <dataValidation type="whole" operator="greaterThan" allowBlank="1" showInputMessage="1" showErrorMessage="1" error="Please enter a value greater than or equal to 0.  " sqref="G17">
      <formula1>-999999999</formula1>
    </dataValidation>
    <dataValidation type="whole" operator="greaterThan" allowBlank="1" showInputMessage="1" showErrorMessage="1" sqref="G14">
      <formula1>-999999999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indexed="23"/>
    <pageSetUpPr fitToPage="1"/>
  </sheetPr>
  <dimension ref="B1:V80"/>
  <sheetViews>
    <sheetView zoomScale="116" workbookViewId="0">
      <pane ySplit="8" topLeftCell="A24" activePane="bottomLeft" state="frozen"/>
      <selection activeCell="B2" sqref="B2:N100"/>
      <selection pane="bottomLeft" activeCell="J37" sqref="J37"/>
    </sheetView>
  </sheetViews>
  <sheetFormatPr defaultRowHeight="15"/>
  <cols>
    <col min="1" max="1" width="1.6640625" style="925" customWidth="1"/>
    <col min="2" max="2" width="1.5" style="925" customWidth="1"/>
    <col min="3" max="3" width="2.6640625" style="925" customWidth="1"/>
    <col min="4" max="4" width="11.6640625" style="925" customWidth="1"/>
    <col min="5" max="5" width="18.5" style="925" customWidth="1"/>
    <col min="6" max="6" width="14.6640625" style="925" customWidth="1"/>
    <col min="7" max="7" width="5" style="925" customWidth="1"/>
    <col min="8" max="8" width="14.6640625" style="925" customWidth="1"/>
    <col min="9" max="9" width="4.6640625" style="925" customWidth="1"/>
    <col min="10" max="10" width="14.6640625" style="925" customWidth="1"/>
    <col min="11" max="11" width="4.6640625" style="925" customWidth="1"/>
    <col min="12" max="12" width="14.6640625" style="925" customWidth="1"/>
    <col min="13" max="13" width="4.6640625" style="925" customWidth="1"/>
    <col min="14" max="14" width="14.6640625" style="925" customWidth="1"/>
    <col min="15" max="15" width="2" style="925" customWidth="1"/>
    <col min="16" max="16" width="1.5" style="925" customWidth="1"/>
    <col min="17" max="18" width="9.33203125" style="925" customWidth="1"/>
    <col min="19" max="19" width="11.83203125" style="925" customWidth="1"/>
    <col min="20" max="20" width="11.5" style="925" customWidth="1"/>
    <col min="21" max="21" width="14.5" style="925" customWidth="1"/>
    <col min="22" max="22" width="5" style="925" customWidth="1"/>
    <col min="23" max="16384" width="9.33203125" style="925"/>
  </cols>
  <sheetData>
    <row r="1" spans="2:22" ht="7.5" customHeight="1" thickBot="1"/>
    <row r="2" spans="2:22" ht="15.75">
      <c r="B2" s="926"/>
      <c r="C2" s="1733"/>
      <c r="D2" s="1733"/>
      <c r="E2" s="1733"/>
      <c r="F2" s="1733"/>
      <c r="G2" s="1733"/>
      <c r="H2" s="1733"/>
      <c r="I2" s="1733"/>
      <c r="J2" s="1733"/>
      <c r="K2" s="1733"/>
      <c r="L2" s="1733"/>
      <c r="M2" s="1733"/>
      <c r="N2" s="1733"/>
      <c r="O2" s="928"/>
      <c r="U2" s="1758" t="s">
        <v>505</v>
      </c>
      <c r="V2" s="1758">
        <f>xxSim0Tool1</f>
        <v>0</v>
      </c>
    </row>
    <row r="3" spans="2:22" ht="23.25">
      <c r="B3" s="929"/>
      <c r="C3" s="1736"/>
      <c r="D3" s="1736"/>
      <c r="E3" s="1736"/>
      <c r="F3" s="1861" t="s">
        <v>1649</v>
      </c>
      <c r="G3" s="1758"/>
      <c r="H3" s="1758"/>
      <c r="I3" s="1862"/>
      <c r="J3" s="1862"/>
      <c r="K3" s="1862"/>
      <c r="L3" s="1862"/>
      <c r="M3" s="1736"/>
      <c r="N3" s="1738" t="str">
        <f>INDEX(decTeamName,,xxIndexTeam)</f>
        <v>Vivia</v>
      </c>
      <c r="O3" s="931"/>
      <c r="U3" s="1758" t="s">
        <v>190</v>
      </c>
      <c r="V3" s="1758">
        <f>xxYear</f>
        <v>1</v>
      </c>
    </row>
    <row r="4" spans="2:22" ht="6" customHeight="1">
      <c r="B4" s="932"/>
      <c r="C4" s="1741"/>
      <c r="D4" s="1741"/>
      <c r="E4" s="1741"/>
      <c r="F4" s="1741"/>
      <c r="G4" s="1741"/>
      <c r="H4" s="1741"/>
      <c r="I4" s="1741"/>
      <c r="J4" s="1741"/>
      <c r="K4" s="1741"/>
      <c r="L4" s="1741"/>
      <c r="M4" s="1741"/>
      <c r="N4" s="1741"/>
      <c r="O4" s="933"/>
    </row>
    <row r="5" spans="2:22" ht="15.75">
      <c r="B5" s="934"/>
      <c r="C5" s="1744"/>
      <c r="D5" s="1745"/>
      <c r="E5" s="1745"/>
      <c r="F5" s="1745"/>
      <c r="G5" s="1745"/>
      <c r="H5" s="1745"/>
      <c r="I5" s="1745"/>
      <c r="J5" s="1745"/>
      <c r="K5" s="1745"/>
      <c r="L5" s="1745"/>
      <c r="M5" s="1745"/>
      <c r="N5" s="1863" t="str">
        <f ca="1">xxDashboard</f>
        <v>Corporate:   Net Rev Growth: 0.3%,   Op Margin: 23.3%   ROIC: 22.9%   Sustainability: 100.5   MTUs: 81</v>
      </c>
      <c r="O5" s="936"/>
    </row>
    <row r="6" spans="2:22" ht="6" customHeight="1">
      <c r="B6" s="937"/>
      <c r="C6" s="1744"/>
      <c r="D6" s="1744"/>
      <c r="E6" s="1744"/>
      <c r="F6" s="1748"/>
      <c r="G6" s="1748"/>
      <c r="H6" s="1748"/>
      <c r="I6" s="1748"/>
      <c r="J6" s="1748"/>
      <c r="K6" s="1748"/>
      <c r="L6" s="1748"/>
      <c r="M6" s="1748"/>
      <c r="N6" s="1748"/>
      <c r="O6" s="936"/>
    </row>
    <row r="7" spans="2:22" ht="15.75" customHeight="1">
      <c r="B7" s="937"/>
      <c r="C7" s="1744"/>
      <c r="D7" s="1744"/>
      <c r="E7" s="1744"/>
      <c r="F7" s="1745"/>
      <c r="G7" s="1745"/>
      <c r="H7" s="1745"/>
      <c r="I7" s="1748"/>
      <c r="J7" s="1748"/>
      <c r="K7" s="1748"/>
      <c r="L7" s="1748"/>
      <c r="M7" s="1748"/>
      <c r="N7" s="1863" t="str">
        <f ca="1">xxGSSDashboard</f>
        <v>Global Shared Services:   Ending Cash: $6,695,626   Talent (Sustainability): 99.9   CAPEX: $999,556   Long Term Debt: $3,110,000</v>
      </c>
      <c r="O7" s="936"/>
    </row>
    <row r="8" spans="2:22" ht="6" customHeight="1">
      <c r="B8" s="938"/>
      <c r="C8" s="935"/>
      <c r="D8" s="935"/>
      <c r="E8" s="935"/>
      <c r="F8" s="935"/>
      <c r="G8" s="935"/>
      <c r="H8" s="935"/>
      <c r="I8" s="935"/>
      <c r="J8" s="935"/>
      <c r="K8" s="935"/>
      <c r="L8" s="935"/>
      <c r="M8" s="935"/>
      <c r="N8" s="935"/>
      <c r="O8" s="936"/>
    </row>
    <row r="9" spans="2:22" ht="9" customHeight="1">
      <c r="B9" s="939"/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994"/>
      <c r="P9" s="980"/>
      <c r="Q9" s="980"/>
      <c r="R9" s="980"/>
      <c r="S9" s="980"/>
      <c r="T9" s="980"/>
    </row>
    <row r="10" spans="2:22" ht="15.75">
      <c r="B10" s="939"/>
      <c r="C10" s="1820" t="s">
        <v>2484</v>
      </c>
      <c r="D10" s="1820"/>
      <c r="E10" s="1820"/>
      <c r="F10" s="1820"/>
      <c r="G10" s="496"/>
      <c r="H10" s="496"/>
      <c r="I10" s="496"/>
      <c r="J10" s="496"/>
      <c r="K10" s="496"/>
      <c r="L10" s="496"/>
      <c r="M10" s="496"/>
      <c r="N10" s="496"/>
      <c r="O10" s="994"/>
      <c r="P10" s="980"/>
      <c r="Q10" s="980"/>
      <c r="R10" s="980"/>
      <c r="S10" s="980"/>
      <c r="T10" s="980"/>
    </row>
    <row r="11" spans="2:22" ht="9" customHeight="1">
      <c r="B11" s="939"/>
      <c r="C11" s="1875"/>
      <c r="D11" s="1820"/>
      <c r="E11" s="1820"/>
      <c r="F11" s="1865"/>
      <c r="G11" s="996"/>
      <c r="H11" s="979"/>
      <c r="I11" s="996"/>
      <c r="J11" s="996"/>
      <c r="K11" s="996"/>
      <c r="L11" s="996"/>
      <c r="M11" s="996"/>
      <c r="N11" s="979"/>
      <c r="O11" s="994"/>
      <c r="P11" s="980"/>
      <c r="Q11" s="980"/>
      <c r="R11" s="980"/>
      <c r="S11" s="980"/>
      <c r="T11" s="980"/>
    </row>
    <row r="12" spans="2:22" ht="15.75">
      <c r="B12" s="939"/>
      <c r="C12" s="1934"/>
      <c r="D12" s="1676"/>
      <c r="E12" s="1820"/>
      <c r="F12" s="1870"/>
      <c r="G12" s="1065"/>
      <c r="H12" s="1937" t="str">
        <f>DataNameProd1</f>
        <v>CSD</v>
      </c>
      <c r="I12" s="1937"/>
      <c r="J12" s="1937" t="str">
        <f>DataNameProd3</f>
        <v>NCB</v>
      </c>
      <c r="K12" s="1820"/>
      <c r="L12" s="1937" t="str">
        <f>DataNameProd4</f>
        <v>F&amp;S</v>
      </c>
      <c r="M12" s="1065"/>
      <c r="N12" s="1065"/>
      <c r="O12" s="994"/>
      <c r="P12" s="980"/>
      <c r="Q12" s="980"/>
      <c r="R12" s="980"/>
      <c r="S12" s="980"/>
      <c r="T12" s="980"/>
    </row>
    <row r="13" spans="2:22" ht="6" customHeight="1" thickBot="1">
      <c r="B13" s="939"/>
      <c r="C13" s="1934"/>
      <c r="D13" s="1676"/>
      <c r="E13" s="1820"/>
      <c r="F13" s="1870"/>
      <c r="G13" s="1065"/>
      <c r="H13" s="1065"/>
      <c r="I13" s="1065"/>
      <c r="J13" s="1065"/>
      <c r="K13" s="496"/>
      <c r="L13" s="496"/>
      <c r="M13" s="496"/>
      <c r="N13" s="496"/>
      <c r="O13" s="994"/>
      <c r="P13" s="980"/>
      <c r="Q13" s="980"/>
      <c r="R13" s="980"/>
      <c r="S13" s="980"/>
      <c r="T13" s="980"/>
    </row>
    <row r="14" spans="2:22" ht="16.5" hidden="1" thickBot="1">
      <c r="B14" s="939"/>
      <c r="C14" s="1934"/>
      <c r="D14" s="1676"/>
      <c r="E14" s="1676" t="s">
        <v>1263</v>
      </c>
      <c r="F14" s="1923"/>
      <c r="G14" s="1004"/>
      <c r="H14" s="504" t="s">
        <v>2748</v>
      </c>
      <c r="I14" s="493"/>
      <c r="J14" s="489" t="s">
        <v>2748</v>
      </c>
      <c r="K14" s="493"/>
      <c r="L14" s="489" t="s">
        <v>2748</v>
      </c>
      <c r="M14" s="496"/>
      <c r="N14" s="496"/>
      <c r="O14" s="994"/>
      <c r="R14" s="956"/>
      <c r="S14" s="956"/>
      <c r="T14" s="956"/>
      <c r="U14" s="956"/>
    </row>
    <row r="15" spans="2:22" ht="16.5" hidden="1" thickBot="1">
      <c r="B15" s="939"/>
      <c r="C15" s="1934"/>
      <c r="D15" s="1886"/>
      <c r="E15" s="1886"/>
      <c r="F15" s="1923"/>
      <c r="G15" s="1004"/>
      <c r="H15" s="935"/>
      <c r="I15" s="935"/>
      <c r="J15" s="935"/>
      <c r="K15" s="944"/>
      <c r="L15" s="944"/>
      <c r="M15" s="996"/>
      <c r="N15" s="496"/>
      <c r="O15" s="994"/>
      <c r="R15" s="956"/>
      <c r="S15" s="956"/>
      <c r="T15" s="956"/>
      <c r="U15" s="956"/>
    </row>
    <row r="16" spans="2:22" s="954" customFormat="1" ht="16.5" thickBot="1">
      <c r="B16" s="953"/>
      <c r="C16" s="1935"/>
      <c r="D16" s="1936"/>
      <c r="E16" s="1936" t="s">
        <v>2745</v>
      </c>
      <c r="F16" s="1923"/>
      <c r="G16" s="1004"/>
      <c r="H16" s="408" t="s">
        <v>1708</v>
      </c>
      <c r="I16" s="409"/>
      <c r="J16" s="408" t="s">
        <v>1707</v>
      </c>
      <c r="K16" s="402"/>
      <c r="L16" s="408" t="s">
        <v>1707</v>
      </c>
      <c r="M16" s="1005"/>
      <c r="N16" s="1005"/>
      <c r="O16" s="1006"/>
      <c r="R16" s="956"/>
      <c r="S16" s="956"/>
      <c r="T16" s="956"/>
      <c r="U16" s="956"/>
    </row>
    <row r="17" spans="2:21" ht="15.75">
      <c r="B17" s="939"/>
      <c r="C17" s="1875"/>
      <c r="D17" s="1886"/>
      <c r="E17" s="1820"/>
      <c r="F17" s="1820"/>
      <c r="G17" s="496"/>
      <c r="H17" s="496"/>
      <c r="I17" s="996"/>
      <c r="J17" s="996"/>
      <c r="K17" s="996"/>
      <c r="L17" s="996"/>
      <c r="M17" s="996"/>
      <c r="N17" s="979"/>
      <c r="O17" s="994"/>
    </row>
    <row r="18" spans="2:21" ht="15.75">
      <c r="B18" s="939"/>
      <c r="C18" s="1820" t="s">
        <v>1261</v>
      </c>
      <c r="D18" s="1820"/>
      <c r="E18" s="1820"/>
      <c r="F18" s="1820"/>
      <c r="G18" s="496"/>
      <c r="H18" s="496"/>
      <c r="I18" s="496"/>
      <c r="J18" s="496"/>
      <c r="K18" s="496"/>
      <c r="L18" s="496"/>
      <c r="M18" s="496"/>
      <c r="N18" s="496"/>
      <c r="O18" s="994"/>
    </row>
    <row r="19" spans="2:21" ht="9" customHeight="1">
      <c r="B19" s="939"/>
      <c r="C19" s="1875"/>
      <c r="D19" s="1820"/>
      <c r="E19" s="1820"/>
      <c r="F19" s="1865"/>
      <c r="G19" s="996"/>
      <c r="H19" s="979"/>
      <c r="I19" s="996"/>
      <c r="J19" s="996"/>
      <c r="K19" s="996"/>
      <c r="L19" s="996"/>
      <c r="M19" s="996"/>
      <c r="N19" s="979"/>
      <c r="O19" s="994"/>
    </row>
    <row r="20" spans="2:21" ht="15.75">
      <c r="B20" s="939"/>
      <c r="C20" s="1935"/>
      <c r="D20" s="1676"/>
      <c r="E20" s="1820"/>
      <c r="F20" s="1820"/>
      <c r="G20" s="496"/>
      <c r="H20" s="496"/>
      <c r="I20" s="996"/>
      <c r="J20" s="1888" t="s">
        <v>1557</v>
      </c>
      <c r="K20" s="1848"/>
      <c r="L20" s="1888" t="s">
        <v>1556</v>
      </c>
      <c r="M20" s="1888"/>
      <c r="N20" s="1888" t="s">
        <v>142</v>
      </c>
      <c r="O20" s="994"/>
    </row>
    <row r="21" spans="2:21" ht="6" customHeight="1" thickBot="1">
      <c r="B21" s="939"/>
      <c r="C21" s="1820"/>
      <c r="D21" s="1676"/>
      <c r="E21" s="1820"/>
      <c r="F21" s="1820"/>
      <c r="G21" s="496"/>
      <c r="H21" s="496"/>
      <c r="I21" s="996"/>
      <c r="J21" s="982"/>
      <c r="K21" s="982"/>
      <c r="L21" s="996"/>
      <c r="M21" s="996"/>
      <c r="N21" s="996"/>
      <c r="O21" s="994"/>
    </row>
    <row r="22" spans="2:21" ht="16.5" thickBot="1">
      <c r="B22" s="939"/>
      <c r="C22" s="1875"/>
      <c r="D22" s="1676" t="s">
        <v>1541</v>
      </c>
      <c r="E22" s="1820"/>
      <c r="F22" s="1923"/>
      <c r="G22" s="1004"/>
      <c r="H22" s="504">
        <v>3</v>
      </c>
      <c r="I22" s="982"/>
      <c r="J22" s="1930">
        <f>INDEX(paramRecruitLevelRamp,xxIndexTeam)</f>
        <v>0</v>
      </c>
      <c r="K22" s="1931"/>
      <c r="L22" s="1930">
        <f>INDEX(paramRecruitLevelCost,xxIndexTeam)</f>
        <v>7438016.5289256191</v>
      </c>
      <c r="M22" s="1931"/>
      <c r="N22" s="1932">
        <f>INDEX(capRecruitingMTUs,xxIndexTeam)</f>
        <v>7</v>
      </c>
      <c r="O22" s="994"/>
      <c r="R22" s="956"/>
      <c r="S22" s="956"/>
      <c r="T22" s="956"/>
      <c r="U22" s="956"/>
    </row>
    <row r="23" spans="2:21" ht="16.5" thickBot="1">
      <c r="B23" s="939"/>
      <c r="C23" s="1875"/>
      <c r="D23" s="1886"/>
      <c r="E23" s="1820"/>
      <c r="F23" s="1923"/>
      <c r="G23" s="1004"/>
      <c r="H23" s="496"/>
      <c r="I23" s="982"/>
      <c r="J23" s="1931"/>
      <c r="K23" s="1931"/>
      <c r="L23" s="1931"/>
      <c r="M23" s="1931"/>
      <c r="N23" s="1933"/>
      <c r="O23" s="994"/>
      <c r="R23" s="956"/>
      <c r="S23" s="956"/>
      <c r="T23" s="956"/>
      <c r="U23" s="956"/>
    </row>
    <row r="24" spans="2:21" ht="16.5" thickBot="1">
      <c r="B24" s="939"/>
      <c r="C24" s="1875"/>
      <c r="D24" s="1936" t="s">
        <v>3336</v>
      </c>
      <c r="E24" s="1820"/>
      <c r="F24" s="1923"/>
      <c r="G24" s="1004"/>
      <c r="H24" s="408">
        <v>3</v>
      </c>
      <c r="I24" s="982"/>
      <c r="J24" s="1930">
        <f>INDEX(paramEmpDevRamp,xxIndexTeam)</f>
        <v>0</v>
      </c>
      <c r="K24" s="1931"/>
      <c r="L24" s="1930">
        <f>INDEX(paramEmpDevCost,xxIndexTeam)</f>
        <v>32400000</v>
      </c>
      <c r="M24" s="1931"/>
      <c r="N24" s="1932">
        <f>INDEX(capEmpDevMTUs,xxIndexTeam)</f>
        <v>7</v>
      </c>
      <c r="O24" s="994"/>
      <c r="R24" s="956"/>
      <c r="S24" s="956"/>
      <c r="T24" s="956"/>
      <c r="U24" s="956"/>
    </row>
    <row r="25" spans="2:21" ht="15.75">
      <c r="B25" s="939"/>
      <c r="C25" s="1875"/>
      <c r="D25" s="1676"/>
      <c r="E25" s="1820"/>
      <c r="F25" s="1820"/>
      <c r="G25" s="496"/>
      <c r="H25" s="496"/>
      <c r="I25" s="982"/>
      <c r="J25" s="1848"/>
      <c r="K25" s="1848"/>
      <c r="L25" s="1848"/>
      <c r="M25" s="1848"/>
      <c r="N25" s="1865"/>
      <c r="O25" s="994"/>
    </row>
    <row r="26" spans="2:21" ht="15.75">
      <c r="B26" s="939"/>
      <c r="C26" s="1820" t="s">
        <v>1262</v>
      </c>
      <c r="D26" s="1820"/>
      <c r="E26" s="1820"/>
      <c r="F26" s="1820"/>
      <c r="G26" s="496"/>
      <c r="H26" s="496"/>
      <c r="I26" s="496"/>
      <c r="J26" s="1820"/>
      <c r="K26" s="1820"/>
      <c r="L26" s="1820"/>
      <c r="M26" s="1820"/>
      <c r="N26" s="1820"/>
      <c r="O26" s="994"/>
    </row>
    <row r="27" spans="2:21" ht="9" customHeight="1">
      <c r="B27" s="939"/>
      <c r="C27" s="1875"/>
      <c r="D27" s="1820"/>
      <c r="E27" s="1820"/>
      <c r="F27" s="1865"/>
      <c r="G27" s="996"/>
      <c r="H27" s="979"/>
      <c r="I27" s="996"/>
      <c r="J27" s="1866"/>
      <c r="K27" s="1866"/>
      <c r="L27" s="1866"/>
      <c r="M27" s="1866"/>
      <c r="N27" s="1865"/>
      <c r="O27" s="994"/>
    </row>
    <row r="28" spans="2:21" ht="15.75">
      <c r="B28" s="939"/>
      <c r="C28" s="1820"/>
      <c r="D28" s="1676"/>
      <c r="E28" s="1820"/>
      <c r="F28" s="1820"/>
      <c r="G28" s="496"/>
      <c r="H28" s="496"/>
      <c r="I28" s="996"/>
      <c r="J28" s="1888" t="s">
        <v>143</v>
      </c>
      <c r="K28" s="1888"/>
      <c r="L28" s="1888" t="s">
        <v>142</v>
      </c>
      <c r="M28" s="1866"/>
      <c r="N28" s="1820"/>
      <c r="O28" s="994"/>
    </row>
    <row r="29" spans="2:21" ht="6" customHeight="1" thickBot="1">
      <c r="B29" s="939"/>
      <c r="C29" s="1820"/>
      <c r="D29" s="1676"/>
      <c r="E29" s="1820"/>
      <c r="F29" s="1820"/>
      <c r="G29" s="496"/>
      <c r="H29" s="496"/>
      <c r="I29" s="996"/>
      <c r="J29" s="1866"/>
      <c r="K29" s="1866"/>
      <c r="L29" s="1866"/>
      <c r="M29" s="1866"/>
      <c r="N29" s="1820"/>
      <c r="O29" s="994"/>
    </row>
    <row r="30" spans="2:21" ht="16.5" thickBot="1">
      <c r="B30" s="939"/>
      <c r="C30" s="1820"/>
      <c r="D30" s="1676" t="s">
        <v>614</v>
      </c>
      <c r="E30" s="1820"/>
      <c r="F30" s="1923"/>
      <c r="G30" s="496"/>
      <c r="H30" s="504">
        <v>1</v>
      </c>
      <c r="I30" s="996"/>
      <c r="J30" s="1930">
        <f>INDEX(paramITlevelCost,xxIndexTeam)</f>
        <v>5500000</v>
      </c>
      <c r="K30" s="1930"/>
      <c r="L30" s="1932">
        <f>INDEX(capITinvestMTUs,xxIndexTeam)</f>
        <v>2</v>
      </c>
      <c r="M30" s="1866"/>
      <c r="N30" s="1820"/>
      <c r="O30" s="994"/>
    </row>
    <row r="31" spans="2:21" ht="15.75">
      <c r="B31" s="1750"/>
      <c r="C31" s="1820"/>
      <c r="D31" s="1886" t="s">
        <v>132</v>
      </c>
      <c r="E31" s="1820"/>
      <c r="F31" s="1923"/>
      <c r="G31" s="1820"/>
      <c r="H31" s="1889">
        <f>INDEX(obalITcapLevel,xxIndexTeam)</f>
        <v>1</v>
      </c>
      <c r="I31" s="1866"/>
      <c r="J31" s="1866"/>
      <c r="K31" s="1866"/>
      <c r="L31" s="1866"/>
      <c r="M31" s="1866"/>
      <c r="N31" s="1820"/>
      <c r="O31" s="994"/>
    </row>
    <row r="32" spans="2:21" ht="15.75">
      <c r="B32" s="1750"/>
      <c r="C32" s="1820"/>
      <c r="D32" s="1886" t="s">
        <v>133</v>
      </c>
      <c r="E32" s="1820"/>
      <c r="F32" s="1923"/>
      <c r="G32" s="1820"/>
      <c r="H32" s="1889">
        <f>INDEX(obalITcapLevel,xxIndexTeam)+INDEX(decITcapAdd,xxIndexTeam)</f>
        <v>2</v>
      </c>
      <c r="I32" s="1866"/>
      <c r="J32" s="1866"/>
      <c r="K32" s="1866"/>
      <c r="L32" s="1866"/>
      <c r="M32" s="1866"/>
      <c r="N32" s="1820"/>
      <c r="O32" s="994"/>
    </row>
    <row r="33" spans="2:22" ht="15.75">
      <c r="B33" s="1750"/>
      <c r="C33" s="1820"/>
      <c r="D33" s="1676"/>
      <c r="E33" s="1820"/>
      <c r="F33" s="1923"/>
      <c r="G33" s="1820"/>
      <c r="H33" s="1820"/>
      <c r="I33" s="1866"/>
      <c r="J33" s="1866"/>
      <c r="K33" s="1866"/>
      <c r="L33" s="1866"/>
      <c r="M33" s="1866"/>
      <c r="N33" s="1820"/>
      <c r="O33" s="994"/>
    </row>
    <row r="34" spans="2:22" ht="16.5" hidden="1" thickBot="1">
      <c r="B34" s="1750"/>
      <c r="C34" s="1820"/>
      <c r="D34" s="1676" t="s">
        <v>3338</v>
      </c>
      <c r="E34" s="1820"/>
      <c r="F34" s="1923"/>
      <c r="G34" s="1820"/>
      <c r="H34" s="1924"/>
      <c r="I34" s="1866"/>
      <c r="J34" s="1866"/>
      <c r="K34" s="1866"/>
      <c r="L34" s="1866"/>
      <c r="M34" s="1866"/>
      <c r="N34" s="1820"/>
      <c r="O34" s="994"/>
    </row>
    <row r="35" spans="2:22" ht="15.75" hidden="1">
      <c r="B35" s="1750"/>
      <c r="C35" s="1820"/>
      <c r="D35" s="1676"/>
      <c r="E35" s="1820"/>
      <c r="F35" s="1923"/>
      <c r="G35" s="1820"/>
      <c r="H35" s="1744"/>
      <c r="I35" s="1866"/>
      <c r="J35" s="1866"/>
      <c r="K35" s="1866"/>
      <c r="L35" s="1866"/>
      <c r="M35" s="1866"/>
      <c r="N35" s="1820"/>
      <c r="O35" s="994"/>
    </row>
    <row r="36" spans="2:22" ht="9" hidden="1" customHeight="1">
      <c r="B36" s="1750"/>
      <c r="C36" s="1820"/>
      <c r="D36" s="1886"/>
      <c r="E36" s="1820"/>
      <c r="F36" s="1820"/>
      <c r="G36" s="1820"/>
      <c r="H36" s="1744"/>
      <c r="I36" s="1866"/>
      <c r="J36" s="1866"/>
      <c r="K36" s="1866"/>
      <c r="L36" s="1866"/>
      <c r="M36" s="1866"/>
      <c r="N36" s="1820"/>
      <c r="O36" s="994"/>
    </row>
    <row r="37" spans="2:22" ht="15.75">
      <c r="B37" s="1750"/>
      <c r="C37" s="1820" t="s">
        <v>2351</v>
      </c>
      <c r="D37" s="1820"/>
      <c r="E37" s="1820"/>
      <c r="F37" s="1820"/>
      <c r="G37" s="1820"/>
      <c r="H37" s="1744"/>
      <c r="I37" s="1820"/>
      <c r="J37" s="1820"/>
      <c r="K37" s="1820"/>
      <c r="L37" s="1820"/>
      <c r="M37" s="1820"/>
      <c r="N37" s="1820"/>
      <c r="O37" s="994"/>
    </row>
    <row r="38" spans="2:22" ht="9" customHeight="1" thickBot="1">
      <c r="B38" s="1750"/>
      <c r="C38" s="1875"/>
      <c r="D38" s="1820"/>
      <c r="E38" s="1820"/>
      <c r="F38" s="1865"/>
      <c r="G38" s="1866"/>
      <c r="H38" s="1755"/>
      <c r="I38" s="1866"/>
      <c r="J38" s="1866"/>
      <c r="K38" s="1866"/>
      <c r="L38" s="1866"/>
      <c r="M38" s="1866"/>
      <c r="N38" s="1865"/>
      <c r="O38" s="994"/>
    </row>
    <row r="39" spans="2:22" ht="16.5" thickBot="1">
      <c r="B39" s="1750"/>
      <c r="C39" s="1840"/>
      <c r="D39" s="1925" t="s">
        <v>4722</v>
      </c>
      <c r="E39" s="1926"/>
      <c r="F39" s="1926"/>
      <c r="G39" s="1925" t="s">
        <v>3918</v>
      </c>
      <c r="H39" s="1927"/>
      <c r="I39" s="1831"/>
      <c r="J39" s="1831"/>
      <c r="K39" s="1831"/>
      <c r="L39" s="1865"/>
      <c r="M39" s="1840"/>
      <c r="N39" s="1840"/>
      <c r="O39" s="994"/>
      <c r="T39" s="1108">
        <v>0</v>
      </c>
      <c r="V39" s="1758" t="s">
        <v>4777</v>
      </c>
    </row>
    <row r="40" spans="2:22" ht="9" customHeight="1" thickBot="1">
      <c r="B40" s="1750"/>
      <c r="C40" s="1820"/>
      <c r="D40" s="1676"/>
      <c r="E40" s="1820"/>
      <c r="F40" s="1923"/>
      <c r="G40" s="1820"/>
      <c r="H40" s="1820"/>
      <c r="I40" s="1831"/>
      <c r="J40" s="1831"/>
      <c r="K40" s="1831"/>
      <c r="L40" s="1831"/>
      <c r="M40" s="1840"/>
      <c r="N40" s="1928"/>
      <c r="O40" s="994"/>
      <c r="V40" s="1758"/>
    </row>
    <row r="41" spans="2:22" ht="16.5" thickBot="1">
      <c r="B41" s="1750"/>
      <c r="C41" s="1840"/>
      <c r="D41" s="1840"/>
      <c r="E41" s="1820"/>
      <c r="F41" s="1840"/>
      <c r="G41" s="1831"/>
      <c r="H41" s="1676" t="str">
        <f>DataNameProd1</f>
        <v>CSD</v>
      </c>
      <c r="I41" s="1676"/>
      <c r="J41" s="1676" t="str">
        <f>DataNameProd3</f>
        <v>NCB</v>
      </c>
      <c r="K41" s="1929"/>
      <c r="L41" s="1676" t="str">
        <f>DataNameProd4</f>
        <v>F&amp;S</v>
      </c>
      <c r="M41" s="1840"/>
      <c r="N41" s="1928"/>
      <c r="O41" s="994"/>
      <c r="T41" s="1263">
        <v>1</v>
      </c>
      <c r="V41" s="1758"/>
    </row>
    <row r="42" spans="2:22" ht="7.5" customHeight="1" thickBot="1">
      <c r="B42" s="939"/>
      <c r="C42" s="935"/>
      <c r="D42" s="923"/>
      <c r="E42" s="490"/>
      <c r="F42" s="490"/>
      <c r="G42" s="490"/>
      <c r="H42" s="490"/>
      <c r="I42" s="490"/>
      <c r="J42" s="490"/>
      <c r="K42" s="996"/>
      <c r="L42" s="490"/>
      <c r="M42" s="998"/>
      <c r="N42" s="998"/>
      <c r="O42" s="994"/>
      <c r="V42" s="1758"/>
    </row>
    <row r="43" spans="2:22" ht="16.5" thickBot="1">
      <c r="B43" s="939"/>
      <c r="C43" s="935"/>
      <c r="D43" s="947"/>
      <c r="E43" s="2500">
        <v>0</v>
      </c>
      <c r="F43" s="490"/>
      <c r="G43" s="490"/>
      <c r="H43" s="1109">
        <v>1</v>
      </c>
      <c r="I43" s="490"/>
      <c r="J43" s="1109">
        <v>1</v>
      </c>
      <c r="K43" s="944"/>
      <c r="L43" s="1109">
        <v>1</v>
      </c>
      <c r="M43" s="998"/>
      <c r="N43" s="996"/>
      <c r="O43" s="994"/>
      <c r="T43" s="712">
        <v>0.35</v>
      </c>
      <c r="V43" s="1758" t="s">
        <v>1512</v>
      </c>
    </row>
    <row r="44" spans="2:22" ht="16.5" thickBot="1">
      <c r="B44" s="939"/>
      <c r="C44" s="935"/>
      <c r="D44" s="923"/>
      <c r="E44" s="490"/>
      <c r="F44" s="490"/>
      <c r="G44" s="490"/>
      <c r="H44" s="947"/>
      <c r="I44" s="944"/>
      <c r="J44" s="947"/>
      <c r="K44" s="491"/>
      <c r="L44" s="935"/>
      <c r="M44" s="998"/>
      <c r="N44" s="998"/>
      <c r="O44" s="994"/>
    </row>
    <row r="45" spans="2:22" ht="16.5" thickBot="1">
      <c r="B45" s="1341"/>
      <c r="C45" s="1342"/>
      <c r="D45" s="1342"/>
      <c r="E45" s="1342"/>
      <c r="F45" s="949"/>
      <c r="G45" s="1342"/>
      <c r="H45" s="1342"/>
      <c r="I45" s="1342"/>
      <c r="J45" s="1342"/>
      <c r="K45" s="1342"/>
      <c r="L45" s="1342"/>
      <c r="M45" s="1342"/>
      <c r="N45" s="1342"/>
      <c r="O45" s="1343"/>
    </row>
    <row r="46" spans="2:22" ht="16.5" thickBot="1">
      <c r="B46" s="1340"/>
      <c r="C46" s="1340"/>
      <c r="D46" s="1340"/>
      <c r="E46" s="1340"/>
      <c r="F46" s="1340"/>
      <c r="G46" s="1340"/>
      <c r="H46" s="1088"/>
      <c r="I46" s="1340"/>
      <c r="J46" s="1340"/>
      <c r="K46" s="1340"/>
      <c r="L46" s="1340"/>
      <c r="M46" s="1340"/>
      <c r="N46" s="1340"/>
      <c r="O46" s="1340"/>
    </row>
    <row r="47" spans="2:22" ht="15.75" thickBot="1">
      <c r="B47" s="1773" t="s">
        <v>2430</v>
      </c>
      <c r="C47" s="1774"/>
      <c r="D47" s="1774"/>
      <c r="E47" s="1774"/>
      <c r="F47" s="1774"/>
      <c r="G47" s="1774"/>
      <c r="H47" s="1774"/>
      <c r="I47" s="1774"/>
      <c r="J47" s="1774"/>
      <c r="K47" s="1774"/>
      <c r="L47" s="1774"/>
      <c r="M47" s="1774"/>
      <c r="N47" s="1774"/>
      <c r="O47" s="1775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8" spans="2:22" ht="15.75">
      <c r="B48" s="1877"/>
      <c r="C48" s="1878"/>
      <c r="D48" s="1878"/>
      <c r="E48" s="1879"/>
      <c r="F48" s="1880"/>
      <c r="G48" s="1881"/>
      <c r="H48" s="1880"/>
      <c r="I48" s="1881"/>
      <c r="J48" s="1880"/>
      <c r="K48" s="1878"/>
      <c r="L48" s="1882"/>
      <c r="M48" s="1882"/>
      <c r="N48" s="1883"/>
      <c r="O48" s="1884"/>
    </row>
    <row r="49" spans="2:15" ht="15.75">
      <c r="B49" s="1885" t="s">
        <v>1767</v>
      </c>
      <c r="C49" s="1886"/>
      <c r="D49" s="1886"/>
      <c r="E49" s="1887"/>
      <c r="F49" s="1888"/>
      <c r="G49" s="1889"/>
      <c r="H49" s="1890" t="s">
        <v>3361</v>
      </c>
      <c r="I49" s="1820"/>
      <c r="J49" s="1888"/>
      <c r="K49" s="1886"/>
      <c r="L49" s="1759"/>
      <c r="M49" s="1759"/>
      <c r="N49" s="1891"/>
      <c r="O49" s="1892"/>
    </row>
    <row r="50" spans="2:15" ht="16.5" thickBot="1">
      <c r="B50" s="1885"/>
      <c r="C50" s="1886"/>
      <c r="D50" s="1886"/>
      <c r="E50" s="1887"/>
      <c r="F50" s="1888"/>
      <c r="G50" s="1889"/>
      <c r="H50" s="1888"/>
      <c r="I50" s="1889"/>
      <c r="J50" s="1888"/>
      <c r="K50" s="1886"/>
      <c r="L50" s="1759"/>
      <c r="M50" s="1759"/>
      <c r="N50" s="1891"/>
      <c r="O50" s="1892"/>
    </row>
    <row r="51" spans="2:15" ht="16.5" thickBot="1">
      <c r="B51" s="1885"/>
      <c r="C51" s="1886"/>
      <c r="D51" s="1893">
        <f ca="1">INDEX(capSustEnvironment,xxIndexTeam)</f>
        <v>101.47698543969102</v>
      </c>
      <c r="E51" s="1889"/>
      <c r="F51" s="1888"/>
      <c r="G51" s="1889"/>
      <c r="H51" s="1888"/>
      <c r="I51" s="1758"/>
      <c r="J51" s="1758"/>
      <c r="K51" s="1886"/>
      <c r="L51" s="1759"/>
      <c r="M51" s="1759"/>
      <c r="N51" s="1891"/>
      <c r="O51" s="1892"/>
    </row>
    <row r="52" spans="2:15" ht="15.75">
      <c r="B52" s="1885"/>
      <c r="C52" s="1886"/>
      <c r="D52" s="1894" t="s">
        <v>1444</v>
      </c>
      <c r="E52" s="1889"/>
      <c r="F52" s="1888"/>
      <c r="G52" s="1889"/>
      <c r="H52" s="1888"/>
      <c r="I52" s="1758"/>
      <c r="J52" s="1758"/>
      <c r="K52" s="1886"/>
      <c r="L52" s="1759"/>
      <c r="M52" s="1759"/>
      <c r="N52" s="1891"/>
      <c r="O52" s="1892"/>
    </row>
    <row r="53" spans="2:15" ht="6" customHeight="1" thickBot="1">
      <c r="B53" s="1885"/>
      <c r="C53" s="1886"/>
      <c r="D53" s="1894"/>
      <c r="E53" s="1889"/>
      <c r="F53" s="1888"/>
      <c r="G53" s="1889"/>
      <c r="H53" s="1888"/>
      <c r="I53" s="1758"/>
      <c r="J53" s="1758"/>
      <c r="K53" s="1886"/>
      <c r="L53" s="1759"/>
      <c r="M53" s="1759"/>
      <c r="N53" s="1891"/>
      <c r="O53" s="1892"/>
    </row>
    <row r="54" spans="2:15" ht="16.5" thickBot="1">
      <c r="B54" s="1885"/>
      <c r="C54" s="1886"/>
      <c r="D54" s="1895">
        <f>INDEX(capSustHuman,xxIndexTeam)</f>
        <v>100</v>
      </c>
      <c r="E54" s="1889"/>
      <c r="F54" s="1896">
        <f ca="1">INDEX(capSustainability,xxIndexTeam)</f>
        <v>100.46404932205822</v>
      </c>
      <c r="G54" s="1889"/>
      <c r="H54" s="1758"/>
      <c r="I54" s="1758"/>
      <c r="J54" s="1758"/>
      <c r="K54" s="1886"/>
      <c r="L54" s="1759"/>
      <c r="M54" s="1759"/>
      <c r="N54" s="1891"/>
      <c r="O54" s="1892"/>
    </row>
    <row r="55" spans="2:15" ht="15.75">
      <c r="B55" s="1885"/>
      <c r="C55" s="1886"/>
      <c r="D55" s="1894" t="s">
        <v>1445</v>
      </c>
      <c r="E55" s="1889"/>
      <c r="F55" s="1897" t="s">
        <v>659</v>
      </c>
      <c r="G55" s="1889"/>
      <c r="H55" s="1758"/>
      <c r="I55" s="1758"/>
      <c r="J55" s="1758"/>
      <c r="K55" s="1886"/>
      <c r="L55" s="1759"/>
      <c r="M55" s="1759"/>
      <c r="N55" s="1891"/>
      <c r="O55" s="1892"/>
    </row>
    <row r="56" spans="2:15" ht="6" customHeight="1" thickBot="1">
      <c r="B56" s="1885"/>
      <c r="C56" s="1886"/>
      <c r="D56" s="1894"/>
      <c r="E56" s="1889"/>
      <c r="F56" s="1888"/>
      <c r="G56" s="1889"/>
      <c r="H56" s="1888"/>
      <c r="I56" s="1758"/>
      <c r="J56" s="1758"/>
      <c r="K56" s="1886"/>
      <c r="L56" s="1759"/>
      <c r="M56" s="1759"/>
      <c r="N56" s="1891"/>
      <c r="O56" s="1892"/>
    </row>
    <row r="57" spans="2:15" ht="16.5" thickBot="1">
      <c r="B57" s="1885"/>
      <c r="C57" s="1886"/>
      <c r="D57" s="1893">
        <f>INDEX(capSustTalent,xxIndexTeam)</f>
        <v>99.915162526483627</v>
      </c>
      <c r="E57" s="1889"/>
      <c r="F57" s="1888"/>
      <c r="G57" s="1889"/>
      <c r="H57" s="1888"/>
      <c r="I57" s="1758"/>
      <c r="J57" s="1758"/>
      <c r="K57" s="1886"/>
      <c r="L57" s="1759"/>
      <c r="M57" s="1759"/>
      <c r="N57" s="1891"/>
      <c r="O57" s="1892"/>
    </row>
    <row r="58" spans="2:15" ht="15.75">
      <c r="B58" s="1885"/>
      <c r="C58" s="1886"/>
      <c r="D58" s="1894" t="s">
        <v>1446</v>
      </c>
      <c r="E58" s="1889"/>
      <c r="F58" s="1888"/>
      <c r="G58" s="1889"/>
      <c r="H58" s="1888"/>
      <c r="I58" s="1758"/>
      <c r="J58" s="1758"/>
      <c r="K58" s="1886"/>
      <c r="L58" s="1759"/>
      <c r="M58" s="1759"/>
      <c r="N58" s="1891"/>
      <c r="O58" s="1892"/>
    </row>
    <row r="59" spans="2:15" ht="15.75">
      <c r="B59" s="1885"/>
      <c r="C59" s="1886"/>
      <c r="D59" s="1886"/>
      <c r="E59" s="1887"/>
      <c r="F59" s="1888"/>
      <c r="G59" s="1889"/>
      <c r="H59" s="1888"/>
      <c r="I59" s="1889"/>
      <c r="J59" s="1888"/>
      <c r="K59" s="1886"/>
      <c r="L59" s="1759"/>
      <c r="M59" s="1759"/>
      <c r="N59" s="1891"/>
      <c r="O59" s="1892"/>
    </row>
    <row r="60" spans="2:15" ht="15.75">
      <c r="B60" s="1885" t="s">
        <v>2262</v>
      </c>
      <c r="C60" s="1886"/>
      <c r="D60" s="1886"/>
      <c r="E60" s="1887"/>
      <c r="F60" s="1888"/>
      <c r="G60" s="1889"/>
      <c r="H60" s="1888"/>
      <c r="I60" s="1889"/>
      <c r="J60" s="1888"/>
      <c r="K60" s="1886"/>
      <c r="L60" s="1759"/>
      <c r="M60" s="1759"/>
      <c r="N60" s="1891"/>
      <c r="O60" s="1892"/>
    </row>
    <row r="61" spans="2:15" ht="7.5" customHeight="1">
      <c r="B61" s="1898"/>
      <c r="C61" s="1899"/>
      <c r="D61" s="1899"/>
      <c r="E61" s="1899"/>
      <c r="F61" s="1899"/>
      <c r="G61" s="1899"/>
      <c r="H61" s="1899"/>
      <c r="I61" s="1899"/>
      <c r="J61" s="1899"/>
      <c r="K61" s="1899"/>
      <c r="L61" s="1782"/>
      <c r="M61" s="1782"/>
      <c r="N61" s="1782"/>
      <c r="O61" s="1783"/>
    </row>
    <row r="62" spans="2:15" ht="15.75">
      <c r="B62" s="1898"/>
      <c r="C62" s="1886" t="s">
        <v>2263</v>
      </c>
      <c r="D62" s="1900"/>
      <c r="E62" s="1900"/>
      <c r="F62" s="1886" t="s">
        <v>3162</v>
      </c>
      <c r="G62" s="1901"/>
      <c r="H62" s="1901"/>
      <c r="I62" s="1901"/>
      <c r="J62" s="1900"/>
      <c r="K62" s="1900"/>
      <c r="L62" s="1901"/>
      <c r="M62" s="1900"/>
      <c r="N62" s="1902">
        <f>(INDEX(cbalARValue,xxIndexTeam)/INDEX(finPNLRev,xxIndexTeam))*365</f>
        <v>60.833333333333329</v>
      </c>
      <c r="O62" s="1746"/>
    </row>
    <row r="63" spans="2:15" ht="15.75">
      <c r="B63" s="1903"/>
      <c r="C63" s="1886" t="s">
        <v>1427</v>
      </c>
      <c r="D63" s="1886"/>
      <c r="E63" s="1886"/>
      <c r="F63" s="1886" t="s">
        <v>737</v>
      </c>
      <c r="G63" s="1901"/>
      <c r="H63" s="1901"/>
      <c r="I63" s="1901"/>
      <c r="J63" s="1886"/>
      <c r="K63" s="1886"/>
      <c r="L63" s="1901"/>
      <c r="M63" s="1886"/>
      <c r="N63" s="1904">
        <f ca="1">INDEX(finPNLGrossMargin, xxIndexTeam)/INDEX(finPNLNetRev, xxIndexTeam)</f>
        <v>0.5027473561565976</v>
      </c>
      <c r="O63" s="1746"/>
    </row>
    <row r="64" spans="2:15" ht="15.75">
      <c r="B64" s="1903"/>
      <c r="C64" s="1886" t="s">
        <v>1428</v>
      </c>
      <c r="D64" s="1886"/>
      <c r="E64" s="1886"/>
      <c r="F64" s="1886" t="s">
        <v>738</v>
      </c>
      <c r="G64" s="1901"/>
      <c r="H64" s="1901"/>
      <c r="I64" s="1901"/>
      <c r="J64" s="1886"/>
      <c r="K64" s="1886"/>
      <c r="L64" s="1901"/>
      <c r="M64" s="1886"/>
      <c r="N64" s="1904">
        <f ca="1">(INDEX(finPNLOperEarn,xxIndexTeam)/INDEX(finPNLNetRev,xxIndexTeam))</f>
        <v>0.23313640029477442</v>
      </c>
      <c r="O64" s="1746"/>
    </row>
    <row r="65" spans="2:15" ht="15.75">
      <c r="B65" s="1903"/>
      <c r="C65" s="1886" t="s">
        <v>1601</v>
      </c>
      <c r="D65" s="1886"/>
      <c r="E65" s="1886"/>
      <c r="F65" s="1886" t="s">
        <v>1602</v>
      </c>
      <c r="G65" s="1901"/>
      <c r="H65" s="1901"/>
      <c r="I65" s="1901"/>
      <c r="J65" s="1886"/>
      <c r="K65" s="1886"/>
      <c r="L65" s="1901"/>
      <c r="M65" s="1886"/>
      <c r="N65" s="1905">
        <f ca="1">INDEX(finAssetTurnover,xxIndexTeam)</f>
        <v>2.61209104296054</v>
      </c>
      <c r="O65" s="1746"/>
    </row>
    <row r="66" spans="2:15" ht="15.75">
      <c r="B66" s="1903"/>
      <c r="C66" s="1886" t="s">
        <v>3164</v>
      </c>
      <c r="D66" s="1886"/>
      <c r="E66" s="1886"/>
      <c r="F66" s="1906" t="s">
        <v>3803</v>
      </c>
      <c r="G66" s="1901"/>
      <c r="H66" s="1901"/>
      <c r="I66" s="1901"/>
      <c r="J66" s="1906"/>
      <c r="K66" s="1906"/>
      <c r="L66" s="1901"/>
      <c r="M66" s="1886"/>
      <c r="N66" s="1904">
        <f ca="1">INDEX(finROIC,xxIndexTeam)</f>
        <v>0.22933437001096038</v>
      </c>
      <c r="O66" s="1746"/>
    </row>
    <row r="67" spans="2:15" ht="15.75">
      <c r="B67" s="1903"/>
      <c r="C67" s="1886"/>
      <c r="D67" s="1886"/>
      <c r="E67" s="1886"/>
      <c r="F67" s="1907" t="s">
        <v>1106</v>
      </c>
      <c r="G67" s="1901"/>
      <c r="H67" s="1901"/>
      <c r="I67" s="1901"/>
      <c r="J67" s="1906"/>
      <c r="K67" s="1906"/>
      <c r="L67" s="1901"/>
      <c r="M67" s="1886"/>
      <c r="N67" s="1886"/>
      <c r="O67" s="1746"/>
    </row>
    <row r="68" spans="2:15" ht="15.75">
      <c r="B68" s="1903"/>
      <c r="C68" s="1676"/>
      <c r="D68" s="1676"/>
      <c r="E68" s="1676"/>
      <c r="F68" s="1676"/>
      <c r="G68" s="1676"/>
      <c r="H68" s="1676"/>
      <c r="I68" s="1676"/>
      <c r="J68" s="1676"/>
      <c r="K68" s="1908"/>
      <c r="L68" s="1793"/>
      <c r="M68" s="1793"/>
      <c r="N68" s="1791"/>
      <c r="O68" s="1794"/>
    </row>
    <row r="69" spans="2:15" ht="15.75">
      <c r="B69" s="1885" t="s">
        <v>1232</v>
      </c>
      <c r="C69" s="1900"/>
      <c r="D69" s="1900"/>
      <c r="E69" s="1909"/>
      <c r="F69" s="1910"/>
      <c r="G69" s="1911"/>
      <c r="H69" s="1910"/>
      <c r="I69" s="1911"/>
      <c r="J69" s="1910"/>
      <c r="K69" s="1900"/>
      <c r="L69" s="1744"/>
      <c r="M69" s="1744"/>
      <c r="N69" s="1744"/>
      <c r="O69" s="1746"/>
    </row>
    <row r="70" spans="2:15" ht="7.5" customHeight="1">
      <c r="B70" s="1903"/>
      <c r="C70" s="1676"/>
      <c r="D70" s="1676"/>
      <c r="E70" s="1676"/>
      <c r="F70" s="1676"/>
      <c r="G70" s="1676"/>
      <c r="H70" s="1676"/>
      <c r="I70" s="1676"/>
      <c r="J70" s="1676"/>
      <c r="K70" s="1908"/>
      <c r="L70" s="1789"/>
      <c r="M70" s="1789"/>
      <c r="N70" s="1787"/>
      <c r="O70" s="1746"/>
    </row>
    <row r="71" spans="2:15" ht="15.75">
      <c r="B71" s="1903"/>
      <c r="C71" s="1736"/>
      <c r="D71" s="1736"/>
      <c r="E71" s="1886" t="s">
        <v>2851</v>
      </c>
      <c r="F71" s="1886"/>
      <c r="G71" s="1886"/>
      <c r="H71" s="1901"/>
      <c r="I71" s="1886"/>
      <c r="J71" s="1912"/>
      <c r="K71" s="2620">
        <f>INDEX(obalCashValue, xxIndexTeam)</f>
        <v>4959719052.5716419</v>
      </c>
      <c r="L71" s="2620"/>
      <c r="M71" s="1901"/>
      <c r="N71" s="1736"/>
      <c r="O71" s="1746"/>
    </row>
    <row r="72" spans="2:15" ht="15.75">
      <c r="B72" s="1903"/>
      <c r="C72" s="1736"/>
      <c r="D72" s="1736"/>
      <c r="E72" s="1886" t="s">
        <v>2850</v>
      </c>
      <c r="F72" s="1886"/>
      <c r="G72" s="1886"/>
      <c r="H72" s="1901"/>
      <c r="I72" s="1886"/>
      <c r="J72" s="1912"/>
      <c r="K72" s="2620">
        <f ca="1">INDEX(finCashFlowOperations, xxIndexTeam)</f>
        <v>4410325546.6964703</v>
      </c>
      <c r="L72" s="2620"/>
      <c r="M72" s="1913"/>
      <c r="N72" s="1736"/>
      <c r="O72" s="1746"/>
    </row>
    <row r="73" spans="2:15" ht="15.75">
      <c r="B73" s="1903"/>
      <c r="C73" s="1736"/>
      <c r="D73" s="1736"/>
      <c r="E73" s="1886" t="s">
        <v>2849</v>
      </c>
      <c r="F73" s="1886"/>
      <c r="G73" s="1886"/>
      <c r="H73" s="1901"/>
      <c r="I73" s="1886"/>
      <c r="J73" s="1912"/>
      <c r="K73" s="2620">
        <f ca="1">INDEX(finCashFlowWorkCap, xxIndexTeam)</f>
        <v>244736883.93795121</v>
      </c>
      <c r="L73" s="2620"/>
      <c r="M73" s="1914"/>
      <c r="N73" s="1736"/>
      <c r="O73" s="1746"/>
    </row>
    <row r="74" spans="2:15" ht="15.75">
      <c r="B74" s="1903"/>
      <c r="C74" s="1736"/>
      <c r="D74" s="1736"/>
      <c r="E74" s="1886" t="s">
        <v>2848</v>
      </c>
      <c r="F74" s="1886"/>
      <c r="G74" s="1886"/>
      <c r="H74" s="1901"/>
      <c r="I74" s="1886"/>
      <c r="J74" s="1912"/>
      <c r="K74" s="2620">
        <f>INDEX(finCashFlowInvest, xxIndexTeam)</f>
        <v>-999556000</v>
      </c>
      <c r="L74" s="2620"/>
      <c r="M74" s="1915"/>
      <c r="N74" s="1736"/>
      <c r="O74" s="1794"/>
    </row>
    <row r="75" spans="2:15" ht="15.75">
      <c r="B75" s="1903"/>
      <c r="C75" s="1736"/>
      <c r="D75" s="1736"/>
      <c r="E75" s="1886" t="s">
        <v>2847</v>
      </c>
      <c r="F75" s="1886"/>
      <c r="G75" s="1886"/>
      <c r="H75" s="1901"/>
      <c r="I75" s="1886"/>
      <c r="J75" s="1912"/>
      <c r="K75" s="2620">
        <f ca="1">INDEX(finCashFlowFinance, xxIndexTeam)</f>
        <v>-1919599500</v>
      </c>
      <c r="L75" s="2620"/>
      <c r="M75" s="1915"/>
      <c r="N75" s="1736"/>
      <c r="O75" s="1794"/>
    </row>
    <row r="76" spans="2:15">
      <c r="B76" s="1903"/>
      <c r="C76" s="1736"/>
      <c r="D76" s="1736"/>
      <c r="E76" s="1886" t="s">
        <v>2846</v>
      </c>
      <c r="F76" s="1886"/>
      <c r="G76" s="1886"/>
      <c r="H76" s="1901"/>
      <c r="I76" s="1886"/>
      <c r="J76" s="1912"/>
      <c r="K76" s="2620">
        <f ca="1">SUM(K72:K75)</f>
        <v>1735906930.6344213</v>
      </c>
      <c r="L76" s="2620"/>
      <c r="M76" s="1916"/>
      <c r="N76" s="1736"/>
      <c r="O76" s="1917"/>
    </row>
    <row r="77" spans="2:15" ht="15.75">
      <c r="B77" s="1903"/>
      <c r="C77" s="1736"/>
      <c r="D77" s="1736"/>
      <c r="E77" s="1886" t="s">
        <v>2845</v>
      </c>
      <c r="F77" s="1886"/>
      <c r="G77" s="1886"/>
      <c r="H77" s="1901"/>
      <c r="I77" s="1886"/>
      <c r="J77" s="1912"/>
      <c r="K77" s="2620">
        <f ca="1">INDEX(obalCashValue, xxIndexTeam)+K76</f>
        <v>6695625983.2060633</v>
      </c>
      <c r="L77" s="2620"/>
      <c r="M77" s="1901"/>
      <c r="N77" s="1736"/>
      <c r="O77" s="1746"/>
    </row>
    <row r="78" spans="2:15" ht="16.5" thickBot="1">
      <c r="B78" s="1918"/>
      <c r="C78" s="1919"/>
      <c r="D78" s="1919"/>
      <c r="E78" s="1919"/>
      <c r="F78" s="1919"/>
      <c r="G78" s="1919"/>
      <c r="H78" s="1919"/>
      <c r="I78" s="1919"/>
      <c r="J78" s="1919"/>
      <c r="K78" s="1920"/>
      <c r="L78" s="1921"/>
      <c r="M78" s="1921"/>
      <c r="N78" s="1921"/>
      <c r="O78" s="1922"/>
    </row>
    <row r="79" spans="2:15" ht="15.75" thickBot="1">
      <c r="B79" s="1857"/>
      <c r="C79" s="1858"/>
      <c r="D79" s="1858"/>
      <c r="E79" s="1858"/>
      <c r="F79" s="1858"/>
      <c r="G79" s="1858"/>
      <c r="H79" s="1858"/>
      <c r="I79" s="1858"/>
      <c r="J79" s="1858"/>
      <c r="K79" s="1858"/>
      <c r="L79" s="1858"/>
      <c r="M79" s="1858"/>
      <c r="N79" s="1858"/>
      <c r="O79" s="1859"/>
    </row>
    <row r="80" spans="2:15">
      <c r="F80" s="950"/>
    </row>
  </sheetData>
  <dataConsolidate/>
  <mergeCells count="7">
    <mergeCell ref="K75:L75"/>
    <mergeCell ref="K76:L76"/>
    <mergeCell ref="K77:L77"/>
    <mergeCell ref="K71:L71"/>
    <mergeCell ref="K72:L72"/>
    <mergeCell ref="K73:L73"/>
    <mergeCell ref="K74:L74"/>
  </mergeCells>
  <phoneticPr fontId="0" type="noConversion"/>
  <dataValidations count="8">
    <dataValidation type="whole" operator="lessThanOrEqual" allowBlank="1" showInputMessage="1" showErrorMessage="1" errorTitle="Input Error" error="Family brand can be only three levels higher than prior year.  " sqref="N38 N19 F11 N11 H11 L39 N27">
      <formula1>3</formula1>
    </dataValidation>
    <dataValidation type="list" allowBlank="1" showInputMessage="1" showErrorMessage="1" sqref="H30 H34">
      <formula1>dataList1to5</formula1>
    </dataValidation>
    <dataValidation type="list" allowBlank="1" showInputMessage="1" showErrorMessage="1" sqref="H24 H22">
      <formula1>dataList1to10</formula1>
    </dataValidation>
    <dataValidation type="whole" operator="lessThanOrEqual" allowBlank="1" showInputMessage="1" showErrorMessage="1" errorTitle="Inpurt Error" error="Speciality brand can only be one level higher from prior year.  " sqref="N17">
      <formula1>1</formula1>
    </dataValidation>
    <dataValidation type="whole" allowBlank="1" showInputMessage="1" showErrorMessage="1" errorTitle="Input Error" error="Partner brand can only be one level higher from prior year.  " sqref="N14:N15">
      <formula1>0</formula1>
      <formula2>#REF!</formula2>
    </dataValidation>
    <dataValidation type="list" allowBlank="1" showInputMessage="1" showErrorMessage="1" sqref="H14 J14 L14">
      <formula1>tlPositioningStatements</formula1>
    </dataValidation>
    <dataValidation operator="lessThanOrEqual" allowBlank="1" showInputMessage="1" showErrorMessage="1" errorTitle="Input Error" error="Family brand can be only three levels higher than prior year.  " sqref="N12:N13 H13 J12"/>
    <dataValidation type="list" allowBlank="1" showInputMessage="1" showErrorMessage="1" sqref="H16 L16 J16">
      <formula1>dataBrandRange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46" r:id="rId4" name="Check Box 50">
              <controlPr defaultSize="0" autoFill="0" autoLine="0" autoPict="0" macro="[0]!CheckBox3_Click">
                <anchor moveWithCells="1">
                  <from>
                    <xdr:col>11</xdr:col>
                    <xdr:colOff>514350</xdr:colOff>
                    <xdr:row>36</xdr:row>
                    <xdr:rowOff>180975</xdr:rowOff>
                  </from>
                  <to>
                    <xdr:col>13</xdr:col>
                    <xdr:colOff>0</xdr:colOff>
                    <xdr:row>38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23"/>
    <pageSetUpPr fitToPage="1"/>
  </sheetPr>
  <dimension ref="A1:AA78"/>
  <sheetViews>
    <sheetView topLeftCell="H1" zoomScale="116" workbookViewId="0">
      <pane ySplit="8" topLeftCell="A13" activePane="bottomLeft" state="frozen"/>
      <selection activeCell="B2" sqref="B2:N100"/>
      <selection pane="bottomLeft" activeCell="Z26" sqref="Z26"/>
    </sheetView>
  </sheetViews>
  <sheetFormatPr defaultRowHeight="15"/>
  <cols>
    <col min="1" max="1" width="1.6640625" style="925" customWidth="1"/>
    <col min="2" max="2" width="1.5" style="925" customWidth="1"/>
    <col min="3" max="3" width="2.6640625" style="925" customWidth="1"/>
    <col min="4" max="4" width="13" style="925" customWidth="1"/>
    <col min="5" max="5" width="5" style="925" customWidth="1"/>
    <col min="6" max="6" width="13.33203125" style="925" customWidth="1"/>
    <col min="7" max="7" width="30.5" style="925" customWidth="1"/>
    <col min="8" max="8" width="3.6640625" style="925" customWidth="1"/>
    <col min="9" max="9" width="14.6640625" style="925" customWidth="1"/>
    <col min="10" max="10" width="4.6640625" style="925" customWidth="1"/>
    <col min="11" max="11" width="14.6640625" style="925" customWidth="1"/>
    <col min="12" max="12" width="4.6640625" style="925" customWidth="1"/>
    <col min="13" max="13" width="14.6640625" style="925" customWidth="1"/>
    <col min="14" max="14" width="3.5" style="925" customWidth="1"/>
    <col min="15" max="15" width="2" style="925" customWidth="1"/>
    <col min="16" max="16" width="3.6640625" style="925" customWidth="1"/>
    <col min="17" max="18" width="9.33203125" style="925" customWidth="1"/>
    <col min="19" max="19" width="11.83203125" style="925" customWidth="1"/>
    <col min="20" max="20" width="9.33203125" style="925" customWidth="1"/>
    <col min="21" max="21" width="13.33203125" style="925" customWidth="1"/>
    <col min="22" max="22" width="7.1640625" style="925" customWidth="1"/>
    <col min="23" max="16384" width="9.33203125" style="925"/>
  </cols>
  <sheetData>
    <row r="1" spans="2:27" ht="7.5" customHeight="1" thickBot="1">
      <c r="C1" s="956"/>
      <c r="H1" s="956"/>
      <c r="I1" s="956"/>
      <c r="J1" s="956"/>
      <c r="K1" s="956"/>
      <c r="U1" s="1758"/>
      <c r="V1" s="1758">
        <v>5</v>
      </c>
      <c r="W1" s="1758">
        <v>5</v>
      </c>
      <c r="X1" s="1758">
        <v>5</v>
      </c>
      <c r="Y1" s="1758">
        <v>5</v>
      </c>
      <c r="Z1" s="1758">
        <v>5</v>
      </c>
      <c r="AA1" s="1758">
        <v>5</v>
      </c>
    </row>
    <row r="2" spans="2:27" ht="15.75">
      <c r="B2" s="1732"/>
      <c r="C2" s="1733"/>
      <c r="D2" s="1733"/>
      <c r="E2" s="1733"/>
      <c r="F2" s="1733"/>
      <c r="G2" s="1733"/>
      <c r="H2" s="1733"/>
      <c r="I2" s="1733"/>
      <c r="J2" s="1733"/>
      <c r="K2" s="1733"/>
      <c r="L2" s="1733"/>
      <c r="M2" s="1733"/>
      <c r="N2" s="1733"/>
      <c r="O2" s="1734"/>
      <c r="U2" s="1758" t="s">
        <v>505</v>
      </c>
      <c r="V2" s="1758">
        <f>xxSim0Tool1</f>
        <v>0</v>
      </c>
      <c r="W2" s="1758"/>
      <c r="X2" s="1758"/>
      <c r="Y2" s="1758"/>
      <c r="Z2" s="1758"/>
      <c r="AA2" s="1758"/>
    </row>
    <row r="3" spans="2:27" ht="23.25">
      <c r="B3" s="1735"/>
      <c r="C3" s="1736"/>
      <c r="D3" s="1736"/>
      <c r="E3" s="1736"/>
      <c r="F3" s="1860"/>
      <c r="G3" s="1861" t="s">
        <v>2430</v>
      </c>
      <c r="H3" s="1862"/>
      <c r="I3" s="1758"/>
      <c r="J3" s="1862"/>
      <c r="K3" s="1862"/>
      <c r="L3" s="1862"/>
      <c r="M3" s="1862"/>
      <c r="N3" s="1738" t="str">
        <f>INDEX(decTeamName,,xxIndexTeam)</f>
        <v>Vivia</v>
      </c>
      <c r="O3" s="1739"/>
      <c r="U3" s="1758" t="s">
        <v>190</v>
      </c>
      <c r="V3" s="1758">
        <f>xxYear</f>
        <v>1</v>
      </c>
      <c r="W3" s="1758"/>
      <c r="X3" s="1758"/>
      <c r="Y3" s="1758"/>
      <c r="Z3" s="1758"/>
      <c r="AA3" s="1758"/>
    </row>
    <row r="4" spans="2:27" ht="6" customHeight="1">
      <c r="B4" s="1740"/>
      <c r="C4" s="1741"/>
      <c r="D4" s="1741"/>
      <c r="E4" s="1741"/>
      <c r="F4" s="1741"/>
      <c r="G4" s="1741"/>
      <c r="H4" s="1741"/>
      <c r="I4" s="1741"/>
      <c r="J4" s="1741"/>
      <c r="K4" s="1741"/>
      <c r="L4" s="1741"/>
      <c r="M4" s="1741"/>
      <c r="N4" s="1741"/>
      <c r="O4" s="1742"/>
    </row>
    <row r="5" spans="2:27" ht="15.75">
      <c r="B5" s="1743"/>
      <c r="C5" s="1744"/>
      <c r="D5" s="1745"/>
      <c r="E5" s="1745"/>
      <c r="F5" s="1745"/>
      <c r="G5" s="1745"/>
      <c r="H5" s="1745"/>
      <c r="I5" s="1745"/>
      <c r="J5" s="1745"/>
      <c r="K5" s="1745"/>
      <c r="L5" s="1745"/>
      <c r="M5" s="1745"/>
      <c r="N5" s="1863" t="str">
        <f ca="1">xxDashboard</f>
        <v>Corporate:   Net Rev Growth: 0.3%,   Op Margin: 23.3%   ROIC: 22.9%   Sustainability: 100.5   MTUs: 81</v>
      </c>
      <c r="O5" s="1746"/>
    </row>
    <row r="6" spans="2:27" ht="6" customHeight="1">
      <c r="B6" s="1747"/>
      <c r="C6" s="1744"/>
      <c r="D6" s="1744"/>
      <c r="E6" s="1744"/>
      <c r="F6" s="1744"/>
      <c r="G6" s="1744"/>
      <c r="H6" s="1748"/>
      <c r="I6" s="1748"/>
      <c r="J6" s="1748"/>
      <c r="K6" s="1748"/>
      <c r="L6" s="1748"/>
      <c r="M6" s="1748"/>
      <c r="N6" s="1748"/>
      <c r="O6" s="1746"/>
    </row>
    <row r="7" spans="2:27" ht="15.75" customHeight="1">
      <c r="B7" s="1747"/>
      <c r="C7" s="1744"/>
      <c r="D7" s="1744"/>
      <c r="E7" s="1744"/>
      <c r="F7" s="1744"/>
      <c r="G7" s="1744"/>
      <c r="H7" s="1745"/>
      <c r="I7" s="1745"/>
      <c r="J7" s="1748"/>
      <c r="K7" s="1748"/>
      <c r="L7" s="1748"/>
      <c r="M7" s="1748"/>
      <c r="N7" s="1863" t="str">
        <f ca="1">xxGSSDashboard</f>
        <v>Global Shared Services:   Ending Cash: $6,695,626   Talent (Sustainability): 99.9   CAPEX: $999,556   Long Term Debt: $3,110,000</v>
      </c>
      <c r="O7" s="1746"/>
      <c r="AA7" s="2505" t="s">
        <v>4881</v>
      </c>
    </row>
    <row r="8" spans="2:27" ht="6" customHeight="1">
      <c r="B8" s="1749"/>
      <c r="C8" s="1744"/>
      <c r="D8" s="1744"/>
      <c r="E8" s="1744"/>
      <c r="F8" s="1744"/>
      <c r="G8" s="1744"/>
      <c r="H8" s="1744"/>
      <c r="I8" s="1744"/>
      <c r="J8" s="1744"/>
      <c r="K8" s="1744"/>
      <c r="L8" s="1744"/>
      <c r="M8" s="1744"/>
      <c r="N8" s="1744"/>
      <c r="O8" s="1746"/>
    </row>
    <row r="9" spans="2:27" ht="9" customHeight="1">
      <c r="B9" s="1819"/>
      <c r="C9" s="1874"/>
      <c r="D9" s="1820"/>
      <c r="E9" s="1820"/>
      <c r="F9" s="1820"/>
      <c r="G9" s="1820"/>
      <c r="H9" s="1864"/>
      <c r="I9" s="1864"/>
      <c r="J9" s="1864"/>
      <c r="K9" s="1864"/>
      <c r="L9" s="1864"/>
      <c r="M9" s="1864"/>
      <c r="N9" s="1864"/>
      <c r="O9" s="1821"/>
    </row>
    <row r="10" spans="2:27" ht="15.75">
      <c r="B10" s="1819"/>
      <c r="C10" s="1820" t="s">
        <v>2749</v>
      </c>
      <c r="D10" s="1820"/>
      <c r="E10" s="1820"/>
      <c r="F10" s="1820"/>
      <c r="G10" s="1820"/>
      <c r="H10" s="1820"/>
      <c r="I10" s="1820"/>
      <c r="J10" s="1820"/>
      <c r="K10" s="1820"/>
      <c r="L10" s="1820"/>
      <c r="M10" s="1820"/>
      <c r="N10" s="1820"/>
      <c r="O10" s="1821"/>
      <c r="R10" s="1206"/>
      <c r="S10" s="1206"/>
    </row>
    <row r="11" spans="2:27" ht="9" customHeight="1">
      <c r="B11" s="1819"/>
      <c r="C11" s="1875"/>
      <c r="D11" s="1820"/>
      <c r="E11" s="1820"/>
      <c r="F11" s="1820"/>
      <c r="G11" s="1820"/>
      <c r="H11" s="1865"/>
      <c r="I11" s="1866"/>
      <c r="J11" s="1865"/>
      <c r="K11" s="1866"/>
      <c r="L11" s="1866"/>
      <c r="M11" s="1866"/>
      <c r="N11" s="1865"/>
      <c r="O11" s="1821"/>
      <c r="R11" s="1206"/>
      <c r="S11" s="1206"/>
    </row>
    <row r="12" spans="2:27" ht="15.75">
      <c r="B12" s="1819"/>
      <c r="C12" s="1820"/>
      <c r="D12" s="1876" t="s">
        <v>1936</v>
      </c>
      <c r="E12" s="1681"/>
      <c r="F12" s="1867" t="s">
        <v>1484</v>
      </c>
      <c r="G12" s="1868"/>
      <c r="H12" s="1820"/>
      <c r="I12" s="1869" t="s">
        <v>3806</v>
      </c>
      <c r="J12" s="1870"/>
      <c r="K12" s="1869" t="s">
        <v>3807</v>
      </c>
      <c r="L12" s="1870"/>
      <c r="M12" s="1869" t="s">
        <v>1259</v>
      </c>
      <c r="N12" s="1820"/>
      <c r="O12" s="1821"/>
      <c r="R12" s="1206"/>
      <c r="S12" s="1206"/>
      <c r="T12" s="956"/>
      <c r="U12" s="956"/>
      <c r="V12" s="1681" t="s">
        <v>748</v>
      </c>
      <c r="W12" s="1681" t="s">
        <v>749</v>
      </c>
      <c r="X12" s="1681" t="s">
        <v>750</v>
      </c>
      <c r="Y12" s="1681" t="s">
        <v>3545</v>
      </c>
      <c r="Z12" s="1681" t="s">
        <v>1936</v>
      </c>
    </row>
    <row r="13" spans="2:27" ht="10.5" customHeight="1" thickBot="1">
      <c r="B13" s="1819"/>
      <c r="C13" s="1820"/>
      <c r="D13" s="1681"/>
      <c r="E13" s="1681"/>
      <c r="F13" s="1681"/>
      <c r="G13" s="1681"/>
      <c r="H13" s="1820"/>
      <c r="I13" s="1820"/>
      <c r="J13" s="1820"/>
      <c r="K13" s="1820"/>
      <c r="L13" s="1820"/>
      <c r="M13" s="1820"/>
      <c r="N13" s="1820"/>
      <c r="O13" s="1821"/>
      <c r="R13" s="1206"/>
      <c r="S13" s="1206"/>
      <c r="T13" s="956"/>
      <c r="U13" s="956"/>
      <c r="V13" s="1818"/>
      <c r="W13" s="1681"/>
      <c r="X13" s="1681"/>
      <c r="Y13" s="1681"/>
      <c r="Z13" s="481"/>
    </row>
    <row r="14" spans="2:27" ht="16.5" thickBot="1">
      <c r="B14" s="939"/>
      <c r="C14" s="935"/>
      <c r="D14" s="2485">
        <v>0</v>
      </c>
      <c r="E14" s="1681"/>
      <c r="F14" s="1822" t="str">
        <f>IF(toolPrograms!D14=0,"",IF(toolPrograms!V14=0,"Not Valid",IF(toolPrograms!W14=0,"Used Previously",IF(toolPrograms!X14=0,"Used This Year",IF(toolPrograms!Y14=0,"Prerequisite Required",VLOOKUP(toolPrograms!Z14,DataPage!$G$342:$H$412,2,0))))))</f>
        <v/>
      </c>
      <c r="G14" s="1871"/>
      <c r="H14" s="1744"/>
      <c r="I14" s="1872">
        <f>IF(tlInputSpecProg1Check&lt;&gt;0,VLOOKUP(tlInputSpecProg1,dataInitiativesCostMatrix,3,0),0)</f>
        <v>0</v>
      </c>
      <c r="J14" s="1872"/>
      <c r="K14" s="1872">
        <f>IF(tlInputSpecProg1Check&lt;&gt;0,VLOOKUP(tlInputSpecProg1,dataInitiativesCostMatrix,4,0),0)</f>
        <v>0</v>
      </c>
      <c r="L14" s="1744"/>
      <c r="M14" s="1873">
        <f>IF(tlInputSpecProg1Check&lt;&gt;0,VLOOKUP(tlInputSpecProg1,dataInitiativesCostMatrix,5,0),0)</f>
        <v>0</v>
      </c>
      <c r="N14" s="1744"/>
      <c r="O14" s="1753"/>
      <c r="R14" s="1206"/>
      <c r="S14" s="1206"/>
      <c r="T14" s="956"/>
      <c r="U14" s="956"/>
      <c r="V14" s="1681" t="b">
        <f>COUNTIF(DataPage!$G$342:$H$412,D14)&gt;0</f>
        <v>1</v>
      </c>
      <c r="W14" s="1681" t="b">
        <f>COUNTIF(obal!$E$279:$E$297,D14)=0</f>
        <v>0</v>
      </c>
      <c r="X14" s="1681" t="b">
        <v>1</v>
      </c>
      <c r="Y14" s="1681" t="b">
        <f>IF(D14="OI9",COUNTIF(obal!$E$279:$E$297,"OI2")&gt;0,TRUE)</f>
        <v>1</v>
      </c>
      <c r="Z14" s="498">
        <f>tlInputSpecProg1</f>
        <v>0</v>
      </c>
      <c r="AA14" s="925">
        <f>IF((V14*W14*X14*Y14)=1,D14,0)</f>
        <v>0</v>
      </c>
    </row>
    <row r="15" spans="2:27" s="954" customFormat="1" ht="10.5" customHeight="1" thickBot="1">
      <c r="B15" s="953"/>
      <c r="C15" s="935"/>
      <c r="D15" s="482"/>
      <c r="E15" s="1681"/>
      <c r="F15" s="1681"/>
      <c r="G15" s="1744"/>
      <c r="H15" s="1744"/>
      <c r="I15" s="1872"/>
      <c r="J15" s="1872"/>
      <c r="K15" s="1872"/>
      <c r="L15" s="1744"/>
      <c r="M15" s="1873"/>
      <c r="N15" s="1744"/>
      <c r="O15" s="1753"/>
      <c r="R15" s="1206"/>
      <c r="S15" s="1206"/>
      <c r="T15" s="956"/>
      <c r="U15" s="956"/>
      <c r="V15" s="1681"/>
      <c r="W15" s="1681"/>
      <c r="X15" s="1681"/>
      <c r="Y15" s="1681"/>
      <c r="Z15" s="481"/>
    </row>
    <row r="16" spans="2:27" ht="16.5" thickBot="1">
      <c r="B16" s="939"/>
      <c r="C16" s="935"/>
      <c r="D16" s="2485">
        <v>0</v>
      </c>
      <c r="E16" s="1681"/>
      <c r="F16" s="1822" t="str">
        <f>IF(toolPrograms!D16=0,"",IF(toolPrograms!V16=0,"Not Valid",IF(toolPrograms!W16=0,"Used Previously",IF(toolPrograms!X16=0,"Used This Year",IF(toolPrograms!Y16=0,"Prerequisite Required",VLOOKUP(toolPrograms!Z16,DataPage!$G$342:$H$412,2,0))))))</f>
        <v/>
      </c>
      <c r="G16" s="1871"/>
      <c r="H16" s="1744"/>
      <c r="I16" s="1872">
        <f>IF(tlInputSpecProg2Check&lt;&gt;0,VLOOKUP(tlInputSpecProg2,dataInitiativesCostMatrix,3,0),0)</f>
        <v>0</v>
      </c>
      <c r="J16" s="1872"/>
      <c r="K16" s="1872">
        <f>IF(tlInputSpecProg2Check&lt;&gt;0,VLOOKUP(tlInputSpecProg2,dataInitiativesCostMatrix,4,0),0)</f>
        <v>0</v>
      </c>
      <c r="L16" s="1744"/>
      <c r="M16" s="1873">
        <f>IF(tlInputSpecProg2Check&lt;&gt;0,VLOOKUP(tlInputSpecProg2,dataInitiativesCostMatrix,5,0),0)</f>
        <v>0</v>
      </c>
      <c r="N16" s="1744"/>
      <c r="O16" s="1753"/>
      <c r="R16" s="1206"/>
      <c r="S16" s="1206"/>
      <c r="V16" s="1681" t="b">
        <f>COUNTIF(DataPage!$G$342:$H$412,D16)&gt;0</f>
        <v>1</v>
      </c>
      <c r="W16" s="1681" t="b">
        <f>COUNTIF(obal!$E$279:$E$297,D16)=0</f>
        <v>0</v>
      </c>
      <c r="X16" s="1681" t="b">
        <f>COUNTIF($D$14:D15,D16)=0</f>
        <v>0</v>
      </c>
      <c r="Y16" s="1681" t="b">
        <f>IF(D16="OI9",COUNTIF(obal!$E$279:$E$297,"OI2")&gt;0,TRUE)</f>
        <v>1</v>
      </c>
      <c r="Z16" s="498">
        <f>tlInputSpecProg2</f>
        <v>0</v>
      </c>
      <c r="AA16" s="925">
        <f>IF((V16*W16*X16*Y16)=1,D16,0)</f>
        <v>0</v>
      </c>
    </row>
    <row r="17" spans="1:27" ht="10.5" customHeight="1" thickBot="1">
      <c r="B17" s="939"/>
      <c r="C17" s="935"/>
      <c r="D17" s="1067"/>
      <c r="E17" s="1681"/>
      <c r="F17" s="1681"/>
      <c r="G17" s="1744"/>
      <c r="H17" s="1744"/>
      <c r="I17" s="1872"/>
      <c r="J17" s="1872"/>
      <c r="K17" s="1872"/>
      <c r="L17" s="1744"/>
      <c r="M17" s="1873"/>
      <c r="N17" s="1744"/>
      <c r="O17" s="1753"/>
      <c r="R17" s="1206"/>
      <c r="S17" s="1206"/>
      <c r="V17" s="1681"/>
      <c r="W17" s="1681"/>
      <c r="X17" s="1681"/>
      <c r="Y17" s="1681"/>
      <c r="Z17" s="481"/>
    </row>
    <row r="18" spans="1:27" ht="16.5" thickBot="1">
      <c r="B18" s="939"/>
      <c r="C18" s="935"/>
      <c r="D18" s="2485">
        <v>0</v>
      </c>
      <c r="E18" s="1681"/>
      <c r="F18" s="1822" t="str">
        <f>IF(toolPrograms!D18=0,"",IF(toolPrograms!V18=0,"Not Valid",IF(toolPrograms!W18=0,"Used Previously",IF(toolPrograms!X18=0,"Used This Year",IF(toolPrograms!Y18=0,"Prerequisite Required",VLOOKUP(toolPrograms!Z18,DataPage!$G$342:$H$412,2,0))))))</f>
        <v/>
      </c>
      <c r="G18" s="1871"/>
      <c r="H18" s="1744"/>
      <c r="I18" s="1872">
        <f>IF(tlInputSpecProg3Check&lt;&gt;0,VLOOKUP(tlInputSpecProg3,dataInitiativesCostMatrix,3,0),0)</f>
        <v>0</v>
      </c>
      <c r="J18" s="1872"/>
      <c r="K18" s="1872">
        <f>IF(tlInputSpecProg3Check&lt;&gt;0,VLOOKUP(tlInputSpecProg3,dataInitiativesCostMatrix,4,0),0)</f>
        <v>0</v>
      </c>
      <c r="L18" s="1744"/>
      <c r="M18" s="1873">
        <f>IF(tlInputSpecProg3Check&lt;&gt;0,VLOOKUP(tlInputSpecProg3,dataInitiativesCostMatrix,5,0),0)</f>
        <v>0</v>
      </c>
      <c r="N18" s="1744"/>
      <c r="O18" s="1753"/>
      <c r="R18" s="1206"/>
      <c r="S18" s="1206"/>
      <c r="V18" s="1681" t="b">
        <f>COUNTIF(DataPage!$G$342:$H$412,D18)&gt;0</f>
        <v>1</v>
      </c>
      <c r="W18" s="1681" t="b">
        <f>COUNTIF(obal!$E$279:$E$297,D18)=0</f>
        <v>0</v>
      </c>
      <c r="X18" s="1681" t="b">
        <f>COUNTIF($D$14:D17,D18)=0</f>
        <v>0</v>
      </c>
      <c r="Y18" s="1681" t="b">
        <f>IF(D18="OI9",COUNTIF(obal!$E$279:$E$297,"OI2")&gt;0,TRUE)</f>
        <v>1</v>
      </c>
      <c r="Z18" s="498">
        <f>tlInputSpecProg3</f>
        <v>0</v>
      </c>
      <c r="AA18" s="925">
        <f>IF((V18*W18*X18*Y18)=1,D18,0)</f>
        <v>0</v>
      </c>
    </row>
    <row r="19" spans="1:27" ht="10.5" customHeight="1" thickBot="1">
      <c r="B19" s="939"/>
      <c r="C19" s="935"/>
      <c r="D19" s="1067"/>
      <c r="E19" s="1681"/>
      <c r="F19" s="1681"/>
      <c r="G19" s="1744"/>
      <c r="H19" s="1744"/>
      <c r="I19" s="1872"/>
      <c r="J19" s="1872"/>
      <c r="K19" s="1872"/>
      <c r="L19" s="1744"/>
      <c r="M19" s="1873"/>
      <c r="N19" s="1744"/>
      <c r="O19" s="1753"/>
      <c r="R19" s="1206"/>
      <c r="S19" s="1206"/>
      <c r="V19" s="1681"/>
      <c r="W19" s="1681"/>
      <c r="X19" s="1681"/>
      <c r="Y19" s="1681"/>
      <c r="Z19" s="481"/>
    </row>
    <row r="20" spans="1:27" ht="16.5" thickBot="1">
      <c r="B20" s="939"/>
      <c r="C20" s="935"/>
      <c r="D20" s="2485">
        <v>0</v>
      </c>
      <c r="E20" s="1681"/>
      <c r="F20" s="1822" t="str">
        <f>IF(toolPrograms!D20=0,"",IF(toolPrograms!V20=0,"Not Valid",IF(toolPrograms!W20=0,"Used Previously",IF(toolPrograms!X20=0,"Used This Year",IF(toolPrograms!Y20=0,"Prerequisite Required",VLOOKUP(toolPrograms!Z20,DataPage!$G$342:$H$412,2,0))))))</f>
        <v/>
      </c>
      <c r="G20" s="1871"/>
      <c r="H20" s="1744"/>
      <c r="I20" s="1872">
        <f>IF(tlInputSpecProg4Check&lt;&gt;0,VLOOKUP(tlInputSpecProg4,dataInitiativesCostMatrix,3,0),0)</f>
        <v>0</v>
      </c>
      <c r="J20" s="1872"/>
      <c r="K20" s="1872">
        <f>IF(tlInputSpecProg4Check&lt;&gt;0,VLOOKUP(tlInputSpecProg4,dataInitiativesCostMatrix,4,0),0)</f>
        <v>0</v>
      </c>
      <c r="L20" s="1744"/>
      <c r="M20" s="1873">
        <f>IF(tlInputSpecProg4Check&lt;&gt;0,VLOOKUP(tlInputSpecProg4,dataInitiativesCostMatrix,5,0),0)</f>
        <v>0</v>
      </c>
      <c r="N20" s="1744"/>
      <c r="O20" s="1753"/>
      <c r="V20" s="1681" t="b">
        <f>COUNTIF(DataPage!$G$342:$H$412,D20)&gt;0</f>
        <v>1</v>
      </c>
      <c r="W20" s="1681" t="b">
        <f>COUNTIF(obal!$E$279:$E$297,D20)=0</f>
        <v>0</v>
      </c>
      <c r="X20" s="1681" t="b">
        <f>COUNTIF($D$14:D19,D20)=0</f>
        <v>0</v>
      </c>
      <c r="Y20" s="1681" t="b">
        <f>IF(D20="OI9",COUNTIF(obal!$E$279:$E$297,"OI2")&gt;0,TRUE)</f>
        <v>1</v>
      </c>
      <c r="Z20" s="498">
        <f>tlInputSpecProg4</f>
        <v>0</v>
      </c>
      <c r="AA20" s="925">
        <f>IF((V20*W20*X20*Y20)=1,D20,0)</f>
        <v>0</v>
      </c>
    </row>
    <row r="21" spans="1:27" ht="10.5" customHeight="1" thickBot="1">
      <c r="B21" s="939"/>
      <c r="C21" s="935"/>
      <c r="D21" s="1067"/>
      <c r="E21" s="1681"/>
      <c r="F21" s="1681"/>
      <c r="G21" s="1744"/>
      <c r="H21" s="1744"/>
      <c r="I21" s="1872"/>
      <c r="J21" s="1872"/>
      <c r="K21" s="1872"/>
      <c r="L21" s="1744"/>
      <c r="M21" s="1873"/>
      <c r="N21" s="1744"/>
      <c r="O21" s="1753"/>
      <c r="S21" s="956"/>
      <c r="T21" s="956"/>
      <c r="U21" s="956"/>
      <c r="V21" s="1681"/>
      <c r="W21" s="1681"/>
      <c r="X21" s="1681"/>
      <c r="Y21" s="1681"/>
      <c r="Z21" s="481"/>
    </row>
    <row r="22" spans="1:27" ht="16.5" thickBot="1">
      <c r="B22" s="939"/>
      <c r="C22" s="935"/>
      <c r="D22" s="2485">
        <v>0</v>
      </c>
      <c r="E22" s="1681"/>
      <c r="F22" s="1822" t="str">
        <f>IF(toolPrograms!D22=0,"",IF(toolPrograms!V22=0,"Not Valid",IF(toolPrograms!W22=0,"Used Previously",IF(toolPrograms!X22=0,"Used This Year",IF(toolPrograms!Y22=0,"Prerequisite Required",VLOOKUP(toolPrograms!Z22,DataPage!$G$342:$H$412,2,0))))))</f>
        <v/>
      </c>
      <c r="G22" s="1871"/>
      <c r="H22" s="1744"/>
      <c r="I22" s="1872">
        <f>IF(tlInputSpecProg5Check&lt;&gt;0,VLOOKUP(tlInputSpecProg5,dataInitiativesCostMatrix,3,0),0)</f>
        <v>0</v>
      </c>
      <c r="J22" s="1872"/>
      <c r="K22" s="1872">
        <f>IF(tlInputSpecProg5Check&lt;&gt;0,VLOOKUP(tlInputSpecProg5,dataInitiativesCostMatrix,4,0),0)</f>
        <v>0</v>
      </c>
      <c r="L22" s="1744"/>
      <c r="M22" s="1873">
        <f>IF(tlInputSpecProg5Check&lt;&gt;0,VLOOKUP(tlInputSpecProg5,dataInitiativesCostMatrix,5,0),0)</f>
        <v>0</v>
      </c>
      <c r="N22" s="1744"/>
      <c r="O22" s="1753"/>
      <c r="V22" s="1681" t="b">
        <f>COUNTIF(DataPage!$G$342:$H$412,D22)&gt;0</f>
        <v>1</v>
      </c>
      <c r="W22" s="1681" t="b">
        <f>COUNTIF(obal!$E$279:$E$297,D22)=0</f>
        <v>0</v>
      </c>
      <c r="X22" s="1681" t="b">
        <f>COUNTIF($D$14:D21,D22)=0</f>
        <v>0</v>
      </c>
      <c r="Y22" s="1681" t="b">
        <f>IF(D22="OI9",COUNTIF(obal!$E$279:$E$297,"OI2")&gt;0,TRUE)</f>
        <v>1</v>
      </c>
      <c r="Z22" s="498">
        <f>tlInputSpecProg5</f>
        <v>0</v>
      </c>
      <c r="AA22" s="925">
        <f>IF((V22*W22*X22*Y22)=1,D22,0)</f>
        <v>0</v>
      </c>
    </row>
    <row r="23" spans="1:27" ht="10.5" hidden="1" customHeight="1" thickBot="1">
      <c r="A23" s="980"/>
      <c r="B23" s="1819"/>
      <c r="C23" s="1820"/>
      <c r="D23" s="1681"/>
      <c r="E23" s="1681"/>
      <c r="F23" s="1681"/>
      <c r="G23" s="1820"/>
      <c r="H23" s="1820"/>
      <c r="I23" s="1820"/>
      <c r="J23" s="1820"/>
      <c r="K23" s="1820"/>
      <c r="L23" s="1820"/>
      <c r="M23" s="1820"/>
      <c r="N23" s="1820"/>
      <c r="O23" s="1821"/>
      <c r="P23" s="980"/>
      <c r="V23" s="1681"/>
      <c r="W23" s="1681"/>
      <c r="X23" s="1681"/>
      <c r="Y23" s="1681"/>
      <c r="Z23" s="591"/>
    </row>
    <row r="24" spans="1:27" ht="16.5" hidden="1" thickBot="1">
      <c r="A24" s="980"/>
      <c r="B24" s="1819"/>
      <c r="C24" s="1820"/>
      <c r="D24" s="2486"/>
      <c r="E24" s="1681"/>
      <c r="F24" s="1822" t="str">
        <f>IF(toolPrograms!D24=0,"",IF(toolPrograms!V24=0,"Not Valid",IF(toolPrograms!W24=0,"Used Previously",IF(toolPrograms!X24=0,"Used This Year",IF(toolPrograms!Y24=0,"Prerequisite Required",VLOOKUP(toolPrograms!Z24,adj!$B$1107:$C$1127,2,0))))))</f>
        <v/>
      </c>
      <c r="G24" s="1823"/>
      <c r="H24" s="1820"/>
      <c r="I24" s="1820"/>
      <c r="J24" s="1820"/>
      <c r="K24" s="1820"/>
      <c r="L24" s="1820"/>
      <c r="M24" s="1820"/>
      <c r="N24" s="1820"/>
      <c r="O24" s="1821"/>
      <c r="P24" s="980"/>
      <c r="V24" s="481" t="b">
        <f>COUNTIF(adj!$B$1107:$B$1127,D24)&gt;0</f>
        <v>0</v>
      </c>
      <c r="W24" s="481" t="b">
        <f>COUNTIF(obal!$E$279:$E$297,D24)=0</f>
        <v>0</v>
      </c>
      <c r="X24" s="481" t="b">
        <f>COUNTIF($D$14:D23,D24)=0</f>
        <v>0</v>
      </c>
      <c r="Y24" s="481" t="b">
        <f>IF(D24="IN7",COUNTIF(obal!$E$279:$E$297,"IN6")&gt;0,TRUE)</f>
        <v>1</v>
      </c>
      <c r="Z24" s="498">
        <f>IF((V24*W24*X24*Y24)=1,D24,0)</f>
        <v>0</v>
      </c>
    </row>
    <row r="25" spans="1:27" ht="15.75" hidden="1">
      <c r="A25" s="980"/>
      <c r="B25" s="1819"/>
      <c r="C25" s="1820"/>
      <c r="D25" s="1681"/>
      <c r="E25" s="1681"/>
      <c r="F25" s="1681"/>
      <c r="G25" s="1820"/>
      <c r="H25" s="1820"/>
      <c r="I25" s="1820"/>
      <c r="J25" s="1820"/>
      <c r="K25" s="1820"/>
      <c r="L25" s="1820"/>
      <c r="M25" s="1820"/>
      <c r="N25" s="1820"/>
      <c r="O25" s="1821"/>
      <c r="P25" s="980"/>
      <c r="V25" s="481"/>
      <c r="W25" s="481"/>
      <c r="X25" s="481"/>
      <c r="Y25" s="481"/>
      <c r="Z25" s="1068"/>
    </row>
    <row r="26" spans="1:27" ht="20.25" customHeight="1">
      <c r="A26" s="980"/>
      <c r="B26" s="1819"/>
      <c r="C26" s="1820"/>
      <c r="D26" s="1681"/>
      <c r="E26" s="1681"/>
      <c r="F26" s="1681"/>
      <c r="G26" s="1824" t="s">
        <v>2377</v>
      </c>
      <c r="H26" s="1825"/>
      <c r="I26" s="1826">
        <f>SUM(I14:I22)</f>
        <v>0</v>
      </c>
      <c r="J26" s="1825"/>
      <c r="K26" s="1827">
        <f>SUM(K14:K22)</f>
        <v>0</v>
      </c>
      <c r="L26" s="1828"/>
      <c r="M26" s="1829">
        <f>SUM(M14:M22)</f>
        <v>0</v>
      </c>
      <c r="N26" s="1820"/>
      <c r="O26" s="1821"/>
      <c r="P26" s="980"/>
    </row>
    <row r="27" spans="1:27" ht="15.75" thickBot="1">
      <c r="A27" s="980"/>
      <c r="B27" s="1830"/>
      <c r="C27" s="1831"/>
      <c r="D27" s="1832"/>
      <c r="E27" s="1832"/>
      <c r="F27" s="1833"/>
      <c r="G27" s="1833"/>
      <c r="H27" s="1832"/>
      <c r="I27" s="1834"/>
      <c r="J27" s="1833"/>
      <c r="K27" s="1832"/>
      <c r="L27" s="1832"/>
      <c r="M27" s="1832"/>
      <c r="N27" s="1832"/>
      <c r="O27" s="1835"/>
      <c r="P27" s="980"/>
    </row>
    <row r="28" spans="1:27" hidden="1">
      <c r="A28" s="980"/>
      <c r="B28" s="1830"/>
      <c r="C28" s="1831"/>
      <c r="D28" s="1832"/>
      <c r="E28" s="1832"/>
      <c r="F28" s="1833"/>
      <c r="G28" s="1833"/>
      <c r="H28" s="1832"/>
      <c r="I28" s="1834"/>
      <c r="J28" s="1833"/>
      <c r="K28" s="1832"/>
      <c r="L28" s="1832"/>
      <c r="M28" s="1832"/>
      <c r="N28" s="1832"/>
      <c r="O28" s="1835"/>
      <c r="P28" s="980"/>
    </row>
    <row r="29" spans="1:27" hidden="1">
      <c r="A29" s="980"/>
      <c r="B29" s="1830"/>
      <c r="C29" s="1831"/>
      <c r="D29" s="1832"/>
      <c r="E29" s="1832"/>
      <c r="F29" s="1833"/>
      <c r="G29" s="1833"/>
      <c r="H29" s="1832"/>
      <c r="I29" s="1834"/>
      <c r="J29" s="1833"/>
      <c r="K29" s="1832"/>
      <c r="L29" s="1832"/>
      <c r="M29" s="1832"/>
      <c r="N29" s="1832"/>
      <c r="O29" s="1835"/>
      <c r="P29" s="980"/>
    </row>
    <row r="30" spans="1:27" hidden="1">
      <c r="A30" s="980"/>
      <c r="B30" s="1830"/>
      <c r="C30" s="1831"/>
      <c r="D30" s="1832"/>
      <c r="E30" s="1832"/>
      <c r="F30" s="1833"/>
      <c r="G30" s="1833"/>
      <c r="H30" s="1832"/>
      <c r="I30" s="1834"/>
      <c r="J30" s="1833"/>
      <c r="K30" s="1832"/>
      <c r="L30" s="1832"/>
      <c r="M30" s="1832"/>
      <c r="N30" s="1832"/>
      <c r="O30" s="1835"/>
      <c r="P30" s="980"/>
      <c r="R30" s="925" t="s">
        <v>2741</v>
      </c>
      <c r="S30" s="925" t="s">
        <v>1109</v>
      </c>
    </row>
    <row r="31" spans="1:27" hidden="1">
      <c r="A31" s="980"/>
      <c r="B31" s="1830"/>
      <c r="C31" s="1831"/>
      <c r="D31" s="1832"/>
      <c r="E31" s="1832"/>
      <c r="F31" s="1833"/>
      <c r="G31" s="1833"/>
      <c r="H31" s="1832"/>
      <c r="I31" s="1834"/>
      <c r="J31" s="1833"/>
      <c r="K31" s="1832"/>
      <c r="L31" s="1832"/>
      <c r="M31" s="1832"/>
      <c r="N31" s="1832"/>
      <c r="O31" s="1835"/>
      <c r="P31" s="980"/>
      <c r="R31" s="925" t="s">
        <v>2741</v>
      </c>
      <c r="S31" s="925" t="s">
        <v>3071</v>
      </c>
    </row>
    <row r="32" spans="1:27" hidden="1">
      <c r="A32" s="980"/>
      <c r="B32" s="1830"/>
      <c r="C32" s="1831"/>
      <c r="D32" s="1832"/>
      <c r="E32" s="1832"/>
      <c r="F32" s="1833"/>
      <c r="G32" s="1833"/>
      <c r="H32" s="1832"/>
      <c r="I32" s="1834"/>
      <c r="J32" s="1833"/>
      <c r="K32" s="1832"/>
      <c r="L32" s="1832"/>
      <c r="M32" s="1832"/>
      <c r="N32" s="1832"/>
      <c r="O32" s="1835"/>
      <c r="P32" s="980"/>
      <c r="R32" s="925" t="s">
        <v>2741</v>
      </c>
      <c r="S32" s="925" t="s">
        <v>1108</v>
      </c>
    </row>
    <row r="33" spans="1:19" hidden="1">
      <c r="A33" s="980"/>
      <c r="B33" s="1830"/>
      <c r="C33" s="1831"/>
      <c r="D33" s="1832"/>
      <c r="E33" s="1832"/>
      <c r="F33" s="1833"/>
      <c r="G33" s="1833"/>
      <c r="H33" s="1832"/>
      <c r="I33" s="1834"/>
      <c r="J33" s="1833"/>
      <c r="K33" s="1832"/>
      <c r="L33" s="1832"/>
      <c r="M33" s="1832"/>
      <c r="N33" s="1832"/>
      <c r="O33" s="1835"/>
      <c r="P33" s="980"/>
      <c r="R33" s="925" t="s">
        <v>2741</v>
      </c>
      <c r="S33" s="925" t="s">
        <v>2742</v>
      </c>
    </row>
    <row r="34" spans="1:19" hidden="1">
      <c r="A34" s="980"/>
      <c r="B34" s="1830"/>
      <c r="C34" s="1831"/>
      <c r="D34" s="1832"/>
      <c r="E34" s="1832"/>
      <c r="F34" s="1833"/>
      <c r="G34" s="1833"/>
      <c r="H34" s="1832"/>
      <c r="I34" s="1834"/>
      <c r="J34" s="1833"/>
      <c r="K34" s="1832"/>
      <c r="L34" s="1832"/>
      <c r="M34" s="1832"/>
      <c r="N34" s="1832"/>
      <c r="O34" s="1835"/>
      <c r="P34" s="980"/>
      <c r="R34" s="925" t="s">
        <v>2741</v>
      </c>
      <c r="S34" s="925" t="s">
        <v>2743</v>
      </c>
    </row>
    <row r="35" spans="1:19" hidden="1">
      <c r="A35" s="980"/>
      <c r="B35" s="1830"/>
      <c r="C35" s="1831"/>
      <c r="D35" s="1832"/>
      <c r="E35" s="1832"/>
      <c r="F35" s="1833"/>
      <c r="G35" s="1833"/>
      <c r="H35" s="1832"/>
      <c r="I35" s="1834"/>
      <c r="J35" s="1833"/>
      <c r="K35" s="1832"/>
      <c r="L35" s="1832"/>
      <c r="M35" s="1832"/>
      <c r="N35" s="1832"/>
      <c r="O35" s="1835"/>
      <c r="P35" s="980"/>
    </row>
    <row r="36" spans="1:19" hidden="1">
      <c r="A36" s="980"/>
      <c r="B36" s="1830"/>
      <c r="C36" s="1831"/>
      <c r="D36" s="1832"/>
      <c r="E36" s="1832"/>
      <c r="F36" s="1833"/>
      <c r="G36" s="1833"/>
      <c r="H36" s="1832"/>
      <c r="I36" s="1834"/>
      <c r="J36" s="1833"/>
      <c r="K36" s="1832"/>
      <c r="L36" s="1832"/>
      <c r="M36" s="1832"/>
      <c r="N36" s="1832"/>
      <c r="O36" s="1835"/>
      <c r="P36" s="980"/>
    </row>
    <row r="37" spans="1:19" hidden="1">
      <c r="A37" s="980"/>
      <c r="B37" s="1830"/>
      <c r="C37" s="1831"/>
      <c r="D37" s="1832"/>
      <c r="E37" s="1832"/>
      <c r="F37" s="1833"/>
      <c r="G37" s="1833"/>
      <c r="H37" s="1832"/>
      <c r="I37" s="1834"/>
      <c r="J37" s="1833"/>
      <c r="K37" s="1832"/>
      <c r="L37" s="1832"/>
      <c r="M37" s="1832"/>
      <c r="N37" s="1832"/>
      <c r="O37" s="1835"/>
      <c r="P37" s="980"/>
    </row>
    <row r="38" spans="1:19" ht="15.75" hidden="1">
      <c r="A38" s="980"/>
      <c r="B38" s="1819"/>
      <c r="C38" s="1820"/>
      <c r="D38" s="1820"/>
      <c r="E38" s="1820"/>
      <c r="F38" s="1820"/>
      <c r="G38" s="1820"/>
      <c r="H38" s="1820"/>
      <c r="I38" s="1820"/>
      <c r="J38" s="1820"/>
      <c r="K38" s="1820"/>
      <c r="L38" s="1820"/>
      <c r="M38" s="1820"/>
      <c r="N38" s="1820"/>
      <c r="O38" s="1821"/>
      <c r="P38" s="980"/>
    </row>
    <row r="39" spans="1:19" ht="16.5" thickBot="1">
      <c r="A39" s="980"/>
      <c r="B39" s="1836"/>
      <c r="C39" s="1837"/>
      <c r="D39" s="1837"/>
      <c r="E39" s="1837"/>
      <c r="F39" s="1837"/>
      <c r="G39" s="1837"/>
      <c r="H39" s="1838"/>
      <c r="I39" s="1837"/>
      <c r="J39" s="1837"/>
      <c r="K39" s="1837"/>
      <c r="L39" s="1837"/>
      <c r="M39" s="1837"/>
      <c r="N39" s="1837"/>
      <c r="O39" s="1839"/>
      <c r="P39" s="980"/>
    </row>
    <row r="40" spans="1:19" ht="15.75" thickBot="1">
      <c r="A40" s="980"/>
      <c r="B40" s="1840"/>
      <c r="C40" s="1840"/>
      <c r="D40" s="1840"/>
      <c r="E40" s="1840"/>
      <c r="F40" s="1840"/>
      <c r="G40" s="1840"/>
      <c r="H40" s="1840"/>
      <c r="I40" s="1840"/>
      <c r="J40" s="1840"/>
      <c r="K40" s="1840"/>
      <c r="L40" s="1840"/>
      <c r="M40" s="1840"/>
      <c r="N40" s="1840"/>
      <c r="O40" s="1840"/>
      <c r="P40" s="980"/>
    </row>
    <row r="41" spans="1:19" ht="15.75" thickBot="1">
      <c r="B41" s="1773" t="s">
        <v>1945</v>
      </c>
      <c r="C41" s="1774"/>
      <c r="D41" s="1774"/>
      <c r="E41" s="1774"/>
      <c r="F41" s="1774"/>
      <c r="G41" s="1774"/>
      <c r="H41" s="1774"/>
      <c r="I41" s="1774"/>
      <c r="J41" s="1774"/>
      <c r="K41" s="1774"/>
      <c r="L41" s="1774"/>
      <c r="M41" s="1774"/>
      <c r="N41" s="1774"/>
      <c r="O41" s="1775" t="str">
        <f>IF(xxSim0Tool1=0,("Team "&amp;xxIndexTeam&amp;", "&amp;INDEX(decTeamName,xxIndexTeam)&amp;", "&amp;"Yr: "&amp;tlInputTeamYear),("Team "&amp;tlInputTeamNumber&amp;", "&amp;tlInputTeamName&amp;", "&amp;"Yr: "&amp;tlInputTeamYear))</f>
        <v>Team 1, Vivia, Yr: 1</v>
      </c>
    </row>
    <row r="42" spans="1:19" ht="15.75" thickBot="1">
      <c r="A42" s="980"/>
      <c r="B42" s="1841" t="s">
        <v>1680</v>
      </c>
      <c r="C42" s="1842"/>
      <c r="D42" s="1843"/>
      <c r="E42" s="1843"/>
      <c r="F42" s="1843"/>
      <c r="G42" s="1843"/>
      <c r="H42" s="1843"/>
      <c r="I42" s="1843"/>
      <c r="J42" s="1843"/>
      <c r="K42" s="1843"/>
      <c r="L42" s="1843"/>
      <c r="M42" s="1843"/>
      <c r="N42" s="1843"/>
      <c r="O42" s="1844"/>
      <c r="P42" s="980"/>
    </row>
    <row r="43" spans="1:19" ht="6" customHeight="1">
      <c r="A43" s="980"/>
      <c r="B43" s="1845"/>
      <c r="C43" s="1846"/>
      <c r="D43" s="1846"/>
      <c r="E43" s="1846"/>
      <c r="F43" s="1846"/>
      <c r="G43" s="1846"/>
      <c r="H43" s="1846"/>
      <c r="I43" s="1846"/>
      <c r="J43" s="1846"/>
      <c r="K43" s="1846"/>
      <c r="L43" s="1846"/>
      <c r="M43" s="1846"/>
      <c r="N43" s="1846"/>
      <c r="O43" s="1847"/>
      <c r="P43" s="980"/>
    </row>
    <row r="44" spans="1:19" ht="15.75" thickBot="1">
      <c r="A44" s="980"/>
      <c r="B44" s="1830"/>
      <c r="C44" s="1831"/>
      <c r="D44" s="1831"/>
      <c r="E44" s="1831"/>
      <c r="F44" s="1848"/>
      <c r="G44" s="1848"/>
      <c r="H44" s="1831"/>
      <c r="I44" s="1849" t="s">
        <v>1936</v>
      </c>
      <c r="J44" s="1848"/>
      <c r="K44" s="1849" t="s">
        <v>3376</v>
      </c>
      <c r="L44" s="1850"/>
      <c r="M44" s="1850"/>
      <c r="N44" s="1850"/>
      <c r="O44" s="1835"/>
      <c r="P44" s="980"/>
    </row>
    <row r="45" spans="1:19" ht="3.75" customHeight="1">
      <c r="A45" s="980"/>
      <c r="B45" s="1830"/>
      <c r="C45" s="1831"/>
      <c r="D45" s="1831"/>
      <c r="E45" s="1831"/>
      <c r="F45" s="1848"/>
      <c r="G45" s="1848"/>
      <c r="H45" s="1831"/>
      <c r="I45" s="1681"/>
      <c r="J45" s="1848"/>
      <c r="K45" s="1681"/>
      <c r="L45" s="1831"/>
      <c r="M45" s="1831"/>
      <c r="N45" s="1831"/>
      <c r="O45" s="1835"/>
      <c r="P45" s="980"/>
    </row>
    <row r="46" spans="1:19" ht="15.75" thickBot="1">
      <c r="A46" s="980"/>
      <c r="B46" s="1851"/>
      <c r="C46" s="1849" t="s">
        <v>3198</v>
      </c>
      <c r="D46" s="1849"/>
      <c r="E46" s="1849"/>
      <c r="F46" s="1849"/>
      <c r="G46" s="1848"/>
      <c r="H46" s="1831"/>
      <c r="I46" s="1831"/>
      <c r="J46" s="1848"/>
      <c r="K46" s="1831"/>
      <c r="L46" s="1831"/>
      <c r="M46" s="1831"/>
      <c r="N46" s="1831"/>
      <c r="O46" s="1835"/>
      <c r="P46" s="980"/>
    </row>
    <row r="47" spans="1:19" ht="6" customHeight="1">
      <c r="A47" s="980"/>
      <c r="B47" s="1851"/>
      <c r="C47" s="1681"/>
      <c r="D47" s="1831"/>
      <c r="E47" s="1831"/>
      <c r="F47" s="1848"/>
      <c r="G47" s="1848"/>
      <c r="H47" s="1831"/>
      <c r="I47" s="1831"/>
      <c r="J47" s="1848"/>
      <c r="K47" s="1831"/>
      <c r="L47" s="1831"/>
      <c r="M47" s="1831"/>
      <c r="N47" s="1831"/>
      <c r="O47" s="1835"/>
      <c r="P47" s="980"/>
    </row>
    <row r="48" spans="1:19">
      <c r="A48" s="980"/>
      <c r="B48" s="1830"/>
      <c r="C48" s="1831"/>
      <c r="D48" s="1832" t="s">
        <v>1407</v>
      </c>
      <c r="E48" s="1832"/>
      <c r="F48" s="1852"/>
      <c r="G48" s="1852"/>
      <c r="H48" s="1832"/>
      <c r="I48" s="1834">
        <f>INDEX(cbal!$E$280:$I$280,xxIndexTeam)</f>
        <v>0</v>
      </c>
      <c r="J48" s="1852"/>
      <c r="K48" s="1832" t="str">
        <f>IF(I48=0,"--",VLOOKUP(I48,adj!$B$322:$C$1095,2,0))</f>
        <v>--</v>
      </c>
      <c r="L48" s="1832"/>
      <c r="M48" s="1832"/>
      <c r="N48" s="1832"/>
      <c r="O48" s="1835"/>
      <c r="P48" s="980"/>
    </row>
    <row r="49" spans="1:16">
      <c r="A49" s="980"/>
      <c r="B49" s="1830"/>
      <c r="C49" s="1831"/>
      <c r="D49" s="1832" t="s">
        <v>1408</v>
      </c>
      <c r="E49" s="1832"/>
      <c r="F49" s="1852"/>
      <c r="G49" s="1852"/>
      <c r="H49" s="1832"/>
      <c r="I49" s="1834">
        <f>INDEX(cbal!$E$281:$I$281,xxIndexTeam)</f>
        <v>0</v>
      </c>
      <c r="J49" s="1852"/>
      <c r="K49" s="1832" t="str">
        <f>IF(I49=0,"--",VLOOKUP(I49,adj!$B$322:$C$1095,2,0))</f>
        <v>--</v>
      </c>
      <c r="L49" s="1832"/>
      <c r="M49" s="1832"/>
      <c r="N49" s="1832"/>
      <c r="O49" s="1835"/>
      <c r="P49" s="980"/>
    </row>
    <row r="50" spans="1:16">
      <c r="A50" s="980"/>
      <c r="B50" s="1830"/>
      <c r="C50" s="1831"/>
      <c r="D50" s="1832" t="s">
        <v>1409</v>
      </c>
      <c r="E50" s="1832"/>
      <c r="F50" s="1852"/>
      <c r="G50" s="1852"/>
      <c r="H50" s="1832"/>
      <c r="I50" s="1834">
        <f>INDEX(cbal!$E$282:$I$282,xxIndexTeam)</f>
        <v>0</v>
      </c>
      <c r="J50" s="1852"/>
      <c r="K50" s="1832" t="str">
        <f>IF(I50=0,"--",VLOOKUP(I50,adj!$B$322:$C$1095,2,0))</f>
        <v>--</v>
      </c>
      <c r="L50" s="1832"/>
      <c r="M50" s="1832"/>
      <c r="N50" s="1832"/>
      <c r="O50" s="1835"/>
      <c r="P50" s="980"/>
    </row>
    <row r="51" spans="1:16">
      <c r="A51" s="980"/>
      <c r="B51" s="1830"/>
      <c r="C51" s="1831"/>
      <c r="D51" s="1832" t="s">
        <v>1410</v>
      </c>
      <c r="E51" s="1832"/>
      <c r="F51" s="1852"/>
      <c r="G51" s="1852"/>
      <c r="H51" s="1832"/>
      <c r="I51" s="1834">
        <f>INDEX(cbal!$E$283:$I$283,xxIndexTeam)</f>
        <v>0</v>
      </c>
      <c r="J51" s="1852"/>
      <c r="K51" s="1832" t="str">
        <f>IF(I51=0,"--",VLOOKUP(I51,adj!$B$322:$C$1095,2,0))</f>
        <v>--</v>
      </c>
      <c r="L51" s="1832"/>
      <c r="M51" s="1832"/>
      <c r="N51" s="1832"/>
      <c r="O51" s="1835"/>
      <c r="P51" s="980"/>
    </row>
    <row r="52" spans="1:16">
      <c r="A52" s="980"/>
      <c r="B52" s="1830"/>
      <c r="C52" s="1831"/>
      <c r="D52" s="1832" t="s">
        <v>3776</v>
      </c>
      <c r="E52" s="1832"/>
      <c r="F52" s="1852"/>
      <c r="G52" s="1852"/>
      <c r="H52" s="1832"/>
      <c r="I52" s="1834">
        <f>INDEX(cbal!$E$284:$I$284,xxIndexTeam)</f>
        <v>0</v>
      </c>
      <c r="J52" s="1852"/>
      <c r="K52" s="1832" t="str">
        <f>IF(I52=0,"--",VLOOKUP(I52,adj!$B$322:$C$1095,2,0))</f>
        <v>--</v>
      </c>
      <c r="L52" s="1832"/>
      <c r="M52" s="1832"/>
      <c r="N52" s="1832"/>
      <c r="O52" s="1835"/>
      <c r="P52" s="980"/>
    </row>
    <row r="53" spans="1:16" hidden="1">
      <c r="A53" s="980"/>
      <c r="B53" s="1830"/>
      <c r="C53" s="1831"/>
      <c r="D53" s="1681"/>
      <c r="E53" s="1831"/>
      <c r="F53" s="1848"/>
      <c r="G53" s="1848"/>
      <c r="H53" s="1831"/>
      <c r="I53" s="1853"/>
      <c r="J53" s="1848"/>
      <c r="K53" s="1831"/>
      <c r="L53" s="1831"/>
      <c r="M53" s="1831"/>
      <c r="N53" s="1831"/>
      <c r="O53" s="1835"/>
      <c r="P53" s="980"/>
    </row>
    <row r="54" spans="1:16" hidden="1">
      <c r="A54" s="980"/>
      <c r="B54" s="1830"/>
      <c r="C54" s="1831"/>
      <c r="D54" s="1681" t="s">
        <v>1036</v>
      </c>
      <c r="E54" s="1831"/>
      <c r="F54" s="1848"/>
      <c r="G54" s="1848"/>
      <c r="H54" s="1831"/>
      <c r="I54" s="1853">
        <f>INDEX(cbal!$E$285:$I$285,xxIndexTeam)</f>
        <v>0</v>
      </c>
      <c r="J54" s="1848"/>
      <c r="K54" s="1831" t="str">
        <f>IF(I54=0,"--",VLOOKUP(I54,adj!$B$322:$C$873,2,0))</f>
        <v>--</v>
      </c>
      <c r="L54" s="1831"/>
      <c r="M54" s="1831"/>
      <c r="N54" s="1831"/>
      <c r="O54" s="1835"/>
      <c r="P54" s="980"/>
    </row>
    <row r="55" spans="1:16">
      <c r="A55" s="980"/>
      <c r="B55" s="1830"/>
      <c r="C55" s="1831"/>
      <c r="D55" s="1681"/>
      <c r="E55" s="1831"/>
      <c r="F55" s="1848"/>
      <c r="G55" s="1848"/>
      <c r="H55" s="1831"/>
      <c r="I55" s="1853"/>
      <c r="J55" s="1848"/>
      <c r="K55" s="1831"/>
      <c r="L55" s="1831"/>
      <c r="M55" s="1831"/>
      <c r="N55" s="1831"/>
      <c r="O55" s="1835"/>
      <c r="P55" s="980"/>
    </row>
    <row r="56" spans="1:16" ht="15.75" thickBot="1">
      <c r="A56" s="980"/>
      <c r="B56" s="1851"/>
      <c r="C56" s="1849" t="s">
        <v>3377</v>
      </c>
      <c r="D56" s="1849"/>
      <c r="E56" s="1849"/>
      <c r="F56" s="1849"/>
      <c r="G56" s="1848"/>
      <c r="H56" s="1831"/>
      <c r="I56" s="1853"/>
      <c r="J56" s="1848"/>
      <c r="K56" s="1831"/>
      <c r="L56" s="1831"/>
      <c r="M56" s="1831"/>
      <c r="N56" s="1831"/>
      <c r="O56" s="1835"/>
      <c r="P56" s="980"/>
    </row>
    <row r="57" spans="1:16" ht="6" customHeight="1">
      <c r="A57" s="980"/>
      <c r="B57" s="1851"/>
      <c r="C57" s="1681"/>
      <c r="D57" s="1831"/>
      <c r="E57" s="1831"/>
      <c r="F57" s="1848"/>
      <c r="G57" s="1848"/>
      <c r="H57" s="1831"/>
      <c r="I57" s="1853"/>
      <c r="J57" s="1848"/>
      <c r="K57" s="1831"/>
      <c r="L57" s="1831"/>
      <c r="M57" s="1831"/>
      <c r="N57" s="1831"/>
      <c r="O57" s="1835"/>
      <c r="P57" s="980"/>
    </row>
    <row r="58" spans="1:16">
      <c r="A58" s="980"/>
      <c r="B58" s="1830"/>
      <c r="C58" s="1831"/>
      <c r="D58" s="1832" t="s">
        <v>1407</v>
      </c>
      <c r="E58" s="1832"/>
      <c r="F58" s="1852"/>
      <c r="G58" s="1852"/>
      <c r="H58" s="1832"/>
      <c r="I58" s="1834">
        <f>INDEX(cbal!$E$286:$I$286,xxIndexTeam)</f>
        <v>0</v>
      </c>
      <c r="J58" s="1852"/>
      <c r="K58" s="1832" t="str">
        <f>IF(I58=0,"--",VLOOKUP(I58,adj!$B$322:$C$1095,2,0))</f>
        <v>--</v>
      </c>
      <c r="L58" s="1832"/>
      <c r="M58" s="1832"/>
      <c r="N58" s="1832"/>
      <c r="O58" s="1835"/>
      <c r="P58" s="980"/>
    </row>
    <row r="59" spans="1:16">
      <c r="A59" s="980"/>
      <c r="B59" s="1830"/>
      <c r="C59" s="1831"/>
      <c r="D59" s="1832" t="s">
        <v>1408</v>
      </c>
      <c r="E59" s="1832"/>
      <c r="F59" s="1852"/>
      <c r="G59" s="1852"/>
      <c r="H59" s="1832"/>
      <c r="I59" s="1834">
        <f>INDEX(cbal!$E$287:$I$287,xxIndexTeam)</f>
        <v>0</v>
      </c>
      <c r="J59" s="1852"/>
      <c r="K59" s="1832" t="str">
        <f>IF(I59=0,"--",VLOOKUP(I59,adj!$B$322:$C$1095,2,0))</f>
        <v>--</v>
      </c>
      <c r="L59" s="1832"/>
      <c r="M59" s="1832"/>
      <c r="N59" s="1832"/>
      <c r="O59" s="1835"/>
      <c r="P59" s="980"/>
    </row>
    <row r="60" spans="1:16">
      <c r="A60" s="980"/>
      <c r="B60" s="1830"/>
      <c r="C60" s="1831"/>
      <c r="D60" s="1832" t="s">
        <v>1409</v>
      </c>
      <c r="E60" s="1832"/>
      <c r="F60" s="1852"/>
      <c r="G60" s="1852"/>
      <c r="H60" s="1832"/>
      <c r="I60" s="1834">
        <f>INDEX(cbal!$E$288:$I$288,xxIndexTeam)</f>
        <v>0</v>
      </c>
      <c r="J60" s="1852"/>
      <c r="K60" s="1832" t="str">
        <f>IF(I60=0,"--",VLOOKUP(I60,adj!$B$322:$C$1095,2,0))</f>
        <v>--</v>
      </c>
      <c r="L60" s="1832"/>
      <c r="M60" s="1832"/>
      <c r="N60" s="1832"/>
      <c r="O60" s="1835"/>
      <c r="P60" s="980"/>
    </row>
    <row r="61" spans="1:16">
      <c r="A61" s="980"/>
      <c r="B61" s="1830"/>
      <c r="C61" s="1831"/>
      <c r="D61" s="1832" t="s">
        <v>1410</v>
      </c>
      <c r="E61" s="1832"/>
      <c r="F61" s="1852"/>
      <c r="G61" s="1852"/>
      <c r="H61" s="1832"/>
      <c r="I61" s="1834">
        <f>INDEX(cbal!$E$289:$I$289,xxIndexTeam)</f>
        <v>0</v>
      </c>
      <c r="J61" s="1852"/>
      <c r="K61" s="1832" t="str">
        <f>IF(I61=0,"--",VLOOKUP(I61,adj!$B$322:$C$1095,2,0))</f>
        <v>--</v>
      </c>
      <c r="L61" s="1832"/>
      <c r="M61" s="1832"/>
      <c r="N61" s="1832"/>
      <c r="O61" s="1835"/>
      <c r="P61" s="980"/>
    </row>
    <row r="62" spans="1:16">
      <c r="A62" s="980"/>
      <c r="B62" s="1830"/>
      <c r="C62" s="1831"/>
      <c r="D62" s="1832" t="s">
        <v>3776</v>
      </c>
      <c r="E62" s="1832"/>
      <c r="F62" s="1852"/>
      <c r="G62" s="1852"/>
      <c r="H62" s="1832"/>
      <c r="I62" s="1834">
        <f>INDEX(cbal!$E$290:$I$290,xxIndexTeam)</f>
        <v>0</v>
      </c>
      <c r="J62" s="1852"/>
      <c r="K62" s="1832" t="str">
        <f>IF(I62=0,"--",VLOOKUP(I62,adj!$B$322:$C$1095,2,0))</f>
        <v>--</v>
      </c>
      <c r="L62" s="1832"/>
      <c r="M62" s="1832"/>
      <c r="N62" s="1832"/>
      <c r="O62" s="1835"/>
      <c r="P62" s="980"/>
    </row>
    <row r="63" spans="1:16" hidden="1">
      <c r="A63" s="980"/>
      <c r="B63" s="1830"/>
      <c r="C63" s="1831"/>
      <c r="D63" s="1681"/>
      <c r="E63" s="1831"/>
      <c r="F63" s="1848"/>
      <c r="G63" s="1848"/>
      <c r="H63" s="1831"/>
      <c r="I63" s="1853"/>
      <c r="J63" s="1848"/>
      <c r="K63" s="1831"/>
      <c r="L63" s="1831"/>
      <c r="M63" s="1831"/>
      <c r="N63" s="1831"/>
      <c r="O63" s="1835"/>
      <c r="P63" s="980"/>
    </row>
    <row r="64" spans="1:16" hidden="1">
      <c r="A64" s="980"/>
      <c r="B64" s="1830"/>
      <c r="C64" s="1831"/>
      <c r="D64" s="1681" t="s">
        <v>1036</v>
      </c>
      <c r="E64" s="1831"/>
      <c r="F64" s="1848"/>
      <c r="G64" s="1848"/>
      <c r="H64" s="1831"/>
      <c r="I64" s="1853">
        <f>INDEX(cbal!$E$291:$I$291,xxIndexTeam)</f>
        <v>0</v>
      </c>
      <c r="J64" s="1848"/>
      <c r="K64" s="1831" t="str">
        <f>IF(I64=0,"--",VLOOKUP(I64,adj!$B$322:$C$873,2,0))</f>
        <v>--</v>
      </c>
      <c r="L64" s="1831"/>
      <c r="M64" s="1831"/>
      <c r="N64" s="1831"/>
      <c r="O64" s="1835"/>
      <c r="P64" s="980"/>
    </row>
    <row r="65" spans="1:16">
      <c r="A65" s="980"/>
      <c r="B65" s="1830"/>
      <c r="C65" s="1831"/>
      <c r="D65" s="1681"/>
      <c r="E65" s="1831"/>
      <c r="F65" s="1848"/>
      <c r="G65" s="1848"/>
      <c r="H65" s="1831"/>
      <c r="I65" s="1853"/>
      <c r="J65" s="1848"/>
      <c r="K65" s="1831"/>
      <c r="L65" s="1831"/>
      <c r="M65" s="1831"/>
      <c r="N65" s="1831"/>
      <c r="O65" s="1835"/>
      <c r="P65" s="980"/>
    </row>
    <row r="66" spans="1:16" ht="15.75" thickBot="1">
      <c r="A66" s="980"/>
      <c r="B66" s="1851"/>
      <c r="C66" s="1849" t="s">
        <v>3378</v>
      </c>
      <c r="D66" s="1849"/>
      <c r="E66" s="1849"/>
      <c r="F66" s="1849"/>
      <c r="G66" s="1848"/>
      <c r="H66" s="1831"/>
      <c r="I66" s="1853"/>
      <c r="J66" s="1848"/>
      <c r="K66" s="1831"/>
      <c r="L66" s="1831"/>
      <c r="M66" s="1831"/>
      <c r="N66" s="1831"/>
      <c r="O66" s="1835"/>
      <c r="P66" s="980"/>
    </row>
    <row r="67" spans="1:16" ht="6" customHeight="1">
      <c r="A67" s="980"/>
      <c r="B67" s="1851"/>
      <c r="C67" s="1681"/>
      <c r="D67" s="1831"/>
      <c r="E67" s="1831"/>
      <c r="F67" s="1848"/>
      <c r="G67" s="1848"/>
      <c r="H67" s="1831"/>
      <c r="I67" s="1853"/>
      <c r="J67" s="1848"/>
      <c r="K67" s="1831"/>
      <c r="L67" s="1831"/>
      <c r="M67" s="1831"/>
      <c r="N67" s="1831"/>
      <c r="O67" s="1835"/>
      <c r="P67" s="980"/>
    </row>
    <row r="68" spans="1:16">
      <c r="A68" s="980"/>
      <c r="B68" s="1830"/>
      <c r="C68" s="1831"/>
      <c r="D68" s="1832" t="s">
        <v>1407</v>
      </c>
      <c r="E68" s="1832"/>
      <c r="F68" s="1852"/>
      <c r="G68" s="1852"/>
      <c r="H68" s="1832"/>
      <c r="I68" s="1834">
        <f>INDEX(cbal!$E$292:$I$292,xxIndexTeam)</f>
        <v>0</v>
      </c>
      <c r="J68" s="1852"/>
      <c r="K68" s="1832" t="str">
        <f>IF(I68=0,"--",VLOOKUP(I68,adj!$B$322:$C$1095,2,0))</f>
        <v>--</v>
      </c>
      <c r="L68" s="1832"/>
      <c r="M68" s="1832"/>
      <c r="N68" s="1832"/>
      <c r="O68" s="1835"/>
      <c r="P68" s="980"/>
    </row>
    <row r="69" spans="1:16">
      <c r="A69" s="980"/>
      <c r="B69" s="1830"/>
      <c r="C69" s="1831"/>
      <c r="D69" s="1832" t="s">
        <v>1408</v>
      </c>
      <c r="E69" s="1832"/>
      <c r="F69" s="1852"/>
      <c r="G69" s="1852"/>
      <c r="H69" s="1832"/>
      <c r="I69" s="1834">
        <f>INDEX(cbal!$E$293:$I$293,xxIndexTeam)</f>
        <v>0</v>
      </c>
      <c r="J69" s="1852"/>
      <c r="K69" s="1832" t="str">
        <f>IF(I69=0,"--",VLOOKUP(I69,adj!$B$322:$C$1095,2,0))</f>
        <v>--</v>
      </c>
      <c r="L69" s="1832"/>
      <c r="M69" s="1832"/>
      <c r="N69" s="1832"/>
      <c r="O69" s="1835"/>
      <c r="P69" s="980"/>
    </row>
    <row r="70" spans="1:16">
      <c r="A70" s="980"/>
      <c r="B70" s="1830"/>
      <c r="C70" s="1831"/>
      <c r="D70" s="1832" t="s">
        <v>1409</v>
      </c>
      <c r="E70" s="1832"/>
      <c r="F70" s="1852"/>
      <c r="G70" s="1852"/>
      <c r="H70" s="1832"/>
      <c r="I70" s="1834">
        <f>INDEX(cbal!$E$294:$I$294,xxIndexTeam)</f>
        <v>0</v>
      </c>
      <c r="J70" s="1852"/>
      <c r="K70" s="1832" t="str">
        <f>IF(I70=0,"--",VLOOKUP(I70,adj!$B$322:$C$1095,2,0))</f>
        <v>--</v>
      </c>
      <c r="L70" s="1832"/>
      <c r="M70" s="1832"/>
      <c r="N70" s="1832"/>
      <c r="O70" s="1835"/>
      <c r="P70" s="980"/>
    </row>
    <row r="71" spans="1:16">
      <c r="A71" s="980"/>
      <c r="B71" s="1830"/>
      <c r="C71" s="1831"/>
      <c r="D71" s="1832" t="s">
        <v>1410</v>
      </c>
      <c r="E71" s="1832"/>
      <c r="F71" s="1852"/>
      <c r="G71" s="1852"/>
      <c r="H71" s="1832"/>
      <c r="I71" s="1834">
        <f>INDEX(cbal!$E$295:$I$295,xxIndexTeam)</f>
        <v>0</v>
      </c>
      <c r="J71" s="1852"/>
      <c r="K71" s="1832" t="str">
        <f>IF(I71=0,"--",VLOOKUP(I71,adj!$B$322:$C$1095,2,0))</f>
        <v>--</v>
      </c>
      <c r="L71" s="1832"/>
      <c r="M71" s="1832"/>
      <c r="N71" s="1832"/>
      <c r="O71" s="1835"/>
      <c r="P71" s="980"/>
    </row>
    <row r="72" spans="1:16">
      <c r="A72" s="980"/>
      <c r="B72" s="1830"/>
      <c r="C72" s="1831"/>
      <c r="D72" s="1832" t="s">
        <v>3776</v>
      </c>
      <c r="E72" s="1832"/>
      <c r="F72" s="1852"/>
      <c r="G72" s="1852"/>
      <c r="H72" s="1832"/>
      <c r="I72" s="1834">
        <f>INDEX(cbal!$E$296:$I$296,xxIndexTeam)</f>
        <v>0</v>
      </c>
      <c r="J72" s="1852"/>
      <c r="K72" s="1832" t="str">
        <f>IF(I72=0,"--",VLOOKUP(I72,adj!$B$322:$C$1095,2,0))</f>
        <v>--</v>
      </c>
      <c r="L72" s="1832"/>
      <c r="M72" s="1832"/>
      <c r="N72" s="1832"/>
      <c r="O72" s="1835"/>
      <c r="P72" s="980"/>
    </row>
    <row r="73" spans="1:16" hidden="1">
      <c r="A73" s="980"/>
      <c r="B73" s="1830"/>
      <c r="C73" s="1831"/>
      <c r="D73" s="1831"/>
      <c r="E73" s="1831"/>
      <c r="F73" s="1848"/>
      <c r="G73" s="1848"/>
      <c r="H73" s="1831"/>
      <c r="I73" s="1853"/>
      <c r="J73" s="1848"/>
      <c r="K73" s="1831"/>
      <c r="L73" s="1831"/>
      <c r="M73" s="1831"/>
      <c r="N73" s="1831"/>
      <c r="O73" s="1835"/>
      <c r="P73" s="980"/>
    </row>
    <row r="74" spans="1:16" hidden="1">
      <c r="A74" s="980"/>
      <c r="B74" s="1830"/>
      <c r="C74" s="1831"/>
      <c r="D74" s="1681" t="s">
        <v>1036</v>
      </c>
      <c r="E74" s="1831"/>
      <c r="F74" s="1848"/>
      <c r="G74" s="1848"/>
      <c r="H74" s="1831"/>
      <c r="I74" s="1853"/>
      <c r="J74" s="1848"/>
      <c r="K74" s="1831"/>
      <c r="L74" s="1831"/>
      <c r="M74" s="1831"/>
      <c r="N74" s="1831"/>
      <c r="O74" s="1835"/>
      <c r="P74" s="980"/>
    </row>
    <row r="75" spans="1:16" ht="15.75" thickBot="1">
      <c r="A75" s="980"/>
      <c r="B75" s="1854"/>
      <c r="C75" s="1850"/>
      <c r="D75" s="1850"/>
      <c r="E75" s="1850"/>
      <c r="F75" s="1850"/>
      <c r="G75" s="1850"/>
      <c r="H75" s="1850"/>
      <c r="I75" s="1850"/>
      <c r="J75" s="1855"/>
      <c r="K75" s="1850"/>
      <c r="L75" s="1850"/>
      <c r="M75" s="1850"/>
      <c r="N75" s="1850"/>
      <c r="O75" s="1856"/>
      <c r="P75" s="980"/>
    </row>
    <row r="76" spans="1:16" ht="15.75" thickBot="1">
      <c r="A76" s="980"/>
      <c r="B76" s="1857"/>
      <c r="C76" s="1858"/>
      <c r="D76" s="1858"/>
      <c r="E76" s="1858"/>
      <c r="F76" s="1858"/>
      <c r="G76" s="1858"/>
      <c r="H76" s="1858"/>
      <c r="I76" s="1858"/>
      <c r="J76" s="1858"/>
      <c r="K76" s="1858"/>
      <c r="L76" s="1858"/>
      <c r="M76" s="1858"/>
      <c r="N76" s="1858"/>
      <c r="O76" s="1859"/>
      <c r="P76" s="980"/>
    </row>
    <row r="77" spans="1:16">
      <c r="A77" s="980"/>
      <c r="B77" s="980"/>
      <c r="C77" s="980"/>
      <c r="D77" s="980"/>
      <c r="E77" s="980"/>
      <c r="F77" s="980"/>
      <c r="G77" s="980"/>
      <c r="H77" s="980"/>
      <c r="I77" s="980"/>
      <c r="J77" s="980"/>
      <c r="K77" s="980"/>
      <c r="L77" s="980"/>
      <c r="M77" s="980"/>
      <c r="N77" s="980"/>
      <c r="O77" s="980"/>
      <c r="P77" s="980"/>
    </row>
    <row r="78" spans="1:16">
      <c r="A78" s="980"/>
      <c r="B78" s="980"/>
      <c r="C78" s="980"/>
      <c r="D78" s="980"/>
      <c r="E78" s="980"/>
      <c r="F78" s="980"/>
      <c r="G78" s="980"/>
      <c r="H78" s="980"/>
      <c r="I78" s="980"/>
      <c r="J78" s="980"/>
      <c r="K78" s="980"/>
      <c r="L78" s="980"/>
      <c r="M78" s="980"/>
      <c r="N78" s="980"/>
      <c r="O78" s="980"/>
      <c r="P78" s="980"/>
    </row>
  </sheetData>
  <phoneticPr fontId="0" type="noConversion"/>
  <dataValidations disablePrompts="1" count="1">
    <dataValidation type="whole" operator="lessThanOrEqual" allowBlank="1" showInputMessage="1" showErrorMessage="1" errorTitle="Input Error" error="Family brand can be only three levels higher than prior year.  " sqref="N11 J11 H11">
      <formula1>3</formula1>
    </dataValidation>
  </dataValidations>
  <printOptions horizontalCentered="1"/>
  <pageMargins left="0.75" right="0.75" top="1" bottom="1" header="0.5" footer="0.5"/>
  <pageSetup scale="87" orientation="portrait" blackAndWhite="1" r:id="rId1"/>
  <headerFooter alignWithMargins="0">
    <oddFooter>&amp;CPage &amp;P of &amp;N</oddFooter>
  </headerFooter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indexed="23"/>
  </sheetPr>
  <dimension ref="B1:V101"/>
  <sheetViews>
    <sheetView zoomScale="116" workbookViewId="0">
      <selection activeCell="O3" sqref="O3"/>
    </sheetView>
  </sheetViews>
  <sheetFormatPr defaultRowHeight="15"/>
  <cols>
    <col min="1" max="1" width="1.6640625" style="925" customWidth="1"/>
    <col min="2" max="2" width="1.5" style="925" customWidth="1"/>
    <col min="3" max="3" width="2.6640625" style="925" customWidth="1"/>
    <col min="4" max="4" width="11.6640625" style="925" customWidth="1"/>
    <col min="5" max="5" width="11.5" style="925" customWidth="1"/>
    <col min="6" max="6" width="6.83203125" style="925" customWidth="1"/>
    <col min="7" max="7" width="14.6640625" style="925" customWidth="1"/>
    <col min="8" max="8" width="5" style="925" customWidth="1"/>
    <col min="9" max="9" width="14.6640625" style="925" customWidth="1"/>
    <col min="10" max="10" width="4.6640625" style="925" customWidth="1"/>
    <col min="11" max="12" width="10.6640625" style="925" customWidth="1"/>
    <col min="13" max="13" width="10.83203125" style="925" customWidth="1"/>
    <col min="14" max="15" width="10.6640625" style="925" customWidth="1"/>
    <col min="16" max="16" width="2" style="925" customWidth="1"/>
    <col min="17" max="17" width="3.6640625" style="925" customWidth="1"/>
    <col min="18" max="19" width="9.33203125" style="925" customWidth="1"/>
    <col min="20" max="20" width="11.83203125" style="925" customWidth="1"/>
    <col min="21" max="16384" width="9.33203125" style="925"/>
  </cols>
  <sheetData>
    <row r="1" spans="2:22" ht="7.5" customHeight="1" thickBot="1"/>
    <row r="2" spans="2:22" ht="15.75">
      <c r="B2" s="1732"/>
      <c r="C2" s="1733"/>
      <c r="D2" s="1733"/>
      <c r="E2" s="1733"/>
      <c r="F2" s="1733"/>
      <c r="G2" s="1733"/>
      <c r="H2" s="1733"/>
      <c r="I2" s="1733"/>
      <c r="J2" s="1733"/>
      <c r="K2" s="1733"/>
      <c r="L2" s="1733"/>
      <c r="M2" s="1733"/>
      <c r="N2" s="1733"/>
      <c r="O2" s="1733"/>
      <c r="P2" s="1734"/>
    </row>
    <row r="3" spans="2:22" ht="23.25">
      <c r="B3" s="1735"/>
      <c r="C3" s="1736"/>
      <c r="D3" s="1736"/>
      <c r="E3" s="1736"/>
      <c r="F3" s="1736"/>
      <c r="G3" s="1736"/>
      <c r="H3" s="1736"/>
      <c r="I3" s="1736"/>
      <c r="J3" s="1737" t="s">
        <v>2036</v>
      </c>
      <c r="K3" s="1736"/>
      <c r="L3" s="1736"/>
      <c r="M3" s="1736"/>
      <c r="N3" s="1736"/>
      <c r="O3" s="1738" t="str">
        <f>INDEX(decTeamName,,xxIndexTeam)</f>
        <v>Vivia</v>
      </c>
      <c r="P3" s="1739"/>
    </row>
    <row r="4" spans="2:22" ht="6" customHeight="1">
      <c r="B4" s="1740"/>
      <c r="C4" s="1741"/>
      <c r="D4" s="1741"/>
      <c r="E4" s="1741"/>
      <c r="F4" s="1741"/>
      <c r="G4" s="1741"/>
      <c r="H4" s="1741"/>
      <c r="I4" s="1741"/>
      <c r="J4" s="1741"/>
      <c r="K4" s="1741"/>
      <c r="L4" s="1741"/>
      <c r="M4" s="1741"/>
      <c r="N4" s="1741"/>
      <c r="O4" s="1741"/>
      <c r="P4" s="1742"/>
    </row>
    <row r="5" spans="2:22" ht="15.75">
      <c r="B5" s="1743"/>
      <c r="C5" s="1744"/>
      <c r="D5" s="1745"/>
      <c r="E5" s="1745"/>
      <c r="F5" s="1745"/>
      <c r="G5" s="1745" t="s">
        <v>3516</v>
      </c>
      <c r="H5" s="1745"/>
      <c r="I5" s="1745"/>
      <c r="J5" s="1745"/>
      <c r="K5" s="1745"/>
      <c r="L5" s="1745"/>
      <c r="M5" s="1745"/>
      <c r="N5" s="1745"/>
      <c r="O5" s="1745"/>
      <c r="P5" s="1746"/>
    </row>
    <row r="6" spans="2:22" ht="6" customHeight="1">
      <c r="B6" s="1747"/>
      <c r="C6" s="1744"/>
      <c r="D6" s="1744"/>
      <c r="E6" s="1744"/>
      <c r="F6" s="1744"/>
      <c r="G6" s="1748"/>
      <c r="H6" s="1748"/>
      <c r="I6" s="1748"/>
      <c r="J6" s="1748"/>
      <c r="K6" s="1748"/>
      <c r="L6" s="1748"/>
      <c r="M6" s="1748"/>
      <c r="N6" s="1748"/>
      <c r="O6" s="1748"/>
      <c r="P6" s="1746"/>
    </row>
    <row r="7" spans="2:22" ht="15.75" customHeight="1">
      <c r="B7" s="1747"/>
      <c r="C7" s="1744"/>
      <c r="D7" s="1744"/>
      <c r="E7" s="1744"/>
      <c r="F7" s="1744"/>
      <c r="G7" s="1745"/>
      <c r="H7" s="1745" t="s">
        <v>3517</v>
      </c>
      <c r="I7" s="1748"/>
      <c r="J7" s="1748"/>
      <c r="K7" s="1748"/>
      <c r="L7" s="1748"/>
      <c r="M7" s="1748"/>
      <c r="N7" s="1748"/>
      <c r="O7" s="1748"/>
      <c r="P7" s="1746"/>
    </row>
    <row r="8" spans="2:22" ht="6.75" customHeight="1">
      <c r="B8" s="1749"/>
      <c r="C8" s="1744"/>
      <c r="D8" s="1744"/>
      <c r="E8" s="1744"/>
      <c r="F8" s="1744"/>
      <c r="G8" s="1744"/>
      <c r="H8" s="1744"/>
      <c r="I8" s="1744"/>
      <c r="J8" s="1744"/>
      <c r="K8" s="1744"/>
      <c r="L8" s="1744"/>
      <c r="M8" s="1744"/>
      <c r="N8" s="1744"/>
      <c r="O8" s="1744"/>
      <c r="P8" s="1746"/>
    </row>
    <row r="9" spans="2:22" ht="15.75">
      <c r="B9" s="1750"/>
      <c r="C9" s="1751"/>
      <c r="D9" s="1744"/>
      <c r="E9" s="1744"/>
      <c r="F9" s="1744"/>
      <c r="G9" s="1752"/>
      <c r="H9" s="1752"/>
      <c r="I9" s="1752"/>
      <c r="J9" s="1752"/>
      <c r="K9" s="1752"/>
      <c r="L9" s="1752"/>
      <c r="M9" s="1752"/>
      <c r="N9" s="1752"/>
      <c r="O9" s="1752"/>
      <c r="P9" s="1753"/>
    </row>
    <row r="10" spans="2:22" ht="15.75">
      <c r="B10" s="1750"/>
      <c r="C10" s="1744" t="s">
        <v>3341</v>
      </c>
      <c r="D10" s="1744"/>
      <c r="E10" s="1744"/>
      <c r="F10" s="1744"/>
      <c r="G10" s="1744"/>
      <c r="H10" s="1744"/>
      <c r="I10" s="1744"/>
      <c r="J10" s="1744"/>
      <c r="K10" s="1744"/>
      <c r="L10" s="1744"/>
      <c r="M10" s="1744"/>
      <c r="N10" s="1744"/>
      <c r="O10" s="1744"/>
      <c r="P10" s="1753"/>
    </row>
    <row r="11" spans="2:22" ht="9" customHeight="1">
      <c r="B11" s="1750"/>
      <c r="C11" s="1754"/>
      <c r="D11" s="1744"/>
      <c r="E11" s="1744"/>
      <c r="F11" s="1744"/>
      <c r="G11" s="1755"/>
      <c r="H11" s="1756"/>
      <c r="I11" s="1755"/>
      <c r="J11" s="1756"/>
      <c r="K11" s="1756"/>
      <c r="L11" s="1756"/>
      <c r="M11" s="1756"/>
      <c r="N11" s="1756"/>
      <c r="O11" s="1755"/>
      <c r="P11" s="1753"/>
    </row>
    <row r="12" spans="2:22" ht="15.75">
      <c r="B12" s="1750"/>
      <c r="C12" s="1757"/>
      <c r="D12" s="1745"/>
      <c r="E12" s="1744"/>
      <c r="F12" s="1758"/>
      <c r="G12" s="1759"/>
      <c r="H12" s="1759"/>
      <c r="I12" s="1759"/>
      <c r="J12" s="1744"/>
      <c r="K12" s="1744"/>
      <c r="L12" s="1744"/>
      <c r="M12" s="1744"/>
      <c r="N12" s="1744"/>
      <c r="O12" s="1744"/>
      <c r="P12" s="1753"/>
    </row>
    <row r="13" spans="2:22" ht="3.75" customHeight="1">
      <c r="B13" s="1750"/>
      <c r="C13" s="1757"/>
      <c r="D13" s="1745"/>
      <c r="E13" s="1744"/>
      <c r="F13" s="1744"/>
      <c r="G13" s="1744"/>
      <c r="H13" s="1744"/>
      <c r="I13" s="1744"/>
      <c r="J13" s="1744"/>
      <c r="K13" s="1744"/>
      <c r="L13" s="1744"/>
      <c r="M13" s="1744"/>
      <c r="N13" s="1744"/>
      <c r="O13" s="1744"/>
      <c r="P13" s="1753"/>
      <c r="S13" s="956"/>
      <c r="T13" s="956"/>
      <c r="U13" s="956"/>
      <c r="V13" s="956"/>
    </row>
    <row r="14" spans="2:22" ht="15.75">
      <c r="B14" s="1750"/>
      <c r="C14" s="1757"/>
      <c r="D14" s="1745"/>
      <c r="E14" s="1744"/>
      <c r="F14" s="1744"/>
      <c r="G14" s="1756"/>
      <c r="H14" s="1756"/>
      <c r="I14" s="1756"/>
      <c r="J14" s="1744"/>
      <c r="K14" s="1744"/>
      <c r="L14" s="1744"/>
      <c r="M14" s="1744"/>
      <c r="N14" s="1744"/>
      <c r="O14" s="1744"/>
      <c r="P14" s="1753"/>
      <c r="S14" s="956"/>
      <c r="T14" s="956"/>
      <c r="U14" s="956"/>
      <c r="V14" s="956"/>
    </row>
    <row r="15" spans="2:22" ht="15.75">
      <c r="B15" s="1750"/>
      <c r="C15" s="1757"/>
      <c r="D15" s="1760"/>
      <c r="E15" s="1744"/>
      <c r="F15" s="1744"/>
      <c r="G15" s="1756"/>
      <c r="H15" s="1756"/>
      <c r="I15" s="1756"/>
      <c r="J15" s="1756"/>
      <c r="K15" s="1756"/>
      <c r="L15" s="1756"/>
      <c r="M15" s="1756"/>
      <c r="N15" s="1756"/>
      <c r="O15" s="1744"/>
      <c r="P15" s="1753"/>
      <c r="S15" s="956"/>
      <c r="T15" s="956"/>
      <c r="U15" s="956"/>
      <c r="V15" s="956"/>
    </row>
    <row r="16" spans="2:22" ht="6.75" customHeight="1">
      <c r="B16" s="1750"/>
      <c r="C16" s="1757"/>
      <c r="D16" s="1745"/>
      <c r="E16" s="1744"/>
      <c r="F16" s="1744"/>
      <c r="G16" s="1756"/>
      <c r="H16" s="1756"/>
      <c r="I16" s="1756"/>
      <c r="J16" s="1756"/>
      <c r="K16" s="1756"/>
      <c r="L16" s="1756"/>
      <c r="M16" s="1756"/>
      <c r="N16" s="1756"/>
      <c r="O16" s="1744"/>
      <c r="P16" s="1753"/>
      <c r="S16" s="956"/>
      <c r="T16" s="956"/>
      <c r="U16" s="956"/>
      <c r="V16" s="956"/>
    </row>
    <row r="17" spans="2:22" s="954" customFormat="1" ht="15.75">
      <c r="B17" s="1761"/>
      <c r="C17" s="1762"/>
      <c r="D17" s="1763"/>
      <c r="E17" s="1764"/>
      <c r="F17" s="1764"/>
      <c r="G17" s="1756"/>
      <c r="H17" s="1756"/>
      <c r="I17" s="1756"/>
      <c r="J17" s="1765"/>
      <c r="K17" s="1765"/>
      <c r="L17" s="1765"/>
      <c r="M17" s="1765"/>
      <c r="N17" s="1765"/>
      <c r="O17" s="1765"/>
      <c r="P17" s="1766"/>
      <c r="S17" s="956"/>
      <c r="T17" s="956"/>
      <c r="U17" s="956"/>
      <c r="V17" s="956"/>
    </row>
    <row r="18" spans="2:22" ht="15.75">
      <c r="B18" s="1750"/>
      <c r="C18" s="1754"/>
      <c r="D18" s="1760"/>
      <c r="E18" s="1744"/>
      <c r="F18" s="1744"/>
      <c r="G18" s="1756"/>
      <c r="H18" s="1756"/>
      <c r="I18" s="1756"/>
      <c r="J18" s="1756"/>
      <c r="K18" s="1756"/>
      <c r="L18" s="1756"/>
      <c r="M18" s="1756"/>
      <c r="N18" s="1756"/>
      <c r="O18" s="1755"/>
      <c r="P18" s="1753"/>
    </row>
    <row r="19" spans="2:22" ht="6" customHeight="1">
      <c r="B19" s="1750"/>
      <c r="C19" s="1754"/>
      <c r="D19" s="1745"/>
      <c r="E19" s="1744"/>
      <c r="F19" s="1744"/>
      <c r="G19" s="1756"/>
      <c r="H19" s="1756"/>
      <c r="I19" s="1756"/>
      <c r="J19" s="1756"/>
      <c r="K19" s="1756"/>
      <c r="L19" s="1756"/>
      <c r="M19" s="1756"/>
      <c r="N19" s="1756"/>
      <c r="O19" s="1755"/>
      <c r="P19" s="1753"/>
    </row>
    <row r="20" spans="2:22" ht="15.75">
      <c r="B20" s="1750"/>
      <c r="C20" s="1754"/>
      <c r="D20" s="1760"/>
      <c r="E20" s="1744"/>
      <c r="F20" s="1744"/>
      <c r="G20" s="1756"/>
      <c r="H20" s="1756"/>
      <c r="I20" s="1756"/>
      <c r="J20" s="1756"/>
      <c r="K20" s="1756"/>
      <c r="L20" s="1756"/>
      <c r="M20" s="1756"/>
      <c r="N20" s="1756"/>
      <c r="O20" s="1744"/>
      <c r="P20" s="1753"/>
    </row>
    <row r="21" spans="2:22" ht="15.75">
      <c r="B21" s="1750"/>
      <c r="C21" s="1754"/>
      <c r="D21" s="1760"/>
      <c r="E21" s="1744"/>
      <c r="F21" s="1744"/>
      <c r="G21" s="1756"/>
      <c r="H21" s="1756"/>
      <c r="I21" s="1756"/>
      <c r="J21" s="1756"/>
      <c r="K21" s="1756"/>
      <c r="L21" s="1756"/>
      <c r="M21" s="1756"/>
      <c r="N21" s="1756"/>
      <c r="O21" s="1744"/>
      <c r="P21" s="1753"/>
    </row>
    <row r="22" spans="2:22" ht="6" customHeight="1">
      <c r="B22" s="1750"/>
      <c r="C22" s="1762"/>
      <c r="D22" s="1745"/>
      <c r="E22" s="1744"/>
      <c r="F22" s="1744"/>
      <c r="G22" s="1756"/>
      <c r="H22" s="1756"/>
      <c r="I22" s="1756"/>
      <c r="J22" s="1756"/>
      <c r="K22" s="1756"/>
      <c r="L22" s="1756"/>
      <c r="M22" s="1756"/>
      <c r="N22" s="1756"/>
      <c r="O22" s="1756"/>
      <c r="P22" s="1753"/>
    </row>
    <row r="23" spans="2:22" ht="15.75">
      <c r="B23" s="1750"/>
      <c r="C23" s="1754"/>
      <c r="D23" s="1745"/>
      <c r="E23" s="1744"/>
      <c r="F23" s="1744"/>
      <c r="G23" s="1756"/>
      <c r="H23" s="1756"/>
      <c r="I23" s="1756"/>
      <c r="J23" s="1736"/>
      <c r="K23" s="1736"/>
      <c r="L23" s="1736"/>
      <c r="M23" s="1736"/>
      <c r="N23" s="1736"/>
      <c r="O23" s="1755"/>
      <c r="P23" s="1753"/>
      <c r="S23" s="956"/>
      <c r="T23" s="956"/>
      <c r="U23" s="956"/>
      <c r="V23" s="956"/>
    </row>
    <row r="24" spans="2:22" ht="8.25" customHeight="1">
      <c r="B24" s="1750"/>
      <c r="C24" s="1754"/>
      <c r="D24" s="1745"/>
      <c r="E24" s="1744"/>
      <c r="F24" s="1744"/>
      <c r="G24" s="1756"/>
      <c r="H24" s="1756"/>
      <c r="I24" s="1756"/>
      <c r="J24" s="1736"/>
      <c r="K24" s="1736"/>
      <c r="L24" s="1736"/>
      <c r="M24" s="1736"/>
      <c r="N24" s="1736"/>
      <c r="O24" s="1755"/>
      <c r="P24" s="1753"/>
    </row>
    <row r="25" spans="2:22" ht="15.75">
      <c r="B25" s="1750"/>
      <c r="C25" s="1754"/>
      <c r="D25" s="1745"/>
      <c r="E25" s="1744"/>
      <c r="F25" s="1744"/>
      <c r="G25" s="1756"/>
      <c r="H25" s="1756"/>
      <c r="I25" s="1756"/>
      <c r="J25" s="1736"/>
      <c r="K25" s="1736"/>
      <c r="L25" s="1736"/>
      <c r="M25" s="1736"/>
      <c r="N25" s="1736"/>
      <c r="O25" s="1755"/>
      <c r="P25" s="1753"/>
      <c r="S25" s="956"/>
      <c r="T25" s="956"/>
      <c r="U25" s="956"/>
      <c r="V25" s="956"/>
    </row>
    <row r="26" spans="2:22" ht="15.75">
      <c r="B26" s="1750"/>
      <c r="C26" s="1744"/>
      <c r="D26" s="1744"/>
      <c r="E26" s="1744"/>
      <c r="F26" s="1744"/>
      <c r="G26" s="1744"/>
      <c r="H26" s="1744"/>
      <c r="I26" s="1744"/>
      <c r="J26" s="1756"/>
      <c r="K26" s="1756"/>
      <c r="L26" s="1756"/>
      <c r="M26" s="1756"/>
      <c r="N26" s="1756"/>
      <c r="O26" s="1744"/>
      <c r="P26" s="1753"/>
    </row>
    <row r="27" spans="2:22" ht="15.75">
      <c r="B27" s="1750"/>
      <c r="C27" s="1744" t="s">
        <v>3342</v>
      </c>
      <c r="D27" s="1744"/>
      <c r="E27" s="1744"/>
      <c r="F27" s="1744"/>
      <c r="G27" s="1744"/>
      <c r="H27" s="1744"/>
      <c r="I27" s="1744"/>
      <c r="J27" s="1744"/>
      <c r="K27" s="1744"/>
      <c r="L27" s="1744"/>
      <c r="M27" s="1744"/>
      <c r="N27" s="1744"/>
      <c r="O27" s="1744"/>
      <c r="P27" s="1753"/>
    </row>
    <row r="28" spans="2:22" ht="15.75">
      <c r="B28" s="1750"/>
      <c r="C28" s="1754"/>
      <c r="D28" s="1744"/>
      <c r="E28" s="1744"/>
      <c r="F28" s="1744"/>
      <c r="G28" s="1755"/>
      <c r="H28" s="1756"/>
      <c r="I28" s="1755"/>
      <c r="J28" s="1756"/>
      <c r="K28" s="1756"/>
      <c r="L28" s="1756"/>
      <c r="M28" s="1756"/>
      <c r="N28" s="1756"/>
      <c r="O28" s="1755"/>
      <c r="P28" s="1753"/>
    </row>
    <row r="29" spans="2:22" ht="15.75">
      <c r="B29" s="1750"/>
      <c r="C29" s="1744"/>
      <c r="D29" s="1745"/>
      <c r="E29" s="1744"/>
      <c r="F29" s="1744"/>
      <c r="G29" s="1756"/>
      <c r="H29" s="1744"/>
      <c r="I29" s="1744"/>
      <c r="J29" s="1756"/>
      <c r="K29" s="1756"/>
      <c r="L29" s="1756"/>
      <c r="M29" s="1756"/>
      <c r="N29" s="1756"/>
      <c r="O29" s="1744"/>
      <c r="P29" s="1753"/>
    </row>
    <row r="30" spans="2:22" ht="15.75">
      <c r="B30" s="1750"/>
      <c r="C30" s="1744"/>
      <c r="D30" s="1760"/>
      <c r="E30" s="1744"/>
      <c r="F30" s="1744"/>
      <c r="G30" s="1756"/>
      <c r="H30" s="1744"/>
      <c r="I30" s="1744"/>
      <c r="J30" s="1756"/>
      <c r="K30" s="1756"/>
      <c r="L30" s="1756"/>
      <c r="M30" s="1756"/>
      <c r="N30" s="1756"/>
      <c r="O30" s="1744"/>
      <c r="P30" s="1753"/>
    </row>
    <row r="31" spans="2:22" ht="6.75" customHeight="1">
      <c r="B31" s="1750"/>
      <c r="C31" s="1744"/>
      <c r="D31" s="1744"/>
      <c r="E31" s="1744"/>
      <c r="F31" s="1744"/>
      <c r="G31" s="1756"/>
      <c r="H31" s="1744"/>
      <c r="I31" s="1744"/>
      <c r="J31" s="1756"/>
      <c r="K31" s="1756"/>
      <c r="L31" s="1756"/>
      <c r="M31" s="1756"/>
      <c r="N31" s="1756"/>
      <c r="O31" s="1744"/>
      <c r="P31" s="1753"/>
    </row>
    <row r="32" spans="2:22" ht="15.75">
      <c r="B32" s="1750"/>
      <c r="C32" s="1744"/>
      <c r="D32" s="1745"/>
      <c r="E32" s="1744"/>
      <c r="F32" s="1744"/>
      <c r="G32" s="1756"/>
      <c r="H32" s="1744"/>
      <c r="I32" s="1744"/>
      <c r="J32" s="1756"/>
      <c r="K32" s="1756"/>
      <c r="L32" s="1756"/>
      <c r="M32" s="1756"/>
      <c r="N32" s="1756"/>
      <c r="O32" s="1744"/>
      <c r="P32" s="1753"/>
    </row>
    <row r="33" spans="2:16" ht="15.75">
      <c r="B33" s="1750"/>
      <c r="C33" s="1744"/>
      <c r="D33" s="1760"/>
      <c r="E33" s="1744"/>
      <c r="F33" s="1744"/>
      <c r="G33" s="1756"/>
      <c r="H33" s="1744"/>
      <c r="I33" s="1744"/>
      <c r="J33" s="1756"/>
      <c r="K33" s="1756"/>
      <c r="L33" s="1756"/>
      <c r="M33" s="1756"/>
      <c r="N33" s="1756"/>
      <c r="O33" s="1744"/>
      <c r="P33" s="1753"/>
    </row>
    <row r="34" spans="2:16" ht="6" customHeight="1">
      <c r="B34" s="1750"/>
      <c r="C34" s="1744"/>
      <c r="D34" s="1745"/>
      <c r="E34" s="1744"/>
      <c r="F34" s="1744"/>
      <c r="G34" s="1756"/>
      <c r="H34" s="1744"/>
      <c r="I34" s="1744"/>
      <c r="J34" s="1756"/>
      <c r="K34" s="1756"/>
      <c r="L34" s="1756"/>
      <c r="M34" s="1756"/>
      <c r="N34" s="1756"/>
      <c r="O34" s="1744"/>
      <c r="P34" s="1753"/>
    </row>
    <row r="35" spans="2:16" ht="15.75">
      <c r="B35" s="1750"/>
      <c r="C35" s="1744"/>
      <c r="D35" s="1760"/>
      <c r="E35" s="1744"/>
      <c r="F35" s="1744"/>
      <c r="G35" s="1756"/>
      <c r="H35" s="1744"/>
      <c r="I35" s="1744"/>
      <c r="J35" s="1756"/>
      <c r="K35" s="1756"/>
      <c r="L35" s="1756"/>
      <c r="M35" s="1756"/>
      <c r="N35" s="1756"/>
      <c r="O35" s="1744"/>
      <c r="P35" s="1753"/>
    </row>
    <row r="36" spans="2:16" ht="6" customHeight="1">
      <c r="B36" s="1750"/>
      <c r="C36" s="1744"/>
      <c r="D36" s="1744"/>
      <c r="E36" s="1744"/>
      <c r="F36" s="1744"/>
      <c r="G36" s="1756"/>
      <c r="H36" s="1744"/>
      <c r="I36" s="1744"/>
      <c r="J36" s="1756"/>
      <c r="K36" s="1756"/>
      <c r="L36" s="1756"/>
      <c r="M36" s="1756"/>
      <c r="N36" s="1756"/>
      <c r="O36" s="1744"/>
      <c r="P36" s="1753"/>
    </row>
    <row r="37" spans="2:16" ht="15.75">
      <c r="B37" s="1750"/>
      <c r="C37" s="1744"/>
      <c r="D37" s="1745"/>
      <c r="E37" s="1744"/>
      <c r="F37" s="1744"/>
      <c r="G37" s="1756"/>
      <c r="H37" s="1744"/>
      <c r="I37" s="1744"/>
      <c r="J37" s="1756"/>
      <c r="K37" s="1756"/>
      <c r="L37" s="1756"/>
      <c r="M37" s="1756"/>
      <c r="N37" s="1756"/>
      <c r="O37" s="1744"/>
      <c r="P37" s="1753"/>
    </row>
    <row r="38" spans="2:16" ht="8.25" customHeight="1">
      <c r="B38" s="1750"/>
      <c r="C38" s="1744"/>
      <c r="D38" s="1745"/>
      <c r="E38" s="1744"/>
      <c r="F38" s="1744"/>
      <c r="G38" s="1756"/>
      <c r="H38" s="1744"/>
      <c r="I38" s="1744"/>
      <c r="J38" s="1756"/>
      <c r="K38" s="1756"/>
      <c r="L38" s="1756"/>
      <c r="M38" s="1756"/>
      <c r="N38" s="1756"/>
      <c r="O38" s="1744"/>
      <c r="P38" s="1753"/>
    </row>
    <row r="39" spans="2:16" ht="15.75">
      <c r="B39" s="1750"/>
      <c r="C39" s="1744"/>
      <c r="D39" s="1745"/>
      <c r="E39" s="1744"/>
      <c r="F39" s="1744"/>
      <c r="G39" s="1756"/>
      <c r="H39" s="1744"/>
      <c r="I39" s="1744"/>
      <c r="J39" s="1756"/>
      <c r="K39" s="1756"/>
      <c r="L39" s="1756"/>
      <c r="M39" s="1756"/>
      <c r="N39" s="1756"/>
      <c r="O39" s="1744"/>
      <c r="P39" s="1753"/>
    </row>
    <row r="40" spans="2:16" ht="15.75">
      <c r="B40" s="1750"/>
      <c r="C40" s="1744"/>
      <c r="D40" s="1744"/>
      <c r="E40" s="1744"/>
      <c r="F40" s="1744"/>
      <c r="G40" s="1744"/>
      <c r="H40" s="1744"/>
      <c r="I40" s="1744"/>
      <c r="J40" s="1744"/>
      <c r="K40" s="1744"/>
      <c r="L40" s="1744"/>
      <c r="M40" s="1744"/>
      <c r="N40" s="1744"/>
      <c r="O40" s="1744"/>
      <c r="P40" s="1753"/>
    </row>
    <row r="41" spans="2:16" ht="16.5" thickBot="1">
      <c r="B41" s="1767"/>
      <c r="C41" s="1768"/>
      <c r="D41" s="1768"/>
      <c r="E41" s="1768"/>
      <c r="F41" s="1768"/>
      <c r="G41" s="1769"/>
      <c r="H41" s="1768"/>
      <c r="I41" s="1768"/>
      <c r="J41" s="1768"/>
      <c r="K41" s="1768"/>
      <c r="L41" s="1768"/>
      <c r="M41" s="1768"/>
      <c r="N41" s="1768"/>
      <c r="O41" s="1768"/>
      <c r="P41" s="1770"/>
    </row>
    <row r="42" spans="2:16" ht="16.5" thickBot="1">
      <c r="B42" s="1771"/>
      <c r="C42" s="1771"/>
      <c r="D42" s="1771"/>
      <c r="E42" s="1771"/>
      <c r="F42" s="1771"/>
      <c r="G42" s="1771"/>
      <c r="H42" s="1771"/>
      <c r="I42" s="1772"/>
      <c r="J42" s="1771"/>
      <c r="K42" s="1771"/>
      <c r="L42" s="1771"/>
      <c r="M42" s="1771"/>
      <c r="N42" s="1771"/>
      <c r="O42" s="1771"/>
      <c r="P42" s="1771"/>
    </row>
    <row r="43" spans="2:16" ht="15.75" thickBot="1">
      <c r="B43" s="1773"/>
      <c r="C43" s="1774"/>
      <c r="D43" s="1774"/>
      <c r="E43" s="1774"/>
      <c r="F43" s="1774"/>
      <c r="G43" s="1774"/>
      <c r="H43" s="1774"/>
      <c r="I43" s="1774"/>
      <c r="J43" s="1774"/>
      <c r="K43" s="1774"/>
      <c r="L43" s="1774"/>
      <c r="M43" s="1774"/>
      <c r="N43" s="1774"/>
      <c r="O43" s="1774"/>
      <c r="P43" s="1775"/>
    </row>
    <row r="44" spans="2:16" ht="16.5" thickBot="1">
      <c r="B44" s="1776"/>
      <c r="C44" s="1777"/>
      <c r="D44" s="1777"/>
      <c r="E44" s="1777"/>
      <c r="F44" s="1777"/>
      <c r="G44" s="1777"/>
      <c r="H44" s="1777"/>
      <c r="I44" s="1778"/>
      <c r="J44" s="1779"/>
      <c r="K44" s="1779"/>
      <c r="L44" s="1779"/>
      <c r="M44" s="1779"/>
      <c r="N44" s="1779"/>
      <c r="O44" s="1778"/>
      <c r="P44" s="1780"/>
    </row>
    <row r="45" spans="2:16" ht="15.75">
      <c r="B45" s="1781"/>
      <c r="C45" s="1782"/>
      <c r="D45" s="1782"/>
      <c r="E45" s="1782"/>
      <c r="F45" s="1782"/>
      <c r="G45" s="1782"/>
      <c r="H45" s="1782"/>
      <c r="I45" s="1782"/>
      <c r="J45" s="1782"/>
      <c r="K45" s="1782"/>
      <c r="L45" s="1782"/>
      <c r="M45" s="1782"/>
      <c r="N45" s="1782"/>
      <c r="O45" s="1782"/>
      <c r="P45" s="1783"/>
    </row>
    <row r="46" spans="2:16" ht="15.75">
      <c r="B46" s="1743"/>
      <c r="C46" s="1744"/>
      <c r="D46" s="1744"/>
      <c r="E46" s="1744"/>
      <c r="F46" s="1744"/>
      <c r="G46" s="1784"/>
      <c r="H46" s="1744"/>
      <c r="I46" s="1784"/>
      <c r="J46" s="1744"/>
      <c r="K46" s="1744"/>
      <c r="L46" s="1744"/>
      <c r="M46" s="1744"/>
      <c r="N46" s="1744"/>
      <c r="O46" s="1784"/>
      <c r="P46" s="1746"/>
    </row>
    <row r="47" spans="2:16" ht="15.75">
      <c r="B47" s="1743"/>
      <c r="C47" s="1744"/>
      <c r="D47" s="1744"/>
      <c r="E47" s="1744"/>
      <c r="F47" s="1744"/>
      <c r="G47" s="1785"/>
      <c r="H47" s="1744"/>
      <c r="I47" s="1744"/>
      <c r="J47" s="1744"/>
      <c r="K47" s="1744"/>
      <c r="L47" s="1744"/>
      <c r="M47" s="1744"/>
      <c r="N47" s="1744"/>
      <c r="O47" s="1744"/>
      <c r="P47" s="1746"/>
    </row>
    <row r="48" spans="2:16" ht="15.75">
      <c r="B48" s="1743"/>
      <c r="C48" s="1786"/>
      <c r="D48" s="1744"/>
      <c r="E48" s="1744"/>
      <c r="F48" s="1744"/>
      <c r="G48" s="1787"/>
      <c r="H48" s="1788"/>
      <c r="I48" s="1787"/>
      <c r="J48" s="1789"/>
      <c r="K48" s="1789"/>
      <c r="L48" s="1789"/>
      <c r="M48" s="1789"/>
      <c r="N48" s="1789"/>
      <c r="O48" s="1787"/>
      <c r="P48" s="1746"/>
    </row>
    <row r="49" spans="2:16" ht="15.75">
      <c r="B49" s="1743"/>
      <c r="C49" s="1790"/>
      <c r="D49" s="1744"/>
      <c r="E49" s="1744"/>
      <c r="F49" s="1744"/>
      <c r="G49" s="1787"/>
      <c r="H49" s="1789"/>
      <c r="I49" s="1789"/>
      <c r="J49" s="1789"/>
      <c r="K49" s="1789"/>
      <c r="L49" s="1789"/>
      <c r="M49" s="1789"/>
      <c r="N49" s="1789"/>
      <c r="O49" s="1789"/>
      <c r="P49" s="1746"/>
    </row>
    <row r="50" spans="2:16" ht="15.75">
      <c r="B50" s="1743"/>
      <c r="C50" s="1786"/>
      <c r="D50" s="1744"/>
      <c r="E50" s="1744"/>
      <c r="F50" s="1744"/>
      <c r="G50" s="1791"/>
      <c r="H50" s="1788"/>
      <c r="I50" s="1791"/>
      <c r="J50" s="1791"/>
      <c r="K50" s="1791"/>
      <c r="L50" s="1791"/>
      <c r="M50" s="1791"/>
      <c r="N50" s="1791"/>
      <c r="O50" s="1791"/>
      <c r="P50" s="1746"/>
    </row>
    <row r="51" spans="2:16" ht="15.75">
      <c r="B51" s="1743"/>
      <c r="C51" s="1790"/>
      <c r="D51" s="1744"/>
      <c r="E51" s="1744"/>
      <c r="F51" s="1744"/>
      <c r="G51" s="1791"/>
      <c r="H51" s="1791"/>
      <c r="I51" s="1791"/>
      <c r="J51" s="1791"/>
      <c r="K51" s="1791"/>
      <c r="L51" s="1791"/>
      <c r="M51" s="1791"/>
      <c r="N51" s="1791"/>
      <c r="O51" s="1791"/>
      <c r="P51" s="1746"/>
    </row>
    <row r="52" spans="2:16" ht="15.75">
      <c r="B52" s="1743"/>
      <c r="C52" s="1786"/>
      <c r="D52" s="1744"/>
      <c r="E52" s="1744"/>
      <c r="F52" s="1744"/>
      <c r="G52" s="1791"/>
      <c r="H52" s="1788"/>
      <c r="I52" s="1791"/>
      <c r="J52" s="1791"/>
      <c r="K52" s="1791"/>
      <c r="L52" s="1791"/>
      <c r="M52" s="1791"/>
      <c r="N52" s="1791"/>
      <c r="O52" s="1791"/>
      <c r="P52" s="1746"/>
    </row>
    <row r="53" spans="2:16" ht="15.75">
      <c r="B53" s="1743"/>
      <c r="C53" s="1790"/>
      <c r="D53" s="1744"/>
      <c r="E53" s="1744"/>
      <c r="F53" s="1744"/>
      <c r="G53" s="1791"/>
      <c r="H53" s="1791"/>
      <c r="I53" s="1791"/>
      <c r="J53" s="1791"/>
      <c r="K53" s="1791"/>
      <c r="L53" s="1791"/>
      <c r="M53" s="1791"/>
      <c r="N53" s="1791"/>
      <c r="O53" s="1791"/>
      <c r="P53" s="1746"/>
    </row>
    <row r="54" spans="2:16" ht="15.75">
      <c r="B54" s="1743"/>
      <c r="C54" s="1786"/>
      <c r="D54" s="1744"/>
      <c r="E54" s="1744"/>
      <c r="F54" s="1744"/>
      <c r="G54" s="1791"/>
      <c r="H54" s="1791"/>
      <c r="I54" s="1791"/>
      <c r="J54" s="1791"/>
      <c r="K54" s="1791"/>
      <c r="L54" s="1791"/>
      <c r="M54" s="1791"/>
      <c r="N54" s="1791"/>
      <c r="O54" s="1791"/>
      <c r="P54" s="1746"/>
    </row>
    <row r="55" spans="2:16" ht="15.75">
      <c r="B55" s="1743"/>
      <c r="C55" s="1792"/>
      <c r="D55" s="1744"/>
      <c r="E55" s="1744"/>
      <c r="F55" s="1744"/>
      <c r="G55" s="1791"/>
      <c r="H55" s="1791"/>
      <c r="I55" s="1791"/>
      <c r="J55" s="1791"/>
      <c r="K55" s="1791"/>
      <c r="L55" s="1791"/>
      <c r="M55" s="1791"/>
      <c r="N55" s="1791"/>
      <c r="O55" s="1791"/>
      <c r="P55" s="1746"/>
    </row>
    <row r="56" spans="2:16" ht="15.75">
      <c r="B56" s="1743"/>
      <c r="C56" s="1792"/>
      <c r="D56" s="1744"/>
      <c r="E56" s="1744"/>
      <c r="F56" s="1744"/>
      <c r="G56" s="1791"/>
      <c r="H56" s="1791"/>
      <c r="I56" s="1791"/>
      <c r="J56" s="1791"/>
      <c r="K56" s="1791"/>
      <c r="L56" s="1791"/>
      <c r="M56" s="1791"/>
      <c r="N56" s="1791"/>
      <c r="O56" s="1791"/>
      <c r="P56" s="1746"/>
    </row>
    <row r="57" spans="2:16" ht="15.75">
      <c r="B57" s="1743"/>
      <c r="C57" s="1786"/>
      <c r="D57" s="1744"/>
      <c r="E57" s="1744"/>
      <c r="F57" s="1744"/>
      <c r="G57" s="1791"/>
      <c r="H57" s="1791"/>
      <c r="I57" s="1791"/>
      <c r="J57" s="1791"/>
      <c r="K57" s="1791"/>
      <c r="L57" s="1791"/>
      <c r="M57" s="1791"/>
      <c r="N57" s="1791"/>
      <c r="O57" s="1791"/>
      <c r="P57" s="1746"/>
    </row>
    <row r="58" spans="2:16" ht="15.75">
      <c r="B58" s="1743"/>
      <c r="C58" s="1786"/>
      <c r="D58" s="1744"/>
      <c r="E58" s="1744"/>
      <c r="F58" s="1744"/>
      <c r="G58" s="1791"/>
      <c r="H58" s="1788"/>
      <c r="I58" s="1791"/>
      <c r="J58" s="1793"/>
      <c r="K58" s="1793"/>
      <c r="L58" s="1793"/>
      <c r="M58" s="1793"/>
      <c r="N58" s="1793"/>
      <c r="O58" s="1791"/>
      <c r="P58" s="1794"/>
    </row>
    <row r="59" spans="2:16" ht="15.75">
      <c r="B59" s="1743"/>
      <c r="C59" s="1790"/>
      <c r="D59" s="1744"/>
      <c r="E59" s="1744"/>
      <c r="F59" s="1744"/>
      <c r="G59" s="1785"/>
      <c r="H59" s="1744"/>
      <c r="I59" s="1744"/>
      <c r="J59" s="1744"/>
      <c r="K59" s="1744"/>
      <c r="L59" s="1744"/>
      <c r="M59" s="1744"/>
      <c r="N59" s="1744"/>
      <c r="O59" s="1744"/>
      <c r="P59" s="1746"/>
    </row>
    <row r="60" spans="2:16" ht="15.75">
      <c r="B60" s="1743"/>
      <c r="C60" s="1786"/>
      <c r="D60" s="1744"/>
      <c r="E60" s="1744"/>
      <c r="F60" s="1744"/>
      <c r="G60" s="1795"/>
      <c r="H60" s="1789"/>
      <c r="I60" s="1795"/>
      <c r="J60" s="1789"/>
      <c r="K60" s="1789"/>
      <c r="L60" s="1789"/>
      <c r="M60" s="1789"/>
      <c r="N60" s="1789"/>
      <c r="O60" s="1795"/>
      <c r="P60" s="1746"/>
    </row>
    <row r="61" spans="2:16" ht="15.75">
      <c r="B61" s="1743"/>
      <c r="C61" s="1790"/>
      <c r="D61" s="1744"/>
      <c r="E61" s="1744"/>
      <c r="F61" s="1744"/>
      <c r="G61" s="1785"/>
      <c r="H61" s="1744"/>
      <c r="I61" s="1744"/>
      <c r="J61" s="1744"/>
      <c r="K61" s="1744"/>
      <c r="L61" s="1744"/>
      <c r="M61" s="1744"/>
      <c r="N61" s="1744"/>
      <c r="O61" s="1744"/>
      <c r="P61" s="1746"/>
    </row>
    <row r="62" spans="2:16" ht="15.75">
      <c r="B62" s="1743"/>
      <c r="C62" s="1796"/>
      <c r="D62" s="1744"/>
      <c r="E62" s="1744"/>
      <c r="F62" s="1744"/>
      <c r="G62" s="1797"/>
      <c r="H62" s="1798"/>
      <c r="I62" s="1797"/>
      <c r="J62" s="1798"/>
      <c r="K62" s="1798"/>
      <c r="L62" s="1798"/>
      <c r="M62" s="1798"/>
      <c r="N62" s="1798"/>
      <c r="O62" s="1797"/>
      <c r="P62" s="1746"/>
    </row>
    <row r="63" spans="2:16" ht="15.75">
      <c r="B63" s="1743"/>
      <c r="C63" s="1796"/>
      <c r="D63" s="1744"/>
      <c r="E63" s="1744"/>
      <c r="F63" s="1744"/>
      <c r="G63" s="1797"/>
      <c r="H63" s="1798"/>
      <c r="I63" s="1797"/>
      <c r="J63" s="1798"/>
      <c r="K63" s="1798"/>
      <c r="L63" s="1798"/>
      <c r="M63" s="1798"/>
      <c r="N63" s="1798"/>
      <c r="O63" s="1797"/>
      <c r="P63" s="1746"/>
    </row>
    <row r="64" spans="2:16" ht="15.75">
      <c r="B64" s="1743"/>
      <c r="C64" s="1796"/>
      <c r="D64" s="1744"/>
      <c r="E64" s="1744"/>
      <c r="F64" s="1744"/>
      <c r="G64" s="1797"/>
      <c r="H64" s="1798"/>
      <c r="I64" s="1797"/>
      <c r="J64" s="1798"/>
      <c r="K64" s="1798"/>
      <c r="L64" s="1798"/>
      <c r="M64" s="1798"/>
      <c r="N64" s="1798"/>
      <c r="O64" s="1797"/>
      <c r="P64" s="1746"/>
    </row>
    <row r="65" spans="2:16" ht="15.75">
      <c r="B65" s="1743"/>
      <c r="C65" s="1762"/>
      <c r="D65" s="1744"/>
      <c r="E65" s="1744"/>
      <c r="F65" s="1744"/>
      <c r="G65" s="1799"/>
      <c r="H65" s="1800"/>
      <c r="I65" s="1799"/>
      <c r="J65" s="1800"/>
      <c r="K65" s="1800"/>
      <c r="L65" s="1800"/>
      <c r="M65" s="1800"/>
      <c r="N65" s="1800"/>
      <c r="O65" s="1799"/>
      <c r="P65" s="1746"/>
    </row>
    <row r="66" spans="2:16" ht="15.75">
      <c r="B66" s="1743"/>
      <c r="C66" s="1796"/>
      <c r="D66" s="1744"/>
      <c r="E66" s="1744"/>
      <c r="F66" s="1744"/>
      <c r="G66" s="1797"/>
      <c r="H66" s="1798"/>
      <c r="I66" s="1797"/>
      <c r="J66" s="1798"/>
      <c r="K66" s="1798"/>
      <c r="L66" s="1798"/>
      <c r="M66" s="1798"/>
      <c r="N66" s="1798"/>
      <c r="O66" s="1797"/>
      <c r="P66" s="1746"/>
    </row>
    <row r="67" spans="2:16" ht="15.75">
      <c r="B67" s="1743"/>
      <c r="C67" s="1786"/>
      <c r="D67" s="1744"/>
      <c r="E67" s="1744"/>
      <c r="F67" s="1744"/>
      <c r="G67" s="1791"/>
      <c r="H67" s="1793"/>
      <c r="I67" s="1791"/>
      <c r="J67" s="1793"/>
      <c r="K67" s="1793"/>
      <c r="L67" s="1793"/>
      <c r="M67" s="1793"/>
      <c r="N67" s="1793"/>
      <c r="O67" s="1791"/>
      <c r="P67" s="1794"/>
    </row>
    <row r="68" spans="2:16" ht="15.75">
      <c r="B68" s="1743"/>
      <c r="C68" s="1786"/>
      <c r="D68" s="1744"/>
      <c r="E68" s="1744"/>
      <c r="F68" s="1744"/>
      <c r="G68" s="1791"/>
      <c r="H68" s="1793"/>
      <c r="I68" s="1791"/>
      <c r="J68" s="1793"/>
      <c r="K68" s="1793"/>
      <c r="L68" s="1793"/>
      <c r="M68" s="1793"/>
      <c r="N68" s="1793"/>
      <c r="O68" s="1791"/>
      <c r="P68" s="1794"/>
    </row>
    <row r="69" spans="2:16" ht="15.75">
      <c r="B69" s="1743"/>
      <c r="C69" s="1786"/>
      <c r="D69" s="1744"/>
      <c r="E69" s="1744"/>
      <c r="F69" s="1744"/>
      <c r="G69" s="1801"/>
      <c r="H69" s="1793"/>
      <c r="I69" s="1801"/>
      <c r="J69" s="1793"/>
      <c r="K69" s="1793"/>
      <c r="L69" s="1793"/>
      <c r="M69" s="1793"/>
      <c r="N69" s="1793"/>
      <c r="O69" s="1801"/>
      <c r="P69" s="1794"/>
    </row>
    <row r="70" spans="2:16" ht="16.5" thickBot="1">
      <c r="B70" s="1743"/>
      <c r="C70" s="1796"/>
      <c r="D70" s="1744"/>
      <c r="E70" s="1744"/>
      <c r="F70" s="1744"/>
      <c r="G70" s="1785"/>
      <c r="H70" s="1744"/>
      <c r="I70" s="1744"/>
      <c r="J70" s="1744"/>
      <c r="K70" s="1744"/>
      <c r="L70" s="1744"/>
      <c r="M70" s="1744"/>
      <c r="N70" s="1744"/>
      <c r="O70" s="1744"/>
      <c r="P70" s="1746"/>
    </row>
    <row r="71" spans="2:16" ht="16.5" thickBot="1">
      <c r="B71" s="1776"/>
      <c r="C71" s="1777"/>
      <c r="D71" s="1777"/>
      <c r="E71" s="1777"/>
      <c r="F71" s="1777"/>
      <c r="G71" s="1777"/>
      <c r="H71" s="1777"/>
      <c r="I71" s="1778"/>
      <c r="J71" s="1779"/>
      <c r="K71" s="1779"/>
      <c r="L71" s="1779"/>
      <c r="M71" s="1779"/>
      <c r="N71" s="1779"/>
      <c r="O71" s="1778"/>
      <c r="P71" s="1780"/>
    </row>
    <row r="72" spans="2:16" ht="15.75">
      <c r="B72" s="1743"/>
      <c r="C72" s="1796"/>
      <c r="D72" s="1744"/>
      <c r="E72" s="1744"/>
      <c r="F72" s="1744"/>
      <c r="G72" s="1785"/>
      <c r="H72" s="1744"/>
      <c r="I72" s="1744"/>
      <c r="J72" s="1744"/>
      <c r="K72" s="1744"/>
      <c r="L72" s="1744"/>
      <c r="M72" s="1744"/>
      <c r="N72" s="1744"/>
      <c r="O72" s="1744"/>
      <c r="P72" s="1746"/>
    </row>
    <row r="73" spans="2:16" ht="15.75">
      <c r="B73" s="1743"/>
      <c r="C73" s="1796"/>
      <c r="D73" s="1744"/>
      <c r="E73" s="1744"/>
      <c r="F73" s="1744"/>
      <c r="G73" s="1784"/>
      <c r="H73" s="1744"/>
      <c r="I73" s="1784"/>
      <c r="J73" s="1744"/>
      <c r="K73" s="1744"/>
      <c r="L73" s="1744"/>
      <c r="M73" s="1744"/>
      <c r="N73" s="1744"/>
      <c r="O73" s="1784"/>
      <c r="P73" s="1746"/>
    </row>
    <row r="74" spans="2:16" ht="15.75">
      <c r="B74" s="1743"/>
      <c r="C74" s="1790"/>
      <c r="D74" s="1744"/>
      <c r="E74" s="1744"/>
      <c r="F74" s="1744"/>
      <c r="G74" s="1785"/>
      <c r="H74" s="1744"/>
      <c r="I74" s="1744"/>
      <c r="J74" s="1744"/>
      <c r="K74" s="1744"/>
      <c r="L74" s="1744"/>
      <c r="M74" s="1744"/>
      <c r="N74" s="1744"/>
      <c r="O74" s="1744"/>
      <c r="P74" s="1746"/>
    </row>
    <row r="75" spans="2:16" ht="15.75">
      <c r="B75" s="1743"/>
      <c r="C75" s="1786"/>
      <c r="D75" s="1744"/>
      <c r="E75" s="1744"/>
      <c r="F75" s="1744"/>
      <c r="G75" s="1787"/>
      <c r="H75" s="1789"/>
      <c r="I75" s="1787"/>
      <c r="J75" s="1787"/>
      <c r="K75" s="1787"/>
      <c r="L75" s="1787"/>
      <c r="M75" s="1787"/>
      <c r="N75" s="1787"/>
      <c r="O75" s="1787"/>
      <c r="P75" s="1746"/>
    </row>
    <row r="76" spans="2:16" ht="15.75">
      <c r="B76" s="1743"/>
      <c r="C76" s="1802"/>
      <c r="D76" s="1744"/>
      <c r="E76" s="1744"/>
      <c r="F76" s="1744"/>
      <c r="G76" s="1787"/>
      <c r="H76" s="1789"/>
      <c r="I76" s="1789"/>
      <c r="J76" s="1789"/>
      <c r="K76" s="1789"/>
      <c r="L76" s="1789"/>
      <c r="M76" s="1789"/>
      <c r="N76" s="1789"/>
      <c r="O76" s="1789"/>
      <c r="P76" s="1746"/>
    </row>
    <row r="77" spans="2:16" ht="15.75">
      <c r="B77" s="1743"/>
      <c r="C77" s="1786"/>
      <c r="D77" s="1744"/>
      <c r="E77" s="1744"/>
      <c r="F77" s="1744"/>
      <c r="G77" s="1803"/>
      <c r="H77" s="1793"/>
      <c r="I77" s="1803"/>
      <c r="J77" s="1793"/>
      <c r="K77" s="1793"/>
      <c r="L77" s="1793"/>
      <c r="M77" s="1793"/>
      <c r="N77" s="1793"/>
      <c r="O77" s="1803"/>
      <c r="P77" s="1746"/>
    </row>
    <row r="78" spans="2:16" ht="15.75">
      <c r="B78" s="1743"/>
      <c r="C78" s="1790"/>
      <c r="D78" s="1744"/>
      <c r="E78" s="1744"/>
      <c r="F78" s="1744"/>
      <c r="G78" s="1803"/>
      <c r="H78" s="1793"/>
      <c r="I78" s="1793"/>
      <c r="J78" s="1793"/>
      <c r="K78" s="1793"/>
      <c r="L78" s="1793"/>
      <c r="M78" s="1793"/>
      <c r="N78" s="1793"/>
      <c r="O78" s="1793"/>
      <c r="P78" s="1746"/>
    </row>
    <row r="79" spans="2:16" ht="15.75">
      <c r="B79" s="1743"/>
      <c r="C79" s="1786"/>
      <c r="D79" s="1744"/>
      <c r="E79" s="1744"/>
      <c r="F79" s="1744"/>
      <c r="G79" s="1803"/>
      <c r="H79" s="1793"/>
      <c r="I79" s="1803"/>
      <c r="J79" s="1793"/>
      <c r="K79" s="1793"/>
      <c r="L79" s="1793"/>
      <c r="M79" s="1793"/>
      <c r="N79" s="1793"/>
      <c r="O79" s="1803"/>
      <c r="P79" s="1746"/>
    </row>
    <row r="80" spans="2:16" ht="15.75">
      <c r="B80" s="1743"/>
      <c r="C80" s="1790"/>
      <c r="D80" s="1744"/>
      <c r="E80" s="1744"/>
      <c r="F80" s="1744"/>
      <c r="G80" s="1803"/>
      <c r="H80" s="1793"/>
      <c r="I80" s="1793"/>
      <c r="J80" s="1793"/>
      <c r="K80" s="1793"/>
      <c r="L80" s="1793"/>
      <c r="M80" s="1793"/>
      <c r="N80" s="1793"/>
      <c r="O80" s="1793"/>
      <c r="P80" s="1746"/>
    </row>
    <row r="81" spans="2:16" ht="15.75">
      <c r="B81" s="1743"/>
      <c r="C81" s="1804"/>
      <c r="D81" s="1744"/>
      <c r="E81" s="1744"/>
      <c r="F81" s="1744"/>
      <c r="G81" s="1805"/>
      <c r="H81" s="1806"/>
      <c r="I81" s="1805"/>
      <c r="J81" s="1806"/>
      <c r="K81" s="1806"/>
      <c r="L81" s="1806"/>
      <c r="M81" s="1806"/>
      <c r="N81" s="1806"/>
      <c r="O81" s="1805"/>
      <c r="P81" s="1746"/>
    </row>
    <row r="82" spans="2:16" ht="15.75">
      <c r="B82" s="1743"/>
      <c r="C82" s="1786"/>
      <c r="D82" s="1744"/>
      <c r="E82" s="1744"/>
      <c r="F82" s="1744"/>
      <c r="G82" s="1803"/>
      <c r="H82" s="1793"/>
      <c r="I82" s="1803"/>
      <c r="J82" s="1793"/>
      <c r="K82" s="1793"/>
      <c r="L82" s="1793"/>
      <c r="M82" s="1793"/>
      <c r="N82" s="1793"/>
      <c r="O82" s="1803"/>
      <c r="P82" s="1746"/>
    </row>
    <row r="83" spans="2:16" ht="15.75">
      <c r="B83" s="1743"/>
      <c r="C83" s="1786"/>
      <c r="D83" s="1744"/>
      <c r="E83" s="1744"/>
      <c r="F83" s="1744"/>
      <c r="G83" s="1803"/>
      <c r="H83" s="1793"/>
      <c r="I83" s="1803"/>
      <c r="J83" s="1793"/>
      <c r="K83" s="1793"/>
      <c r="L83" s="1793"/>
      <c r="M83" s="1793"/>
      <c r="N83" s="1793"/>
      <c r="O83" s="1803"/>
      <c r="P83" s="1746"/>
    </row>
    <row r="84" spans="2:16" ht="15.75">
      <c r="B84" s="1743"/>
      <c r="C84" s="1790"/>
      <c r="D84" s="1744"/>
      <c r="E84" s="1744"/>
      <c r="F84" s="1744"/>
      <c r="G84" s="1785"/>
      <c r="H84" s="1744"/>
      <c r="I84" s="1744"/>
      <c r="J84" s="1744"/>
      <c r="K84" s="1744"/>
      <c r="L84" s="1744"/>
      <c r="M84" s="1744"/>
      <c r="N84" s="1744"/>
      <c r="O84" s="1744"/>
      <c r="P84" s="1746"/>
    </row>
    <row r="85" spans="2:16" ht="15.75">
      <c r="B85" s="1807"/>
      <c r="C85" s="1790"/>
      <c r="D85" s="1744"/>
      <c r="E85" s="1744"/>
      <c r="F85" s="1744"/>
      <c r="G85" s="1795"/>
      <c r="H85" s="1789"/>
      <c r="I85" s="1795"/>
      <c r="J85" s="1789"/>
      <c r="K85" s="1789"/>
      <c r="L85" s="1789"/>
      <c r="M85" s="1789"/>
      <c r="N85" s="1789"/>
      <c r="O85" s="1795"/>
      <c r="P85" s="1746"/>
    </row>
    <row r="86" spans="2:16" ht="15.75">
      <c r="B86" s="1807"/>
      <c r="C86" s="1790"/>
      <c r="D86" s="1744"/>
      <c r="E86" s="1744"/>
      <c r="F86" s="1744"/>
      <c r="G86" s="1785"/>
      <c r="H86" s="1744"/>
      <c r="I86" s="1785"/>
      <c r="J86" s="1744"/>
      <c r="K86" s="1744"/>
      <c r="L86" s="1744"/>
      <c r="M86" s="1744"/>
      <c r="N86" s="1744"/>
      <c r="O86" s="1785"/>
      <c r="P86" s="1746"/>
    </row>
    <row r="87" spans="2:16" ht="15.75">
      <c r="B87" s="1807"/>
      <c r="C87" s="1796"/>
      <c r="D87" s="1744"/>
      <c r="E87" s="1744"/>
      <c r="F87" s="1744"/>
      <c r="G87" s="1797"/>
      <c r="H87" s="1798"/>
      <c r="I87" s="1797"/>
      <c r="J87" s="1798"/>
      <c r="K87" s="1798"/>
      <c r="L87" s="1798"/>
      <c r="M87" s="1798"/>
      <c r="N87" s="1798"/>
      <c r="O87" s="1797"/>
      <c r="P87" s="1746"/>
    </row>
    <row r="88" spans="2:16" ht="15.75">
      <c r="B88" s="1807"/>
      <c r="C88" s="1796"/>
      <c r="D88" s="1744"/>
      <c r="E88" s="1744"/>
      <c r="F88" s="1744"/>
      <c r="G88" s="1797"/>
      <c r="H88" s="1798"/>
      <c r="I88" s="1797"/>
      <c r="J88" s="1798"/>
      <c r="K88" s="1798"/>
      <c r="L88" s="1798"/>
      <c r="M88" s="1798"/>
      <c r="N88" s="1798"/>
      <c r="O88" s="1797"/>
      <c r="P88" s="1746"/>
    </row>
    <row r="89" spans="2:16" ht="16.5" thickBot="1">
      <c r="B89" s="1807"/>
      <c r="C89" s="1796"/>
      <c r="D89" s="1744"/>
      <c r="E89" s="1744"/>
      <c r="F89" s="1744"/>
      <c r="G89" s="1808"/>
      <c r="H89" s="1744"/>
      <c r="I89" s="1808"/>
      <c r="J89" s="1744"/>
      <c r="K89" s="1744"/>
      <c r="L89" s="1744"/>
      <c r="M89" s="1744"/>
      <c r="N89" s="1744"/>
      <c r="O89" s="1808"/>
      <c r="P89" s="1746"/>
    </row>
    <row r="90" spans="2:16" ht="16.5" thickBot="1">
      <c r="B90" s="1776"/>
      <c r="C90" s="1777"/>
      <c r="D90" s="1777"/>
      <c r="E90" s="1777"/>
      <c r="F90" s="1777"/>
      <c r="G90" s="1777"/>
      <c r="H90" s="1777"/>
      <c r="I90" s="1778"/>
      <c r="J90" s="1779"/>
      <c r="K90" s="1779"/>
      <c r="L90" s="1779"/>
      <c r="M90" s="1779"/>
      <c r="N90" s="1779"/>
      <c r="O90" s="1778"/>
      <c r="P90" s="1780"/>
    </row>
    <row r="91" spans="2:16" ht="15.75">
      <c r="B91" s="1781"/>
      <c r="C91" s="1809"/>
      <c r="D91" s="1782"/>
      <c r="E91" s="1782"/>
      <c r="F91" s="1782"/>
      <c r="G91" s="1810"/>
      <c r="H91" s="1782"/>
      <c r="I91" s="1782"/>
      <c r="J91" s="1782"/>
      <c r="K91" s="1782"/>
      <c r="L91" s="1782"/>
      <c r="M91" s="1782"/>
      <c r="N91" s="1782"/>
      <c r="O91" s="1782"/>
      <c r="P91" s="1783"/>
    </row>
    <row r="92" spans="2:16" ht="15.75">
      <c r="B92" s="1807"/>
      <c r="C92" s="1762"/>
      <c r="D92" s="1744"/>
      <c r="E92" s="1744"/>
      <c r="F92" s="1744"/>
      <c r="G92" s="1785"/>
      <c r="H92" s="1744"/>
      <c r="I92" s="1744"/>
      <c r="J92" s="1744"/>
      <c r="K92" s="1744"/>
      <c r="L92" s="1744"/>
      <c r="M92" s="1744"/>
      <c r="N92" s="1744"/>
      <c r="O92" s="1744"/>
      <c r="P92" s="1746"/>
    </row>
    <row r="93" spans="2:16" ht="15.75">
      <c r="B93" s="1807"/>
      <c r="C93" s="1764"/>
      <c r="D93" s="1744"/>
      <c r="E93" s="1744"/>
      <c r="F93" s="1744"/>
      <c r="G93" s="1785"/>
      <c r="H93" s="1744"/>
      <c r="I93" s="1744"/>
      <c r="J93" s="1744"/>
      <c r="K93" s="1744"/>
      <c r="L93" s="1744"/>
      <c r="M93" s="1744"/>
      <c r="N93" s="1744"/>
      <c r="O93" s="1744"/>
      <c r="P93" s="1746"/>
    </row>
    <row r="94" spans="2:16" ht="15.75">
      <c r="B94" s="1743"/>
      <c r="C94" s="1811"/>
      <c r="D94" s="1744"/>
      <c r="E94" s="1744"/>
      <c r="F94" s="1744"/>
      <c r="G94" s="1812"/>
      <c r="H94" s="1813"/>
      <c r="I94" s="1812"/>
      <c r="J94" s="1813"/>
      <c r="K94" s="1813"/>
      <c r="L94" s="1813"/>
      <c r="M94" s="1813"/>
      <c r="N94" s="1813"/>
      <c r="O94" s="1812"/>
      <c r="P94" s="1746"/>
    </row>
    <row r="95" spans="2:16" ht="15.75">
      <c r="B95" s="1743"/>
      <c r="C95" s="1811"/>
      <c r="D95" s="1744"/>
      <c r="E95" s="1744"/>
      <c r="F95" s="1744"/>
      <c r="G95" s="1812"/>
      <c r="H95" s="1813"/>
      <c r="I95" s="1812"/>
      <c r="J95" s="1813"/>
      <c r="K95" s="1813"/>
      <c r="L95" s="1813"/>
      <c r="M95" s="1813"/>
      <c r="N95" s="1813"/>
      <c r="O95" s="1812"/>
      <c r="P95" s="1746"/>
    </row>
    <row r="96" spans="2:16" ht="15.75">
      <c r="B96" s="1743"/>
      <c r="C96" s="1811"/>
      <c r="D96" s="1744"/>
      <c r="E96" s="1744"/>
      <c r="F96" s="1744"/>
      <c r="G96" s="1812"/>
      <c r="H96" s="1813"/>
      <c r="I96" s="1812"/>
      <c r="J96" s="1813"/>
      <c r="K96" s="1813"/>
      <c r="L96" s="1813"/>
      <c r="M96" s="1813"/>
      <c r="N96" s="1813"/>
      <c r="O96" s="1812"/>
      <c r="P96" s="1746"/>
    </row>
    <row r="97" spans="2:16" ht="15.75">
      <c r="B97" s="1743"/>
      <c r="C97" s="1811"/>
      <c r="D97" s="1744"/>
      <c r="E97" s="1744"/>
      <c r="F97" s="1744"/>
      <c r="G97" s="1812"/>
      <c r="H97" s="1813"/>
      <c r="I97" s="1812"/>
      <c r="J97" s="1813"/>
      <c r="K97" s="1813"/>
      <c r="L97" s="1813"/>
      <c r="M97" s="1813"/>
      <c r="N97" s="1813"/>
      <c r="O97" s="1812"/>
      <c r="P97" s="1746"/>
    </row>
    <row r="98" spans="2:16" ht="15.75">
      <c r="B98" s="1743"/>
      <c r="C98" s="1811"/>
      <c r="D98" s="1744"/>
      <c r="E98" s="1744"/>
      <c r="F98" s="1744"/>
      <c r="G98" s="1812"/>
      <c r="H98" s="1813"/>
      <c r="I98" s="1812"/>
      <c r="J98" s="1813"/>
      <c r="K98" s="1813"/>
      <c r="L98" s="1813"/>
      <c r="M98" s="1813"/>
      <c r="N98" s="1813"/>
      <c r="O98" s="1812"/>
      <c r="P98" s="1746"/>
    </row>
    <row r="99" spans="2:16" ht="16.5" thickBot="1">
      <c r="B99" s="1743"/>
      <c r="C99" s="1814"/>
      <c r="D99" s="1744"/>
      <c r="E99" s="1744"/>
      <c r="F99" s="1744"/>
      <c r="G99" s="1808"/>
      <c r="H99" s="1744"/>
      <c r="I99" s="1808"/>
      <c r="J99" s="1744"/>
      <c r="K99" s="1744"/>
      <c r="L99" s="1744"/>
      <c r="M99" s="1744"/>
      <c r="N99" s="1744"/>
      <c r="O99" s="1808"/>
      <c r="P99" s="1746"/>
    </row>
    <row r="100" spans="2:16" ht="15.75" thickBot="1">
      <c r="B100" s="1815"/>
      <c r="C100" s="1816"/>
      <c r="D100" s="1816"/>
      <c r="E100" s="1816"/>
      <c r="F100" s="1816"/>
      <c r="G100" s="1816"/>
      <c r="H100" s="1816"/>
      <c r="I100" s="1816"/>
      <c r="J100" s="1816"/>
      <c r="K100" s="1816"/>
      <c r="L100" s="1816"/>
      <c r="M100" s="1816"/>
      <c r="N100" s="1816"/>
      <c r="O100" s="1816"/>
      <c r="P100" s="1817"/>
    </row>
    <row r="101" spans="2:16">
      <c r="G101" s="950"/>
    </row>
  </sheetData>
  <phoneticPr fontId="0" type="noConversion"/>
  <dataValidations count="7">
    <dataValidation operator="lessThanOrEqual" allowBlank="1" showInputMessage="1" showErrorMessage="1" errorTitle="Input Error" error="Family brand can be only three levels higher than prior year.  " sqref="O21 I12:I13 O12:O13 G13"/>
    <dataValidation type="whole" operator="lessThanOrEqual" allowBlank="1" showInputMessage="1" showErrorMessage="1" errorTitle="Inpurt Error" error="Speciality brand can only be one level higher from prior year.  " sqref="O18:O19">
      <formula1>1</formula1>
    </dataValidation>
    <dataValidation type="list" allowBlank="1" showInputMessage="1" showErrorMessage="1" sqref="O23:O25">
      <formula1>dataList1to10</formula1>
    </dataValidation>
    <dataValidation type="whole" operator="lessThanOrEqual" allowBlank="1" showInputMessage="1" showErrorMessage="1" errorTitle="Input Error" error="Family brand can be only three levels higher than prior year.  " sqref="O28 I11 O11 G11">
      <formula1>3</formula1>
    </dataValidation>
    <dataValidation type="whole" allowBlank="1" showInputMessage="1" showErrorMessage="1" errorTitle="Input Error" error="Partner brand can only be one level higher from prior year.  " sqref="O15:O16">
      <formula1>0</formula1>
      <formula2>Y47</formula2>
    </dataValidation>
    <dataValidation type="whole" allowBlank="1" showInputMessage="1" showErrorMessage="1" errorTitle="Input Error" error="Partner brand can only be one level higher from prior year.  " sqref="O14">
      <formula1>0</formula1>
      <formula2>Y47</formula2>
    </dataValidation>
    <dataValidation type="whole" allowBlank="1" showInputMessage="1" showErrorMessage="1" errorTitle="Inpurt Error" error="Speciality brand can only be one level higher from prior year.  " sqref="O20">
      <formula1>0</formula1>
      <formula2>U49</formula2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bal">
    <tabColor indexed="11"/>
  </sheetPr>
  <dimension ref="A1:X369"/>
  <sheetViews>
    <sheetView workbookViewId="0">
      <pane xSplit="4" ySplit="1" topLeftCell="E218" activePane="bottomRight" state="frozen"/>
      <selection activeCell="A348" activeCellId="1" sqref="A353:XFD353 A348:XFD348"/>
      <selection pane="topRight" activeCell="A348" activeCellId="1" sqref="A353:XFD353 A348:XFD348"/>
      <selection pane="bottomLeft" activeCell="A348" activeCellId="1" sqref="A353:XFD353 A348:XFD348"/>
      <selection pane="bottomRight" activeCell="E221" sqref="E221:I221"/>
    </sheetView>
  </sheetViews>
  <sheetFormatPr defaultRowHeight="11.25"/>
  <cols>
    <col min="1" max="1" width="1.6640625" customWidth="1"/>
    <col min="2" max="2" width="16.6640625" customWidth="1"/>
    <col min="3" max="3" width="15.5" customWidth="1"/>
    <col min="4" max="4" width="17.83203125" customWidth="1"/>
    <col min="5" max="9" width="15.33203125" customWidth="1"/>
    <col min="10" max="10" width="30.1640625" customWidth="1"/>
    <col min="11" max="11" width="17.83203125" style="3" customWidth="1"/>
    <col min="12" max="12" width="14.83203125" style="33" customWidth="1"/>
    <col min="13" max="13" width="16.6640625" bestFit="1" customWidth="1"/>
    <col min="14" max="14" width="24.1640625" customWidth="1"/>
  </cols>
  <sheetData>
    <row r="1" spans="1:13" s="144" customFormat="1" ht="15.75">
      <c r="A1" s="143" t="s">
        <v>1833</v>
      </c>
      <c r="B1" s="145"/>
      <c r="C1" s="145"/>
      <c r="D1" s="145"/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  <c r="K1" s="144" t="s">
        <v>59</v>
      </c>
    </row>
    <row r="2" spans="1:13">
      <c r="A2" s="2" t="s">
        <v>1839</v>
      </c>
      <c r="E2" t="s">
        <v>646</v>
      </c>
    </row>
    <row r="3" spans="1:13">
      <c r="A3" s="2" t="s">
        <v>1842</v>
      </c>
      <c r="D3" s="4" t="s">
        <v>1964</v>
      </c>
      <c r="E3" t="s">
        <v>405</v>
      </c>
      <c r="K3" s="470" t="s">
        <v>3752</v>
      </c>
      <c r="M3" s="398"/>
    </row>
    <row r="4" spans="1:13">
      <c r="B4" t="s">
        <v>1840</v>
      </c>
      <c r="D4" s="14">
        <f ca="1">cbal!E4</f>
        <v>6695625983.2060633</v>
      </c>
      <c r="E4" s="351">
        <v>4959719052.5716419</v>
      </c>
      <c r="F4" s="352">
        <v>4959719052.5716419</v>
      </c>
      <c r="G4" s="352">
        <v>4959719052.5716419</v>
      </c>
      <c r="H4" s="352">
        <v>4959719052.5716419</v>
      </c>
      <c r="I4" s="352">
        <v>4959719052.5716419</v>
      </c>
      <c r="J4" t="s">
        <v>2679</v>
      </c>
      <c r="K4" s="471">
        <v>2640000000</v>
      </c>
      <c r="L4" t="b">
        <v>1</v>
      </c>
      <c r="M4" s="18"/>
    </row>
    <row r="5" spans="1:13">
      <c r="B5" t="s">
        <v>1430</v>
      </c>
      <c r="D5" s="14"/>
      <c r="E5" s="351"/>
      <c r="F5" s="479"/>
      <c r="G5" s="479"/>
      <c r="H5" s="479"/>
      <c r="I5" s="479"/>
      <c r="K5" s="471"/>
      <c r="L5" t="b">
        <v>1</v>
      </c>
      <c r="M5" s="18"/>
    </row>
    <row r="6" spans="1:13">
      <c r="B6" s="4" t="s">
        <v>3791</v>
      </c>
      <c r="D6" s="14">
        <f>cbal!E6</f>
        <v>3194920616.583333</v>
      </c>
      <c r="E6" s="187">
        <v>3204553030.6666665</v>
      </c>
      <c r="F6" s="141">
        <v>3204553030.6666665</v>
      </c>
      <c r="G6" s="141">
        <v>3204553030.6666665</v>
      </c>
      <c r="H6" s="141">
        <v>3204553030.6666665</v>
      </c>
      <c r="I6" s="141">
        <v>3204553030.6666665</v>
      </c>
      <c r="J6" t="s">
        <v>3511</v>
      </c>
      <c r="K6" s="471">
        <v>2976329693.75</v>
      </c>
      <c r="L6" t="b">
        <v>1</v>
      </c>
      <c r="M6" s="18"/>
    </row>
    <row r="7" spans="1:13">
      <c r="B7" s="4" t="s">
        <v>3792</v>
      </c>
      <c r="D7" s="14">
        <f>cbal!E7</f>
        <v>1162100000</v>
      </c>
      <c r="E7" s="187">
        <v>1139708960</v>
      </c>
      <c r="F7" s="141">
        <v>1139708960</v>
      </c>
      <c r="G7" s="141">
        <v>1139708960</v>
      </c>
      <c r="H7" s="141">
        <v>1139708960</v>
      </c>
      <c r="I7" s="141">
        <v>1139708960</v>
      </c>
      <c r="J7" t="s">
        <v>3512</v>
      </c>
      <c r="K7" s="471">
        <v>943840595.83333325</v>
      </c>
      <c r="L7" t="b">
        <v>1</v>
      </c>
      <c r="M7" s="18"/>
    </row>
    <row r="8" spans="1:13">
      <c r="B8" t="s">
        <v>1189</v>
      </c>
      <c r="D8" s="14">
        <f>cbal!E8</f>
        <v>4357020616.583333</v>
      </c>
      <c r="E8" s="185">
        <v>4344261990.666666</v>
      </c>
      <c r="F8" s="139">
        <v>4344261990.666666</v>
      </c>
      <c r="G8" s="139">
        <v>4344261990.666666</v>
      </c>
      <c r="H8" s="139">
        <v>4344261990.666666</v>
      </c>
      <c r="I8" s="139">
        <v>4344261990.666666</v>
      </c>
      <c r="J8" t="s">
        <v>2680</v>
      </c>
      <c r="K8" s="471">
        <v>3920170289.583333</v>
      </c>
      <c r="L8" t="b">
        <v>1</v>
      </c>
      <c r="M8" s="18"/>
    </row>
    <row r="9" spans="1:13">
      <c r="B9" s="207"/>
      <c r="C9" s="207"/>
      <c r="D9" s="256"/>
      <c r="E9" s="257"/>
      <c r="F9" s="257"/>
      <c r="G9" s="257"/>
      <c r="H9" s="257"/>
      <c r="I9" s="257"/>
      <c r="K9" s="471"/>
      <c r="L9" t="b">
        <v>1</v>
      </c>
      <c r="M9" s="18"/>
    </row>
    <row r="10" spans="1:13">
      <c r="B10" s="2" t="s">
        <v>2928</v>
      </c>
      <c r="D10" s="14">
        <f ca="1">cbal!E10</f>
        <v>11052646599.789396</v>
      </c>
      <c r="E10" s="186">
        <v>9303981043.238308</v>
      </c>
      <c r="F10" s="140">
        <v>9303981043.238308</v>
      </c>
      <c r="G10" s="140">
        <v>9303981043.238308</v>
      </c>
      <c r="H10" s="140">
        <v>9303981043.238308</v>
      </c>
      <c r="I10" s="140">
        <v>9303981043.238308</v>
      </c>
      <c r="J10" s="15"/>
      <c r="K10" s="471">
        <v>6560170289.583333</v>
      </c>
      <c r="L10" t="b">
        <v>1</v>
      </c>
      <c r="M10" s="18"/>
    </row>
    <row r="11" spans="1:13">
      <c r="B11" s="2"/>
      <c r="D11" s="14"/>
      <c r="E11" s="467"/>
      <c r="F11" s="140"/>
      <c r="G11" s="140"/>
      <c r="H11" s="140"/>
      <c r="I11" s="140"/>
      <c r="J11" s="15"/>
      <c r="K11" s="471"/>
      <c r="L11" t="b">
        <v>1</v>
      </c>
      <c r="M11" s="18"/>
    </row>
    <row r="12" spans="1:13">
      <c r="B12" s="424" t="str">
        <f>DataNameProd2&amp;" Prods"</f>
        <v>Breakthrough Prods</v>
      </c>
      <c r="C12" s="424"/>
      <c r="D12" s="14"/>
      <c r="E12" s="467"/>
      <c r="F12" s="140"/>
      <c r="G12" s="140"/>
      <c r="H12" s="140"/>
      <c r="I12" s="140"/>
      <c r="J12" s="15"/>
      <c r="K12" s="471"/>
      <c r="L12" t="b">
        <v>1</v>
      </c>
      <c r="M12" s="18"/>
    </row>
    <row r="13" spans="1:13">
      <c r="B13" s="2" t="str">
        <f>DataNameProd2&amp;" Slot 1"</f>
        <v>Breakthrough Slot 1</v>
      </c>
      <c r="D13" s="14"/>
      <c r="E13" s="467"/>
      <c r="F13" s="139"/>
      <c r="G13" s="139"/>
      <c r="H13" s="139"/>
      <c r="I13" s="139"/>
      <c r="J13" s="15"/>
      <c r="K13" s="471"/>
      <c r="L13" t="b">
        <v>1</v>
      </c>
      <c r="M13" s="18"/>
    </row>
    <row r="14" spans="1:13">
      <c r="B14" t="str">
        <f>"Materials " &amp;DataNameProd2</f>
        <v>Materials Breakthrough</v>
      </c>
      <c r="D14" s="14">
        <f>cbal!E14</f>
        <v>0</v>
      </c>
      <c r="E14" s="463">
        <v>0</v>
      </c>
      <c r="F14" s="139">
        <v>0</v>
      </c>
      <c r="G14" s="139">
        <v>0</v>
      </c>
      <c r="H14" s="139">
        <v>0</v>
      </c>
      <c r="I14" s="139">
        <v>0</v>
      </c>
      <c r="J14" t="s">
        <v>2691</v>
      </c>
      <c r="K14" s="471">
        <v>0</v>
      </c>
      <c r="L14" t="b">
        <v>1</v>
      </c>
      <c r="M14" s="18"/>
    </row>
    <row r="15" spans="1:13">
      <c r="B15" t="str">
        <f>"WIP " &amp;DataNameProd2</f>
        <v>WIP Breakthrough</v>
      </c>
      <c r="D15" s="14">
        <f>cbal!E15</f>
        <v>0</v>
      </c>
      <c r="E15" s="463">
        <v>0</v>
      </c>
      <c r="F15" s="418">
        <v>0</v>
      </c>
      <c r="G15" s="418">
        <v>0</v>
      </c>
      <c r="H15" s="418">
        <v>0</v>
      </c>
      <c r="I15" s="418">
        <v>0</v>
      </c>
      <c r="J15" t="s">
        <v>2452</v>
      </c>
      <c r="K15" s="471">
        <v>0</v>
      </c>
      <c r="L15" t="b">
        <v>1</v>
      </c>
      <c r="M15" s="18"/>
    </row>
    <row r="16" spans="1:13">
      <c r="B16" t="str">
        <f>"Finished Goods " &amp;DataNameProd2</f>
        <v>Finished Goods Breakthrough</v>
      </c>
      <c r="D16" s="14">
        <f>cbal!E16</f>
        <v>0</v>
      </c>
      <c r="E16" s="843">
        <v>0</v>
      </c>
      <c r="F16" s="139">
        <v>0</v>
      </c>
      <c r="G16" s="139">
        <v>0</v>
      </c>
      <c r="H16" s="139">
        <v>0</v>
      </c>
      <c r="I16" s="139">
        <v>0</v>
      </c>
      <c r="J16" t="s">
        <v>2458</v>
      </c>
      <c r="K16" s="471">
        <v>0</v>
      </c>
      <c r="L16" t="b">
        <v>1</v>
      </c>
      <c r="M16" s="18"/>
    </row>
    <row r="17" spans="2:13">
      <c r="B17" s="207"/>
      <c r="C17" s="207"/>
      <c r="D17" s="256"/>
      <c r="E17" s="257"/>
      <c r="F17" s="257"/>
      <c r="G17" s="257"/>
      <c r="H17" s="257"/>
      <c r="I17" s="257"/>
      <c r="K17" s="471"/>
      <c r="L17" t="b">
        <v>1</v>
      </c>
      <c r="M17" s="18"/>
    </row>
    <row r="18" spans="2:13">
      <c r="D18" s="14"/>
      <c r="E18" s="1120">
        <v>0</v>
      </c>
      <c r="F18" s="139">
        <v>0</v>
      </c>
      <c r="G18" s="139">
        <v>0</v>
      </c>
      <c r="H18" s="139">
        <v>0</v>
      </c>
      <c r="I18" s="139">
        <v>0</v>
      </c>
      <c r="K18" s="471">
        <v>0</v>
      </c>
      <c r="L18" t="b">
        <v>1</v>
      </c>
      <c r="M18" s="18"/>
    </row>
    <row r="19" spans="2:13">
      <c r="D19" s="14"/>
      <c r="E19" s="843"/>
      <c r="F19" s="139"/>
      <c r="G19" s="139"/>
      <c r="H19" s="139"/>
      <c r="I19" s="139"/>
      <c r="K19" s="471"/>
      <c r="L19" t="b">
        <v>1</v>
      </c>
      <c r="M19" s="18"/>
    </row>
    <row r="20" spans="2:13">
      <c r="B20" s="2" t="str">
        <f>DataNameProd2&amp;" Slot 2"</f>
        <v>Breakthrough Slot 2</v>
      </c>
      <c r="D20" s="14"/>
      <c r="E20" s="843"/>
      <c r="F20" s="139"/>
      <c r="G20" s="139"/>
      <c r="H20" s="139"/>
      <c r="I20" s="139"/>
      <c r="K20" s="471"/>
      <c r="L20" t="b">
        <v>1</v>
      </c>
      <c r="M20" s="18"/>
    </row>
    <row r="21" spans="2:13">
      <c r="B21" t="str">
        <f>"Materials " &amp;DataNameProd2</f>
        <v>Materials Breakthrough</v>
      </c>
      <c r="D21" s="14">
        <f>cbal!E21</f>
        <v>0</v>
      </c>
      <c r="E21" s="463">
        <v>0</v>
      </c>
      <c r="F21" s="418">
        <v>0</v>
      </c>
      <c r="G21" s="418">
        <v>0</v>
      </c>
      <c r="H21" s="418">
        <v>0</v>
      </c>
      <c r="I21" s="418">
        <v>0</v>
      </c>
      <c r="J21" t="s">
        <v>1183</v>
      </c>
      <c r="K21" s="471">
        <v>0</v>
      </c>
      <c r="L21" t="b">
        <v>1</v>
      </c>
      <c r="M21" s="18"/>
    </row>
    <row r="22" spans="2:13">
      <c r="B22" t="str">
        <f>"WIP " &amp;DataNameProd2</f>
        <v>WIP Breakthrough</v>
      </c>
      <c r="D22" s="14">
        <f>cbal!E22</f>
        <v>0</v>
      </c>
      <c r="E22" s="463">
        <v>0</v>
      </c>
      <c r="F22" s="418">
        <v>0</v>
      </c>
      <c r="G22" s="418">
        <v>0</v>
      </c>
      <c r="H22" s="418">
        <v>0</v>
      </c>
      <c r="I22" s="418">
        <v>0</v>
      </c>
      <c r="J22" t="s">
        <v>3886</v>
      </c>
      <c r="K22" s="471">
        <v>0</v>
      </c>
      <c r="L22" t="b">
        <v>1</v>
      </c>
      <c r="M22" s="18"/>
    </row>
    <row r="23" spans="2:13">
      <c r="B23" t="str">
        <f>"Finished Goods " &amp;DataNameProd2</f>
        <v>Finished Goods Breakthrough</v>
      </c>
      <c r="D23" s="14">
        <f>cbal!E23</f>
        <v>0</v>
      </c>
      <c r="E23" s="185">
        <v>0</v>
      </c>
      <c r="F23" s="139">
        <v>0</v>
      </c>
      <c r="G23" s="139">
        <v>0</v>
      </c>
      <c r="H23" s="139">
        <v>0</v>
      </c>
      <c r="I23" s="139">
        <v>0</v>
      </c>
      <c r="J23" t="s">
        <v>2151</v>
      </c>
      <c r="K23" s="471">
        <v>0</v>
      </c>
      <c r="L23" t="b">
        <v>1</v>
      </c>
      <c r="M23" s="18"/>
    </row>
    <row r="24" spans="2:13">
      <c r="B24" s="207"/>
      <c r="C24" s="207"/>
      <c r="D24" s="256"/>
      <c r="E24" s="257"/>
      <c r="F24" s="257"/>
      <c r="G24" s="257"/>
      <c r="H24" s="257"/>
      <c r="I24" s="257"/>
      <c r="K24" s="471"/>
      <c r="L24" t="b">
        <v>1</v>
      </c>
      <c r="M24" s="18"/>
    </row>
    <row r="25" spans="2:13">
      <c r="D25" s="14"/>
      <c r="E25" s="1120">
        <v>0</v>
      </c>
      <c r="F25" s="139">
        <v>0</v>
      </c>
      <c r="G25" s="139">
        <v>0</v>
      </c>
      <c r="H25" s="139">
        <v>0</v>
      </c>
      <c r="I25" s="139">
        <v>0</v>
      </c>
      <c r="K25" s="471">
        <v>0</v>
      </c>
      <c r="L25" t="b">
        <v>1</v>
      </c>
      <c r="M25" s="18"/>
    </row>
    <row r="26" spans="2:13">
      <c r="D26" s="14"/>
      <c r="E26" s="185"/>
      <c r="F26" s="139"/>
      <c r="G26" s="139"/>
      <c r="H26" s="139"/>
      <c r="I26" s="139"/>
      <c r="K26" s="471"/>
      <c r="L26" t="b">
        <v>1</v>
      </c>
      <c r="M26" s="18"/>
    </row>
    <row r="27" spans="2:13">
      <c r="B27" s="424" t="s">
        <v>3791</v>
      </c>
      <c r="D27" s="14"/>
      <c r="E27" s="185"/>
      <c r="F27" s="139"/>
      <c r="G27" s="139"/>
      <c r="H27" s="139"/>
      <c r="I27" s="139"/>
      <c r="K27" s="471"/>
      <c r="L27" t="b">
        <v>1</v>
      </c>
      <c r="M27" s="18"/>
    </row>
    <row r="28" spans="2:13">
      <c r="B28" t="str">
        <f>"Materials " &amp;DataNameProd1</f>
        <v>Materials CSD</v>
      </c>
      <c r="D28" s="14">
        <f>cbal!E28</f>
        <v>182842132.4235267</v>
      </c>
      <c r="E28" s="463">
        <v>184707239.07410401</v>
      </c>
      <c r="F28" s="418">
        <v>184707239.07410401</v>
      </c>
      <c r="G28" s="418">
        <v>184707239.07410401</v>
      </c>
      <c r="H28" s="418">
        <v>184707239.07410401</v>
      </c>
      <c r="I28" s="418">
        <v>184707239.07410401</v>
      </c>
      <c r="J28" t="s">
        <v>2690</v>
      </c>
      <c r="K28" s="471">
        <v>325616162.16216284</v>
      </c>
      <c r="L28" t="b">
        <v>1</v>
      </c>
      <c r="M28" s="18"/>
    </row>
    <row r="29" spans="2:13">
      <c r="B29" t="str">
        <f>"Materials " &amp;DataNameProd3</f>
        <v>Materials NCB</v>
      </c>
      <c r="D29" s="14">
        <f>cbal!E29</f>
        <v>148786471.96481746</v>
      </c>
      <c r="E29" s="463">
        <v>148456629.63474303</v>
      </c>
      <c r="F29" s="418">
        <v>148456629.63474303</v>
      </c>
      <c r="G29" s="418">
        <v>148456629.63474303</v>
      </c>
      <c r="H29" s="418">
        <v>148456629.63474303</v>
      </c>
      <c r="I29" s="418">
        <v>148456629.63474303</v>
      </c>
      <c r="J29" t="s">
        <v>2692</v>
      </c>
      <c r="K29" s="471">
        <v>148991400.00000006</v>
      </c>
      <c r="L29" t="b">
        <v>1</v>
      </c>
      <c r="M29" s="18"/>
    </row>
    <row r="30" spans="2:13">
      <c r="B30" t="str">
        <f>"Materials " &amp;DataNameProd4</f>
        <v>Materials F&amp;S</v>
      </c>
      <c r="D30" s="14">
        <f>cbal!E30</f>
        <v>223910321.26330647</v>
      </c>
      <c r="E30" s="463">
        <v>224478771.79020807</v>
      </c>
      <c r="F30" s="418">
        <v>224478771.79020807</v>
      </c>
      <c r="G30" s="418">
        <v>224478771.79020807</v>
      </c>
      <c r="H30" s="418">
        <v>224478771.79020807</v>
      </c>
      <c r="I30" s="418">
        <v>224478771.79020807</v>
      </c>
      <c r="J30" t="s">
        <v>2693</v>
      </c>
      <c r="K30" s="471">
        <v>149355677.27930543</v>
      </c>
      <c r="L30" t="b">
        <v>1</v>
      </c>
      <c r="M30" s="18"/>
    </row>
    <row r="31" spans="2:13">
      <c r="B31" t="str">
        <f>"Materials " &amp;DataNameProd5</f>
        <v>Materials Product Five</v>
      </c>
      <c r="D31" s="14">
        <f>cbal!E31</f>
        <v>0</v>
      </c>
      <c r="E31" s="185"/>
      <c r="F31" s="139"/>
      <c r="G31" s="139"/>
      <c r="H31" s="139"/>
      <c r="I31" s="139"/>
      <c r="J31" t="s">
        <v>2694</v>
      </c>
      <c r="K31" s="471"/>
      <c r="L31" t="b">
        <v>1</v>
      </c>
      <c r="M31" s="18"/>
    </row>
    <row r="32" spans="2:13">
      <c r="B32" t="str">
        <f>"Materials " &amp;DataNameProd6</f>
        <v>Materials Product Six</v>
      </c>
      <c r="D32" s="14">
        <f>cbal!E32</f>
        <v>0</v>
      </c>
      <c r="E32" s="185"/>
      <c r="F32" s="139"/>
      <c r="G32" s="139"/>
      <c r="H32" s="139"/>
      <c r="I32" s="139"/>
      <c r="J32" t="s">
        <v>2695</v>
      </c>
      <c r="K32" s="471"/>
      <c r="L32" t="b">
        <v>1</v>
      </c>
      <c r="M32" s="18"/>
    </row>
    <row r="33" spans="2:13">
      <c r="B33" s="207"/>
      <c r="C33" s="207"/>
      <c r="D33" s="256"/>
      <c r="E33" s="257"/>
      <c r="F33" s="257"/>
      <c r="G33" s="257"/>
      <c r="H33" s="257"/>
      <c r="I33" s="257"/>
      <c r="K33" s="471"/>
      <c r="L33" t="b">
        <v>1</v>
      </c>
      <c r="M33" s="18"/>
    </row>
    <row r="34" spans="2:13">
      <c r="B34" s="2" t="s">
        <v>2925</v>
      </c>
      <c r="D34" s="14">
        <f>cbal!E34</f>
        <v>555538925.65165067</v>
      </c>
      <c r="E34" s="186">
        <v>557642640.49905515</v>
      </c>
      <c r="F34" s="140">
        <v>557642640.49905515</v>
      </c>
      <c r="G34" s="140">
        <v>557642640.49905515</v>
      </c>
      <c r="H34" s="140">
        <v>557642640.49905515</v>
      </c>
      <c r="I34" s="140">
        <v>557642640.49905515</v>
      </c>
      <c r="J34" t="s">
        <v>2683</v>
      </c>
      <c r="K34" s="471">
        <v>623963239.44146836</v>
      </c>
      <c r="L34" t="b">
        <v>1</v>
      </c>
      <c r="M34" s="18"/>
    </row>
    <row r="35" spans="2:13">
      <c r="B35" s="2"/>
      <c r="D35" s="14"/>
      <c r="E35" s="185"/>
      <c r="F35" s="139"/>
      <c r="G35" s="139"/>
      <c r="H35" s="139"/>
      <c r="I35" s="139"/>
      <c r="K35" s="471"/>
      <c r="L35" t="b">
        <v>1</v>
      </c>
      <c r="M35" s="18"/>
    </row>
    <row r="36" spans="2:13">
      <c r="B36" t="str">
        <f>"WIP " &amp;DataNameProd1</f>
        <v>WIP CSD</v>
      </c>
      <c r="D36" s="14">
        <f>cbal!E36</f>
        <v>397988.94626037555</v>
      </c>
      <c r="E36" s="463">
        <v>402088.769465146</v>
      </c>
      <c r="F36" s="418">
        <v>402088.769465146</v>
      </c>
      <c r="G36" s="418">
        <v>402088.769465146</v>
      </c>
      <c r="H36" s="418">
        <v>402088.769465146</v>
      </c>
      <c r="I36" s="418">
        <v>402088.769465146</v>
      </c>
      <c r="J36" t="s">
        <v>2451</v>
      </c>
      <c r="K36" s="471">
        <v>52817402.918919027</v>
      </c>
      <c r="L36" t="b">
        <v>1</v>
      </c>
      <c r="M36" s="18"/>
    </row>
    <row r="37" spans="2:13">
      <c r="B37" t="str">
        <f>"WIP " &amp;DataNameProd3</f>
        <v>WIP NCB</v>
      </c>
      <c r="D37" s="14">
        <f>cbal!E37</f>
        <v>847539.57003371196</v>
      </c>
      <c r="E37" s="463">
        <v>845897.53270435194</v>
      </c>
      <c r="F37" s="418">
        <v>845897.53270435194</v>
      </c>
      <c r="G37" s="418">
        <v>845897.53270435194</v>
      </c>
      <c r="H37" s="418">
        <v>845897.53270435194</v>
      </c>
      <c r="I37" s="418">
        <v>845897.53270435194</v>
      </c>
      <c r="J37" t="s">
        <v>2453</v>
      </c>
      <c r="K37" s="471">
        <v>16117767.962347738</v>
      </c>
      <c r="L37" t="b">
        <v>1</v>
      </c>
      <c r="M37" s="18"/>
    </row>
    <row r="38" spans="2:13">
      <c r="B38" t="str">
        <f>"WIP " &amp;DataNameProd4</f>
        <v>WIP F&amp;S</v>
      </c>
      <c r="D38" s="14">
        <f>cbal!E38</f>
        <v>2125773.915798848</v>
      </c>
      <c r="E38" s="463">
        <v>2132416.627813064</v>
      </c>
      <c r="F38" s="418">
        <v>2132416.627813064</v>
      </c>
      <c r="G38" s="418">
        <v>2132416.627813064</v>
      </c>
      <c r="H38" s="418">
        <v>2132416.627813064</v>
      </c>
      <c r="I38" s="418">
        <v>2132416.627813064</v>
      </c>
      <c r="J38" t="s">
        <v>2454</v>
      </c>
      <c r="K38" s="471">
        <v>38722352.749638222</v>
      </c>
      <c r="L38" t="b">
        <v>1</v>
      </c>
      <c r="M38" s="18"/>
    </row>
    <row r="39" spans="2:13">
      <c r="B39" t="str">
        <f>"WIP " &amp;DataNameProd5</f>
        <v>WIP Product Five</v>
      </c>
      <c r="D39" s="14">
        <f>cbal!E39</f>
        <v>0</v>
      </c>
      <c r="E39" s="185"/>
      <c r="F39" s="139"/>
      <c r="G39" s="139"/>
      <c r="H39" s="139"/>
      <c r="I39" s="139"/>
      <c r="J39" t="s">
        <v>2455</v>
      </c>
      <c r="K39" s="471"/>
      <c r="L39" t="b">
        <v>1</v>
      </c>
      <c r="M39" s="18"/>
    </row>
    <row r="40" spans="2:13">
      <c r="B40" t="str">
        <f>"WIP " &amp;DataNameProd6</f>
        <v>WIP Product Six</v>
      </c>
      <c r="D40" s="14">
        <f>cbal!E40</f>
        <v>0</v>
      </c>
      <c r="E40" s="185"/>
      <c r="F40" s="139"/>
      <c r="G40" s="139"/>
      <c r="H40" s="139"/>
      <c r="I40" s="139"/>
      <c r="J40" t="s">
        <v>2456</v>
      </c>
      <c r="K40" s="471"/>
      <c r="L40" t="b">
        <v>1</v>
      </c>
      <c r="M40" s="18"/>
    </row>
    <row r="41" spans="2:13">
      <c r="B41" s="207"/>
      <c r="C41" s="207"/>
      <c r="D41" s="256"/>
      <c r="E41" s="257"/>
      <c r="F41" s="257"/>
      <c r="G41" s="257"/>
      <c r="H41" s="257"/>
      <c r="I41" s="257"/>
      <c r="J41" s="15"/>
      <c r="K41" s="471"/>
      <c r="L41" t="b">
        <v>1</v>
      </c>
      <c r="M41" s="18"/>
    </row>
    <row r="42" spans="2:13">
      <c r="B42" s="2" t="s">
        <v>2926</v>
      </c>
      <c r="D42" s="14">
        <f>cbal!E42</f>
        <v>3371302.4320929358</v>
      </c>
      <c r="E42" s="186">
        <v>3380402.9299825621</v>
      </c>
      <c r="F42" s="140">
        <v>3380402.9299825621</v>
      </c>
      <c r="G42" s="140">
        <v>3380402.9299825621</v>
      </c>
      <c r="H42" s="140">
        <v>3380402.9299825621</v>
      </c>
      <c r="I42" s="140">
        <v>3380402.9299825621</v>
      </c>
      <c r="J42" t="s">
        <v>2684</v>
      </c>
      <c r="K42" s="471">
        <v>107657523.630905</v>
      </c>
      <c r="L42" t="b">
        <v>1</v>
      </c>
      <c r="M42" s="18"/>
    </row>
    <row r="43" spans="2:13">
      <c r="B43" s="2"/>
      <c r="D43" s="14"/>
      <c r="E43" s="185"/>
      <c r="F43" s="139"/>
      <c r="G43" s="139"/>
      <c r="H43" s="139"/>
      <c r="I43" s="139"/>
      <c r="K43" s="471"/>
      <c r="L43" t="b">
        <v>1</v>
      </c>
      <c r="M43" s="18"/>
    </row>
    <row r="44" spans="2:13">
      <c r="B44" t="str">
        <f>"Finished Goods " &amp;DataNameProd1</f>
        <v>Finished Goods CSD</v>
      </c>
      <c r="D44" s="14">
        <f ca="1">cbal!E44</f>
        <v>0</v>
      </c>
      <c r="E44" s="843">
        <v>0</v>
      </c>
      <c r="F44" s="139">
        <v>0</v>
      </c>
      <c r="G44" s="139">
        <v>0</v>
      </c>
      <c r="H44" s="139">
        <v>0</v>
      </c>
      <c r="I44" s="139">
        <v>0</v>
      </c>
      <c r="J44" t="s">
        <v>2457</v>
      </c>
      <c r="K44" s="471">
        <v>240939272.43243292</v>
      </c>
      <c r="L44" t="b">
        <v>1</v>
      </c>
      <c r="M44" s="18"/>
    </row>
    <row r="45" spans="2:13">
      <c r="B45" t="str">
        <f>"Finished Goods " &amp;DataNameProd3</f>
        <v>Finished Goods NCB</v>
      </c>
      <c r="D45" s="14">
        <f ca="1">cbal!E45</f>
        <v>26024117.135806303</v>
      </c>
      <c r="E45" s="843">
        <v>0</v>
      </c>
      <c r="F45" s="139">
        <v>0</v>
      </c>
      <c r="G45" s="139">
        <v>0</v>
      </c>
      <c r="H45" s="139">
        <v>0</v>
      </c>
      <c r="I45" s="139">
        <v>0</v>
      </c>
      <c r="J45" t="s">
        <v>64</v>
      </c>
      <c r="K45" s="471">
        <v>142445539.64562577</v>
      </c>
      <c r="L45" t="b">
        <v>1</v>
      </c>
      <c r="M45" s="18"/>
    </row>
    <row r="46" spans="2:13">
      <c r="B46" t="str">
        <f>"Finished Goods " &amp;DataNameProd4</f>
        <v>Finished Goods F&amp;S</v>
      </c>
      <c r="D46" s="14">
        <f ca="1">cbal!E46</f>
        <v>11421322.716963653</v>
      </c>
      <c r="E46" s="843">
        <v>5651633.543365187</v>
      </c>
      <c r="F46" s="139">
        <v>5651633.543365187</v>
      </c>
      <c r="G46" s="139">
        <v>5651633.543365187</v>
      </c>
      <c r="H46" s="139">
        <v>5651633.543365187</v>
      </c>
      <c r="I46" s="139">
        <v>5651633.543365187</v>
      </c>
      <c r="J46" t="s">
        <v>65</v>
      </c>
      <c r="K46" s="471">
        <v>140932558.61070916</v>
      </c>
      <c r="L46" t="b">
        <v>1</v>
      </c>
      <c r="M46" s="18"/>
    </row>
    <row r="47" spans="2:13">
      <c r="B47" t="str">
        <f>"Finished Goods " &amp;DataNameProd5</f>
        <v>Finished Goods Product Five</v>
      </c>
      <c r="D47" s="14">
        <f>cbal!E47</f>
        <v>0</v>
      </c>
      <c r="E47" s="185"/>
      <c r="F47" s="139"/>
      <c r="G47" s="139"/>
      <c r="H47" s="139"/>
      <c r="I47" s="139"/>
      <c r="J47" t="s">
        <v>2681</v>
      </c>
      <c r="K47" s="471"/>
      <c r="L47" t="b">
        <v>1</v>
      </c>
      <c r="M47" s="18"/>
    </row>
    <row r="48" spans="2:13">
      <c r="B48" t="str">
        <f>"Finished Goods " &amp;DataNameProd6</f>
        <v>Finished Goods Product Six</v>
      </c>
      <c r="D48" s="14">
        <f>cbal!E48</f>
        <v>0</v>
      </c>
      <c r="E48" s="185"/>
      <c r="F48" s="139"/>
      <c r="G48" s="139"/>
      <c r="H48" s="139"/>
      <c r="I48" s="139"/>
      <c r="J48" t="s">
        <v>2682</v>
      </c>
      <c r="K48" s="471"/>
      <c r="L48" t="b">
        <v>1</v>
      </c>
      <c r="M48" s="18"/>
    </row>
    <row r="49" spans="2:13">
      <c r="B49" s="207"/>
      <c r="C49" s="207"/>
      <c r="D49" s="256"/>
      <c r="E49" s="257"/>
      <c r="F49" s="257"/>
      <c r="G49" s="257"/>
      <c r="H49" s="257"/>
      <c r="I49" s="257"/>
      <c r="K49" s="471"/>
      <c r="L49" t="b">
        <v>1</v>
      </c>
      <c r="M49" s="18"/>
    </row>
    <row r="50" spans="2:13">
      <c r="B50" s="2" t="s">
        <v>2927</v>
      </c>
      <c r="D50" s="14">
        <f ca="1">cbal!E50</f>
        <v>37445439.852769956</v>
      </c>
      <c r="E50" s="186">
        <v>5651633.543365187</v>
      </c>
      <c r="F50" s="140">
        <v>5651633.543365187</v>
      </c>
      <c r="G50" s="140">
        <v>5651633.543365187</v>
      </c>
      <c r="H50" s="140">
        <v>5651633.543365187</v>
      </c>
      <c r="I50" s="140">
        <v>5651633.543365187</v>
      </c>
      <c r="J50" t="s">
        <v>2685</v>
      </c>
      <c r="K50" s="471">
        <v>524317370.68876791</v>
      </c>
      <c r="L50" t="b">
        <v>1</v>
      </c>
      <c r="M50" s="18"/>
    </row>
    <row r="51" spans="2:13">
      <c r="B51" s="2"/>
      <c r="D51" s="14"/>
      <c r="E51" s="185"/>
      <c r="F51" s="139"/>
      <c r="G51" s="139"/>
      <c r="H51" s="139"/>
      <c r="I51" s="139"/>
      <c r="K51" s="471"/>
      <c r="L51" t="b">
        <v>1</v>
      </c>
      <c r="M51" s="18"/>
    </row>
    <row r="52" spans="2:13">
      <c r="B52" s="424" t="s">
        <v>3792</v>
      </c>
      <c r="D52" s="14"/>
      <c r="E52" s="185"/>
      <c r="F52" s="139"/>
      <c r="G52" s="139"/>
      <c r="H52" s="139"/>
      <c r="I52" s="139"/>
      <c r="K52" s="471"/>
      <c r="L52" t="b">
        <v>1</v>
      </c>
      <c r="M52" s="18"/>
    </row>
    <row r="53" spans="2:13">
      <c r="B53" t="str">
        <f>"Materials " &amp;DataNameProd1</f>
        <v>Materials CSD</v>
      </c>
      <c r="D53" s="14">
        <f>cbal!E53</f>
        <v>87956280.892672196</v>
      </c>
      <c r="E53" s="463">
        <v>85990730.87619257</v>
      </c>
      <c r="F53" s="418">
        <v>85990730.87619257</v>
      </c>
      <c r="G53" s="418">
        <v>85990730.87619257</v>
      </c>
      <c r="H53" s="418">
        <v>85990730.87619257</v>
      </c>
      <c r="I53" s="418">
        <v>85990730.87619257</v>
      </c>
      <c r="J53" t="s">
        <v>2686</v>
      </c>
      <c r="K53" s="471">
        <v>90443487.297297478</v>
      </c>
      <c r="L53" t="b">
        <v>1</v>
      </c>
      <c r="M53" s="18"/>
    </row>
    <row r="54" spans="2:13">
      <c r="B54" t="str">
        <f>"Materials " &amp;DataNameProd3</f>
        <v>Materials NCB</v>
      </c>
      <c r="D54" s="14">
        <f>cbal!E54</f>
        <v>102166494.14432968</v>
      </c>
      <c r="E54" s="463">
        <v>98922853.161252767</v>
      </c>
      <c r="F54" s="418">
        <v>98922853.161252767</v>
      </c>
      <c r="G54" s="418">
        <v>98922853.161252767</v>
      </c>
      <c r="H54" s="418">
        <v>98922853.161252767</v>
      </c>
      <c r="I54" s="418">
        <v>98922853.161252767</v>
      </c>
      <c r="J54" t="s">
        <v>1184</v>
      </c>
      <c r="K54" s="471">
        <v>37539546.655592486</v>
      </c>
      <c r="L54" t="b">
        <v>1</v>
      </c>
      <c r="M54" s="18"/>
    </row>
    <row r="55" spans="2:13">
      <c r="B55" t="str">
        <f>"Materials " &amp;DataNameProd4</f>
        <v>Materials F&amp;S</v>
      </c>
      <c r="D55" s="14">
        <f>cbal!E55</f>
        <v>93103884.969613403</v>
      </c>
      <c r="E55" s="463">
        <v>93233776.263097391</v>
      </c>
      <c r="F55" s="418">
        <v>93233776.263097391</v>
      </c>
      <c r="G55" s="418">
        <v>93233776.263097391</v>
      </c>
      <c r="H55" s="418">
        <v>93233776.263097391</v>
      </c>
      <c r="I55" s="418">
        <v>93233776.263097391</v>
      </c>
      <c r="J55" t="s">
        <v>1185</v>
      </c>
      <c r="K55" s="471">
        <v>72786761.714905962</v>
      </c>
      <c r="L55" t="b">
        <v>1</v>
      </c>
      <c r="M55" s="18"/>
    </row>
    <row r="56" spans="2:13">
      <c r="B56" t="str">
        <f>"Materials " &amp;DataNameProd5</f>
        <v>Materials Product Five</v>
      </c>
      <c r="D56" s="14">
        <f>cbal!E56</f>
        <v>0</v>
      </c>
      <c r="E56" s="185"/>
      <c r="F56" s="139"/>
      <c r="G56" s="139"/>
      <c r="H56" s="139"/>
      <c r="I56" s="139"/>
      <c r="J56" t="s">
        <v>1186</v>
      </c>
      <c r="K56" s="471"/>
      <c r="L56" t="b">
        <v>1</v>
      </c>
      <c r="M56" s="18"/>
    </row>
    <row r="57" spans="2:13">
      <c r="B57" t="str">
        <f>"Materials " &amp;DataNameProd6</f>
        <v>Materials Product Six</v>
      </c>
      <c r="D57" s="14">
        <f>cbal!E57</f>
        <v>0</v>
      </c>
      <c r="E57" s="185"/>
      <c r="F57" s="139"/>
      <c r="G57" s="139"/>
      <c r="H57" s="139"/>
      <c r="I57" s="139"/>
      <c r="J57" t="s">
        <v>1187</v>
      </c>
      <c r="K57" s="471"/>
      <c r="L57" t="b">
        <v>1</v>
      </c>
      <c r="M57" s="18"/>
    </row>
    <row r="58" spans="2:13">
      <c r="B58" s="207"/>
      <c r="C58" s="207"/>
      <c r="D58" s="256"/>
      <c r="E58" s="257"/>
      <c r="F58" s="257"/>
      <c r="G58" s="257"/>
      <c r="H58" s="257"/>
      <c r="I58" s="257"/>
      <c r="K58" s="471"/>
      <c r="L58" t="b">
        <v>1</v>
      </c>
      <c r="M58" s="18"/>
    </row>
    <row r="59" spans="2:13">
      <c r="B59" s="2" t="s">
        <v>2925</v>
      </c>
      <c r="D59" s="14">
        <f>cbal!E59</f>
        <v>283226660.00661528</v>
      </c>
      <c r="E59" s="186">
        <v>278147360.30054271</v>
      </c>
      <c r="F59" s="140">
        <v>278147360.30054271</v>
      </c>
      <c r="G59" s="140">
        <v>278147360.30054271</v>
      </c>
      <c r="H59" s="140">
        <v>278147360.30054271</v>
      </c>
      <c r="I59" s="140">
        <v>278147360.30054271</v>
      </c>
      <c r="J59" t="s">
        <v>1188</v>
      </c>
      <c r="K59" s="471">
        <v>200769795.66779593</v>
      </c>
      <c r="L59" t="b">
        <v>1</v>
      </c>
      <c r="M59" s="18"/>
    </row>
    <row r="60" spans="2:13">
      <c r="B60" s="2"/>
      <c r="D60" s="14"/>
      <c r="E60" s="185"/>
      <c r="F60" s="139"/>
      <c r="G60" s="139"/>
      <c r="H60" s="139"/>
      <c r="I60" s="139"/>
      <c r="K60" s="471"/>
      <c r="L60" t="b">
        <v>1</v>
      </c>
      <c r="M60" s="18"/>
    </row>
    <row r="61" spans="2:13">
      <c r="B61" t="str">
        <f>"WIP " &amp;DataNameProd1</f>
        <v>WIP CSD</v>
      </c>
      <c r="D61" s="14">
        <f>cbal!E61</f>
        <v>191453.395606481</v>
      </c>
      <c r="E61" s="463">
        <v>187186.61127572443</v>
      </c>
      <c r="F61" s="418">
        <v>187186.61127572443</v>
      </c>
      <c r="G61" s="418">
        <v>187186.61127572443</v>
      </c>
      <c r="H61" s="418">
        <v>187186.61127572443</v>
      </c>
      <c r="I61" s="418">
        <v>187186.61127572443</v>
      </c>
      <c r="J61" t="s">
        <v>3885</v>
      </c>
      <c r="K61" s="471">
        <v>50062702.702702805</v>
      </c>
      <c r="L61" t="b">
        <v>1</v>
      </c>
      <c r="M61" s="18"/>
    </row>
    <row r="62" spans="2:13">
      <c r="B62" t="str">
        <f>"WIP " &amp;DataNameProd3</f>
        <v>WIP NCB</v>
      </c>
      <c r="D62" s="14">
        <f>cbal!E62</f>
        <v>581978.07921614405</v>
      </c>
      <c r="E62" s="463">
        <v>563651.34063284798</v>
      </c>
      <c r="F62" s="418">
        <v>563651.34063284798</v>
      </c>
      <c r="G62" s="418">
        <v>563651.34063284798</v>
      </c>
      <c r="H62" s="418">
        <v>563651.34063284798</v>
      </c>
      <c r="I62" s="418">
        <v>563651.34063284798</v>
      </c>
      <c r="J62" t="s">
        <v>2145</v>
      </c>
      <c r="K62" s="471">
        <v>24067316.622369889</v>
      </c>
      <c r="L62" t="b">
        <v>1</v>
      </c>
      <c r="M62" s="18"/>
    </row>
    <row r="63" spans="2:13">
      <c r="B63" t="str">
        <f>"WIP " &amp;DataNameProd4</f>
        <v>WIP F&amp;S</v>
      </c>
      <c r="D63" s="14">
        <f>cbal!E63</f>
        <v>883918.24179585616</v>
      </c>
      <c r="E63" s="463">
        <v>885641.89960393612</v>
      </c>
      <c r="F63" s="418">
        <v>885641.89960393612</v>
      </c>
      <c r="G63" s="418">
        <v>885641.89960393612</v>
      </c>
      <c r="H63" s="418">
        <v>885641.89960393612</v>
      </c>
      <c r="I63" s="418">
        <v>885641.89960393612</v>
      </c>
      <c r="J63" t="s">
        <v>2146</v>
      </c>
      <c r="K63" s="471">
        <v>46619103.075253278</v>
      </c>
      <c r="L63" t="b">
        <v>1</v>
      </c>
      <c r="M63" s="18"/>
    </row>
    <row r="64" spans="2:13">
      <c r="B64" t="str">
        <f>"WIP " &amp;DataNameProd5</f>
        <v>WIP Product Five</v>
      </c>
      <c r="D64" s="14">
        <f>cbal!E64</f>
        <v>0</v>
      </c>
      <c r="E64" s="185"/>
      <c r="F64" s="139"/>
      <c r="G64" s="139"/>
      <c r="H64" s="139"/>
      <c r="I64" s="139"/>
      <c r="J64" t="s">
        <v>2147</v>
      </c>
      <c r="K64" s="471">
        <v>0</v>
      </c>
      <c r="L64" t="b">
        <v>1</v>
      </c>
      <c r="M64" s="18"/>
    </row>
    <row r="65" spans="1:13">
      <c r="B65" t="str">
        <f>"WIP " &amp;DataNameProd6</f>
        <v>WIP Product Six</v>
      </c>
      <c r="D65" s="14">
        <f>cbal!E65</f>
        <v>0</v>
      </c>
      <c r="E65" s="185"/>
      <c r="F65" s="139"/>
      <c r="G65" s="139"/>
      <c r="H65" s="139"/>
      <c r="I65" s="139"/>
      <c r="J65" t="s">
        <v>2148</v>
      </c>
      <c r="K65" s="471">
        <v>0</v>
      </c>
      <c r="L65" t="b">
        <v>1</v>
      </c>
      <c r="M65" s="18"/>
    </row>
    <row r="66" spans="1:13">
      <c r="B66" s="207"/>
      <c r="C66" s="207"/>
      <c r="D66" s="256"/>
      <c r="E66" s="257"/>
      <c r="F66" s="257"/>
      <c r="G66" s="257"/>
      <c r="H66" s="257"/>
      <c r="I66" s="257"/>
      <c r="K66" s="471"/>
      <c r="L66" t="b">
        <v>1</v>
      </c>
      <c r="M66" s="18"/>
    </row>
    <row r="67" spans="1:13">
      <c r="B67" s="2" t="s">
        <v>2926</v>
      </c>
      <c r="D67" s="14">
        <f>cbal!E67</f>
        <v>1657349.7166184811</v>
      </c>
      <c r="E67" s="186">
        <v>1636479.8515125085</v>
      </c>
      <c r="F67" s="140">
        <v>1636479.8515125085</v>
      </c>
      <c r="G67" s="140">
        <v>1636479.8515125085</v>
      </c>
      <c r="H67" s="140">
        <v>1636479.8515125085</v>
      </c>
      <c r="I67" s="140">
        <v>1636479.8515125085</v>
      </c>
      <c r="J67" t="s">
        <v>2149</v>
      </c>
      <c r="K67" s="471">
        <v>120749122.40032597</v>
      </c>
      <c r="L67" t="b">
        <v>1</v>
      </c>
      <c r="M67" s="18"/>
    </row>
    <row r="68" spans="1:13">
      <c r="B68" s="2"/>
      <c r="D68" s="14"/>
      <c r="E68" s="185"/>
      <c r="F68" s="139"/>
      <c r="G68" s="139"/>
      <c r="H68" s="139"/>
      <c r="I68" s="139"/>
      <c r="K68" s="471"/>
      <c r="L68" t="b">
        <v>1</v>
      </c>
      <c r="M68" s="18"/>
    </row>
    <row r="69" spans="1:13">
      <c r="B69" t="str">
        <f>"Finished Goods " &amp;DataNameProd1</f>
        <v>Finished Goods CSD</v>
      </c>
      <c r="D69" s="14">
        <f ca="1">cbal!E69</f>
        <v>7031173.6600389471</v>
      </c>
      <c r="E69" s="843">
        <v>0</v>
      </c>
      <c r="F69" s="139">
        <v>0</v>
      </c>
      <c r="G69" s="139">
        <v>0</v>
      </c>
      <c r="H69" s="139">
        <v>0</v>
      </c>
      <c r="I69" s="139">
        <v>0</v>
      </c>
      <c r="J69" t="s">
        <v>2150</v>
      </c>
      <c r="K69" s="471">
        <v>204913942.97297338</v>
      </c>
      <c r="L69" t="b">
        <v>1</v>
      </c>
      <c r="M69" s="18"/>
    </row>
    <row r="70" spans="1:13">
      <c r="B70" t="str">
        <f>"Finished Goods " &amp;DataNameProd3</f>
        <v>Finished Goods NCB</v>
      </c>
      <c r="D70" s="14">
        <f ca="1">cbal!E70</f>
        <v>19510979.443354141</v>
      </c>
      <c r="E70" s="843">
        <v>0</v>
      </c>
      <c r="F70" s="139">
        <v>0</v>
      </c>
      <c r="G70" s="139">
        <v>0</v>
      </c>
      <c r="H70" s="139">
        <v>0</v>
      </c>
      <c r="I70" s="139">
        <v>0</v>
      </c>
      <c r="J70" t="s">
        <v>2152</v>
      </c>
      <c r="K70" s="471">
        <v>60893713.842746429</v>
      </c>
      <c r="L70" t="b">
        <v>1</v>
      </c>
      <c r="M70" s="18"/>
    </row>
    <row r="71" spans="1:13">
      <c r="B71" t="str">
        <f>"Finished Goods " &amp;DataNameProd4</f>
        <v>Finished Goods F&amp;S</v>
      </c>
      <c r="D71" s="14">
        <f ca="1">cbal!E71</f>
        <v>14858696.318229618</v>
      </c>
      <c r="E71" s="843">
        <v>822887.93655680853</v>
      </c>
      <c r="F71" s="139">
        <v>822887.93655680853</v>
      </c>
      <c r="G71" s="139">
        <v>822887.93655680853</v>
      </c>
      <c r="H71" s="139">
        <v>822887.93655680853</v>
      </c>
      <c r="I71" s="139">
        <v>822887.93655680853</v>
      </c>
      <c r="J71" t="s">
        <v>2401</v>
      </c>
      <c r="K71" s="471">
        <v>51792480.463096984</v>
      </c>
      <c r="L71" t="b">
        <v>1</v>
      </c>
      <c r="M71" s="18"/>
    </row>
    <row r="72" spans="1:13">
      <c r="B72" t="str">
        <f>"Finished Goods " &amp;DataNameProd5</f>
        <v>Finished Goods Product Five</v>
      </c>
      <c r="D72" s="14">
        <f>cbal!E72</f>
        <v>0</v>
      </c>
      <c r="E72" s="185"/>
      <c r="F72" s="139"/>
      <c r="G72" s="139"/>
      <c r="H72" s="139"/>
      <c r="I72" s="139"/>
      <c r="J72" t="s">
        <v>2402</v>
      </c>
      <c r="K72" s="471"/>
      <c r="L72" t="b">
        <v>1</v>
      </c>
      <c r="M72" s="18"/>
    </row>
    <row r="73" spans="1:13">
      <c r="B73" t="str">
        <f>"Finished Goods " &amp;DataNameProd6</f>
        <v>Finished Goods Product Six</v>
      </c>
      <c r="D73" s="14">
        <f>cbal!E73</f>
        <v>0</v>
      </c>
      <c r="E73" s="185"/>
      <c r="F73" s="139"/>
      <c r="G73" s="139"/>
      <c r="H73" s="139"/>
      <c r="I73" s="139"/>
      <c r="J73" t="s">
        <v>2462</v>
      </c>
      <c r="K73" s="471"/>
      <c r="L73" t="b">
        <v>1</v>
      </c>
      <c r="M73" s="18"/>
    </row>
    <row r="74" spans="1:13">
      <c r="B74" s="207"/>
      <c r="C74" s="207"/>
      <c r="D74" s="256"/>
      <c r="E74" s="257"/>
      <c r="F74" s="257"/>
      <c r="G74" s="257"/>
      <c r="H74" s="257"/>
      <c r="I74" s="257"/>
      <c r="K74" s="471"/>
      <c r="L74" t="b">
        <v>1</v>
      </c>
      <c r="M74" s="18"/>
    </row>
    <row r="75" spans="1:13">
      <c r="B75" s="2" t="s">
        <v>2927</v>
      </c>
      <c r="D75" s="14">
        <f ca="1">cbal!E75</f>
        <v>41400849.421622708</v>
      </c>
      <c r="E75" s="186">
        <v>822887.93655680853</v>
      </c>
      <c r="F75" s="140">
        <v>822887.93655680853</v>
      </c>
      <c r="G75" s="140">
        <v>822887.93655680853</v>
      </c>
      <c r="H75" s="140">
        <v>822887.93655680853</v>
      </c>
      <c r="I75" s="140">
        <v>822887.93655680853</v>
      </c>
      <c r="J75" t="s">
        <v>2463</v>
      </c>
      <c r="K75" s="471">
        <v>317600137.27881682</v>
      </c>
      <c r="L75" t="b">
        <v>1</v>
      </c>
      <c r="M75" s="18"/>
    </row>
    <row r="76" spans="1:13">
      <c r="B76" s="2"/>
      <c r="D76" s="14"/>
      <c r="E76" s="186"/>
      <c r="F76" s="140"/>
      <c r="G76" s="140"/>
      <c r="H76" s="140"/>
      <c r="I76" s="140"/>
      <c r="K76" s="471"/>
      <c r="L76" t="b">
        <v>1</v>
      </c>
      <c r="M76" s="18"/>
    </row>
    <row r="77" spans="1:13">
      <c r="B77" s="119"/>
      <c r="C77" s="119"/>
      <c r="D77" s="207"/>
      <c r="E77" s="257"/>
      <c r="F77" s="257"/>
      <c r="G77" s="257"/>
      <c r="H77" s="257"/>
      <c r="I77" s="257"/>
      <c r="K77" s="471"/>
      <c r="L77" t="b">
        <v>1</v>
      </c>
      <c r="M77" s="18"/>
    </row>
    <row r="78" spans="1:13">
      <c r="A78" s="2" t="s">
        <v>1841</v>
      </c>
      <c r="D78" s="29">
        <f>E10+E34+E42+E50+E59+E67+E75</f>
        <v>10151262448.299324</v>
      </c>
      <c r="E78" s="186">
        <v>10151262448.299322</v>
      </c>
      <c r="F78" s="140">
        <v>10151262448.299322</v>
      </c>
      <c r="G78" s="140">
        <v>10151262448.299322</v>
      </c>
      <c r="H78" s="140">
        <v>10151262448.299322</v>
      </c>
      <c r="I78" s="140">
        <v>10151262448.299322</v>
      </c>
      <c r="J78" s="15"/>
      <c r="K78" s="471">
        <v>8455227478.6914139</v>
      </c>
      <c r="L78" t="b">
        <v>1</v>
      </c>
      <c r="M78" s="18"/>
    </row>
    <row r="79" spans="1:13">
      <c r="A79" s="2"/>
      <c r="E79" s="467"/>
      <c r="F79" s="140"/>
      <c r="G79" s="140"/>
      <c r="H79" s="140"/>
      <c r="I79" s="140"/>
      <c r="J79" s="15"/>
      <c r="K79" s="471"/>
      <c r="L79" t="b">
        <v>1</v>
      </c>
      <c r="M79" s="18"/>
    </row>
    <row r="80" spans="1:13">
      <c r="A80" s="2"/>
      <c r="E80" s="467"/>
      <c r="F80" s="140"/>
      <c r="G80" s="140"/>
      <c r="H80" s="140"/>
      <c r="I80" s="140"/>
      <c r="J80" s="15"/>
      <c r="K80" s="471"/>
      <c r="L80" t="b">
        <v>1</v>
      </c>
      <c r="M80" s="18"/>
    </row>
    <row r="81" spans="1:14">
      <c r="A81" s="2" t="s">
        <v>1058</v>
      </c>
      <c r="E81" s="467"/>
      <c r="F81" s="140"/>
      <c r="G81" s="140"/>
      <c r="H81" s="140"/>
      <c r="I81" s="140"/>
      <c r="J81" s="15"/>
      <c r="K81" s="471"/>
      <c r="L81" t="b">
        <v>1</v>
      </c>
      <c r="M81" s="18"/>
    </row>
    <row r="82" spans="1:14">
      <c r="A82" s="2"/>
      <c r="B82" t="s">
        <v>1058</v>
      </c>
      <c r="D82" s="398">
        <f>E82</f>
        <v>2800000000</v>
      </c>
      <c r="E82" s="468">
        <v>2800000000</v>
      </c>
      <c r="F82" s="140">
        <v>2800000000</v>
      </c>
      <c r="G82" s="140">
        <v>2800000000</v>
      </c>
      <c r="H82" s="140">
        <v>2800000000</v>
      </c>
      <c r="I82" s="140">
        <v>2800000000</v>
      </c>
      <c r="J82" s="15" t="s">
        <v>1059</v>
      </c>
      <c r="K82" s="471">
        <v>2800000000</v>
      </c>
      <c r="L82" t="b">
        <v>1</v>
      </c>
      <c r="M82" s="18"/>
    </row>
    <row r="83" spans="1:14">
      <c r="A83" s="2"/>
      <c r="D83">
        <f>D82/E88</f>
        <v>0.14480810366246724</v>
      </c>
      <c r="E83" s="467"/>
      <c r="F83" s="140"/>
      <c r="G83" s="140"/>
      <c r="H83" s="140"/>
      <c r="I83" s="140"/>
      <c r="J83" s="15"/>
      <c r="K83" s="471"/>
      <c r="L83" t="b">
        <v>1</v>
      </c>
      <c r="M83" s="18"/>
    </row>
    <row r="84" spans="1:14">
      <c r="A84" s="2" t="s">
        <v>1843</v>
      </c>
      <c r="D84" s="26">
        <f ca="1">D85/E88</f>
        <v>0.32963983597703034</v>
      </c>
      <c r="E84" s="185"/>
      <c r="F84" s="139"/>
      <c r="G84" s="139"/>
      <c r="H84" s="139"/>
      <c r="I84" s="139"/>
      <c r="J84" s="15"/>
      <c r="K84" s="471"/>
      <c r="L84" t="b">
        <v>1</v>
      </c>
      <c r="M84" s="18"/>
    </row>
    <row r="85" spans="1:14">
      <c r="B85" t="str">
        <f>DataNamePlant1</f>
        <v>Plant</v>
      </c>
      <c r="C85" s="395"/>
      <c r="D85" s="14">
        <f ca="1">cbal!E85</f>
        <v>6373894260</v>
      </c>
      <c r="E85" s="185">
        <v>6384672000</v>
      </c>
      <c r="F85" s="139">
        <v>6384672000</v>
      </c>
      <c r="G85" s="139">
        <v>6384672000</v>
      </c>
      <c r="H85" s="139">
        <v>6384672000</v>
      </c>
      <c r="I85" s="139">
        <v>6384672000</v>
      </c>
      <c r="J85" t="s">
        <v>3138</v>
      </c>
      <c r="K85" s="471">
        <v>6400000000</v>
      </c>
      <c r="L85" t="b">
        <v>1</v>
      </c>
      <c r="M85" s="18"/>
      <c r="N85" s="1176"/>
    </row>
    <row r="86" spans="1:14">
      <c r="B86" s="119"/>
      <c r="C86" s="119"/>
      <c r="D86" s="265"/>
      <c r="E86" s="257"/>
      <c r="F86" s="257"/>
      <c r="G86" s="257"/>
      <c r="H86" s="257"/>
      <c r="I86" s="257"/>
      <c r="K86" s="471"/>
      <c r="L86" t="b">
        <v>1</v>
      </c>
      <c r="M86" s="18"/>
      <c r="N86" s="1177"/>
    </row>
    <row r="87" spans="1:14">
      <c r="A87" s="2" t="s">
        <v>1844</v>
      </c>
      <c r="D87" s="27">
        <f>E85</f>
        <v>6384672000</v>
      </c>
      <c r="E87" s="186">
        <v>6384672000</v>
      </c>
      <c r="F87" s="140">
        <v>6384672000</v>
      </c>
      <c r="G87" s="140">
        <v>6384672000</v>
      </c>
      <c r="H87" s="140">
        <v>6384672000</v>
      </c>
      <c r="I87" s="140">
        <v>6384672000</v>
      </c>
      <c r="J87" t="s">
        <v>3538</v>
      </c>
      <c r="K87" s="471">
        <v>6400000000</v>
      </c>
      <c r="L87" t="b">
        <v>1</v>
      </c>
      <c r="M87" s="18"/>
    </row>
    <row r="88" spans="1:14">
      <c r="A88" s="2" t="s">
        <v>1845</v>
      </c>
      <c r="D88" s="465">
        <f>D87+D82+D78</f>
        <v>19335934448.299324</v>
      </c>
      <c r="E88" s="186">
        <v>19335934448.299324</v>
      </c>
      <c r="F88" s="140">
        <v>19335934448.299324</v>
      </c>
      <c r="G88" s="140">
        <v>19335934448.299324</v>
      </c>
      <c r="H88" s="140">
        <v>19335934448.299324</v>
      </c>
      <c r="I88" s="140">
        <v>19335934448.299324</v>
      </c>
      <c r="J88" t="s">
        <v>1168</v>
      </c>
      <c r="K88" s="471">
        <v>17655227478.691414</v>
      </c>
      <c r="L88" t="b">
        <v>1</v>
      </c>
      <c r="M88" s="18"/>
    </row>
    <row r="89" spans="1:14">
      <c r="D89" s="26"/>
      <c r="E89" s="191"/>
      <c r="F89" s="462"/>
      <c r="G89" s="139"/>
      <c r="H89" s="139"/>
      <c r="I89" s="139"/>
      <c r="K89" s="471"/>
      <c r="L89" t="b">
        <v>1</v>
      </c>
      <c r="M89" s="18"/>
    </row>
    <row r="90" spans="1:14">
      <c r="A90" s="2" t="s">
        <v>1846</v>
      </c>
      <c r="D90" s="26"/>
      <c r="E90" s="185"/>
      <c r="F90" s="139"/>
      <c r="G90" s="139"/>
      <c r="H90" s="139"/>
      <c r="I90" s="139"/>
      <c r="K90" s="471"/>
      <c r="L90" t="b">
        <v>1</v>
      </c>
      <c r="M90" s="18"/>
    </row>
    <row r="91" spans="1:14">
      <c r="A91" s="2" t="s">
        <v>1847</v>
      </c>
      <c r="D91" s="26"/>
      <c r="E91" s="185"/>
      <c r="F91" s="139"/>
      <c r="G91" s="139"/>
      <c r="H91" s="139"/>
      <c r="I91" s="139"/>
      <c r="K91" s="471"/>
      <c r="L91" t="b">
        <v>1</v>
      </c>
      <c r="M91" s="18"/>
    </row>
    <row r="92" spans="1:14">
      <c r="B92" s="3" t="s">
        <v>3505</v>
      </c>
      <c r="D92" s="14">
        <f ca="1">cbal!E92</f>
        <v>2290770901.6469336</v>
      </c>
      <c r="E92" s="185">
        <v>2287916269.7719607</v>
      </c>
      <c r="F92" s="139">
        <v>2287916269.7719607</v>
      </c>
      <c r="G92" s="139">
        <v>2287916269.7719607</v>
      </c>
      <c r="H92" s="139">
        <v>2287916269.7719607</v>
      </c>
      <c r="I92" s="139">
        <v>2287916269.7719607</v>
      </c>
      <c r="J92" t="s">
        <v>3139</v>
      </c>
      <c r="K92" s="471">
        <v>2300235625.2333694</v>
      </c>
      <c r="L92" t="b">
        <v>1</v>
      </c>
      <c r="M92" s="18"/>
      <c r="N92" s="18"/>
    </row>
    <row r="93" spans="1:14">
      <c r="B93" s="3" t="s">
        <v>2339</v>
      </c>
      <c r="D93" s="14">
        <f>cbal!E93</f>
        <v>3630000000.000001</v>
      </c>
      <c r="E93" s="185">
        <v>3300000000.0000005</v>
      </c>
      <c r="F93" s="139">
        <v>3300000000.0000005</v>
      </c>
      <c r="G93" s="139">
        <v>3300000000.0000005</v>
      </c>
      <c r="H93" s="139">
        <v>3300000000.0000005</v>
      </c>
      <c r="I93" s="139">
        <v>3300000000.0000005</v>
      </c>
      <c r="J93" t="s">
        <v>3140</v>
      </c>
      <c r="K93" s="471">
        <v>3000000000</v>
      </c>
      <c r="L93" t="b">
        <v>1</v>
      </c>
      <c r="M93" s="18"/>
    </row>
    <row r="94" spans="1:14">
      <c r="B94" s="3" t="s">
        <v>2340</v>
      </c>
      <c r="D94" s="14">
        <f ca="1">cbal!E94</f>
        <v>0</v>
      </c>
      <c r="E94" s="185">
        <v>0</v>
      </c>
      <c r="F94" s="139">
        <v>0</v>
      </c>
      <c r="G94" s="139">
        <v>0</v>
      </c>
      <c r="H94" s="139">
        <v>0</v>
      </c>
      <c r="I94" s="139">
        <v>0</v>
      </c>
      <c r="J94" t="s">
        <v>1269</v>
      </c>
      <c r="K94" s="471">
        <v>0</v>
      </c>
      <c r="L94" t="b">
        <v>1</v>
      </c>
      <c r="M94" s="18"/>
      <c r="N94" s="1297"/>
    </row>
    <row r="95" spans="1:14">
      <c r="B95" s="266"/>
      <c r="C95" s="119"/>
      <c r="D95" s="265"/>
      <c r="E95" s="257"/>
      <c r="F95" s="257"/>
      <c r="G95" s="257"/>
      <c r="H95" s="257"/>
      <c r="I95" s="257"/>
      <c r="K95" s="471"/>
      <c r="L95" t="b">
        <v>1</v>
      </c>
      <c r="M95" s="18"/>
    </row>
    <row r="96" spans="1:14">
      <c r="A96" s="2" t="s">
        <v>2341</v>
      </c>
      <c r="D96" s="29">
        <f>SUM(E92:E94)</f>
        <v>5587916269.7719612</v>
      </c>
      <c r="E96" s="186">
        <v>5587916269.7719612</v>
      </c>
      <c r="F96" s="140">
        <v>5587916269.7719612</v>
      </c>
      <c r="G96" s="140">
        <v>5587916269.7719612</v>
      </c>
      <c r="H96" s="140">
        <v>5587916269.7719612</v>
      </c>
      <c r="I96" s="140">
        <v>5587916269.7719612</v>
      </c>
      <c r="J96" s="15"/>
      <c r="K96" s="471">
        <v>5300235625.2333698</v>
      </c>
      <c r="L96" t="b">
        <v>1</v>
      </c>
      <c r="M96" s="18"/>
      <c r="N96" s="18"/>
    </row>
    <row r="97" spans="1:14">
      <c r="B97" s="3" t="s">
        <v>2342</v>
      </c>
      <c r="D97" s="14">
        <f>cbal!E97</f>
        <v>3110000000</v>
      </c>
      <c r="E97" s="185">
        <v>3110000000</v>
      </c>
      <c r="F97" s="139">
        <v>3110000000</v>
      </c>
      <c r="G97" s="139">
        <v>3110000000</v>
      </c>
      <c r="H97" s="139">
        <v>3110000000</v>
      </c>
      <c r="I97" s="139">
        <v>3110000000</v>
      </c>
      <c r="J97" t="s">
        <v>1479</v>
      </c>
      <c r="K97" s="471">
        <v>3110000000</v>
      </c>
      <c r="L97" t="b">
        <v>1</v>
      </c>
      <c r="M97" s="18"/>
      <c r="N97" s="14"/>
    </row>
    <row r="98" spans="1:14">
      <c r="B98" s="266"/>
      <c r="C98" s="119"/>
      <c r="D98" s="267"/>
      <c r="E98" s="257"/>
      <c r="F98" s="257"/>
      <c r="G98" s="257"/>
      <c r="H98" s="257"/>
      <c r="I98" s="257"/>
      <c r="K98" s="471"/>
      <c r="L98" t="b">
        <v>1</v>
      </c>
      <c r="M98" s="18"/>
    </row>
    <row r="99" spans="1:14">
      <c r="A99" s="2" t="s">
        <v>2343</v>
      </c>
      <c r="D99" s="28">
        <f>D96+E97</f>
        <v>8697916269.7719612</v>
      </c>
      <c r="E99" s="186">
        <v>8697916269.7719612</v>
      </c>
      <c r="F99" s="140">
        <v>8697916269.7719612</v>
      </c>
      <c r="G99" s="140">
        <v>8697916269.7719612</v>
      </c>
      <c r="H99" s="140">
        <v>8697916269.7719612</v>
      </c>
      <c r="I99" s="140">
        <v>8697916269.7719612</v>
      </c>
      <c r="J99" s="10"/>
      <c r="K99" s="471">
        <v>8410235625.2333698</v>
      </c>
      <c r="L99" t="b">
        <v>1</v>
      </c>
      <c r="M99" s="18"/>
      <c r="N99" s="14"/>
    </row>
    <row r="100" spans="1:14">
      <c r="E100" s="849"/>
      <c r="F100" s="462"/>
      <c r="G100" s="139"/>
      <c r="H100" s="139"/>
      <c r="I100" s="139"/>
      <c r="K100" s="471"/>
      <c r="L100" t="b">
        <v>1</v>
      </c>
      <c r="M100" s="18"/>
    </row>
    <row r="101" spans="1:14">
      <c r="A101" s="2" t="s">
        <v>2344</v>
      </c>
      <c r="E101" s="191"/>
      <c r="F101" s="462"/>
      <c r="G101" s="139"/>
      <c r="H101" s="139"/>
      <c r="I101" s="139"/>
      <c r="K101" s="471"/>
      <c r="L101" t="b">
        <v>1</v>
      </c>
      <c r="M101" s="18"/>
    </row>
    <row r="102" spans="1:14">
      <c r="B102" s="3" t="s">
        <v>2345</v>
      </c>
      <c r="D102" s="14">
        <f>cbal!E102</f>
        <v>5223400000</v>
      </c>
      <c r="E102" s="185">
        <v>5223400000</v>
      </c>
      <c r="F102" s="139">
        <v>5223400000</v>
      </c>
      <c r="G102" s="139">
        <v>5223400000</v>
      </c>
      <c r="H102" s="139">
        <v>5223400000</v>
      </c>
      <c r="I102" s="139">
        <v>5223400000</v>
      </c>
      <c r="J102" t="s">
        <v>1480</v>
      </c>
      <c r="K102" s="471">
        <v>5223400000</v>
      </c>
      <c r="L102" t="b">
        <v>1</v>
      </c>
      <c r="M102" s="18"/>
      <c r="N102" s="14"/>
    </row>
    <row r="103" spans="1:14">
      <c r="B103" s="3" t="s">
        <v>323</v>
      </c>
      <c r="D103" s="14">
        <f>cbal!E103</f>
        <v>3495018678.5273628</v>
      </c>
      <c r="E103" s="185">
        <v>2193401853.4580445</v>
      </c>
      <c r="F103" s="139">
        <v>2193401853.4580445</v>
      </c>
      <c r="G103" s="139">
        <v>2193401853.4580445</v>
      </c>
      <c r="H103" s="139">
        <v>2193401853.4580445</v>
      </c>
      <c r="I103" s="139">
        <v>2193401853.4580445</v>
      </c>
      <c r="J103" t="s">
        <v>1481</v>
      </c>
      <c r="K103" s="471">
        <v>2192027478.6914139</v>
      </c>
      <c r="L103" t="b">
        <v>1</v>
      </c>
      <c r="M103" s="18"/>
    </row>
    <row r="104" spans="1:14">
      <c r="B104" s="3" t="s">
        <v>324</v>
      </c>
      <c r="D104" s="14">
        <f ca="1">cbal!E104</f>
        <v>3399991806.6964707</v>
      </c>
      <c r="E104" s="185">
        <v>3221216325.0693178</v>
      </c>
      <c r="F104" s="139">
        <v>3221216325.0693178</v>
      </c>
      <c r="G104" s="139">
        <v>3221216325.0693178</v>
      </c>
      <c r="H104" s="139">
        <v>3221216325.0693178</v>
      </c>
      <c r="I104" s="139">
        <v>3221216325.0693178</v>
      </c>
      <c r="J104" t="s">
        <v>1482</v>
      </c>
      <c r="K104" s="471">
        <v>1829564374.7666306</v>
      </c>
      <c r="L104" t="b">
        <v>1</v>
      </c>
      <c r="M104" s="18"/>
      <c r="N104" s="14"/>
    </row>
    <row r="105" spans="1:14">
      <c r="B105" s="266"/>
      <c r="C105" s="119"/>
      <c r="D105" s="207"/>
      <c r="E105" s="257"/>
      <c r="F105" s="257"/>
      <c r="G105" s="257"/>
      <c r="H105" s="257"/>
      <c r="I105" s="257"/>
      <c r="K105" s="471"/>
      <c r="L105" t="b">
        <v>1</v>
      </c>
      <c r="M105" s="18"/>
    </row>
    <row r="106" spans="1:14">
      <c r="A106" s="2" t="s">
        <v>325</v>
      </c>
      <c r="D106" s="29">
        <f>SUM(E102:E104)</f>
        <v>10638018178.527363</v>
      </c>
      <c r="E106" s="186">
        <v>10638018178.527363</v>
      </c>
      <c r="F106" s="186">
        <v>10638018178.527363</v>
      </c>
      <c r="G106" s="186">
        <v>10638018178.527363</v>
      </c>
      <c r="H106" s="186">
        <v>10638018178.527363</v>
      </c>
      <c r="I106" s="186">
        <v>10638018178.527363</v>
      </c>
      <c r="J106" t="s">
        <v>1156</v>
      </c>
      <c r="K106" s="471">
        <v>9244991853.4580441</v>
      </c>
      <c r="L106" t="b">
        <v>1</v>
      </c>
      <c r="M106" s="18"/>
      <c r="N106" s="14"/>
    </row>
    <row r="107" spans="1:14">
      <c r="A107" s="2" t="s">
        <v>328</v>
      </c>
      <c r="D107" s="466">
        <f>D106+D99</f>
        <v>19335934448.299324</v>
      </c>
      <c r="E107" s="186">
        <v>19335934448.299324</v>
      </c>
      <c r="F107" s="186">
        <v>19335934448.299324</v>
      </c>
      <c r="G107" s="186">
        <v>19335934448.299324</v>
      </c>
      <c r="H107" s="186">
        <v>19335934448.299324</v>
      </c>
      <c r="I107" s="186">
        <v>19335934448.299324</v>
      </c>
      <c r="K107" s="471">
        <v>17655227478.691414</v>
      </c>
      <c r="L107" t="b">
        <v>1</v>
      </c>
      <c r="M107" s="18"/>
      <c r="N107" s="14"/>
    </row>
    <row r="108" spans="1:14">
      <c r="A108" s="30" t="s">
        <v>60</v>
      </c>
      <c r="D108" s="464" t="str">
        <f>IF(D107=D88,"TRUE","0")</f>
        <v>TRUE</v>
      </c>
      <c r="E108" s="189" t="b">
        <v>1</v>
      </c>
      <c r="F108" s="33" t="b">
        <v>1</v>
      </c>
      <c r="G108" s="33" t="b">
        <v>1</v>
      </c>
      <c r="H108" s="33" t="b">
        <v>1</v>
      </c>
      <c r="I108" s="33" t="b">
        <v>1</v>
      </c>
      <c r="K108" s="472"/>
      <c r="L108" t="b">
        <v>1</v>
      </c>
      <c r="M108" s="18"/>
    </row>
    <row r="109" spans="1:14">
      <c r="A109" s="2" t="s">
        <v>2348</v>
      </c>
      <c r="D109" s="14">
        <f>D88-D107</f>
        <v>0</v>
      </c>
      <c r="E109" s="189">
        <v>0</v>
      </c>
      <c r="F109" s="33">
        <v>0</v>
      </c>
      <c r="G109" s="1098">
        <v>0</v>
      </c>
      <c r="H109" s="33">
        <v>0</v>
      </c>
      <c r="I109" s="33">
        <v>0</v>
      </c>
      <c r="K109" s="472"/>
      <c r="L109" t="b">
        <v>1</v>
      </c>
      <c r="M109" s="18"/>
    </row>
    <row r="110" spans="1:14">
      <c r="A110" s="2"/>
      <c r="B110" s="2" t="s">
        <v>3791</v>
      </c>
      <c r="D110" s="14"/>
      <c r="E110" s="189"/>
      <c r="F110" s="33"/>
      <c r="G110" s="33"/>
      <c r="H110" s="33"/>
      <c r="I110" s="33"/>
      <c r="K110" s="472"/>
      <c r="L110" t="b">
        <v>1</v>
      </c>
      <c r="M110" s="18"/>
    </row>
    <row r="111" spans="1:14">
      <c r="B111" t="str">
        <f>DataNameProd1 &amp; " Units WIP"</f>
        <v>CSD Units WIP</v>
      </c>
      <c r="D111" s="14">
        <f>cbal!E111</f>
        <v>171628</v>
      </c>
      <c r="E111" s="185">
        <v>173396</v>
      </c>
      <c r="F111" s="139">
        <v>173396</v>
      </c>
      <c r="G111" s="139">
        <v>173396</v>
      </c>
      <c r="H111" s="139">
        <v>173396</v>
      </c>
      <c r="I111" s="139">
        <v>173396</v>
      </c>
      <c r="J111" t="s">
        <v>3271</v>
      </c>
      <c r="K111" s="474">
        <v>21292.48</v>
      </c>
      <c r="L111" t="b">
        <v>1</v>
      </c>
      <c r="M111" s="18"/>
    </row>
    <row r="112" spans="1:14">
      <c r="B112" t="str">
        <f>DataNameProd1 &amp; " FG Units"</f>
        <v>CSD FG Units</v>
      </c>
      <c r="D112" s="14">
        <f>cbal!E112</f>
        <v>0</v>
      </c>
      <c r="E112" s="185">
        <v>0</v>
      </c>
      <c r="F112" s="139">
        <v>0</v>
      </c>
      <c r="G112" s="139">
        <v>0</v>
      </c>
      <c r="H112" s="139">
        <v>0</v>
      </c>
      <c r="I112" s="139">
        <v>0</v>
      </c>
      <c r="J112" t="s">
        <v>3272</v>
      </c>
      <c r="K112" s="474">
        <v>3048.75</v>
      </c>
      <c r="L112" t="b">
        <v>1</v>
      </c>
      <c r="M112" s="18"/>
    </row>
    <row r="113" spans="2:14">
      <c r="B113" t="str">
        <f>DataNameProd1 &amp; " Units Sold"</f>
        <v>CSD Units Sold</v>
      </c>
      <c r="D113" s="14">
        <f>cbal!E113</f>
        <v>741713021</v>
      </c>
      <c r="E113" s="185">
        <v>749205072</v>
      </c>
      <c r="F113" s="139">
        <v>749205072</v>
      </c>
      <c r="G113" s="139">
        <v>749205072</v>
      </c>
      <c r="H113" s="139">
        <v>749205072</v>
      </c>
      <c r="I113" s="139">
        <v>749205072</v>
      </c>
      <c r="J113" t="s">
        <v>1974</v>
      </c>
      <c r="K113" s="474">
        <v>756772800</v>
      </c>
      <c r="L113" t="b">
        <v>1</v>
      </c>
      <c r="M113" s="18"/>
      <c r="N113" s="14"/>
    </row>
    <row r="114" spans="2:14">
      <c r="B114" t="str">
        <f>DataNameProd3 &amp; " Units WIP"</f>
        <v>NCB Units WIP</v>
      </c>
      <c r="D114" s="14">
        <f>cbal!E114</f>
        <v>211622</v>
      </c>
      <c r="E114" s="185">
        <v>211212</v>
      </c>
      <c r="F114" s="139">
        <v>211212</v>
      </c>
      <c r="G114" s="139">
        <v>211212</v>
      </c>
      <c r="H114" s="139">
        <v>211212</v>
      </c>
      <c r="I114" s="139">
        <v>211212</v>
      </c>
      <c r="J114" t="s">
        <v>3274</v>
      </c>
      <c r="K114" s="474">
        <v>6782.24</v>
      </c>
      <c r="L114" t="b">
        <v>1</v>
      </c>
      <c r="M114" s="18"/>
      <c r="N114" s="14"/>
    </row>
    <row r="115" spans="2:14">
      <c r="B115" t="str">
        <f>DataNameProd3 &amp; " FG Units"</f>
        <v>NCB FG Units</v>
      </c>
      <c r="D115" s="14">
        <f>cbal!E115</f>
        <v>4225850</v>
      </c>
      <c r="E115" s="185">
        <v>0</v>
      </c>
      <c r="F115" s="139">
        <v>0</v>
      </c>
      <c r="G115" s="139">
        <v>0</v>
      </c>
      <c r="H115" s="139">
        <v>0</v>
      </c>
      <c r="I115" s="139">
        <v>0</v>
      </c>
      <c r="J115" t="s">
        <v>3275</v>
      </c>
      <c r="K115" s="474">
        <v>994.5</v>
      </c>
      <c r="L115" t="b">
        <v>1</v>
      </c>
      <c r="M115" s="18"/>
    </row>
    <row r="116" spans="2:14">
      <c r="B116" t="str">
        <f>DataNameProd3 &amp; " Units Sold"</f>
        <v>NCB Units Sold</v>
      </c>
      <c r="D116" s="14">
        <f>cbal!E116</f>
        <v>356800000</v>
      </c>
      <c r="E116" s="185">
        <v>355908000</v>
      </c>
      <c r="F116" s="139">
        <v>355908000</v>
      </c>
      <c r="G116" s="139">
        <v>355908000</v>
      </c>
      <c r="H116" s="139">
        <v>355908000</v>
      </c>
      <c r="I116" s="139">
        <v>355908000</v>
      </c>
      <c r="J116" t="s">
        <v>1976</v>
      </c>
      <c r="K116" s="474">
        <v>338960000</v>
      </c>
      <c r="L116" t="b">
        <v>1</v>
      </c>
      <c r="M116" s="18"/>
      <c r="N116" s="14"/>
    </row>
    <row r="117" spans="2:14">
      <c r="B117" t="str">
        <f>DataNameProd4 &amp; " Units WIP"</f>
        <v>F&amp;S Units WIP</v>
      </c>
      <c r="D117" s="14">
        <f>cbal!E117</f>
        <v>641312</v>
      </c>
      <c r="E117" s="185">
        <v>643316</v>
      </c>
      <c r="F117" s="139">
        <v>643316</v>
      </c>
      <c r="G117" s="139">
        <v>643316</v>
      </c>
      <c r="H117" s="139">
        <v>643316</v>
      </c>
      <c r="I117" s="139">
        <v>643316</v>
      </c>
      <c r="J117" t="s">
        <v>3276</v>
      </c>
      <c r="K117" s="474">
        <v>10933.28</v>
      </c>
      <c r="L117" t="b">
        <v>1</v>
      </c>
      <c r="M117" s="18"/>
    </row>
    <row r="118" spans="2:14">
      <c r="B118" t="str">
        <f>DataNameProd4 &amp; " FG Units"</f>
        <v>F&amp;S FG Units</v>
      </c>
      <c r="D118" s="14">
        <f>cbal!E118</f>
        <v>2166800</v>
      </c>
      <c r="E118" s="185">
        <v>1061732</v>
      </c>
      <c r="F118" s="139">
        <v>1061732</v>
      </c>
      <c r="G118" s="139">
        <v>1061732</v>
      </c>
      <c r="H118" s="139">
        <v>1061732</v>
      </c>
      <c r="I118" s="139">
        <v>1061732</v>
      </c>
      <c r="J118" t="s">
        <v>3277</v>
      </c>
      <c r="K118" s="474">
        <v>6386.85</v>
      </c>
      <c r="L118" t="b">
        <v>1</v>
      </c>
      <c r="M118" s="18"/>
    </row>
    <row r="119" spans="2:14">
      <c r="B119" t="str">
        <f>DataNameProd4 &amp; " Units Sold"</f>
        <v>F&amp;S Units Sold</v>
      </c>
      <c r="D119" s="14">
        <f>cbal!E119</f>
        <v>541700000</v>
      </c>
      <c r="E119" s="185">
        <v>541700000</v>
      </c>
      <c r="F119" s="139">
        <v>541700000</v>
      </c>
      <c r="G119" s="139">
        <v>541700000</v>
      </c>
      <c r="H119" s="139">
        <v>541700000</v>
      </c>
      <c r="I119" s="139">
        <v>541700000</v>
      </c>
      <c r="J119" t="s">
        <v>467</v>
      </c>
      <c r="K119" s="474">
        <v>536283000</v>
      </c>
      <c r="L119" t="b">
        <v>1</v>
      </c>
      <c r="M119" s="18"/>
      <c r="N119" s="14"/>
    </row>
    <row r="120" spans="2:14">
      <c r="B120" s="2" t="s">
        <v>3792</v>
      </c>
      <c r="E120" s="185"/>
      <c r="F120" s="139"/>
      <c r="G120" s="139"/>
      <c r="H120" s="139"/>
      <c r="I120" s="139"/>
      <c r="K120" s="474"/>
      <c r="L120" t="b">
        <v>1</v>
      </c>
      <c r="M120" s="18"/>
    </row>
    <row r="121" spans="2:14">
      <c r="B121" t="str">
        <f>DataNameProd1 &amp; " Units WIP"</f>
        <v>CSD Units WIP</v>
      </c>
      <c r="D121" s="14">
        <f>cbal!E121</f>
        <v>82562</v>
      </c>
      <c r="E121" s="185">
        <v>80722</v>
      </c>
      <c r="F121" s="139">
        <v>80722</v>
      </c>
      <c r="G121" s="139">
        <v>80722</v>
      </c>
      <c r="H121" s="139">
        <v>80722</v>
      </c>
      <c r="I121" s="139">
        <v>80722</v>
      </c>
      <c r="J121" t="s">
        <v>2717</v>
      </c>
      <c r="K121" s="474">
        <v>31885.360000000001</v>
      </c>
      <c r="L121" t="b">
        <v>1</v>
      </c>
      <c r="M121" s="18"/>
    </row>
    <row r="122" spans="2:14">
      <c r="B122" t="str">
        <f>DataNameProd1 &amp; " FG Units"</f>
        <v>CSD FG Units</v>
      </c>
      <c r="D122" s="14">
        <f>cbal!E122</f>
        <v>2383994.8000000003</v>
      </c>
      <c r="E122" s="185">
        <v>0</v>
      </c>
      <c r="F122" s="139">
        <v>0</v>
      </c>
      <c r="G122" s="139">
        <v>0</v>
      </c>
      <c r="H122" s="139">
        <v>0</v>
      </c>
      <c r="I122" s="139">
        <v>0</v>
      </c>
      <c r="J122" t="s">
        <v>2444</v>
      </c>
      <c r="K122" s="474">
        <v>4572</v>
      </c>
      <c r="L122" t="b">
        <v>1</v>
      </c>
      <c r="M122" s="18"/>
    </row>
    <row r="123" spans="2:14">
      <c r="B123" t="str">
        <f>DataNameProd1 &amp; " Units Sold"</f>
        <v>CSD Units Sold</v>
      </c>
      <c r="D123" s="14">
        <f>cbal!E123</f>
        <v>356800000</v>
      </c>
      <c r="E123" s="185">
        <v>348807680</v>
      </c>
      <c r="F123" s="139">
        <v>348807680</v>
      </c>
      <c r="G123" s="139">
        <v>348807680</v>
      </c>
      <c r="H123" s="139">
        <v>348807680</v>
      </c>
      <c r="I123" s="139">
        <v>348807680</v>
      </c>
      <c r="J123" t="s">
        <v>468</v>
      </c>
      <c r="K123" s="474">
        <v>335392000</v>
      </c>
      <c r="L123" t="b">
        <v>1</v>
      </c>
      <c r="M123" s="18"/>
      <c r="N123" s="14"/>
    </row>
    <row r="124" spans="2:14">
      <c r="B124" t="str">
        <f>DataNameProd3 &amp; " Units WIP"</f>
        <v>NCB Units WIP</v>
      </c>
      <c r="D124" s="14">
        <f>cbal!E124</f>
        <v>145314</v>
      </c>
      <c r="E124" s="185">
        <v>140738</v>
      </c>
      <c r="F124" s="139">
        <v>140738</v>
      </c>
      <c r="G124" s="139">
        <v>140738</v>
      </c>
      <c r="H124" s="139">
        <v>140738</v>
      </c>
      <c r="I124" s="139">
        <v>140738</v>
      </c>
      <c r="J124" t="s">
        <v>2447</v>
      </c>
      <c r="K124" s="474">
        <v>10127.36</v>
      </c>
      <c r="L124" t="b">
        <v>1</v>
      </c>
      <c r="M124" s="18"/>
      <c r="N124" s="14"/>
    </row>
    <row r="125" spans="2:14">
      <c r="B125" t="str">
        <f>DataNameProd3 &amp; " FG Units"</f>
        <v>NCB FG Units</v>
      </c>
      <c r="D125" s="14">
        <f>cbal!E125</f>
        <v>3969000</v>
      </c>
      <c r="E125" s="185">
        <v>0</v>
      </c>
      <c r="F125" s="139">
        <v>0</v>
      </c>
      <c r="G125" s="139">
        <v>0</v>
      </c>
      <c r="H125" s="139">
        <v>0</v>
      </c>
      <c r="I125" s="139">
        <v>0</v>
      </c>
      <c r="J125" t="s">
        <v>2448</v>
      </c>
      <c r="K125" s="474">
        <v>1491.75</v>
      </c>
      <c r="L125" t="b">
        <v>1</v>
      </c>
      <c r="M125" s="18"/>
    </row>
    <row r="126" spans="2:14">
      <c r="B126" t="str">
        <f>DataNameProd3 &amp; " Units Sold"</f>
        <v>NCB Units Sold</v>
      </c>
      <c r="D126" s="14">
        <f>cbal!E126</f>
        <v>245000000</v>
      </c>
      <c r="E126" s="185">
        <v>237160000</v>
      </c>
      <c r="F126" s="139">
        <v>237160000</v>
      </c>
      <c r="G126" s="139">
        <v>237160000</v>
      </c>
      <c r="H126" s="139">
        <v>237160000</v>
      </c>
      <c r="I126" s="139">
        <v>237160000</v>
      </c>
      <c r="J126" t="s">
        <v>224</v>
      </c>
      <c r="K126" s="474">
        <v>215600000</v>
      </c>
      <c r="L126" t="b">
        <v>1</v>
      </c>
      <c r="M126" s="18"/>
      <c r="N126" s="14"/>
    </row>
    <row r="127" spans="2:14">
      <c r="B127" t="str">
        <f>DataNameProd4 &amp; " Units WIP"</f>
        <v>F&amp;S Units WIP</v>
      </c>
      <c r="D127" s="14">
        <f>cbal!E127</f>
        <v>266664</v>
      </c>
      <c r="E127" s="185">
        <v>267184</v>
      </c>
      <c r="F127" s="139">
        <v>267184</v>
      </c>
      <c r="G127" s="139">
        <v>267184</v>
      </c>
      <c r="H127" s="139">
        <v>267184</v>
      </c>
      <c r="I127" s="139">
        <v>267184</v>
      </c>
      <c r="J127" t="s">
        <v>2449</v>
      </c>
      <c r="K127" s="474">
        <v>17283.12</v>
      </c>
      <c r="L127" t="b">
        <v>1</v>
      </c>
      <c r="M127" s="18"/>
    </row>
    <row r="128" spans="2:14">
      <c r="B128" t="str">
        <f>DataNameProd4 &amp; " FG Units"</f>
        <v>F&amp;S FG Units</v>
      </c>
      <c r="D128" s="14">
        <f>cbal!E128</f>
        <v>3600000</v>
      </c>
      <c r="E128" s="185">
        <v>198000</v>
      </c>
      <c r="F128" s="139">
        <v>198000</v>
      </c>
      <c r="G128" s="139">
        <v>198000</v>
      </c>
      <c r="H128" s="139">
        <v>198000</v>
      </c>
      <c r="I128" s="139">
        <v>198000</v>
      </c>
      <c r="J128" t="s">
        <v>2450</v>
      </c>
      <c r="K128" s="474">
        <v>9584.5499999999993</v>
      </c>
      <c r="L128" t="b">
        <v>1</v>
      </c>
      <c r="M128" s="18"/>
    </row>
    <row r="129" spans="1:14">
      <c r="B129" t="str">
        <f>DataNameProd4 &amp; " Units Sold"</f>
        <v>F&amp;S Units Sold</v>
      </c>
      <c r="D129" s="14">
        <f>cbal!E129</f>
        <v>225000000</v>
      </c>
      <c r="E129" s="185">
        <v>225000000</v>
      </c>
      <c r="F129" s="139">
        <v>225000000</v>
      </c>
      <c r="G129" s="139">
        <v>225000000</v>
      </c>
      <c r="H129" s="139">
        <v>225000000</v>
      </c>
      <c r="I129" s="139">
        <v>225000000</v>
      </c>
      <c r="J129" t="s">
        <v>225</v>
      </c>
      <c r="K129" s="474">
        <v>209250000</v>
      </c>
      <c r="L129" t="b">
        <v>1</v>
      </c>
      <c r="M129" s="18"/>
      <c r="N129" s="14"/>
    </row>
    <row r="130" spans="1:14">
      <c r="B130" s="2" t="s">
        <v>4099</v>
      </c>
      <c r="D130" s="14"/>
      <c r="E130" s="185"/>
      <c r="F130" s="139"/>
      <c r="G130" s="139"/>
      <c r="H130" s="139"/>
      <c r="I130" s="139"/>
      <c r="K130" s="474"/>
      <c r="L130" t="b">
        <v>1</v>
      </c>
      <c r="M130" s="18"/>
    </row>
    <row r="131" spans="1:14">
      <c r="B131" t="str">
        <f>DataNameProd2 &amp; " 1 Units WIP"</f>
        <v>Breakthrough 1 Units WIP</v>
      </c>
      <c r="D131" s="14">
        <f>cbal!E131</f>
        <v>0</v>
      </c>
      <c r="E131" s="185">
        <v>0</v>
      </c>
      <c r="F131" s="139">
        <v>0</v>
      </c>
      <c r="G131" s="139">
        <v>0</v>
      </c>
      <c r="H131" s="139">
        <v>0</v>
      </c>
      <c r="I131" s="139">
        <v>0</v>
      </c>
      <c r="J131" t="s">
        <v>3273</v>
      </c>
      <c r="K131" s="474">
        <v>0</v>
      </c>
      <c r="L131" t="b">
        <v>1</v>
      </c>
      <c r="M131" s="18"/>
    </row>
    <row r="132" spans="1:14">
      <c r="B132" t="str">
        <f>DataNameProd2 &amp; " 1 FG Units"</f>
        <v>Breakthrough 1 FG Units</v>
      </c>
      <c r="D132" s="14">
        <f>cbal!E132</f>
        <v>0</v>
      </c>
      <c r="E132" s="185">
        <v>0</v>
      </c>
      <c r="F132" s="139">
        <v>0</v>
      </c>
      <c r="G132" s="139">
        <v>0</v>
      </c>
      <c r="H132" s="139">
        <v>0</v>
      </c>
      <c r="I132" s="139">
        <v>0</v>
      </c>
      <c r="J132" t="s">
        <v>1638</v>
      </c>
      <c r="K132" s="474">
        <v>0</v>
      </c>
      <c r="L132" t="b">
        <v>1</v>
      </c>
      <c r="M132" s="18"/>
    </row>
    <row r="133" spans="1:14">
      <c r="B133" t="str">
        <f>DataNameProd2 &amp; " 1 Units Sold"</f>
        <v>Breakthrough 1 Units Sold</v>
      </c>
      <c r="D133" s="14">
        <f>cbal!E133</f>
        <v>0</v>
      </c>
      <c r="E133" s="185">
        <v>0</v>
      </c>
      <c r="F133" s="139">
        <v>0</v>
      </c>
      <c r="G133" s="139">
        <v>0</v>
      </c>
      <c r="H133" s="139">
        <v>0</v>
      </c>
      <c r="I133" s="139">
        <v>0</v>
      </c>
      <c r="J133" t="s">
        <v>1975</v>
      </c>
      <c r="K133" s="474">
        <v>0</v>
      </c>
      <c r="L133" t="b">
        <v>1</v>
      </c>
      <c r="M133" s="18"/>
    </row>
    <row r="134" spans="1:14">
      <c r="B134" t="str">
        <f>DataNameProd2 &amp; " 2 Units WIP"</f>
        <v>Breakthrough 2 Units WIP</v>
      </c>
      <c r="D134" s="14">
        <f>cbal!E134</f>
        <v>0</v>
      </c>
      <c r="E134" s="185">
        <v>0</v>
      </c>
      <c r="F134" s="139">
        <v>0</v>
      </c>
      <c r="G134" s="139">
        <v>0</v>
      </c>
      <c r="H134" s="139">
        <v>0</v>
      </c>
      <c r="I134" s="139">
        <v>0</v>
      </c>
      <c r="J134" t="s">
        <v>2445</v>
      </c>
      <c r="K134" s="474">
        <v>0</v>
      </c>
      <c r="L134" t="b">
        <v>1</v>
      </c>
      <c r="M134" s="18"/>
    </row>
    <row r="135" spans="1:14">
      <c r="B135" t="str">
        <f>DataNameProd2 &amp; " 2 FG Units"</f>
        <v>Breakthrough 2 FG Units</v>
      </c>
      <c r="D135" s="14">
        <f>cbal!E135</f>
        <v>0</v>
      </c>
      <c r="E135" s="185">
        <v>0</v>
      </c>
      <c r="F135" s="139">
        <v>0</v>
      </c>
      <c r="G135" s="139">
        <v>0</v>
      </c>
      <c r="H135" s="139">
        <v>0</v>
      </c>
      <c r="I135" s="139">
        <v>0</v>
      </c>
      <c r="J135" t="s">
        <v>2446</v>
      </c>
      <c r="K135" s="474">
        <v>0</v>
      </c>
      <c r="L135" t="b">
        <v>1</v>
      </c>
      <c r="M135" s="18"/>
    </row>
    <row r="136" spans="1:14">
      <c r="B136" t="str">
        <f>DataNameProd2 &amp; " 2 Units Sold"</f>
        <v>Breakthrough 2 Units Sold</v>
      </c>
      <c r="D136" s="14">
        <f>cbal!E136</f>
        <v>0</v>
      </c>
      <c r="E136" s="185">
        <v>0</v>
      </c>
      <c r="F136" s="139">
        <v>0</v>
      </c>
      <c r="G136" s="139">
        <v>0</v>
      </c>
      <c r="H136" s="139">
        <v>0</v>
      </c>
      <c r="I136" s="139">
        <v>0</v>
      </c>
      <c r="J136" t="s">
        <v>469</v>
      </c>
      <c r="K136" s="474">
        <v>0</v>
      </c>
      <c r="L136" t="b">
        <v>1</v>
      </c>
      <c r="M136" s="18"/>
    </row>
    <row r="137" spans="1:14">
      <c r="D137" s="14"/>
      <c r="E137" s="185"/>
      <c r="F137" s="139"/>
      <c r="G137" s="139"/>
      <c r="H137" s="139"/>
      <c r="I137" s="139"/>
      <c r="K137" s="474"/>
      <c r="L137" t="b">
        <v>1</v>
      </c>
      <c r="M137" s="18"/>
    </row>
    <row r="138" spans="1:14">
      <c r="B138" s="2" t="s">
        <v>2772</v>
      </c>
      <c r="D138" s="14"/>
      <c r="E138" s="185"/>
      <c r="F138" s="139"/>
      <c r="G138" s="139"/>
      <c r="H138" s="139"/>
      <c r="I138" s="139"/>
      <c r="K138" s="474"/>
      <c r="L138" t="b">
        <v>1</v>
      </c>
      <c r="M138" s="18"/>
    </row>
    <row r="139" spans="1:14">
      <c r="B139" t="s">
        <v>2773</v>
      </c>
      <c r="D139" s="12" t="e">
        <f>cbal!E139</f>
        <v>#NAME?</v>
      </c>
      <c r="E139" s="191" t="e">
        <v>#NAME?</v>
      </c>
      <c r="F139" s="462" t="e">
        <v>#NAME?</v>
      </c>
      <c r="G139" s="462" t="e">
        <v>#NAME?</v>
      </c>
      <c r="H139" s="462" t="e">
        <v>#NAME?</v>
      </c>
      <c r="I139" s="462" t="e">
        <v>#NAME?</v>
      </c>
      <c r="K139" s="475">
        <v>0.9</v>
      </c>
      <c r="L139" t="b">
        <v>1</v>
      </c>
      <c r="M139" s="18"/>
    </row>
    <row r="140" spans="1:14">
      <c r="E140" s="189"/>
      <c r="F140" s="33"/>
      <c r="G140" s="33"/>
      <c r="H140" s="33"/>
      <c r="I140" s="33"/>
      <c r="K140" s="472"/>
      <c r="L140" t="b">
        <v>1</v>
      </c>
      <c r="M140" s="18"/>
    </row>
    <row r="141" spans="1:14">
      <c r="A141" s="2" t="s">
        <v>3991</v>
      </c>
      <c r="E141" s="189"/>
      <c r="F141" s="33"/>
      <c r="G141" s="33"/>
      <c r="H141" s="33"/>
      <c r="I141" s="33"/>
      <c r="K141" s="472"/>
      <c r="L141" t="b">
        <v>1</v>
      </c>
      <c r="M141" s="18"/>
    </row>
    <row r="142" spans="1:14">
      <c r="B142" t="s">
        <v>2350</v>
      </c>
      <c r="E142" s="189"/>
      <c r="F142" s="33"/>
      <c r="G142" s="33"/>
      <c r="H142" s="33"/>
      <c r="I142" s="33"/>
      <c r="K142" s="472"/>
      <c r="L142" t="b">
        <v>1</v>
      </c>
      <c r="M142" s="18"/>
    </row>
    <row r="143" spans="1:14">
      <c r="B143" t="str">
        <f>DataNameEmp1&amp;" Employees"</f>
        <v>Lower Region Sales Force Employees</v>
      </c>
      <c r="D143" s="14">
        <f>cbal!E143</f>
        <v>4000</v>
      </c>
      <c r="E143" s="350">
        <v>4000</v>
      </c>
      <c r="F143" s="14">
        <v>4000</v>
      </c>
      <c r="G143" s="14">
        <v>4000</v>
      </c>
      <c r="H143" s="14">
        <v>4000</v>
      </c>
      <c r="I143" s="14">
        <v>4000</v>
      </c>
      <c r="J143" t="s">
        <v>981</v>
      </c>
      <c r="K143" s="471">
        <v>4000</v>
      </c>
      <c r="L143" t="b">
        <v>1</v>
      </c>
      <c r="M143" s="18"/>
    </row>
    <row r="144" spans="1:14">
      <c r="B144" t="str">
        <f>DataNameEmp2&amp;" Employees"</f>
        <v>Upper Region Sales Force Employees</v>
      </c>
      <c r="D144" s="14">
        <f>cbal!E144</f>
        <v>2100</v>
      </c>
      <c r="E144" s="350">
        <v>2100</v>
      </c>
      <c r="F144" s="259">
        <v>2100</v>
      </c>
      <c r="G144" s="259">
        <v>2100</v>
      </c>
      <c r="H144" s="259">
        <v>2100</v>
      </c>
      <c r="I144" s="259">
        <v>2100</v>
      </c>
      <c r="J144" t="s">
        <v>982</v>
      </c>
      <c r="K144" s="471">
        <v>2100</v>
      </c>
      <c r="L144" t="b">
        <v>1</v>
      </c>
      <c r="M144" s="18"/>
    </row>
    <row r="145" spans="1:14">
      <c r="B145" t="str">
        <f>DataNameEmp3&amp;" Employees"</f>
        <v>Labor Employees</v>
      </c>
      <c r="D145" s="14">
        <f>cbal!E145</f>
        <v>69909</v>
      </c>
      <c r="E145" s="185">
        <v>76566</v>
      </c>
      <c r="F145" s="139">
        <v>76566</v>
      </c>
      <c r="G145" s="139">
        <v>76566</v>
      </c>
      <c r="H145" s="139">
        <v>76566</v>
      </c>
      <c r="I145" s="139">
        <v>76566</v>
      </c>
      <c r="J145" t="s">
        <v>983</v>
      </c>
      <c r="K145" s="474">
        <v>83963</v>
      </c>
      <c r="L145" t="b">
        <v>1</v>
      </c>
      <c r="M145" s="18"/>
    </row>
    <row r="146" spans="1:14">
      <c r="B146" t="s">
        <v>2261</v>
      </c>
      <c r="D146" s="435">
        <f>cbal!E146</f>
        <v>1.0371559793673131</v>
      </c>
      <c r="E146" s="583">
        <v>0.94851871138915933</v>
      </c>
      <c r="F146" s="589">
        <v>0.94851871138915933</v>
      </c>
      <c r="G146" s="589">
        <v>0.94851871138915933</v>
      </c>
      <c r="H146" s="589">
        <v>0.94851871138915933</v>
      </c>
      <c r="I146" s="589">
        <v>0.94851871138915933</v>
      </c>
      <c r="J146" t="s">
        <v>1005</v>
      </c>
      <c r="K146" s="475">
        <v>0.91</v>
      </c>
      <c r="L146" t="b">
        <v>1</v>
      </c>
      <c r="M146" s="18"/>
    </row>
    <row r="147" spans="1:14">
      <c r="B147" t="str">
        <f>DataNameEmp10</f>
        <v>MTU</v>
      </c>
      <c r="D147" s="10">
        <v>70</v>
      </c>
      <c r="E147" s="350">
        <v>106.94936306113837</v>
      </c>
      <c r="F147" s="259">
        <v>106.94936306113837</v>
      </c>
      <c r="G147" s="259">
        <v>106.94936306113837</v>
      </c>
      <c r="H147" s="259">
        <v>106.94936306113837</v>
      </c>
      <c r="I147" s="259">
        <v>106.94936306113837</v>
      </c>
      <c r="J147" t="s">
        <v>716</v>
      </c>
      <c r="K147" s="474">
        <v>100</v>
      </c>
      <c r="L147" t="b">
        <v>1</v>
      </c>
      <c r="M147" s="18"/>
    </row>
    <row r="148" spans="1:14">
      <c r="B148" t="s">
        <v>1541</v>
      </c>
      <c r="D148" s="14">
        <f>cbal!E148</f>
        <v>3</v>
      </c>
      <c r="E148" s="350">
        <v>3</v>
      </c>
      <c r="F148" s="259">
        <v>3</v>
      </c>
      <c r="G148" s="259">
        <v>3</v>
      </c>
      <c r="H148" s="259">
        <v>3</v>
      </c>
      <c r="I148" s="259">
        <v>3</v>
      </c>
      <c r="J148" t="s">
        <v>539</v>
      </c>
      <c r="K148" s="475">
        <v>3</v>
      </c>
      <c r="L148" t="b">
        <v>1</v>
      </c>
      <c r="M148" s="18"/>
    </row>
    <row r="149" spans="1:14">
      <c r="B149" t="s">
        <v>3336</v>
      </c>
      <c r="D149" s="14">
        <f>cbal!E149</f>
        <v>3</v>
      </c>
      <c r="E149" s="350">
        <v>3</v>
      </c>
      <c r="F149" s="259">
        <v>3</v>
      </c>
      <c r="G149" s="259">
        <v>3</v>
      </c>
      <c r="H149" s="259">
        <v>3</v>
      </c>
      <c r="I149" s="259">
        <v>3</v>
      </c>
      <c r="J149" t="s">
        <v>540</v>
      </c>
      <c r="K149" s="475">
        <v>3</v>
      </c>
      <c r="L149" t="b">
        <v>1</v>
      </c>
      <c r="M149" s="18"/>
    </row>
    <row r="150" spans="1:14">
      <c r="E150" s="189"/>
      <c r="F150" s="33"/>
      <c r="G150" s="33"/>
      <c r="H150" s="33"/>
      <c r="I150" s="33"/>
      <c r="K150" s="472"/>
      <c r="L150" t="b">
        <v>1</v>
      </c>
      <c r="M150" s="18"/>
    </row>
    <row r="151" spans="1:14">
      <c r="A151" s="2" t="s">
        <v>1843</v>
      </c>
      <c r="E151" s="189"/>
      <c r="F151" s="259"/>
      <c r="G151" s="33"/>
      <c r="H151" s="33"/>
      <c r="I151" s="33"/>
      <c r="K151" s="472"/>
      <c r="L151" t="b">
        <v>1</v>
      </c>
      <c r="M151" s="18"/>
    </row>
    <row r="152" spans="1:14">
      <c r="B152" t="str">
        <f>DataNamePlant1&amp;" Plant Units"</f>
        <v>Plant Plant Units</v>
      </c>
      <c r="D152" s="14">
        <f>cbal!E152</f>
        <v>931</v>
      </c>
      <c r="E152" s="185">
        <v>911</v>
      </c>
      <c r="F152" s="139">
        <v>911</v>
      </c>
      <c r="G152" s="139">
        <v>911</v>
      </c>
      <c r="H152" s="139">
        <v>911</v>
      </c>
      <c r="I152" s="139">
        <v>911</v>
      </c>
      <c r="J152" t="s">
        <v>2724</v>
      </c>
      <c r="K152" s="474">
        <v>891</v>
      </c>
      <c r="L152" t="b">
        <v>1</v>
      </c>
      <c r="M152" s="18"/>
    </row>
    <row r="153" spans="1:14">
      <c r="B153" t="s">
        <v>709</v>
      </c>
      <c r="D153" s="14">
        <f>cbal!E153</f>
        <v>3</v>
      </c>
      <c r="E153" s="185">
        <v>3</v>
      </c>
      <c r="F153" s="139">
        <v>3</v>
      </c>
      <c r="G153" s="139">
        <v>3</v>
      </c>
      <c r="H153" s="139">
        <v>3</v>
      </c>
      <c r="I153" s="139">
        <v>3</v>
      </c>
      <c r="J153" t="s">
        <v>1666</v>
      </c>
      <c r="K153" s="474">
        <v>1</v>
      </c>
      <c r="L153" t="b">
        <v>1</v>
      </c>
      <c r="M153" s="18"/>
    </row>
    <row r="154" spans="1:14">
      <c r="E154" s="189"/>
      <c r="F154" s="33"/>
      <c r="G154" s="33"/>
      <c r="H154" s="33"/>
      <c r="I154" s="33"/>
      <c r="K154" s="472"/>
      <c r="L154" t="b">
        <v>1</v>
      </c>
      <c r="M154" s="18"/>
    </row>
    <row r="155" spans="1:14">
      <c r="A155" s="2" t="s">
        <v>2351</v>
      </c>
      <c r="E155" s="189"/>
      <c r="F155" s="33"/>
      <c r="G155" s="33"/>
      <c r="H155" s="33"/>
      <c r="I155" s="33"/>
      <c r="K155" s="472"/>
      <c r="L155" t="b">
        <v>1</v>
      </c>
      <c r="M155" s="18"/>
    </row>
    <row r="156" spans="1:14">
      <c r="A156" s="2"/>
      <c r="B156" t="s">
        <v>235</v>
      </c>
      <c r="D156" s="399">
        <f>cbal!E156</f>
        <v>19169523699.5</v>
      </c>
      <c r="E156" s="463">
        <v>19227318184</v>
      </c>
      <c r="F156" s="418">
        <v>19227318184</v>
      </c>
      <c r="G156" s="418">
        <v>19227318184</v>
      </c>
      <c r="H156" s="418">
        <v>19227318184</v>
      </c>
      <c r="I156" s="418">
        <v>19227318184</v>
      </c>
      <c r="J156" t="s">
        <v>239</v>
      </c>
      <c r="K156" s="472">
        <v>18695427191.445</v>
      </c>
      <c r="L156" t="b">
        <v>1</v>
      </c>
      <c r="M156" s="18"/>
      <c r="N156" s="14"/>
    </row>
    <row r="157" spans="1:14">
      <c r="A157" s="2"/>
      <c r="B157" t="s">
        <v>236</v>
      </c>
      <c r="D157" s="399">
        <f>cbal!E157</f>
        <v>6972600000</v>
      </c>
      <c r="E157" s="463">
        <v>6838253760</v>
      </c>
      <c r="F157" s="418">
        <v>6838253760</v>
      </c>
      <c r="G157" s="418">
        <v>6838253760</v>
      </c>
      <c r="H157" s="418">
        <v>6838253760</v>
      </c>
      <c r="I157" s="418">
        <v>6838253760</v>
      </c>
      <c r="J157" t="s">
        <v>240</v>
      </c>
      <c r="K157" s="472">
        <v>6383935987.5</v>
      </c>
      <c r="L157" t="b">
        <v>1</v>
      </c>
      <c r="M157" s="18"/>
      <c r="N157" s="14"/>
    </row>
    <row r="158" spans="1:14">
      <c r="A158" s="2"/>
      <c r="B158" t="s">
        <v>2576</v>
      </c>
      <c r="D158" s="399">
        <f>cbal!E158</f>
        <v>26142123699.5</v>
      </c>
      <c r="E158" s="463">
        <v>26065571944</v>
      </c>
      <c r="F158" s="418">
        <v>26065571944</v>
      </c>
      <c r="G158" s="418">
        <v>26065571944</v>
      </c>
      <c r="H158" s="418">
        <v>26065571944</v>
      </c>
      <c r="I158" s="418">
        <v>26065571944</v>
      </c>
      <c r="J158" t="s">
        <v>2967</v>
      </c>
      <c r="K158" s="474">
        <v>25079363178.945</v>
      </c>
      <c r="L158" t="b">
        <v>1</v>
      </c>
      <c r="M158" s="18"/>
      <c r="N158" s="14"/>
    </row>
    <row r="159" spans="1:14">
      <c r="A159" s="2"/>
      <c r="B159" t="s">
        <v>546</v>
      </c>
      <c r="D159" s="399">
        <f>cbal!E159</f>
        <v>16104523699.5</v>
      </c>
      <c r="E159" s="463">
        <v>16162318184</v>
      </c>
      <c r="F159" s="418">
        <v>16162318184</v>
      </c>
      <c r="G159" s="418">
        <v>16162318184</v>
      </c>
      <c r="H159" s="418">
        <v>16162318184</v>
      </c>
      <c r="I159" s="418">
        <v>16162318184</v>
      </c>
      <c r="J159" t="s">
        <v>3466</v>
      </c>
      <c r="K159" s="474">
        <v>15666277191.445</v>
      </c>
      <c r="L159" t="b">
        <v>1</v>
      </c>
      <c r="M159" s="18"/>
      <c r="N159" s="14"/>
    </row>
    <row r="160" spans="1:14">
      <c r="A160" s="2"/>
      <c r="B160" t="s">
        <v>547</v>
      </c>
      <c r="D160" s="399">
        <f>cbal!E160</f>
        <v>6517600000</v>
      </c>
      <c r="E160" s="463">
        <v>6383253760</v>
      </c>
      <c r="F160" s="418">
        <v>6383253760</v>
      </c>
      <c r="G160" s="418">
        <v>6383253760</v>
      </c>
      <c r="H160" s="418">
        <v>6383253760</v>
      </c>
      <c r="I160" s="418">
        <v>6383253760</v>
      </c>
      <c r="J160" t="s">
        <v>3467</v>
      </c>
      <c r="K160" s="474">
        <v>5967085987.5</v>
      </c>
      <c r="L160" t="b">
        <v>1</v>
      </c>
      <c r="M160" s="18"/>
      <c r="N160" s="14"/>
    </row>
    <row r="161" spans="1:14">
      <c r="A161" s="2"/>
      <c r="B161" t="s">
        <v>548</v>
      </c>
      <c r="D161" s="399">
        <f>cbal!E161</f>
        <v>22622123699.5</v>
      </c>
      <c r="E161" s="463">
        <v>22545571944</v>
      </c>
      <c r="F161" s="418">
        <v>22545571944</v>
      </c>
      <c r="G161" s="418">
        <v>22545571944</v>
      </c>
      <c r="H161" s="418">
        <v>22545571944</v>
      </c>
      <c r="I161" s="418">
        <v>22545571944</v>
      </c>
      <c r="J161" t="s">
        <v>3468</v>
      </c>
      <c r="K161" s="474">
        <v>21633363178.945</v>
      </c>
      <c r="L161" t="b">
        <v>1</v>
      </c>
      <c r="M161" s="18"/>
      <c r="N161" s="14"/>
    </row>
    <row r="162" spans="1:14">
      <c r="A162" s="2"/>
      <c r="B162" t="s">
        <v>408</v>
      </c>
      <c r="D162" s="14">
        <f>cbal!E162</f>
        <v>1</v>
      </c>
      <c r="E162" s="190">
        <v>1</v>
      </c>
      <c r="F162" s="142">
        <v>1</v>
      </c>
      <c r="G162" s="142">
        <v>1</v>
      </c>
      <c r="H162" s="142">
        <v>1</v>
      </c>
      <c r="I162" s="142">
        <v>1</v>
      </c>
      <c r="J162" t="s">
        <v>409</v>
      </c>
      <c r="K162" s="473">
        <v>1</v>
      </c>
      <c r="L162" t="b">
        <v>1</v>
      </c>
      <c r="M162" s="18"/>
    </row>
    <row r="163" spans="1:14">
      <c r="B163" t="s">
        <v>406</v>
      </c>
      <c r="D163" s="14">
        <f>cbal!E163</f>
        <v>5223400000</v>
      </c>
      <c r="E163" s="185">
        <v>5223400000</v>
      </c>
      <c r="F163" s="139">
        <v>5223400000</v>
      </c>
      <c r="G163" s="139">
        <v>5223400000</v>
      </c>
      <c r="H163" s="139">
        <v>5223400000</v>
      </c>
      <c r="I163" s="139">
        <v>5223400000</v>
      </c>
      <c r="J163" t="s">
        <v>407</v>
      </c>
      <c r="K163" s="471">
        <v>5223400000</v>
      </c>
      <c r="L163" t="b">
        <v>1</v>
      </c>
      <c r="M163" s="18"/>
    </row>
    <row r="164" spans="1:14">
      <c r="E164" s="189"/>
      <c r="F164" s="33"/>
      <c r="G164" s="33"/>
      <c r="H164" s="33"/>
      <c r="I164" s="33"/>
      <c r="K164" s="472"/>
      <c r="L164" t="b">
        <v>1</v>
      </c>
      <c r="M164" s="18"/>
    </row>
    <row r="165" spans="1:14">
      <c r="A165" s="2" t="s">
        <v>1826</v>
      </c>
      <c r="E165" s="189"/>
      <c r="F165" s="33"/>
      <c r="G165" s="33"/>
      <c r="H165" s="33"/>
      <c r="I165" s="33"/>
      <c r="K165" s="472"/>
      <c r="L165" t="b">
        <v>1</v>
      </c>
      <c r="M165" s="18"/>
    </row>
    <row r="166" spans="1:14">
      <c r="B166" t="s">
        <v>1827</v>
      </c>
      <c r="D166" s="15">
        <f>cbal!E166</f>
        <v>0.5</v>
      </c>
      <c r="E166" s="258">
        <v>0.5</v>
      </c>
      <c r="F166" s="262">
        <v>0.5</v>
      </c>
      <c r="G166" s="262">
        <v>0.5</v>
      </c>
      <c r="H166" s="262">
        <v>0.5</v>
      </c>
      <c r="I166" s="262">
        <v>0.5</v>
      </c>
      <c r="J166" t="s">
        <v>410</v>
      </c>
      <c r="K166" s="475">
        <v>0.5</v>
      </c>
      <c r="L166" t="b">
        <v>1</v>
      </c>
      <c r="M166" s="18"/>
    </row>
    <row r="167" spans="1:14">
      <c r="B167" t="str">
        <f>DataNameProd1 &amp; " Positioning"</f>
        <v>CSD Positioning</v>
      </c>
      <c r="D167" t="str">
        <f>cbal!E167</f>
        <v>SELECT ONE</v>
      </c>
      <c r="E167" s="189" t="s">
        <v>2748</v>
      </c>
      <c r="F167" s="33" t="s">
        <v>2748</v>
      </c>
      <c r="G167" s="33" t="s">
        <v>2748</v>
      </c>
      <c r="H167" s="33" t="s">
        <v>2748</v>
      </c>
      <c r="I167" s="33" t="s">
        <v>2748</v>
      </c>
      <c r="J167" t="s">
        <v>479</v>
      </c>
      <c r="K167" s="472" t="s">
        <v>2748</v>
      </c>
      <c r="L167" t="b">
        <v>1</v>
      </c>
      <c r="M167" s="18"/>
    </row>
    <row r="168" spans="1:14">
      <c r="B168" t="str">
        <f>DataNameProd2 &amp; " Positioning"</f>
        <v>Breakthrough Positioning</v>
      </c>
      <c r="D168">
        <f>cbal!E168</f>
        <v>0</v>
      </c>
      <c r="E168" s="189">
        <v>0</v>
      </c>
      <c r="F168" s="33">
        <v>0</v>
      </c>
      <c r="G168" s="33">
        <v>0</v>
      </c>
      <c r="H168" s="33">
        <v>0</v>
      </c>
      <c r="I168" s="33">
        <v>0</v>
      </c>
      <c r="J168" t="s">
        <v>480</v>
      </c>
      <c r="K168" s="472">
        <v>0</v>
      </c>
      <c r="L168" t="b">
        <v>1</v>
      </c>
      <c r="M168" s="18"/>
    </row>
    <row r="169" spans="1:14">
      <c r="B169" t="str">
        <f>DataNameProd3 &amp; " Positioning"</f>
        <v>NCB Positioning</v>
      </c>
      <c r="D169" t="str">
        <f>cbal!E169</f>
        <v>SELECT ONE</v>
      </c>
      <c r="E169" s="189" t="s">
        <v>2748</v>
      </c>
      <c r="F169" s="33" t="s">
        <v>2748</v>
      </c>
      <c r="G169" s="33" t="s">
        <v>2748</v>
      </c>
      <c r="H169" s="33" t="s">
        <v>2748</v>
      </c>
      <c r="I169" s="33" t="s">
        <v>2748</v>
      </c>
      <c r="J169" t="s">
        <v>481</v>
      </c>
      <c r="K169" s="472" t="s">
        <v>2748</v>
      </c>
      <c r="L169" t="b">
        <v>1</v>
      </c>
      <c r="M169" s="18"/>
    </row>
    <row r="170" spans="1:14">
      <c r="B170" t="str">
        <f>DataNameProd4 &amp; " Positioning"</f>
        <v>F&amp;S Positioning</v>
      </c>
      <c r="D170" t="str">
        <f>cbal!E170</f>
        <v>SELECT ONE</v>
      </c>
      <c r="E170" s="189" t="s">
        <v>2748</v>
      </c>
      <c r="F170" s="33" t="s">
        <v>2748</v>
      </c>
      <c r="G170" s="33" t="s">
        <v>2748</v>
      </c>
      <c r="H170" s="33" t="s">
        <v>2748</v>
      </c>
      <c r="I170" s="33" t="s">
        <v>2748</v>
      </c>
      <c r="J170" t="s">
        <v>482</v>
      </c>
      <c r="K170" s="472" t="s">
        <v>2748</v>
      </c>
      <c r="L170" t="b">
        <v>1</v>
      </c>
      <c r="M170" s="18"/>
    </row>
    <row r="171" spans="1:14">
      <c r="E171" s="189"/>
      <c r="F171" s="33"/>
      <c r="G171" s="33"/>
      <c r="H171" s="33"/>
      <c r="I171" s="33"/>
      <c r="K171" s="472"/>
      <c r="L171" t="b">
        <v>1</v>
      </c>
      <c r="M171" s="18"/>
    </row>
    <row r="172" spans="1:14">
      <c r="A172" s="2" t="s">
        <v>1722</v>
      </c>
      <c r="E172" s="189"/>
      <c r="F172" s="33"/>
      <c r="G172" s="33"/>
      <c r="H172" s="33"/>
      <c r="I172" s="33"/>
      <c r="K172" s="472"/>
      <c r="L172" t="b">
        <v>1</v>
      </c>
      <c r="M172" s="18"/>
    </row>
    <row r="173" spans="1:14">
      <c r="A173" s="2"/>
      <c r="B173" t="s">
        <v>1671</v>
      </c>
      <c r="D173">
        <f>cbal!E173</f>
        <v>3</v>
      </c>
      <c r="E173" s="189">
        <v>3</v>
      </c>
      <c r="F173" s="33">
        <v>3</v>
      </c>
      <c r="G173" s="33">
        <v>3</v>
      </c>
      <c r="H173" s="33">
        <v>3</v>
      </c>
      <c r="I173" s="33">
        <v>3</v>
      </c>
      <c r="J173" t="s">
        <v>1672</v>
      </c>
      <c r="K173" s="472">
        <v>1</v>
      </c>
      <c r="L173" t="b">
        <v>1</v>
      </c>
      <c r="M173" s="18"/>
    </row>
    <row r="174" spans="1:14">
      <c r="E174" s="189"/>
      <c r="F174" s="33"/>
      <c r="G174" s="33"/>
      <c r="H174" s="33"/>
      <c r="I174" s="33"/>
      <c r="K174" s="472"/>
      <c r="L174" t="b">
        <v>1</v>
      </c>
      <c r="M174" s="18"/>
    </row>
    <row r="175" spans="1:14">
      <c r="A175" s="2" t="s">
        <v>134</v>
      </c>
      <c r="E175" s="189"/>
      <c r="F175" s="33"/>
      <c r="G175" s="33"/>
      <c r="H175" s="33"/>
      <c r="I175" s="33"/>
      <c r="K175" s="472"/>
      <c r="L175" t="b">
        <v>1</v>
      </c>
      <c r="M175" s="18"/>
    </row>
    <row r="176" spans="1:14">
      <c r="B176" t="s">
        <v>3337</v>
      </c>
      <c r="D176" s="33">
        <f>cbal!E176</f>
        <v>2</v>
      </c>
      <c r="E176" s="189">
        <v>1</v>
      </c>
      <c r="F176" s="33">
        <v>1</v>
      </c>
      <c r="G176" s="33">
        <v>1</v>
      </c>
      <c r="H176" s="33">
        <v>1</v>
      </c>
      <c r="I176" s="33">
        <v>1</v>
      </c>
      <c r="J176" t="s">
        <v>135</v>
      </c>
      <c r="K176" s="472">
        <v>0</v>
      </c>
      <c r="L176" t="b">
        <v>1</v>
      </c>
      <c r="M176" s="18"/>
    </row>
    <row r="177" spans="1:14">
      <c r="E177" s="189"/>
      <c r="F177" s="33"/>
      <c r="G177" s="33"/>
      <c r="H177" s="33"/>
      <c r="I177" s="33"/>
      <c r="K177" s="472"/>
      <c r="L177" t="b">
        <v>1</v>
      </c>
      <c r="M177" s="18"/>
    </row>
    <row r="178" spans="1:14">
      <c r="A178" s="2" t="str">
        <f>DataNameProd1</f>
        <v>CSD</v>
      </c>
      <c r="E178" s="189"/>
      <c r="F178" s="33"/>
      <c r="G178" s="33"/>
      <c r="H178" s="33"/>
      <c r="I178" s="33"/>
      <c r="K178" s="472"/>
      <c r="L178" t="b">
        <v>1</v>
      </c>
      <c r="M178" s="18"/>
    </row>
    <row r="179" spans="1:14">
      <c r="A179" s="2"/>
      <c r="B179" t="s">
        <v>1714</v>
      </c>
      <c r="D179" s="10">
        <f>cbal!E179</f>
        <v>9.5</v>
      </c>
      <c r="E179" s="189">
        <v>9.5</v>
      </c>
      <c r="F179" s="33">
        <v>9.5</v>
      </c>
      <c r="G179" s="33">
        <v>9.5</v>
      </c>
      <c r="H179" s="33">
        <v>9.5</v>
      </c>
      <c r="I179" s="33">
        <v>9.5</v>
      </c>
      <c r="J179" t="s">
        <v>1804</v>
      </c>
      <c r="K179" s="472">
        <v>9.5</v>
      </c>
      <c r="L179" t="b">
        <v>1</v>
      </c>
      <c r="M179" s="18"/>
    </row>
    <row r="180" spans="1:14">
      <c r="A180" s="2"/>
      <c r="B180" t="s">
        <v>1715</v>
      </c>
      <c r="D180" s="10">
        <f>cbal!E180</f>
        <v>7</v>
      </c>
      <c r="E180" s="189">
        <v>7</v>
      </c>
      <c r="F180" s="33">
        <v>7</v>
      </c>
      <c r="G180" s="33">
        <v>7</v>
      </c>
      <c r="H180" s="33">
        <v>7</v>
      </c>
      <c r="I180" s="851">
        <v>7</v>
      </c>
      <c r="J180" t="s">
        <v>2698</v>
      </c>
      <c r="K180" s="472">
        <v>7</v>
      </c>
      <c r="L180" t="b">
        <v>1</v>
      </c>
      <c r="M180" s="18"/>
    </row>
    <row r="181" spans="1:14">
      <c r="A181" s="2"/>
      <c r="B181" t="s">
        <v>3555</v>
      </c>
      <c r="D181" s="10">
        <f>cbal!E181</f>
        <v>7046273699.5</v>
      </c>
      <c r="E181" s="1095">
        <v>7117448184</v>
      </c>
      <c r="F181" s="1096">
        <v>7117448184</v>
      </c>
      <c r="G181" s="1096">
        <v>7117448184</v>
      </c>
      <c r="H181" s="1096">
        <v>7117448184</v>
      </c>
      <c r="I181" s="1096">
        <v>7117448184</v>
      </c>
      <c r="J181" t="s">
        <v>2709</v>
      </c>
      <c r="K181" s="472">
        <v>7118160000</v>
      </c>
      <c r="L181" t="b">
        <v>1</v>
      </c>
      <c r="M181" s="18"/>
      <c r="N181" s="18"/>
    </row>
    <row r="182" spans="1:14">
      <c r="A182" s="2"/>
      <c r="B182" t="s">
        <v>3556</v>
      </c>
      <c r="D182" s="10">
        <f>cbal!E182</f>
        <v>2497600000</v>
      </c>
      <c r="E182" s="1095">
        <v>2441653760</v>
      </c>
      <c r="F182" s="1096">
        <v>2441653760</v>
      </c>
      <c r="G182" s="1096">
        <v>2441653760</v>
      </c>
      <c r="H182" s="1096">
        <v>2441653760</v>
      </c>
      <c r="I182" s="1096">
        <v>2441653760</v>
      </c>
      <c r="J182" t="s">
        <v>2710</v>
      </c>
      <c r="K182" s="472">
        <v>2347744000</v>
      </c>
      <c r="L182" t="b">
        <v>1</v>
      </c>
      <c r="M182" s="18"/>
      <c r="N182" s="18"/>
    </row>
    <row r="183" spans="1:14">
      <c r="A183" s="2"/>
      <c r="B183" t="s">
        <v>3838</v>
      </c>
      <c r="D183" s="10">
        <f>cbal!E183</f>
        <v>5596273699.5</v>
      </c>
      <c r="E183" s="1095">
        <v>5667448184</v>
      </c>
      <c r="F183" s="1096">
        <v>5667448184</v>
      </c>
      <c r="G183" s="1096">
        <v>5667448184</v>
      </c>
      <c r="H183" s="1096">
        <v>5667448184</v>
      </c>
      <c r="I183" s="1096">
        <v>5667448184</v>
      </c>
      <c r="J183" t="s">
        <v>705</v>
      </c>
      <c r="K183" s="472">
        <v>5668160000</v>
      </c>
      <c r="L183" t="b">
        <v>1</v>
      </c>
      <c r="M183" s="18"/>
      <c r="N183" s="18"/>
    </row>
    <row r="184" spans="1:14">
      <c r="A184" s="2"/>
      <c r="B184" t="s">
        <v>3839</v>
      </c>
      <c r="D184" s="10">
        <f>cbal!E184</f>
        <v>2302600000</v>
      </c>
      <c r="E184" s="1095">
        <v>2246653760</v>
      </c>
      <c r="F184" s="1096">
        <v>2246653760</v>
      </c>
      <c r="G184" s="1096">
        <v>2246653760</v>
      </c>
      <c r="H184" s="1096">
        <v>2246653760</v>
      </c>
      <c r="I184" s="1096">
        <v>2246653760</v>
      </c>
      <c r="J184" t="s">
        <v>706</v>
      </c>
      <c r="K184" s="472">
        <v>2152744000</v>
      </c>
      <c r="L184" t="b">
        <v>1</v>
      </c>
      <c r="M184" s="18"/>
      <c r="N184" s="18"/>
    </row>
    <row r="185" spans="1:14">
      <c r="B185" t="s">
        <v>1054</v>
      </c>
      <c r="D185" s="14">
        <f>cbal!E185</f>
        <v>0</v>
      </c>
      <c r="E185" s="189">
        <v>0</v>
      </c>
      <c r="F185" s="33">
        <v>0</v>
      </c>
      <c r="G185" s="33">
        <v>0</v>
      </c>
      <c r="H185" s="33">
        <v>0</v>
      </c>
      <c r="I185" s="33">
        <v>0</v>
      </c>
      <c r="J185" t="s">
        <v>411</v>
      </c>
      <c r="K185" s="472">
        <v>0</v>
      </c>
      <c r="L185" t="b">
        <v>1</v>
      </c>
      <c r="M185" s="18"/>
    </row>
    <row r="186" spans="1:14">
      <c r="B186" t="s">
        <v>1639</v>
      </c>
      <c r="D186" s="14">
        <f>cbal!E186</f>
        <v>0</v>
      </c>
      <c r="E186" s="189">
        <v>0</v>
      </c>
      <c r="F186" s="33">
        <v>0</v>
      </c>
      <c r="G186" s="33">
        <v>0</v>
      </c>
      <c r="H186" s="33">
        <v>0</v>
      </c>
      <c r="I186" s="33">
        <v>0</v>
      </c>
      <c r="J186" t="s">
        <v>3396</v>
      </c>
      <c r="K186" s="472">
        <v>0</v>
      </c>
      <c r="L186" t="b">
        <v>1</v>
      </c>
      <c r="M186" s="18"/>
    </row>
    <row r="187" spans="1:14">
      <c r="B187" t="s">
        <v>1640</v>
      </c>
      <c r="D187" s="14">
        <f>cbal!E187</f>
        <v>0</v>
      </c>
      <c r="E187" s="189">
        <v>0</v>
      </c>
      <c r="F187" s="33">
        <v>0</v>
      </c>
      <c r="G187" s="33">
        <v>0</v>
      </c>
      <c r="H187" s="33">
        <v>0</v>
      </c>
      <c r="I187" s="33">
        <v>0</v>
      </c>
      <c r="J187" t="s">
        <v>2979</v>
      </c>
      <c r="K187" s="472">
        <v>0</v>
      </c>
      <c r="L187" t="b">
        <v>1</v>
      </c>
      <c r="M187" s="18"/>
    </row>
    <row r="188" spans="1:14">
      <c r="B188" t="s">
        <v>1641</v>
      </c>
      <c r="D188" s="14">
        <f>cbal!E188</f>
        <v>6</v>
      </c>
      <c r="E188" s="189">
        <v>6</v>
      </c>
      <c r="F188" s="33">
        <v>6</v>
      </c>
      <c r="G188" s="33">
        <v>6</v>
      </c>
      <c r="H188" s="33">
        <v>6</v>
      </c>
      <c r="I188" s="33">
        <v>6</v>
      </c>
      <c r="J188" t="s">
        <v>2980</v>
      </c>
      <c r="K188" s="472">
        <v>6</v>
      </c>
      <c r="L188" t="b">
        <v>1</v>
      </c>
      <c r="M188" s="18"/>
    </row>
    <row r="189" spans="1:14">
      <c r="B189" t="s">
        <v>1950</v>
      </c>
      <c r="D189" s="1372">
        <f>cbal!E189</f>
        <v>2.3189045275850999</v>
      </c>
      <c r="E189" s="190">
        <v>2.3189045275850999</v>
      </c>
      <c r="F189" s="142">
        <v>2.3189045275850999</v>
      </c>
      <c r="G189" s="142">
        <v>2.3189045275850999</v>
      </c>
      <c r="H189" s="142">
        <v>2.3189045275850999</v>
      </c>
      <c r="I189" s="142">
        <v>2.3189045275850999</v>
      </c>
      <c r="J189" t="s">
        <v>1959</v>
      </c>
      <c r="K189" s="473">
        <v>2.4700000000000002</v>
      </c>
      <c r="L189" t="b">
        <v>1</v>
      </c>
      <c r="M189" s="18"/>
    </row>
    <row r="190" spans="1:14">
      <c r="B190" t="str">
        <f>DataNameEmp3 &amp; " Cost Cogs Region 1"</f>
        <v>Labor Cost Cogs Region 1</v>
      </c>
      <c r="D190" s="1372">
        <f>cbal!E190</f>
        <v>1.5168384461231603</v>
      </c>
      <c r="E190" s="190">
        <v>1.5640454075223869</v>
      </c>
      <c r="F190" s="142">
        <v>1.5640454075223869</v>
      </c>
      <c r="G190" s="142">
        <v>1.5640454075223869</v>
      </c>
      <c r="H190" s="142">
        <v>1.5640454075223869</v>
      </c>
      <c r="I190" s="142">
        <v>1.5640454075223869</v>
      </c>
      <c r="J190" t="s">
        <v>2613</v>
      </c>
      <c r="K190" s="473">
        <v>0.71337060686903031</v>
      </c>
      <c r="L190" t="b">
        <v>1</v>
      </c>
      <c r="M190" s="18"/>
    </row>
    <row r="191" spans="1:14">
      <c r="B191" t="str">
        <f>DataNameEmp3 &amp; " Cost Cogs Region 2"</f>
        <v>Labor Cost Cogs Region 2</v>
      </c>
      <c r="D191" s="1372">
        <f>cbal!E191</f>
        <v>0.40686197998307172</v>
      </c>
      <c r="E191" s="190">
        <v>0.43136476515149375</v>
      </c>
      <c r="F191" s="142">
        <v>0.43136476515149375</v>
      </c>
      <c r="G191" s="142">
        <v>0.43136476515149375</v>
      </c>
      <c r="H191" s="142">
        <v>0.43136476515149375</v>
      </c>
      <c r="I191" s="142">
        <v>0.43136476515149375</v>
      </c>
      <c r="J191" t="s">
        <v>2614</v>
      </c>
      <c r="K191" s="473">
        <v>0.37</v>
      </c>
      <c r="L191" t="b">
        <v>1</v>
      </c>
      <c r="M191" s="18"/>
    </row>
    <row r="192" spans="1:14">
      <c r="B192" t="str">
        <f>DataNamePlant1 &amp; " Mach Cost cogs"</f>
        <v>Plant Mach Cost cogs</v>
      </c>
      <c r="D192" s="142">
        <f ca="1">cbal!E192</f>
        <v>8.8978198203173986E-4</v>
      </c>
      <c r="E192" s="190">
        <v>8.6282086928837081E-4</v>
      </c>
      <c r="F192" s="142">
        <v>8.6282086928837081E-4</v>
      </c>
      <c r="G192" s="142">
        <v>8.6282086928837081E-4</v>
      </c>
      <c r="H192" s="142">
        <v>8.6282086928837081E-4</v>
      </c>
      <c r="I192" s="142">
        <v>8.6282086928837081E-4</v>
      </c>
      <c r="J192" t="s">
        <v>2687</v>
      </c>
      <c r="K192" s="473">
        <v>5.2681446983694107E-4</v>
      </c>
      <c r="L192" t="b">
        <v>1</v>
      </c>
      <c r="M192" s="18"/>
    </row>
    <row r="193" spans="1:13">
      <c r="B193" t="s">
        <v>1952</v>
      </c>
      <c r="D193" s="142">
        <f>cbal!E193</f>
        <v>0.22266795395861044</v>
      </c>
      <c r="E193" s="190">
        <v>0.22411679560816383</v>
      </c>
      <c r="F193" s="142">
        <v>0.22411679560816383</v>
      </c>
      <c r="G193" s="142">
        <v>0.22411679560816383</v>
      </c>
      <c r="H193" s="142">
        <v>0.22411679560816383</v>
      </c>
      <c r="I193" s="142">
        <v>0.22411679560816383</v>
      </c>
      <c r="J193" t="s">
        <v>1954</v>
      </c>
      <c r="K193" s="473">
        <v>0.25755316557603342</v>
      </c>
      <c r="L193" t="b">
        <v>1</v>
      </c>
      <c r="M193" s="18"/>
    </row>
    <row r="194" spans="1:13">
      <c r="D194" s="10"/>
      <c r="E194" s="189"/>
      <c r="F194" s="33"/>
      <c r="G194" s="33"/>
      <c r="H194" s="33"/>
      <c r="I194" s="33"/>
      <c r="K194" s="473"/>
      <c r="L194" t="b">
        <v>1</v>
      </c>
      <c r="M194" s="18"/>
    </row>
    <row r="195" spans="1:13">
      <c r="A195" s="2" t="str">
        <f>DataNameProd2</f>
        <v>Breakthrough</v>
      </c>
      <c r="D195" s="10"/>
      <c r="E195" s="189"/>
      <c r="F195" s="33"/>
      <c r="G195" s="33"/>
      <c r="H195" s="33"/>
      <c r="I195" s="33"/>
      <c r="K195" s="473"/>
      <c r="L195" t="b">
        <v>1</v>
      </c>
      <c r="M195" s="18"/>
    </row>
    <row r="196" spans="1:13">
      <c r="A196" s="2"/>
      <c r="B196" t="s">
        <v>1714</v>
      </c>
      <c r="D196" s="10">
        <v>10</v>
      </c>
      <c r="E196" s="189">
        <v>1</v>
      </c>
      <c r="F196" s="33">
        <v>1</v>
      </c>
      <c r="G196" s="33">
        <v>1</v>
      </c>
      <c r="H196" s="33">
        <v>1</v>
      </c>
      <c r="I196" s="33">
        <v>1</v>
      </c>
      <c r="J196" t="s">
        <v>1805</v>
      </c>
      <c r="K196" s="473">
        <v>10</v>
      </c>
      <c r="L196" t="b">
        <v>1</v>
      </c>
      <c r="M196" s="18"/>
    </row>
    <row r="197" spans="1:13">
      <c r="A197" s="2"/>
      <c r="B197" t="s">
        <v>1715</v>
      </c>
      <c r="D197" s="10">
        <v>20</v>
      </c>
      <c r="E197" s="189">
        <v>1</v>
      </c>
      <c r="F197" s="33">
        <v>1</v>
      </c>
      <c r="G197" s="33">
        <v>1</v>
      </c>
      <c r="H197" s="33">
        <v>1</v>
      </c>
      <c r="I197" s="33">
        <v>1</v>
      </c>
      <c r="J197" t="s">
        <v>2708</v>
      </c>
      <c r="K197" s="473">
        <v>20</v>
      </c>
      <c r="L197" t="b">
        <v>1</v>
      </c>
      <c r="M197" s="18"/>
    </row>
    <row r="198" spans="1:13">
      <c r="A198" s="2"/>
      <c r="B198" s="905" t="s">
        <v>4100</v>
      </c>
      <c r="D198" s="398">
        <f>cbal!E198</f>
        <v>0</v>
      </c>
      <c r="E198" s="189">
        <v>0</v>
      </c>
      <c r="F198" s="33">
        <v>0</v>
      </c>
      <c r="G198" s="33">
        <v>0</v>
      </c>
      <c r="H198" s="33">
        <v>0</v>
      </c>
      <c r="I198" s="33">
        <v>0</v>
      </c>
      <c r="J198" t="s">
        <v>3659</v>
      </c>
      <c r="K198" s="473">
        <v>0</v>
      </c>
      <c r="L198" t="b">
        <v>1</v>
      </c>
      <c r="M198" s="18"/>
    </row>
    <row r="199" spans="1:13">
      <c r="A199" s="2"/>
      <c r="B199" s="905" t="s">
        <v>4101</v>
      </c>
      <c r="D199" s="398">
        <f>cbal!E199</f>
        <v>0</v>
      </c>
      <c r="E199" s="189">
        <v>0</v>
      </c>
      <c r="F199" s="33">
        <v>0</v>
      </c>
      <c r="G199" s="33">
        <v>0</v>
      </c>
      <c r="H199" s="33">
        <v>0</v>
      </c>
      <c r="I199" s="33">
        <v>0</v>
      </c>
      <c r="J199" t="s">
        <v>3660</v>
      </c>
      <c r="K199" s="473">
        <v>0</v>
      </c>
      <c r="L199" t="b">
        <v>1</v>
      </c>
      <c r="M199" s="18"/>
    </row>
    <row r="200" spans="1:13">
      <c r="A200" s="2"/>
      <c r="B200" s="905" t="s">
        <v>4102</v>
      </c>
      <c r="D200" s="398">
        <f>cbal!E200</f>
        <v>0</v>
      </c>
      <c r="E200" s="189">
        <v>0</v>
      </c>
      <c r="F200" s="33">
        <v>0</v>
      </c>
      <c r="G200" s="33">
        <v>0</v>
      </c>
      <c r="H200" s="33">
        <v>0</v>
      </c>
      <c r="I200" s="33">
        <v>0</v>
      </c>
      <c r="J200" t="s">
        <v>3464</v>
      </c>
      <c r="K200" s="473">
        <v>0</v>
      </c>
      <c r="L200" t="b">
        <v>1</v>
      </c>
      <c r="M200" s="18"/>
    </row>
    <row r="201" spans="1:13">
      <c r="A201" s="2"/>
      <c r="B201" s="905" t="s">
        <v>4103</v>
      </c>
      <c r="D201" s="398">
        <f>cbal!E201</f>
        <v>0</v>
      </c>
      <c r="E201" s="189">
        <v>0</v>
      </c>
      <c r="F201" s="33">
        <v>0</v>
      </c>
      <c r="G201" s="33">
        <v>0</v>
      </c>
      <c r="H201" s="33">
        <v>0</v>
      </c>
      <c r="I201" s="33">
        <v>0</v>
      </c>
      <c r="J201" t="s">
        <v>3465</v>
      </c>
      <c r="K201" s="473">
        <v>0</v>
      </c>
      <c r="L201" t="b">
        <v>1</v>
      </c>
      <c r="M201" s="18"/>
    </row>
    <row r="202" spans="1:13">
      <c r="A202" s="2"/>
      <c r="B202" t="s">
        <v>3555</v>
      </c>
      <c r="D202" s="398">
        <f>cbal!E202</f>
        <v>0</v>
      </c>
      <c r="E202" s="189">
        <v>0</v>
      </c>
      <c r="F202" s="33">
        <v>0</v>
      </c>
      <c r="G202" s="33">
        <v>0</v>
      </c>
      <c r="H202" s="33">
        <v>0</v>
      </c>
      <c r="I202" s="33">
        <v>0</v>
      </c>
      <c r="J202" t="s">
        <v>2711</v>
      </c>
      <c r="K202" s="473">
        <v>0</v>
      </c>
      <c r="L202" t="b">
        <v>1</v>
      </c>
      <c r="M202" s="18"/>
    </row>
    <row r="203" spans="1:13">
      <c r="A203" s="2"/>
      <c r="B203" t="s">
        <v>3556</v>
      </c>
      <c r="D203" s="398">
        <f>cbal!E203</f>
        <v>0</v>
      </c>
      <c r="E203" s="189">
        <v>0</v>
      </c>
      <c r="F203" s="33">
        <v>0</v>
      </c>
      <c r="G203" s="33">
        <v>0</v>
      </c>
      <c r="H203" s="33">
        <v>0</v>
      </c>
      <c r="I203" s="33">
        <v>0</v>
      </c>
      <c r="J203" t="s">
        <v>2712</v>
      </c>
      <c r="K203" s="473">
        <v>0</v>
      </c>
      <c r="L203" t="b">
        <v>1</v>
      </c>
      <c r="M203" s="18"/>
    </row>
    <row r="204" spans="1:13">
      <c r="A204" s="2"/>
      <c r="B204" t="s">
        <v>3838</v>
      </c>
      <c r="D204" s="398">
        <f>cbal!E204</f>
        <v>0</v>
      </c>
      <c r="E204" s="189">
        <v>0</v>
      </c>
      <c r="F204" s="33">
        <v>0</v>
      </c>
      <c r="G204" s="33">
        <v>0</v>
      </c>
      <c r="H204" s="33">
        <v>0</v>
      </c>
      <c r="I204" s="33">
        <v>0</v>
      </c>
      <c r="J204" t="s">
        <v>3447</v>
      </c>
      <c r="K204" s="473">
        <v>0</v>
      </c>
      <c r="L204" t="b">
        <v>1</v>
      </c>
      <c r="M204" s="18"/>
    </row>
    <row r="205" spans="1:13">
      <c r="A205" s="2"/>
      <c r="B205" t="s">
        <v>3839</v>
      </c>
      <c r="D205" s="398">
        <f>cbal!E205</f>
        <v>0</v>
      </c>
      <c r="E205" s="189">
        <v>0</v>
      </c>
      <c r="F205" s="33">
        <v>0</v>
      </c>
      <c r="G205" s="33">
        <v>0</v>
      </c>
      <c r="H205" s="33">
        <v>0</v>
      </c>
      <c r="I205" s="33">
        <v>0</v>
      </c>
      <c r="J205" t="s">
        <v>3448</v>
      </c>
      <c r="K205" s="473">
        <v>0</v>
      </c>
      <c r="L205" t="b">
        <v>1</v>
      </c>
      <c r="M205" s="18"/>
    </row>
    <row r="206" spans="1:13">
      <c r="A206" s="2"/>
      <c r="B206" t="s">
        <v>1054</v>
      </c>
      <c r="D206" s="10">
        <f>cbal!E206</f>
        <v>0</v>
      </c>
      <c r="E206" s="189">
        <v>0</v>
      </c>
      <c r="F206" s="33">
        <v>0</v>
      </c>
      <c r="G206" s="33">
        <v>0</v>
      </c>
      <c r="H206" s="33">
        <v>0</v>
      </c>
      <c r="I206" s="33">
        <v>0</v>
      </c>
      <c r="J206" t="s">
        <v>2981</v>
      </c>
      <c r="K206" s="473">
        <v>0</v>
      </c>
      <c r="L206" t="b">
        <v>1</v>
      </c>
      <c r="M206" s="18"/>
    </row>
    <row r="207" spans="1:13">
      <c r="A207" s="2"/>
      <c r="B207" t="s">
        <v>1639</v>
      </c>
      <c r="D207" s="10">
        <f>cbal!E207</f>
        <v>0</v>
      </c>
      <c r="E207" s="189">
        <v>0</v>
      </c>
      <c r="F207" s="33">
        <v>0</v>
      </c>
      <c r="G207" s="33">
        <v>0</v>
      </c>
      <c r="H207" s="33">
        <v>0</v>
      </c>
      <c r="I207" s="33">
        <v>0</v>
      </c>
      <c r="J207" t="s">
        <v>379</v>
      </c>
      <c r="K207" s="473">
        <v>0</v>
      </c>
      <c r="L207" t="b">
        <v>1</v>
      </c>
      <c r="M207" s="18"/>
    </row>
    <row r="208" spans="1:13">
      <c r="A208" s="2"/>
      <c r="B208" t="s">
        <v>1640</v>
      </c>
      <c r="D208" s="10">
        <f>cbal!E208</f>
        <v>0</v>
      </c>
      <c r="E208" s="189">
        <v>0</v>
      </c>
      <c r="F208" s="33">
        <v>0</v>
      </c>
      <c r="G208" s="33">
        <v>0</v>
      </c>
      <c r="H208" s="33">
        <v>0</v>
      </c>
      <c r="I208" s="33">
        <v>0</v>
      </c>
      <c r="J208" t="s">
        <v>2982</v>
      </c>
      <c r="K208" s="473">
        <v>0</v>
      </c>
      <c r="L208" t="b">
        <v>1</v>
      </c>
      <c r="M208" s="18"/>
    </row>
    <row r="209" spans="1:13">
      <c r="A209" s="2"/>
      <c r="B209" t="s">
        <v>1716</v>
      </c>
      <c r="D209" s="10">
        <f>cbal!E209</f>
        <v>2</v>
      </c>
      <c r="E209" s="189">
        <v>2</v>
      </c>
      <c r="F209" s="33">
        <v>2</v>
      </c>
      <c r="G209" s="33">
        <v>2</v>
      </c>
      <c r="H209" s="33">
        <v>2</v>
      </c>
      <c r="I209" s="33">
        <v>2</v>
      </c>
      <c r="J209" t="s">
        <v>2983</v>
      </c>
      <c r="K209" s="473">
        <v>0</v>
      </c>
      <c r="L209" t="b">
        <v>1</v>
      </c>
      <c r="M209" s="18"/>
    </row>
    <row r="210" spans="1:13">
      <c r="A210" s="2"/>
      <c r="B210" t="s">
        <v>1717</v>
      </c>
      <c r="D210" s="10">
        <f>cbal!E210</f>
        <v>2</v>
      </c>
      <c r="E210" s="189">
        <v>2</v>
      </c>
      <c r="F210" s="33">
        <v>2</v>
      </c>
      <c r="G210" s="33">
        <v>2</v>
      </c>
      <c r="H210" s="33">
        <v>2</v>
      </c>
      <c r="I210" s="33">
        <v>2</v>
      </c>
      <c r="K210" s="473">
        <v>0</v>
      </c>
      <c r="L210" t="b">
        <v>1</v>
      </c>
      <c r="M210" s="18"/>
    </row>
    <row r="211" spans="1:13">
      <c r="B211" t="s">
        <v>2493</v>
      </c>
      <c r="D211" s="10">
        <f>cbal!E211</f>
        <v>0</v>
      </c>
      <c r="E211" s="190">
        <v>0</v>
      </c>
      <c r="F211" s="142">
        <v>0</v>
      </c>
      <c r="G211" s="142">
        <v>0</v>
      </c>
      <c r="H211" s="142">
        <v>0</v>
      </c>
      <c r="I211" s="142">
        <v>0</v>
      </c>
      <c r="J211" t="s">
        <v>3049</v>
      </c>
      <c r="K211" s="473">
        <v>0</v>
      </c>
      <c r="L211" t="b">
        <v>1</v>
      </c>
      <c r="M211" s="18"/>
    </row>
    <row r="212" spans="1:13">
      <c r="B212" t="s">
        <v>3048</v>
      </c>
      <c r="D212" s="10">
        <f>cbal!E212</f>
        <v>0</v>
      </c>
      <c r="E212" s="190">
        <v>0</v>
      </c>
      <c r="F212" s="142">
        <v>0</v>
      </c>
      <c r="G212" s="142">
        <v>0</v>
      </c>
      <c r="H212" s="142">
        <v>0</v>
      </c>
      <c r="I212" s="142">
        <v>0</v>
      </c>
      <c r="J212" t="s">
        <v>2843</v>
      </c>
      <c r="K212" s="473">
        <v>0</v>
      </c>
      <c r="L212" t="b">
        <v>1</v>
      </c>
      <c r="M212" s="18"/>
    </row>
    <row r="213" spans="1:13">
      <c r="B213" t="str">
        <f>DataNameEmp3 &amp; " Cost Cogs Breakthrough 1 Region 1"</f>
        <v>Labor Cost Cogs Breakthrough 1 Region 1</v>
      </c>
      <c r="D213" s="10">
        <f>cbal!E213</f>
        <v>0</v>
      </c>
      <c r="E213" s="190">
        <v>0</v>
      </c>
      <c r="F213" s="142">
        <v>0</v>
      </c>
      <c r="G213" s="142">
        <v>0</v>
      </c>
      <c r="H213" s="142">
        <v>0</v>
      </c>
      <c r="I213" s="142">
        <v>0</v>
      </c>
      <c r="J213" t="s">
        <v>2688</v>
      </c>
      <c r="K213" s="473">
        <v>0</v>
      </c>
      <c r="L213" t="b">
        <v>1</v>
      </c>
      <c r="M213" s="18"/>
    </row>
    <row r="214" spans="1:13">
      <c r="B214" t="str">
        <f>DataNameEmp3 &amp; " Cost Cogs Breakthrough 1 Region 2"</f>
        <v>Labor Cost Cogs Breakthrough 1 Region 2</v>
      </c>
      <c r="D214" s="10">
        <f>cbal!E214</f>
        <v>0</v>
      </c>
      <c r="E214" s="190">
        <v>0</v>
      </c>
      <c r="F214" s="142">
        <v>0</v>
      </c>
      <c r="G214" s="142">
        <v>0</v>
      </c>
      <c r="H214" s="142">
        <v>0</v>
      </c>
      <c r="I214" s="142">
        <v>0</v>
      </c>
      <c r="K214" s="473">
        <v>0</v>
      </c>
      <c r="L214" t="b">
        <v>1</v>
      </c>
      <c r="M214" s="18"/>
    </row>
    <row r="215" spans="1:13">
      <c r="B215" t="str">
        <f>DataNameEmp3 &amp; " Cost Cogs Breakthrough 2 Region 1"</f>
        <v>Labor Cost Cogs Breakthrough 2 Region 1</v>
      </c>
      <c r="D215" s="10">
        <f>cbal!E215</f>
        <v>0</v>
      </c>
      <c r="E215" s="190">
        <v>0</v>
      </c>
      <c r="F215" s="142">
        <v>0</v>
      </c>
      <c r="G215" s="142">
        <v>0</v>
      </c>
      <c r="H215" s="142">
        <v>0</v>
      </c>
      <c r="I215" s="142">
        <v>0</v>
      </c>
      <c r="K215" s="473">
        <v>0</v>
      </c>
      <c r="L215" t="b">
        <v>1</v>
      </c>
      <c r="M215" s="18"/>
    </row>
    <row r="216" spans="1:13">
      <c r="B216" t="str">
        <f>DataNameEmp3 &amp; " Cost Cogs Breakthrough 2 Region 2"</f>
        <v>Labor Cost Cogs Breakthrough 2 Region 2</v>
      </c>
      <c r="D216" s="10">
        <f>cbal!E216</f>
        <v>0</v>
      </c>
      <c r="E216" s="190">
        <v>0</v>
      </c>
      <c r="F216" s="142">
        <v>0</v>
      </c>
      <c r="G216" s="142">
        <v>0</v>
      </c>
      <c r="H216" s="142">
        <v>0</v>
      </c>
      <c r="I216" s="142">
        <v>0</v>
      </c>
      <c r="K216" s="473">
        <v>0</v>
      </c>
      <c r="L216" t="b">
        <v>1</v>
      </c>
      <c r="M216" s="18"/>
    </row>
    <row r="217" spans="1:13">
      <c r="B217" t="str">
        <f>DataNamePlant1 &amp; " 1 Mach Cost cogs"</f>
        <v>Plant 1 Mach Cost cogs</v>
      </c>
      <c r="D217" s="10">
        <f>cbal!E217</f>
        <v>0</v>
      </c>
      <c r="E217" s="190">
        <v>0</v>
      </c>
      <c r="F217" s="142">
        <v>0</v>
      </c>
      <c r="G217" s="142">
        <v>0</v>
      </c>
      <c r="H217" s="142">
        <v>0</v>
      </c>
      <c r="I217" s="142">
        <v>0</v>
      </c>
      <c r="J217" t="s">
        <v>3390</v>
      </c>
      <c r="K217" s="473">
        <v>0</v>
      </c>
      <c r="L217" t="b">
        <v>1</v>
      </c>
      <c r="M217" s="18"/>
    </row>
    <row r="218" spans="1:13">
      <c r="B218" t="str">
        <f>DataNamePlant1 &amp; " 2 Mach Cost cogs"</f>
        <v>Plant 2 Mach Cost cogs</v>
      </c>
      <c r="D218" s="10">
        <f>cbal!E218</f>
        <v>0</v>
      </c>
      <c r="E218" s="190">
        <v>0</v>
      </c>
      <c r="F218" s="142">
        <v>0</v>
      </c>
      <c r="G218" s="142">
        <v>0</v>
      </c>
      <c r="H218" s="142">
        <v>0</v>
      </c>
      <c r="I218" s="142">
        <v>0</v>
      </c>
      <c r="K218" s="473">
        <v>0</v>
      </c>
      <c r="L218" t="b">
        <v>1</v>
      </c>
      <c r="M218" s="18"/>
    </row>
    <row r="219" spans="1:13">
      <c r="B219" t="s">
        <v>1521</v>
      </c>
      <c r="D219" s="10">
        <f>cbal!E219</f>
        <v>0</v>
      </c>
      <c r="E219" s="190">
        <v>0</v>
      </c>
      <c r="F219" s="142">
        <v>0</v>
      </c>
      <c r="G219" s="142">
        <v>0</v>
      </c>
      <c r="H219" s="142">
        <v>0</v>
      </c>
      <c r="I219" s="142">
        <v>0</v>
      </c>
      <c r="J219" t="s">
        <v>2034</v>
      </c>
      <c r="K219" s="473">
        <v>0</v>
      </c>
      <c r="L219" t="b">
        <v>1</v>
      </c>
      <c r="M219" s="18"/>
    </row>
    <row r="220" spans="1:13">
      <c r="B220" t="s">
        <v>1522</v>
      </c>
      <c r="D220" s="10">
        <f>cbal!E220</f>
        <v>0</v>
      </c>
      <c r="E220" s="190">
        <v>0</v>
      </c>
      <c r="F220" s="142">
        <v>0</v>
      </c>
      <c r="G220" s="142">
        <v>0</v>
      </c>
      <c r="H220" s="142">
        <v>0</v>
      </c>
      <c r="I220" s="142">
        <v>0</v>
      </c>
      <c r="K220" s="473">
        <v>0</v>
      </c>
      <c r="L220" t="b">
        <v>1</v>
      </c>
      <c r="M220" s="18"/>
    </row>
    <row r="221" spans="1:13">
      <c r="B221" s="905" t="s">
        <v>4104</v>
      </c>
      <c r="D221" s="10">
        <f>cbal!E221</f>
        <v>0</v>
      </c>
      <c r="E221" s="190">
        <v>0</v>
      </c>
      <c r="F221" s="142">
        <v>0</v>
      </c>
      <c r="G221" s="142">
        <v>0</v>
      </c>
      <c r="H221" s="142">
        <v>0</v>
      </c>
      <c r="I221" s="142">
        <v>0</v>
      </c>
      <c r="J221" t="s">
        <v>1360</v>
      </c>
      <c r="K221" s="473">
        <v>0</v>
      </c>
      <c r="L221" t="b">
        <v>1</v>
      </c>
      <c r="M221" s="18"/>
    </row>
    <row r="222" spans="1:13">
      <c r="B222" s="905" t="s">
        <v>4105</v>
      </c>
      <c r="D222" s="10">
        <f>cbal!E222</f>
        <v>0</v>
      </c>
      <c r="E222" s="190">
        <v>0</v>
      </c>
      <c r="F222" s="142">
        <v>0</v>
      </c>
      <c r="G222" s="142">
        <v>0</v>
      </c>
      <c r="H222" s="142">
        <v>0</v>
      </c>
      <c r="I222" s="142">
        <v>0</v>
      </c>
      <c r="J222" t="s">
        <v>1361</v>
      </c>
      <c r="K222" s="473">
        <v>0</v>
      </c>
      <c r="L222" t="b">
        <v>1</v>
      </c>
      <c r="M222" s="18"/>
    </row>
    <row r="223" spans="1:13">
      <c r="D223" s="10"/>
      <c r="E223" s="189"/>
      <c r="F223" s="33"/>
      <c r="G223" s="33"/>
      <c r="H223" s="33"/>
      <c r="I223" s="33"/>
      <c r="K223" s="473"/>
      <c r="L223" t="b">
        <v>1</v>
      </c>
      <c r="M223" s="18"/>
    </row>
    <row r="224" spans="1:13">
      <c r="A224" s="2" t="str">
        <f>DataNameProd3</f>
        <v>NCB</v>
      </c>
      <c r="D224" s="10"/>
      <c r="E224" s="189"/>
      <c r="F224" s="33"/>
      <c r="G224" s="33"/>
      <c r="H224" s="33"/>
      <c r="I224" s="33"/>
      <c r="K224" s="473"/>
      <c r="L224" t="b">
        <v>1</v>
      </c>
      <c r="M224" s="18"/>
    </row>
    <row r="225" spans="1:14">
      <c r="A225" s="2"/>
      <c r="B225" t="s">
        <v>1714</v>
      </c>
      <c r="D225" s="10">
        <f>cbal!E225</f>
        <v>15</v>
      </c>
      <c r="E225" s="189">
        <v>15</v>
      </c>
      <c r="F225" s="33">
        <v>15</v>
      </c>
      <c r="G225" s="33">
        <v>15</v>
      </c>
      <c r="H225" s="33">
        <v>15</v>
      </c>
      <c r="I225" s="33">
        <v>15</v>
      </c>
      <c r="J225" t="s">
        <v>1806</v>
      </c>
      <c r="K225" s="473">
        <v>15</v>
      </c>
      <c r="L225" t="b">
        <v>1</v>
      </c>
      <c r="M225" s="18"/>
    </row>
    <row r="226" spans="1:14">
      <c r="A226" s="2"/>
      <c r="B226" t="s">
        <v>1715</v>
      </c>
      <c r="D226" s="10">
        <v>10</v>
      </c>
      <c r="E226" s="189">
        <v>10</v>
      </c>
      <c r="F226" s="33">
        <v>10</v>
      </c>
      <c r="G226" s="33">
        <v>10</v>
      </c>
      <c r="H226" s="33">
        <v>10</v>
      </c>
      <c r="I226" s="851">
        <v>10</v>
      </c>
      <c r="J226" t="s">
        <v>2700</v>
      </c>
      <c r="K226" s="473">
        <v>10</v>
      </c>
      <c r="L226" t="b">
        <v>1</v>
      </c>
      <c r="M226" s="18"/>
    </row>
    <row r="227" spans="1:14">
      <c r="A227" s="2"/>
      <c r="B227" t="s">
        <v>3555</v>
      </c>
      <c r="D227" s="10">
        <f>cbal!E227</f>
        <v>5352000000</v>
      </c>
      <c r="E227" s="463">
        <v>5338620000</v>
      </c>
      <c r="F227" s="418">
        <v>5338620000</v>
      </c>
      <c r="G227" s="418">
        <v>5338620000</v>
      </c>
      <c r="H227" s="418">
        <v>5338620000</v>
      </c>
      <c r="I227" s="418">
        <v>5338620000</v>
      </c>
      <c r="J227" t="s">
        <v>2713</v>
      </c>
      <c r="K227" s="473">
        <v>5084400000</v>
      </c>
      <c r="L227" t="b">
        <v>1</v>
      </c>
      <c r="M227" s="18"/>
      <c r="N227" s="14"/>
    </row>
    <row r="228" spans="1:14">
      <c r="A228" s="2"/>
      <c r="B228" t="s">
        <v>3556</v>
      </c>
      <c r="D228" s="10">
        <f>cbal!E228</f>
        <v>2450000000</v>
      </c>
      <c r="E228" s="463">
        <v>2371600000</v>
      </c>
      <c r="F228" s="418">
        <v>2371600000</v>
      </c>
      <c r="G228" s="418">
        <v>2371600000</v>
      </c>
      <c r="H228" s="418">
        <v>2371600000</v>
      </c>
      <c r="I228" s="418">
        <v>2371600000</v>
      </c>
      <c r="J228" t="s">
        <v>2714</v>
      </c>
      <c r="K228" s="473">
        <v>2156000000</v>
      </c>
      <c r="L228" t="b">
        <v>1</v>
      </c>
      <c r="M228" s="18"/>
      <c r="N228" s="14"/>
    </row>
    <row r="229" spans="1:14">
      <c r="A229" s="2"/>
      <c r="B229" t="s">
        <v>3842</v>
      </c>
      <c r="D229" s="10">
        <f>cbal!E229</f>
        <v>4497000000</v>
      </c>
      <c r="E229" s="463">
        <v>4483620000</v>
      </c>
      <c r="F229" s="418">
        <v>4483620000</v>
      </c>
      <c r="G229" s="418">
        <v>4483620000</v>
      </c>
      <c r="H229" s="418">
        <v>4483620000</v>
      </c>
      <c r="I229" s="418">
        <v>4483620000</v>
      </c>
      <c r="J229" t="s">
        <v>707</v>
      </c>
      <c r="K229" s="473">
        <v>4229400000</v>
      </c>
      <c r="L229" t="b">
        <v>1</v>
      </c>
      <c r="M229" s="18"/>
      <c r="N229" s="14"/>
    </row>
    <row r="230" spans="1:14">
      <c r="A230" s="2"/>
      <c r="B230" t="s">
        <v>3839</v>
      </c>
      <c r="D230" s="10">
        <f>cbal!E230</f>
        <v>2285000000</v>
      </c>
      <c r="E230" s="463">
        <v>2206600000</v>
      </c>
      <c r="F230" s="418">
        <v>2206600000</v>
      </c>
      <c r="G230" s="418">
        <v>2206600000</v>
      </c>
      <c r="H230" s="418">
        <v>2206600000</v>
      </c>
      <c r="I230" s="418">
        <v>2206600000</v>
      </c>
      <c r="J230" t="s">
        <v>708</v>
      </c>
      <c r="K230" s="473">
        <v>1991000000</v>
      </c>
      <c r="L230" t="b">
        <v>1</v>
      </c>
      <c r="M230" s="18"/>
      <c r="N230" s="14"/>
    </row>
    <row r="231" spans="1:14">
      <c r="A231" s="2"/>
      <c r="B231" t="s">
        <v>1054</v>
      </c>
      <c r="D231" s="14">
        <f>cbal!E231</f>
        <v>0</v>
      </c>
      <c r="E231" s="189">
        <v>0</v>
      </c>
      <c r="F231" s="33">
        <v>0</v>
      </c>
      <c r="G231" s="33">
        <v>0</v>
      </c>
      <c r="H231" s="33">
        <v>0</v>
      </c>
      <c r="I231" s="33">
        <v>0</v>
      </c>
      <c r="J231" t="s">
        <v>2984</v>
      </c>
      <c r="K231" s="473">
        <v>0</v>
      </c>
      <c r="L231" t="b">
        <v>1</v>
      </c>
      <c r="M231" s="18"/>
    </row>
    <row r="232" spans="1:14">
      <c r="A232" s="2"/>
      <c r="B232" t="s">
        <v>1639</v>
      </c>
      <c r="D232" s="14">
        <f>cbal!E232</f>
        <v>0</v>
      </c>
      <c r="E232" s="189">
        <v>0</v>
      </c>
      <c r="F232" s="33">
        <v>0</v>
      </c>
      <c r="G232" s="33">
        <v>0</v>
      </c>
      <c r="H232" s="33">
        <v>0</v>
      </c>
      <c r="I232" s="33">
        <v>0</v>
      </c>
      <c r="J232" t="s">
        <v>378</v>
      </c>
      <c r="K232" s="473">
        <v>0</v>
      </c>
      <c r="L232" t="b">
        <v>1</v>
      </c>
      <c r="M232" s="18"/>
    </row>
    <row r="233" spans="1:14">
      <c r="A233" s="2"/>
      <c r="B233" t="s">
        <v>1640</v>
      </c>
      <c r="D233" s="14">
        <f>cbal!E233</f>
        <v>0</v>
      </c>
      <c r="E233" s="189">
        <v>0</v>
      </c>
      <c r="F233" s="33">
        <v>0</v>
      </c>
      <c r="G233" s="33">
        <v>0</v>
      </c>
      <c r="H233" s="33">
        <v>0</v>
      </c>
      <c r="I233" s="33">
        <v>0</v>
      </c>
      <c r="J233" t="s">
        <v>3306</v>
      </c>
      <c r="K233" s="473">
        <v>0</v>
      </c>
      <c r="L233" t="b">
        <v>1</v>
      </c>
      <c r="M233" s="18"/>
    </row>
    <row r="234" spans="1:14">
      <c r="A234" s="2"/>
      <c r="B234" t="s">
        <v>1641</v>
      </c>
      <c r="D234" s="14">
        <f>cbal!E234</f>
        <v>4</v>
      </c>
      <c r="E234" s="189">
        <v>4</v>
      </c>
      <c r="F234" s="33">
        <v>4</v>
      </c>
      <c r="G234" s="33">
        <v>4</v>
      </c>
      <c r="H234" s="33">
        <v>4</v>
      </c>
      <c r="I234" s="33">
        <v>4</v>
      </c>
      <c r="J234" t="s">
        <v>3392</v>
      </c>
      <c r="K234" s="473">
        <v>4</v>
      </c>
      <c r="L234" t="b">
        <v>1</v>
      </c>
      <c r="M234" s="18"/>
    </row>
    <row r="235" spans="1:14">
      <c r="B235" t="s">
        <v>1950</v>
      </c>
      <c r="D235" s="10">
        <f>cbal!E235</f>
        <v>4.004969096</v>
      </c>
      <c r="E235" s="190">
        <v>4.004969096</v>
      </c>
      <c r="F235" s="142">
        <v>4.004969096</v>
      </c>
      <c r="G235" s="142">
        <v>4.004969096</v>
      </c>
      <c r="H235" s="142">
        <v>4.004969096</v>
      </c>
      <c r="I235" s="142">
        <v>4.004969096</v>
      </c>
      <c r="J235" t="s">
        <v>1963</v>
      </c>
      <c r="K235" s="473">
        <v>4.29</v>
      </c>
      <c r="L235" t="b">
        <v>1</v>
      </c>
      <c r="M235" s="18"/>
    </row>
    <row r="236" spans="1:14">
      <c r="B236" t="str">
        <f>DataNameEmp3 &amp; " Cost Cogs Region 1"</f>
        <v>Labor Cost Cogs Region 1</v>
      </c>
      <c r="D236" s="10">
        <f>cbal!E236</f>
        <v>1.6979012682786405</v>
      </c>
      <c r="E236" s="190">
        <v>1.750743256715964</v>
      </c>
      <c r="F236" s="142">
        <v>1.750743256715964</v>
      </c>
      <c r="G236" s="142">
        <v>1.750743256715964</v>
      </c>
      <c r="H236" s="142">
        <v>1.750743256715964</v>
      </c>
      <c r="I236" s="142">
        <v>1.750743256715964</v>
      </c>
      <c r="J236" t="s">
        <v>2615</v>
      </c>
      <c r="K236" s="473">
        <v>0.79899349926467456</v>
      </c>
      <c r="L236" t="b">
        <v>1</v>
      </c>
      <c r="M236" s="18"/>
    </row>
    <row r="237" spans="1:14">
      <c r="B237" t="str">
        <f>DataNameEmp3 &amp; " Cost Cogs Region 2"</f>
        <v>Labor Cost Cogs Region 2</v>
      </c>
      <c r="D237" s="10">
        <f>cbal!E237</f>
        <v>0.45542850894453502</v>
      </c>
      <c r="E237" s="190">
        <v>0.48285615631209455</v>
      </c>
      <c r="F237" s="142">
        <v>0.48285615631209455</v>
      </c>
      <c r="G237" s="142">
        <v>0.48285615631209455</v>
      </c>
      <c r="H237" s="142">
        <v>0.48285615631209455</v>
      </c>
      <c r="I237" s="142">
        <v>0.48285615631209455</v>
      </c>
      <c r="J237" t="s">
        <v>2616</v>
      </c>
      <c r="K237" s="473">
        <v>0.41</v>
      </c>
      <c r="L237" t="b">
        <v>1</v>
      </c>
      <c r="M237" s="18"/>
    </row>
    <row r="238" spans="1:14">
      <c r="B238" t="str">
        <f>DataNamePlant1 &amp; " Mach Cost cogs"</f>
        <v>Plant Mach Cost cogs</v>
      </c>
      <c r="D238" s="10">
        <f ca="1">cbal!E238</f>
        <v>1.8127090373750471E-3</v>
      </c>
      <c r="E238" s="190">
        <v>1.7577824893952861E-3</v>
      </c>
      <c r="F238" s="142">
        <v>1.7577824893952861E-3</v>
      </c>
      <c r="G238" s="142">
        <v>1.7577824893952861E-3</v>
      </c>
      <c r="H238" s="142">
        <v>1.7577824893952861E-3</v>
      </c>
      <c r="I238" s="142">
        <v>1.7577824893952861E-3</v>
      </c>
      <c r="J238" t="s">
        <v>1279</v>
      </c>
      <c r="K238" s="473">
        <v>1.0368921799898229E-3</v>
      </c>
      <c r="L238" t="b">
        <v>1</v>
      </c>
      <c r="M238" s="18"/>
    </row>
    <row r="239" spans="1:14">
      <c r="B239" t="s">
        <v>1952</v>
      </c>
      <c r="D239" s="10">
        <f>cbal!E239</f>
        <v>0.45363232732676845</v>
      </c>
      <c r="E239" s="190">
        <v>0.4566705539569707</v>
      </c>
      <c r="F239" s="142">
        <v>0.4566705539569707</v>
      </c>
      <c r="G239" s="142">
        <v>0.4566705539569707</v>
      </c>
      <c r="H239" s="142">
        <v>0.4566705539569707</v>
      </c>
      <c r="I239" s="142">
        <v>0.4566705539569707</v>
      </c>
      <c r="J239" t="s">
        <v>1752</v>
      </c>
      <c r="K239" s="473">
        <v>0.50635041784414303</v>
      </c>
      <c r="L239" t="b">
        <v>1</v>
      </c>
      <c r="M239" s="18"/>
    </row>
    <row r="240" spans="1:14">
      <c r="D240" s="10"/>
      <c r="E240" s="189"/>
      <c r="F240" s="33"/>
      <c r="G240" s="33"/>
      <c r="H240" s="33"/>
      <c r="I240" s="33"/>
      <c r="K240" s="473"/>
      <c r="L240" t="b">
        <v>1</v>
      </c>
      <c r="M240" s="18"/>
    </row>
    <row r="241" spans="1:14">
      <c r="A241" s="2" t="str">
        <f>DataNameProd4</f>
        <v>F&amp;S</v>
      </c>
      <c r="D241" s="10"/>
      <c r="E241" s="189"/>
      <c r="F241" s="33"/>
      <c r="G241" s="33"/>
      <c r="H241" s="33"/>
      <c r="I241" s="33"/>
      <c r="K241" s="473"/>
      <c r="L241" t="b">
        <v>1</v>
      </c>
      <c r="M241" s="18"/>
    </row>
    <row r="242" spans="1:14">
      <c r="A242" s="2"/>
      <c r="B242" t="s">
        <v>1714</v>
      </c>
      <c r="D242" s="10">
        <f>cbal!E242</f>
        <v>12.5</v>
      </c>
      <c r="E242" s="189">
        <v>12.5</v>
      </c>
      <c r="F242" s="33">
        <v>12.5</v>
      </c>
      <c r="G242" s="33">
        <v>12.5</v>
      </c>
      <c r="H242" s="33">
        <v>12.5</v>
      </c>
      <c r="I242" s="33">
        <v>12.5</v>
      </c>
      <c r="J242" t="s">
        <v>531</v>
      </c>
      <c r="K242" s="473">
        <v>12.5</v>
      </c>
      <c r="L242" t="b">
        <v>1</v>
      </c>
      <c r="M242" s="18"/>
    </row>
    <row r="243" spans="1:14">
      <c r="A243" s="2"/>
      <c r="B243" t="s">
        <v>1715</v>
      </c>
      <c r="D243" s="10">
        <f>cbal!E243</f>
        <v>9</v>
      </c>
      <c r="E243" s="189">
        <v>9</v>
      </c>
      <c r="F243" s="33">
        <v>9</v>
      </c>
      <c r="G243" s="33">
        <v>9</v>
      </c>
      <c r="H243" s="33">
        <v>9</v>
      </c>
      <c r="I243" s="1374">
        <v>9</v>
      </c>
      <c r="J243" t="s">
        <v>2699</v>
      </c>
      <c r="K243" s="473">
        <v>9</v>
      </c>
      <c r="L243" t="b">
        <v>1</v>
      </c>
      <c r="M243" s="18"/>
    </row>
    <row r="244" spans="1:14">
      <c r="A244" s="2"/>
      <c r="B244" t="s">
        <v>3555</v>
      </c>
      <c r="D244" s="10">
        <f>cbal!E244</f>
        <v>6771250000</v>
      </c>
      <c r="E244" s="189">
        <v>6771250000</v>
      </c>
      <c r="F244" s="33">
        <v>6771250000</v>
      </c>
      <c r="G244" s="33">
        <v>6771250000</v>
      </c>
      <c r="H244" s="33">
        <v>6771250000</v>
      </c>
      <c r="I244" s="851">
        <v>6771250000</v>
      </c>
      <c r="J244" t="s">
        <v>2715</v>
      </c>
      <c r="K244" s="473">
        <v>6703537500</v>
      </c>
      <c r="L244" t="b">
        <v>1</v>
      </c>
      <c r="M244" s="18"/>
      <c r="N244" s="14"/>
    </row>
    <row r="245" spans="1:14">
      <c r="A245" s="2"/>
      <c r="B245" t="s">
        <v>3556</v>
      </c>
      <c r="D245" s="10">
        <f>cbal!E245</f>
        <v>2025000000</v>
      </c>
      <c r="E245" s="189">
        <v>2025000000</v>
      </c>
      <c r="F245" s="33">
        <v>2025000000</v>
      </c>
      <c r="G245" s="33">
        <v>2025000000</v>
      </c>
      <c r="H245" s="33">
        <v>2025000000</v>
      </c>
      <c r="I245" s="851">
        <v>2025000000</v>
      </c>
      <c r="J245" t="s">
        <v>1977</v>
      </c>
      <c r="K245" s="473">
        <v>1883250000</v>
      </c>
      <c r="L245" t="b">
        <v>1</v>
      </c>
      <c r="M245" s="18"/>
      <c r="N245" s="14"/>
    </row>
    <row r="246" spans="1:14">
      <c r="A246" s="2"/>
      <c r="B246" t="s">
        <v>3838</v>
      </c>
      <c r="D246" s="10">
        <f>cbal!E246</f>
        <v>6011250000</v>
      </c>
      <c r="E246" s="189">
        <v>6011250000</v>
      </c>
      <c r="F246" s="33">
        <v>6011250000</v>
      </c>
      <c r="G246" s="33">
        <v>6011250000</v>
      </c>
      <c r="H246" s="33">
        <v>6011250000</v>
      </c>
      <c r="I246" s="851">
        <v>6011250000</v>
      </c>
      <c r="J246" t="s">
        <v>3309</v>
      </c>
      <c r="K246" s="473">
        <v>5943537500</v>
      </c>
      <c r="L246" t="b">
        <v>1</v>
      </c>
      <c r="M246" s="18"/>
      <c r="N246" s="14"/>
    </row>
    <row r="247" spans="1:14">
      <c r="A247" s="2"/>
      <c r="B247" t="s">
        <v>3839</v>
      </c>
      <c r="D247" s="10">
        <f>cbal!E247</f>
        <v>1930000000</v>
      </c>
      <c r="E247" s="189">
        <v>1930000000</v>
      </c>
      <c r="F247" s="33">
        <v>1930000000</v>
      </c>
      <c r="G247" s="33">
        <v>1930000000</v>
      </c>
      <c r="H247" s="33">
        <v>1930000000</v>
      </c>
      <c r="I247" s="851">
        <v>1930000000</v>
      </c>
      <c r="J247" t="s">
        <v>3310</v>
      </c>
      <c r="K247" s="473">
        <v>1788250000</v>
      </c>
      <c r="L247" t="b">
        <v>1</v>
      </c>
      <c r="M247" s="18"/>
      <c r="N247" s="14"/>
    </row>
    <row r="248" spans="1:14">
      <c r="A248" s="2"/>
      <c r="B248" t="s">
        <v>1054</v>
      </c>
      <c r="D248" s="14">
        <f>cbal!E248</f>
        <v>0</v>
      </c>
      <c r="E248" s="189">
        <v>0</v>
      </c>
      <c r="F248" s="33">
        <v>0</v>
      </c>
      <c r="G248" s="33">
        <v>0</v>
      </c>
      <c r="H248" s="33">
        <v>0</v>
      </c>
      <c r="I248" s="33">
        <v>0</v>
      </c>
      <c r="J248" t="s">
        <v>3393</v>
      </c>
      <c r="K248" s="473">
        <v>0</v>
      </c>
      <c r="L248" t="b">
        <v>1</v>
      </c>
      <c r="M248" s="18"/>
    </row>
    <row r="249" spans="1:14">
      <c r="A249" s="2"/>
      <c r="B249" t="s">
        <v>1639</v>
      </c>
      <c r="D249" s="14">
        <f>cbal!E249</f>
        <v>0</v>
      </c>
      <c r="E249" s="189">
        <v>0</v>
      </c>
      <c r="F249" s="33">
        <v>0</v>
      </c>
      <c r="G249" s="33">
        <v>0</v>
      </c>
      <c r="H249" s="33">
        <v>0</v>
      </c>
      <c r="I249" s="33">
        <v>0</v>
      </c>
      <c r="J249" t="s">
        <v>377</v>
      </c>
      <c r="K249" s="473">
        <v>0</v>
      </c>
      <c r="L249" t="b">
        <v>1</v>
      </c>
      <c r="M249" s="18"/>
    </row>
    <row r="250" spans="1:14">
      <c r="A250" s="2"/>
      <c r="B250" t="s">
        <v>1640</v>
      </c>
      <c r="D250" s="14">
        <f>cbal!E250</f>
        <v>1</v>
      </c>
      <c r="E250" s="189">
        <v>1</v>
      </c>
      <c r="F250" s="33">
        <v>1</v>
      </c>
      <c r="G250" s="33">
        <v>1</v>
      </c>
      <c r="H250" s="33">
        <v>1</v>
      </c>
      <c r="I250" s="33">
        <v>1</v>
      </c>
      <c r="J250" t="s">
        <v>3394</v>
      </c>
      <c r="K250" s="473">
        <v>0</v>
      </c>
      <c r="L250" t="b">
        <v>1</v>
      </c>
      <c r="M250" s="18"/>
    </row>
    <row r="251" spans="1:14">
      <c r="A251" s="2"/>
      <c r="B251" t="s">
        <v>1641</v>
      </c>
      <c r="D251" s="14">
        <f>cbal!E251</f>
        <v>4</v>
      </c>
      <c r="E251" s="189">
        <v>4</v>
      </c>
      <c r="F251" s="33">
        <v>4</v>
      </c>
      <c r="G251" s="33">
        <v>4</v>
      </c>
      <c r="H251" s="33">
        <v>4</v>
      </c>
      <c r="I251" s="33">
        <v>4</v>
      </c>
      <c r="J251" t="s">
        <v>3395</v>
      </c>
      <c r="K251" s="473">
        <v>4</v>
      </c>
      <c r="L251" t="b">
        <v>1</v>
      </c>
      <c r="M251" s="18"/>
    </row>
    <row r="252" spans="1:14">
      <c r="B252" t="s">
        <v>1950</v>
      </c>
      <c r="D252" s="10">
        <f>cbal!E252</f>
        <v>3.3147265540000004</v>
      </c>
      <c r="E252" s="190">
        <v>3.3147265540000004</v>
      </c>
      <c r="F252" s="142">
        <v>3.3147265540000004</v>
      </c>
      <c r="G252" s="142">
        <v>3.3147265540000004</v>
      </c>
      <c r="H252" s="142">
        <v>3.3147265540000004</v>
      </c>
      <c r="I252" s="142">
        <v>3.3147265540000004</v>
      </c>
      <c r="J252" t="s">
        <v>1962</v>
      </c>
      <c r="K252" s="473">
        <v>3.55</v>
      </c>
      <c r="L252" t="b">
        <v>1</v>
      </c>
      <c r="M252" s="18"/>
    </row>
    <row r="253" spans="1:14">
      <c r="B253" t="str">
        <f>DataNameEmp3 &amp; " Cost Cogs Region 1"</f>
        <v>Labor Cost Cogs Region 1</v>
      </c>
      <c r="D253" s="10">
        <f>cbal!E253</f>
        <v>1.5628409401201129</v>
      </c>
      <c r="E253" s="190">
        <v>1.6114795885681032</v>
      </c>
      <c r="F253" s="142">
        <v>1.6114795885681032</v>
      </c>
      <c r="G253" s="142">
        <v>1.6114795885681032</v>
      </c>
      <c r="H253" s="142">
        <v>1.6114795885681032</v>
      </c>
      <c r="I253" s="142">
        <v>1.6114795885681032</v>
      </c>
      <c r="J253" t="s">
        <v>2617</v>
      </c>
      <c r="K253" s="473">
        <v>0.73906898681982403</v>
      </c>
      <c r="L253" t="b">
        <v>1</v>
      </c>
      <c r="M253" s="18"/>
    </row>
    <row r="254" spans="1:14">
      <c r="B254" t="str">
        <f>DataNameEmp3 &amp; " Cost Cogs Region 2"</f>
        <v>Labor Cost Cogs Region 2</v>
      </c>
      <c r="D254" s="10">
        <f>cbal!E254</f>
        <v>0.41920124118758345</v>
      </c>
      <c r="E254" s="190">
        <v>0.44444714387817785</v>
      </c>
      <c r="F254" s="142">
        <v>0.44444714387817785</v>
      </c>
      <c r="G254" s="142">
        <v>0.44444714387817785</v>
      </c>
      <c r="H254" s="142">
        <v>0.44444714387817785</v>
      </c>
      <c r="I254" s="142">
        <v>0.44444714387817785</v>
      </c>
      <c r="J254" t="s">
        <v>2618</v>
      </c>
      <c r="K254" s="473">
        <v>0.39</v>
      </c>
      <c r="L254" t="b">
        <v>1</v>
      </c>
      <c r="M254" s="18"/>
    </row>
    <row r="255" spans="1:14">
      <c r="B255" t="str">
        <f>DataNamePlant1&amp; " Mach Cost cogs"</f>
        <v>Plant Mach Cost cogs</v>
      </c>
      <c r="D255" s="10">
        <f ca="1">cbal!E255</f>
        <v>1.5686905131130217E-3</v>
      </c>
      <c r="E255" s="190">
        <v>1.5211579235151515E-3</v>
      </c>
      <c r="F255" s="142">
        <v>1.5211579235151515E-3</v>
      </c>
      <c r="G255" s="142">
        <v>1.5211579235151515E-3</v>
      </c>
      <c r="H255" s="142">
        <v>1.5211579235151515E-3</v>
      </c>
      <c r="I255" s="142">
        <v>1.5211579235151515E-3</v>
      </c>
      <c r="J255" t="s">
        <v>1278</v>
      </c>
      <c r="K255" s="473">
        <v>7.7771856395530828E-4</v>
      </c>
      <c r="L255" t="b">
        <v>1</v>
      </c>
      <c r="M255" s="18"/>
    </row>
    <row r="256" spans="1:14">
      <c r="B256" t="s">
        <v>1952</v>
      </c>
      <c r="D256" s="10">
        <f>cbal!E256</f>
        <v>0.39191915825197443</v>
      </c>
      <c r="E256" s="190">
        <v>0.39530482377814757</v>
      </c>
      <c r="F256" s="142">
        <v>0.39530482377814757</v>
      </c>
      <c r="G256" s="142">
        <v>0.39530482377814757</v>
      </c>
      <c r="H256" s="142">
        <v>0.39530482377814757</v>
      </c>
      <c r="I256" s="142">
        <v>0.39530482377814757</v>
      </c>
      <c r="J256" t="s">
        <v>889</v>
      </c>
      <c r="K256" s="473">
        <v>0.46995631663680743</v>
      </c>
      <c r="L256" t="b">
        <v>1</v>
      </c>
      <c r="M256" s="18"/>
    </row>
    <row r="257" spans="1:13">
      <c r="D257" s="10"/>
      <c r="E257" s="189"/>
      <c r="F257" s="33"/>
      <c r="G257" s="33"/>
      <c r="H257" s="33"/>
      <c r="I257" s="33"/>
      <c r="K257" s="472"/>
      <c r="L257" t="b">
        <v>1</v>
      </c>
      <c r="M257" s="18"/>
    </row>
    <row r="258" spans="1:13">
      <c r="A258" s="2" t="str">
        <f>DataNameProd5</f>
        <v>Product Five</v>
      </c>
      <c r="D258" s="10"/>
      <c r="E258" s="189"/>
      <c r="F258" s="33"/>
      <c r="G258" s="33"/>
      <c r="H258" s="33"/>
      <c r="I258" s="33"/>
      <c r="K258" s="472"/>
      <c r="L258" t="b">
        <v>1</v>
      </c>
      <c r="M258" s="18"/>
    </row>
    <row r="259" spans="1:13">
      <c r="A259" s="2"/>
      <c r="B259" t="s">
        <v>1054</v>
      </c>
      <c r="D259" s="14">
        <f>cbal!E259</f>
        <v>0</v>
      </c>
      <c r="E259" s="189"/>
      <c r="F259" s="33"/>
      <c r="G259" s="33"/>
      <c r="H259" s="33"/>
      <c r="I259" s="33"/>
      <c r="K259" s="472"/>
      <c r="L259" t="b">
        <v>1</v>
      </c>
      <c r="M259" s="18"/>
    </row>
    <row r="260" spans="1:13">
      <c r="A260" s="2"/>
      <c r="B260" t="s">
        <v>1639</v>
      </c>
      <c r="D260" s="14">
        <f>cbal!E260</f>
        <v>0</v>
      </c>
      <c r="E260" s="189"/>
      <c r="F260" s="33"/>
      <c r="G260" s="33"/>
      <c r="H260" s="33"/>
      <c r="I260" s="33"/>
      <c r="K260" s="472"/>
      <c r="L260" t="b">
        <v>1</v>
      </c>
      <c r="M260" s="18"/>
    </row>
    <row r="261" spans="1:13">
      <c r="A261" s="2"/>
      <c r="B261" t="s">
        <v>1640</v>
      </c>
      <c r="D261" s="14">
        <f>cbal!E261</f>
        <v>0</v>
      </c>
      <c r="E261" s="189"/>
      <c r="F261" s="33"/>
      <c r="G261" s="33"/>
      <c r="H261" s="33"/>
      <c r="I261" s="33"/>
      <c r="K261" s="472"/>
      <c r="L261" t="b">
        <v>1</v>
      </c>
      <c r="M261" s="18"/>
    </row>
    <row r="262" spans="1:13">
      <c r="A262" s="2"/>
      <c r="B262" t="s">
        <v>1641</v>
      </c>
      <c r="D262" s="14">
        <f>cbal!E262</f>
        <v>0</v>
      </c>
      <c r="E262" s="189"/>
      <c r="F262" s="33"/>
      <c r="G262" s="33"/>
      <c r="H262" s="33"/>
      <c r="I262" s="33"/>
      <c r="K262" s="472"/>
      <c r="L262" t="b">
        <v>1</v>
      </c>
      <c r="M262" s="18"/>
    </row>
    <row r="263" spans="1:13">
      <c r="B263" t="s">
        <v>1950</v>
      </c>
      <c r="D263" s="14">
        <f>cbal!E263</f>
        <v>0</v>
      </c>
      <c r="E263" s="190"/>
      <c r="F263" s="142"/>
      <c r="G263" s="142"/>
      <c r="H263" s="142"/>
      <c r="I263" s="142"/>
      <c r="J263" t="s">
        <v>1961</v>
      </c>
      <c r="K263" s="472"/>
      <c r="L263" t="b">
        <v>1</v>
      </c>
      <c r="M263" s="18"/>
    </row>
    <row r="264" spans="1:13">
      <c r="B264" t="s">
        <v>1951</v>
      </c>
      <c r="D264" s="14">
        <f>cbal!E264</f>
        <v>0</v>
      </c>
      <c r="E264" s="190"/>
      <c r="F264" s="142"/>
      <c r="G264" s="142"/>
      <c r="H264" s="142"/>
      <c r="I264" s="142"/>
      <c r="J264" t="s">
        <v>890</v>
      </c>
      <c r="K264" s="472"/>
      <c r="L264" t="b">
        <v>1</v>
      </c>
      <c r="M264" s="18"/>
    </row>
    <row r="265" spans="1:13">
      <c r="B265" t="s">
        <v>1953</v>
      </c>
      <c r="D265" s="14">
        <f>cbal!E265</f>
        <v>0</v>
      </c>
      <c r="E265" s="190"/>
      <c r="F265" s="142"/>
      <c r="G265" s="142"/>
      <c r="H265" s="142"/>
      <c r="I265" s="142"/>
      <c r="J265" t="s">
        <v>935</v>
      </c>
      <c r="K265" s="472"/>
      <c r="L265" t="b">
        <v>1</v>
      </c>
      <c r="M265" s="18"/>
    </row>
    <row r="266" spans="1:13">
      <c r="B266" t="s">
        <v>1952</v>
      </c>
      <c r="D266" s="14">
        <f>cbal!E266</f>
        <v>0</v>
      </c>
      <c r="E266" s="190"/>
      <c r="F266" s="142"/>
      <c r="G266" s="142"/>
      <c r="H266" s="142"/>
      <c r="I266" s="142"/>
      <c r="J266" t="s">
        <v>936</v>
      </c>
      <c r="K266" s="472"/>
      <c r="L266" t="b">
        <v>1</v>
      </c>
      <c r="M266" s="18"/>
    </row>
    <row r="267" spans="1:13">
      <c r="D267" s="10"/>
      <c r="E267" s="189"/>
      <c r="F267" s="33"/>
      <c r="G267" s="33"/>
      <c r="H267" s="33"/>
      <c r="I267" s="33"/>
      <c r="K267" s="472"/>
      <c r="L267" t="b">
        <v>1</v>
      </c>
      <c r="M267" s="18"/>
    </row>
    <row r="268" spans="1:13">
      <c r="A268" s="2" t="str">
        <f>DataNameProd6</f>
        <v>Product Six</v>
      </c>
      <c r="D268" s="10"/>
      <c r="E268" s="189"/>
      <c r="F268" s="33"/>
      <c r="G268" s="33"/>
      <c r="H268" s="33"/>
      <c r="I268" s="33"/>
      <c r="K268" s="472"/>
      <c r="L268" t="b">
        <v>1</v>
      </c>
      <c r="M268" s="18"/>
    </row>
    <row r="269" spans="1:13">
      <c r="A269" s="2"/>
      <c r="B269" t="s">
        <v>1054</v>
      </c>
      <c r="D269" s="14">
        <f>cbal!E269</f>
        <v>0</v>
      </c>
      <c r="E269" s="189"/>
      <c r="F269" s="33"/>
      <c r="G269" s="33"/>
      <c r="H269" s="33"/>
      <c r="I269" s="33"/>
      <c r="K269" s="472"/>
      <c r="L269" t="b">
        <v>1</v>
      </c>
      <c r="M269" s="18"/>
    </row>
    <row r="270" spans="1:13">
      <c r="A270" s="2"/>
      <c r="B270" t="s">
        <v>1639</v>
      </c>
      <c r="D270" s="14">
        <f>cbal!E270</f>
        <v>0</v>
      </c>
      <c r="E270" s="189"/>
      <c r="F270" s="33"/>
      <c r="G270" s="33"/>
      <c r="H270" s="33"/>
      <c r="I270" s="33"/>
      <c r="K270" s="472"/>
      <c r="L270" t="b">
        <v>1</v>
      </c>
      <c r="M270" s="18"/>
    </row>
    <row r="271" spans="1:13">
      <c r="A271" s="2"/>
      <c r="B271" t="s">
        <v>1640</v>
      </c>
      <c r="D271" s="14">
        <f>cbal!E271</f>
        <v>0</v>
      </c>
      <c r="E271" s="189"/>
      <c r="F271" s="33"/>
      <c r="G271" s="33"/>
      <c r="H271" s="33"/>
      <c r="I271" s="33"/>
      <c r="K271" s="472"/>
      <c r="L271" t="b">
        <v>1</v>
      </c>
      <c r="M271" s="18"/>
    </row>
    <row r="272" spans="1:13">
      <c r="B272" t="s">
        <v>1641</v>
      </c>
      <c r="D272" s="14">
        <f>cbal!E272</f>
        <v>0</v>
      </c>
      <c r="E272" s="189"/>
      <c r="F272" s="33"/>
      <c r="G272" s="33"/>
      <c r="H272" s="33"/>
      <c r="I272" s="33"/>
      <c r="K272" s="472"/>
      <c r="L272" t="b">
        <v>1</v>
      </c>
      <c r="M272" s="18"/>
    </row>
    <row r="273" spans="1:13">
      <c r="B273" t="s">
        <v>1950</v>
      </c>
      <c r="D273" s="14">
        <f>cbal!E273</f>
        <v>0</v>
      </c>
      <c r="E273" s="190"/>
      <c r="F273" s="142"/>
      <c r="G273" s="142"/>
      <c r="H273" s="142"/>
      <c r="I273" s="142"/>
      <c r="J273" t="s">
        <v>1960</v>
      </c>
      <c r="K273" s="472"/>
      <c r="L273" t="b">
        <v>1</v>
      </c>
      <c r="M273" s="18"/>
    </row>
    <row r="274" spans="1:13">
      <c r="B274" t="s">
        <v>1951</v>
      </c>
      <c r="D274" s="14">
        <f>cbal!E274</f>
        <v>0</v>
      </c>
      <c r="E274" s="190"/>
      <c r="F274" s="142"/>
      <c r="G274" s="142"/>
      <c r="H274" s="142"/>
      <c r="I274" s="142"/>
      <c r="J274" t="s">
        <v>937</v>
      </c>
      <c r="K274" s="472"/>
      <c r="L274" t="b">
        <v>1</v>
      </c>
      <c r="M274" s="18"/>
    </row>
    <row r="275" spans="1:13">
      <c r="B275" t="s">
        <v>1953</v>
      </c>
      <c r="D275" s="14">
        <f>cbal!E275</f>
        <v>0</v>
      </c>
      <c r="E275" s="190"/>
      <c r="F275" s="142"/>
      <c r="G275" s="142"/>
      <c r="H275" s="142"/>
      <c r="I275" s="142"/>
      <c r="J275" t="s">
        <v>938</v>
      </c>
      <c r="K275" s="472"/>
      <c r="L275" t="b">
        <v>1</v>
      </c>
      <c r="M275" s="18"/>
    </row>
    <row r="276" spans="1:13">
      <c r="B276" t="s">
        <v>1952</v>
      </c>
      <c r="D276" s="14">
        <f>cbal!E276</f>
        <v>0</v>
      </c>
      <c r="E276" s="190"/>
      <c r="F276" s="142"/>
      <c r="G276" s="142"/>
      <c r="H276" s="142"/>
      <c r="I276" s="142"/>
      <c r="J276" t="s">
        <v>939</v>
      </c>
      <c r="K276" s="472"/>
      <c r="L276" t="b">
        <v>1</v>
      </c>
      <c r="M276" s="18"/>
    </row>
    <row r="277" spans="1:13">
      <c r="D277" s="14"/>
      <c r="E277" s="190"/>
      <c r="F277" s="142"/>
      <c r="G277" s="142"/>
      <c r="H277" s="142"/>
      <c r="I277" s="142"/>
      <c r="K277" s="472"/>
      <c r="L277" t="b">
        <v>1</v>
      </c>
      <c r="M277" s="18"/>
    </row>
    <row r="278" spans="1:13">
      <c r="A278" s="2" t="s">
        <v>1828</v>
      </c>
      <c r="D278" s="4"/>
      <c r="E278" s="189"/>
      <c r="F278" s="33"/>
      <c r="G278" s="33"/>
      <c r="H278" s="33"/>
      <c r="I278" s="33"/>
      <c r="K278" s="472"/>
      <c r="L278" t="b">
        <v>1</v>
      </c>
      <c r="M278" s="18"/>
    </row>
    <row r="279" spans="1:13">
      <c r="C279" t="s">
        <v>1831</v>
      </c>
      <c r="D279" s="4" t="s">
        <v>1832</v>
      </c>
      <c r="E279" s="189"/>
      <c r="F279" s="33"/>
      <c r="G279" s="33"/>
      <c r="H279" s="33"/>
      <c r="I279" s="33"/>
      <c r="K279" s="472"/>
      <c r="L279" t="b">
        <v>1</v>
      </c>
      <c r="M279" s="18"/>
    </row>
    <row r="280" spans="1:13">
      <c r="C280">
        <v>1</v>
      </c>
      <c r="D280" s="4" t="s">
        <v>963</v>
      </c>
      <c r="E280" s="189">
        <v>0</v>
      </c>
      <c r="F280" s="33">
        <v>0</v>
      </c>
      <c r="G280" s="33">
        <v>0</v>
      </c>
      <c r="H280" s="33">
        <v>0</v>
      </c>
      <c r="I280" s="33">
        <v>0</v>
      </c>
      <c r="J280" s="905" t="s">
        <v>4811</v>
      </c>
      <c r="K280" s="472">
        <v>0</v>
      </c>
      <c r="L280" t="b">
        <v>1</v>
      </c>
      <c r="M280" s="18"/>
    </row>
    <row r="281" spans="1:13">
      <c r="C281">
        <v>1</v>
      </c>
      <c r="D281" s="4" t="s">
        <v>964</v>
      </c>
      <c r="E281" s="189">
        <v>0</v>
      </c>
      <c r="F281" s="33">
        <v>0</v>
      </c>
      <c r="G281" s="33">
        <v>0</v>
      </c>
      <c r="H281" s="33">
        <v>0</v>
      </c>
      <c r="I281" s="33">
        <v>0</v>
      </c>
      <c r="J281" s="905" t="s">
        <v>4812</v>
      </c>
      <c r="K281" s="472">
        <v>0</v>
      </c>
      <c r="L281" t="b">
        <v>1</v>
      </c>
      <c r="M281" s="18"/>
    </row>
    <row r="282" spans="1:13">
      <c r="C282">
        <v>1</v>
      </c>
      <c r="D282" s="4" t="s">
        <v>869</v>
      </c>
      <c r="E282" s="189">
        <v>0</v>
      </c>
      <c r="F282" s="33">
        <v>0</v>
      </c>
      <c r="G282" s="33">
        <v>0</v>
      </c>
      <c r="H282" s="33">
        <v>0</v>
      </c>
      <c r="I282" s="33">
        <v>0</v>
      </c>
      <c r="J282" s="905" t="s">
        <v>4813</v>
      </c>
      <c r="K282" s="472">
        <v>0</v>
      </c>
      <c r="L282" t="b">
        <v>1</v>
      </c>
      <c r="M282" s="18"/>
    </row>
    <row r="283" spans="1:13">
      <c r="C283">
        <v>1</v>
      </c>
      <c r="D283" s="4" t="s">
        <v>870</v>
      </c>
      <c r="E283" s="189">
        <v>0</v>
      </c>
      <c r="F283" s="33">
        <v>0</v>
      </c>
      <c r="G283" s="33">
        <v>0</v>
      </c>
      <c r="H283" s="33">
        <v>0</v>
      </c>
      <c r="I283" s="33">
        <v>0</v>
      </c>
      <c r="J283" s="905" t="s">
        <v>4814</v>
      </c>
      <c r="K283" s="472">
        <v>0</v>
      </c>
      <c r="L283" t="b">
        <v>1</v>
      </c>
      <c r="M283" s="18"/>
    </row>
    <row r="284" spans="1:13">
      <c r="C284" s="4">
        <v>1</v>
      </c>
      <c r="D284" s="4" t="s">
        <v>871</v>
      </c>
      <c r="E284" s="2497">
        <v>0</v>
      </c>
      <c r="F284" s="33">
        <v>0</v>
      </c>
      <c r="G284" s="33">
        <v>0</v>
      </c>
      <c r="H284" s="33">
        <v>0</v>
      </c>
      <c r="I284" s="33">
        <v>0</v>
      </c>
      <c r="J284" s="905" t="s">
        <v>4815</v>
      </c>
      <c r="K284" s="472">
        <v>0</v>
      </c>
      <c r="L284" t="b">
        <v>1</v>
      </c>
      <c r="M284" s="18"/>
    </row>
    <row r="285" spans="1:13">
      <c r="C285">
        <v>1</v>
      </c>
      <c r="D285" s="4" t="s">
        <v>1038</v>
      </c>
      <c r="E285" s="189">
        <v>0</v>
      </c>
      <c r="F285" s="33">
        <v>0</v>
      </c>
      <c r="G285" s="33">
        <v>0</v>
      </c>
      <c r="H285" s="33">
        <v>0</v>
      </c>
      <c r="I285" s="33">
        <v>0</v>
      </c>
      <c r="J285" s="905" t="s">
        <v>4816</v>
      </c>
      <c r="K285" s="472">
        <v>0</v>
      </c>
      <c r="L285" t="b">
        <v>1</v>
      </c>
      <c r="M285" s="18"/>
    </row>
    <row r="286" spans="1:13">
      <c r="C286">
        <v>2</v>
      </c>
      <c r="D286" s="4" t="s">
        <v>963</v>
      </c>
      <c r="E286" s="189">
        <v>0</v>
      </c>
      <c r="F286" s="33">
        <v>0</v>
      </c>
      <c r="G286" s="33">
        <v>0</v>
      </c>
      <c r="H286" s="33">
        <v>0</v>
      </c>
      <c r="I286" s="33">
        <v>0</v>
      </c>
      <c r="J286" s="905" t="s">
        <v>4823</v>
      </c>
      <c r="K286" s="472">
        <v>0</v>
      </c>
      <c r="L286" t="b">
        <v>1</v>
      </c>
      <c r="M286" s="18"/>
    </row>
    <row r="287" spans="1:13">
      <c r="C287">
        <v>2</v>
      </c>
      <c r="D287" s="4" t="s">
        <v>964</v>
      </c>
      <c r="E287" s="189">
        <v>0</v>
      </c>
      <c r="F287" s="33">
        <v>0</v>
      </c>
      <c r="G287" s="33">
        <v>0</v>
      </c>
      <c r="H287" s="33">
        <v>0</v>
      </c>
      <c r="I287" s="33">
        <v>0</v>
      </c>
      <c r="J287" s="905" t="s">
        <v>4824</v>
      </c>
      <c r="K287" s="472">
        <v>0</v>
      </c>
      <c r="L287" t="b">
        <v>1</v>
      </c>
      <c r="M287" s="18"/>
    </row>
    <row r="288" spans="1:13">
      <c r="C288">
        <v>2</v>
      </c>
      <c r="D288" s="4" t="s">
        <v>869</v>
      </c>
      <c r="E288" s="189">
        <v>0</v>
      </c>
      <c r="F288" s="33">
        <v>0</v>
      </c>
      <c r="G288" s="33">
        <v>0</v>
      </c>
      <c r="H288" s="33">
        <v>0</v>
      </c>
      <c r="I288" s="33">
        <v>0</v>
      </c>
      <c r="J288" s="905" t="s">
        <v>4825</v>
      </c>
      <c r="K288" s="472">
        <v>0</v>
      </c>
      <c r="L288" t="b">
        <v>1</v>
      </c>
      <c r="M288" s="18"/>
    </row>
    <row r="289" spans="1:13">
      <c r="C289">
        <v>2</v>
      </c>
      <c r="D289" s="4" t="s">
        <v>870</v>
      </c>
      <c r="E289" s="189">
        <v>0</v>
      </c>
      <c r="F289" s="33">
        <v>0</v>
      </c>
      <c r="G289" s="33">
        <v>0</v>
      </c>
      <c r="H289" s="33">
        <v>0</v>
      </c>
      <c r="I289" s="33">
        <v>0</v>
      </c>
      <c r="J289" s="905" t="s">
        <v>4826</v>
      </c>
      <c r="K289" s="472">
        <v>0</v>
      </c>
      <c r="L289" t="b">
        <v>1</v>
      </c>
      <c r="M289" s="18"/>
    </row>
    <row r="290" spans="1:13">
      <c r="C290">
        <v>2</v>
      </c>
      <c r="D290" s="4" t="s">
        <v>871</v>
      </c>
      <c r="E290" s="189">
        <v>0</v>
      </c>
      <c r="F290" s="33">
        <v>0</v>
      </c>
      <c r="G290" s="33">
        <v>0</v>
      </c>
      <c r="H290" s="33">
        <v>0</v>
      </c>
      <c r="I290" s="33">
        <v>0</v>
      </c>
      <c r="J290" s="905" t="s">
        <v>4827</v>
      </c>
      <c r="K290" s="472">
        <v>0</v>
      </c>
      <c r="L290" t="b">
        <v>1</v>
      </c>
      <c r="M290" s="18"/>
    </row>
    <row r="291" spans="1:13">
      <c r="C291">
        <v>2</v>
      </c>
      <c r="D291" s="4" t="s">
        <v>1038</v>
      </c>
      <c r="E291" s="189">
        <v>0</v>
      </c>
      <c r="F291" s="33">
        <v>0</v>
      </c>
      <c r="G291" s="33">
        <v>0</v>
      </c>
      <c r="H291" s="33">
        <v>0</v>
      </c>
      <c r="I291" s="33">
        <v>0</v>
      </c>
      <c r="J291" s="905" t="s">
        <v>4828</v>
      </c>
      <c r="K291" s="472">
        <v>0</v>
      </c>
      <c r="L291" t="b">
        <v>1</v>
      </c>
      <c r="M291" s="18"/>
    </row>
    <row r="292" spans="1:13">
      <c r="C292">
        <v>3</v>
      </c>
      <c r="D292" s="4" t="s">
        <v>963</v>
      </c>
      <c r="E292" s="189">
        <v>0</v>
      </c>
      <c r="F292" s="33">
        <v>0</v>
      </c>
      <c r="G292" s="33">
        <v>0</v>
      </c>
      <c r="H292" s="33">
        <v>0</v>
      </c>
      <c r="I292" s="33">
        <v>0</v>
      </c>
      <c r="J292" s="905" t="s">
        <v>4817</v>
      </c>
      <c r="K292" s="472">
        <v>0</v>
      </c>
      <c r="L292" t="b">
        <v>1</v>
      </c>
      <c r="M292" s="18"/>
    </row>
    <row r="293" spans="1:13">
      <c r="C293">
        <v>3</v>
      </c>
      <c r="D293" s="4" t="s">
        <v>964</v>
      </c>
      <c r="E293" s="189">
        <v>0</v>
      </c>
      <c r="F293" s="33">
        <v>0</v>
      </c>
      <c r="G293" s="33">
        <v>0</v>
      </c>
      <c r="H293" s="33">
        <v>0</v>
      </c>
      <c r="I293" s="33">
        <v>0</v>
      </c>
      <c r="J293" s="905" t="s">
        <v>4818</v>
      </c>
      <c r="K293" s="472">
        <v>0</v>
      </c>
      <c r="L293" t="b">
        <v>1</v>
      </c>
      <c r="M293" s="18"/>
    </row>
    <row r="294" spans="1:13">
      <c r="C294">
        <v>3</v>
      </c>
      <c r="D294" s="4" t="s">
        <v>869</v>
      </c>
      <c r="E294" s="189">
        <v>0</v>
      </c>
      <c r="F294" s="33">
        <v>0</v>
      </c>
      <c r="G294" s="33">
        <v>0</v>
      </c>
      <c r="H294" s="33">
        <v>0</v>
      </c>
      <c r="I294" s="33">
        <v>0</v>
      </c>
      <c r="J294" s="905" t="s">
        <v>4819</v>
      </c>
      <c r="K294" s="472">
        <v>0</v>
      </c>
      <c r="L294" t="b">
        <v>1</v>
      </c>
      <c r="M294" s="18"/>
    </row>
    <row r="295" spans="1:13">
      <c r="C295">
        <v>3</v>
      </c>
      <c r="D295" s="4" t="s">
        <v>870</v>
      </c>
      <c r="E295" s="189">
        <v>0</v>
      </c>
      <c r="F295" s="33">
        <v>0</v>
      </c>
      <c r="G295" s="33">
        <v>0</v>
      </c>
      <c r="H295" s="33">
        <v>0</v>
      </c>
      <c r="I295" s="33">
        <v>0</v>
      </c>
      <c r="J295" s="905" t="s">
        <v>4820</v>
      </c>
      <c r="K295" s="472">
        <v>0</v>
      </c>
      <c r="L295" t="b">
        <v>1</v>
      </c>
      <c r="M295" s="18"/>
    </row>
    <row r="296" spans="1:13">
      <c r="C296">
        <v>3</v>
      </c>
      <c r="D296" s="4" t="s">
        <v>871</v>
      </c>
      <c r="E296" s="189">
        <v>0</v>
      </c>
      <c r="F296" s="33">
        <v>0</v>
      </c>
      <c r="G296" s="33">
        <v>0</v>
      </c>
      <c r="H296" s="33">
        <v>0</v>
      </c>
      <c r="I296" s="33">
        <v>0</v>
      </c>
      <c r="J296" s="905" t="s">
        <v>4821</v>
      </c>
      <c r="K296" s="472">
        <v>0</v>
      </c>
      <c r="L296" t="b">
        <v>1</v>
      </c>
      <c r="M296" s="18"/>
    </row>
    <row r="297" spans="1:13">
      <c r="C297">
        <v>3</v>
      </c>
      <c r="D297" s="4" t="s">
        <v>1038</v>
      </c>
      <c r="E297" s="189">
        <v>0</v>
      </c>
      <c r="F297" s="33">
        <v>0</v>
      </c>
      <c r="G297" s="33">
        <v>0</v>
      </c>
      <c r="H297" s="33">
        <v>0</v>
      </c>
      <c r="I297" s="33">
        <v>0</v>
      </c>
      <c r="J297" s="905" t="s">
        <v>4822</v>
      </c>
      <c r="K297" s="472">
        <v>0</v>
      </c>
      <c r="L297" t="b">
        <v>1</v>
      </c>
      <c r="M297" s="18"/>
    </row>
    <row r="298" spans="1:13">
      <c r="D298" s="4"/>
      <c r="E298" s="189">
        <v>0</v>
      </c>
      <c r="F298" s="33">
        <v>0</v>
      </c>
      <c r="G298" s="33">
        <v>0</v>
      </c>
      <c r="H298" s="33">
        <v>0</v>
      </c>
      <c r="I298" s="33">
        <v>0</v>
      </c>
      <c r="K298" s="472"/>
      <c r="L298" t="b">
        <v>1</v>
      </c>
      <c r="M298" s="18"/>
    </row>
    <row r="299" spans="1:13">
      <c r="B299" t="s">
        <v>3769</v>
      </c>
      <c r="D299" s="4"/>
      <c r="E299" s="189" t="b">
        <v>0</v>
      </c>
      <c r="F299" s="33" t="b">
        <v>0</v>
      </c>
      <c r="G299" s="33" t="b">
        <v>0</v>
      </c>
      <c r="H299" s="33" t="b">
        <v>0</v>
      </c>
      <c r="I299" s="33" t="b">
        <v>0</v>
      </c>
      <c r="J299" t="s">
        <v>3771</v>
      </c>
      <c r="K299" s="472">
        <v>0</v>
      </c>
      <c r="L299" t="b">
        <v>1</v>
      </c>
      <c r="M299" s="18"/>
    </row>
    <row r="300" spans="1:13">
      <c r="B300" t="s">
        <v>3770</v>
      </c>
      <c r="D300" s="4"/>
      <c r="E300" s="189" t="b">
        <v>0</v>
      </c>
      <c r="F300" s="33" t="b">
        <v>0</v>
      </c>
      <c r="G300" s="33" t="b">
        <v>0</v>
      </c>
      <c r="H300" s="33" t="b">
        <v>0</v>
      </c>
      <c r="I300" s="33" t="b">
        <v>0</v>
      </c>
      <c r="J300" t="s">
        <v>3772</v>
      </c>
      <c r="K300" s="472">
        <v>0</v>
      </c>
      <c r="L300" t="b">
        <v>1</v>
      </c>
      <c r="M300" s="18"/>
    </row>
    <row r="301" spans="1:13">
      <c r="D301" s="4"/>
      <c r="E301" s="189">
        <v>0</v>
      </c>
      <c r="F301" s="33">
        <v>0</v>
      </c>
      <c r="G301" s="33">
        <v>0</v>
      </c>
      <c r="H301" s="33">
        <v>0</v>
      </c>
      <c r="I301" s="33">
        <v>0</v>
      </c>
      <c r="K301" s="472"/>
      <c r="L301" t="b">
        <v>1</v>
      </c>
      <c r="M301" s="18"/>
    </row>
    <row r="302" spans="1:13">
      <c r="A302" s="2" t="s">
        <v>2432</v>
      </c>
      <c r="D302" s="14"/>
      <c r="E302" s="190">
        <v>0</v>
      </c>
      <c r="F302" s="142">
        <v>0</v>
      </c>
      <c r="G302" s="142">
        <v>0</v>
      </c>
      <c r="H302" s="142">
        <v>0</v>
      </c>
      <c r="I302" s="142">
        <v>0</v>
      </c>
      <c r="K302" s="472"/>
      <c r="L302" t="b">
        <v>1</v>
      </c>
      <c r="M302" s="18"/>
    </row>
    <row r="303" spans="1:13">
      <c r="B303" t="s">
        <v>1831</v>
      </c>
      <c r="C303" t="s">
        <v>1832</v>
      </c>
      <c r="D303" s="4" t="s">
        <v>3375</v>
      </c>
      <c r="E303" s="189">
        <v>0</v>
      </c>
      <c r="F303" s="33">
        <v>0</v>
      </c>
      <c r="G303" s="33">
        <v>0</v>
      </c>
      <c r="H303" s="33">
        <v>0</v>
      </c>
      <c r="I303" s="33">
        <v>0</v>
      </c>
      <c r="K303" s="472"/>
      <c r="L303" t="b">
        <v>1</v>
      </c>
      <c r="M303" s="18"/>
    </row>
    <row r="304" spans="1:13">
      <c r="B304">
        <v>1</v>
      </c>
      <c r="D304" s="4">
        <f t="shared" ref="D304:D315" si="0">MAX(xxYear-B304+1,0)</f>
        <v>1</v>
      </c>
      <c r="E304" s="189">
        <v>0</v>
      </c>
      <c r="F304" s="33">
        <v>0</v>
      </c>
      <c r="G304" s="33">
        <v>0</v>
      </c>
      <c r="H304" s="33">
        <v>0</v>
      </c>
      <c r="I304" s="33">
        <v>0</v>
      </c>
      <c r="J304" s="905" t="s">
        <v>4847</v>
      </c>
      <c r="K304" s="472">
        <v>0</v>
      </c>
      <c r="L304" t="b">
        <v>1</v>
      </c>
      <c r="M304" s="18"/>
    </row>
    <row r="305" spans="1:13">
      <c r="B305">
        <v>1</v>
      </c>
      <c r="D305" s="4">
        <f t="shared" si="0"/>
        <v>1</v>
      </c>
      <c r="E305" s="189">
        <v>0</v>
      </c>
      <c r="F305" s="33">
        <v>0</v>
      </c>
      <c r="G305" s="33">
        <v>0</v>
      </c>
      <c r="H305" s="33">
        <v>0</v>
      </c>
      <c r="I305" s="33">
        <v>0</v>
      </c>
      <c r="J305" s="905" t="s">
        <v>4848</v>
      </c>
      <c r="K305" s="472">
        <v>0</v>
      </c>
      <c r="L305" t="b">
        <v>1</v>
      </c>
      <c r="M305" s="18"/>
    </row>
    <row r="306" spans="1:13">
      <c r="B306">
        <v>1</v>
      </c>
      <c r="D306" s="4">
        <f t="shared" si="0"/>
        <v>1</v>
      </c>
      <c r="E306" s="189">
        <v>0</v>
      </c>
      <c r="F306" s="33">
        <v>0</v>
      </c>
      <c r="G306" s="33">
        <v>0</v>
      </c>
      <c r="H306" s="33">
        <v>0</v>
      </c>
      <c r="I306" s="33">
        <v>0</v>
      </c>
      <c r="J306" s="905" t="s">
        <v>4849</v>
      </c>
      <c r="K306" s="472">
        <v>0</v>
      </c>
      <c r="L306" t="b">
        <v>1</v>
      </c>
      <c r="M306" s="18"/>
    </row>
    <row r="307" spans="1:13">
      <c r="B307">
        <v>1</v>
      </c>
      <c r="D307" s="4">
        <f t="shared" si="0"/>
        <v>1</v>
      </c>
      <c r="E307" s="189">
        <v>0</v>
      </c>
      <c r="F307" s="33">
        <v>0</v>
      </c>
      <c r="G307" s="33">
        <v>0</v>
      </c>
      <c r="H307" s="33">
        <v>0</v>
      </c>
      <c r="I307" s="33">
        <v>0</v>
      </c>
      <c r="J307" s="905" t="s">
        <v>4850</v>
      </c>
      <c r="K307" s="472">
        <v>0</v>
      </c>
      <c r="L307" t="b">
        <v>1</v>
      </c>
      <c r="M307" s="18"/>
    </row>
    <row r="308" spans="1:13">
      <c r="B308">
        <v>2</v>
      </c>
      <c r="D308" s="4">
        <f t="shared" si="0"/>
        <v>0</v>
      </c>
      <c r="E308" s="189">
        <v>0</v>
      </c>
      <c r="F308" s="33">
        <v>0</v>
      </c>
      <c r="G308" s="33">
        <v>0</v>
      </c>
      <c r="H308" s="33">
        <v>0</v>
      </c>
      <c r="I308" s="33">
        <v>0</v>
      </c>
      <c r="J308" s="905" t="s">
        <v>4851</v>
      </c>
      <c r="K308" s="472">
        <v>0</v>
      </c>
      <c r="L308" t="b">
        <v>1</v>
      </c>
      <c r="M308" s="18"/>
    </row>
    <row r="309" spans="1:13">
      <c r="B309">
        <v>2</v>
      </c>
      <c r="D309" s="4">
        <f t="shared" si="0"/>
        <v>0</v>
      </c>
      <c r="E309" s="189">
        <v>0</v>
      </c>
      <c r="F309" s="33">
        <v>0</v>
      </c>
      <c r="G309" s="33">
        <v>0</v>
      </c>
      <c r="H309" s="33">
        <v>0</v>
      </c>
      <c r="I309" s="33">
        <v>0</v>
      </c>
      <c r="J309" s="905" t="s">
        <v>4852</v>
      </c>
      <c r="K309" s="472">
        <v>0</v>
      </c>
      <c r="L309" t="b">
        <v>1</v>
      </c>
      <c r="M309" s="18"/>
    </row>
    <row r="310" spans="1:13">
      <c r="B310">
        <v>2</v>
      </c>
      <c r="D310" s="4">
        <f t="shared" si="0"/>
        <v>0</v>
      </c>
      <c r="E310" s="189">
        <v>0</v>
      </c>
      <c r="F310" s="33">
        <v>0</v>
      </c>
      <c r="G310" s="33">
        <v>0</v>
      </c>
      <c r="H310" s="33">
        <v>0</v>
      </c>
      <c r="I310" s="33">
        <v>0</v>
      </c>
      <c r="J310" s="905" t="s">
        <v>4853</v>
      </c>
      <c r="K310" s="472">
        <v>0</v>
      </c>
      <c r="L310" t="b">
        <v>1</v>
      </c>
      <c r="M310" s="18"/>
    </row>
    <row r="311" spans="1:13">
      <c r="B311">
        <v>2</v>
      </c>
      <c r="D311" s="4">
        <f t="shared" si="0"/>
        <v>0</v>
      </c>
      <c r="E311" s="189">
        <v>0</v>
      </c>
      <c r="F311" s="33">
        <v>0</v>
      </c>
      <c r="G311" s="33">
        <v>0</v>
      </c>
      <c r="H311" s="33">
        <v>0</v>
      </c>
      <c r="I311" s="33">
        <v>0</v>
      </c>
      <c r="J311" s="905" t="s">
        <v>4854</v>
      </c>
      <c r="K311" s="472">
        <v>0</v>
      </c>
      <c r="L311" t="b">
        <v>1</v>
      </c>
      <c r="M311" s="18"/>
    </row>
    <row r="312" spans="1:13">
      <c r="B312">
        <v>3</v>
      </c>
      <c r="D312" s="4">
        <f t="shared" si="0"/>
        <v>0</v>
      </c>
      <c r="E312" s="189">
        <v>0</v>
      </c>
      <c r="F312" s="33">
        <v>0</v>
      </c>
      <c r="G312" s="33">
        <v>0</v>
      </c>
      <c r="H312" s="33">
        <v>0</v>
      </c>
      <c r="I312" s="33">
        <v>0</v>
      </c>
      <c r="J312" s="905" t="s">
        <v>4855</v>
      </c>
      <c r="K312" s="472">
        <v>0</v>
      </c>
      <c r="L312" t="b">
        <v>1</v>
      </c>
      <c r="M312" s="18"/>
    </row>
    <row r="313" spans="1:13">
      <c r="B313">
        <v>3</v>
      </c>
      <c r="D313" s="4">
        <f t="shared" si="0"/>
        <v>0</v>
      </c>
      <c r="E313" s="189">
        <v>0</v>
      </c>
      <c r="F313" s="33">
        <v>0</v>
      </c>
      <c r="G313" s="33">
        <v>0</v>
      </c>
      <c r="H313" s="33">
        <v>0</v>
      </c>
      <c r="I313" s="33">
        <v>0</v>
      </c>
      <c r="J313" s="905" t="s">
        <v>4856</v>
      </c>
      <c r="K313" s="472">
        <v>0</v>
      </c>
      <c r="L313" t="b">
        <v>1</v>
      </c>
      <c r="M313" s="18"/>
    </row>
    <row r="314" spans="1:13">
      <c r="B314">
        <v>3</v>
      </c>
      <c r="D314" s="4">
        <f t="shared" si="0"/>
        <v>0</v>
      </c>
      <c r="E314" s="189">
        <v>0</v>
      </c>
      <c r="F314" s="33">
        <v>0</v>
      </c>
      <c r="G314" s="33">
        <v>0</v>
      </c>
      <c r="H314" s="33">
        <v>0</v>
      </c>
      <c r="I314" s="33">
        <v>0</v>
      </c>
      <c r="J314" s="905" t="s">
        <v>4857</v>
      </c>
      <c r="K314" s="472">
        <v>0</v>
      </c>
      <c r="L314" t="b">
        <v>1</v>
      </c>
      <c r="M314" s="18"/>
    </row>
    <row r="315" spans="1:13">
      <c r="B315">
        <v>3</v>
      </c>
      <c r="D315" s="4">
        <f t="shared" si="0"/>
        <v>0</v>
      </c>
      <c r="E315" s="189">
        <v>0</v>
      </c>
      <c r="F315" s="33">
        <v>0</v>
      </c>
      <c r="G315" s="33">
        <v>0</v>
      </c>
      <c r="H315" s="33">
        <v>0</v>
      </c>
      <c r="I315" s="33">
        <v>0</v>
      </c>
      <c r="J315" s="905" t="s">
        <v>4858</v>
      </c>
      <c r="K315" s="472">
        <v>0</v>
      </c>
      <c r="L315" t="b">
        <v>1</v>
      </c>
      <c r="M315" s="18"/>
    </row>
    <row r="316" spans="1:13">
      <c r="A316" s="2" t="s">
        <v>876</v>
      </c>
      <c r="D316" s="4"/>
      <c r="E316" s="189">
        <v>0</v>
      </c>
      <c r="F316" s="33">
        <v>0</v>
      </c>
      <c r="G316" s="33">
        <v>0</v>
      </c>
      <c r="H316" s="33">
        <v>0</v>
      </c>
      <c r="I316" s="33">
        <v>0</v>
      </c>
      <c r="K316" s="472">
        <v>0</v>
      </c>
      <c r="L316" t="b">
        <v>1</v>
      </c>
      <c r="M316" s="18"/>
    </row>
    <row r="317" spans="1:13">
      <c r="C317" s="4">
        <v>1</v>
      </c>
      <c r="D317" s="4" t="s">
        <v>872</v>
      </c>
      <c r="E317" s="189">
        <v>0</v>
      </c>
      <c r="F317" s="33">
        <v>0</v>
      </c>
      <c r="G317" s="33">
        <v>0</v>
      </c>
      <c r="H317" s="33">
        <v>0</v>
      </c>
      <c r="I317" s="33">
        <v>0</v>
      </c>
      <c r="K317" s="472">
        <v>0</v>
      </c>
      <c r="L317" t="b">
        <v>1</v>
      </c>
      <c r="M317" s="18"/>
    </row>
    <row r="318" spans="1:13">
      <c r="C318" s="4">
        <v>1</v>
      </c>
      <c r="D318" s="4" t="s">
        <v>873</v>
      </c>
      <c r="E318" s="189">
        <v>0</v>
      </c>
      <c r="F318" s="33">
        <v>0</v>
      </c>
      <c r="G318" s="33">
        <v>0</v>
      </c>
      <c r="H318" s="33">
        <v>0</v>
      </c>
      <c r="I318" s="33">
        <v>0</v>
      </c>
      <c r="K318" s="472">
        <v>0</v>
      </c>
      <c r="L318" t="b">
        <v>1</v>
      </c>
      <c r="M318" s="18"/>
    </row>
    <row r="319" spans="1:13">
      <c r="C319" s="4">
        <v>1</v>
      </c>
      <c r="D319" s="4" t="s">
        <v>874</v>
      </c>
      <c r="E319" s="189">
        <v>0</v>
      </c>
      <c r="F319" s="33">
        <v>0</v>
      </c>
      <c r="G319" s="33">
        <v>0</v>
      </c>
      <c r="H319" s="33">
        <v>0</v>
      </c>
      <c r="I319" s="33">
        <v>0</v>
      </c>
      <c r="K319" s="472">
        <v>0</v>
      </c>
      <c r="L319" t="b">
        <v>1</v>
      </c>
      <c r="M319" s="18"/>
    </row>
    <row r="320" spans="1:13">
      <c r="C320" s="4">
        <v>1</v>
      </c>
      <c r="D320" s="4" t="s">
        <v>875</v>
      </c>
      <c r="E320" s="189">
        <v>0</v>
      </c>
      <c r="F320" s="33">
        <v>0</v>
      </c>
      <c r="G320" s="33">
        <v>0</v>
      </c>
      <c r="H320" s="33">
        <v>0</v>
      </c>
      <c r="I320" s="33">
        <v>0</v>
      </c>
      <c r="K320" s="472">
        <v>0</v>
      </c>
      <c r="L320" t="b">
        <v>1</v>
      </c>
      <c r="M320" s="18"/>
    </row>
    <row r="321" spans="1:24">
      <c r="C321">
        <v>2</v>
      </c>
      <c r="D321" s="4" t="s">
        <v>872</v>
      </c>
      <c r="E321" s="189">
        <v>0</v>
      </c>
      <c r="F321" s="33">
        <v>0</v>
      </c>
      <c r="G321" s="33">
        <v>0</v>
      </c>
      <c r="H321" s="33">
        <v>0</v>
      </c>
      <c r="I321" s="33">
        <v>0</v>
      </c>
      <c r="K321" s="472">
        <v>0</v>
      </c>
      <c r="L321" t="b">
        <v>1</v>
      </c>
      <c r="M321" s="18"/>
    </row>
    <row r="322" spans="1:24">
      <c r="C322">
        <v>2</v>
      </c>
      <c r="D322" s="4" t="s">
        <v>873</v>
      </c>
      <c r="E322" s="189">
        <v>0</v>
      </c>
      <c r="F322" s="33">
        <v>0</v>
      </c>
      <c r="G322" s="33">
        <v>0</v>
      </c>
      <c r="H322" s="33">
        <v>0</v>
      </c>
      <c r="I322" s="33">
        <v>0</v>
      </c>
      <c r="K322" s="472">
        <v>0</v>
      </c>
      <c r="L322" t="b">
        <v>1</v>
      </c>
      <c r="M322" s="18"/>
    </row>
    <row r="323" spans="1:24">
      <c r="C323">
        <v>2</v>
      </c>
      <c r="D323" s="4" t="s">
        <v>874</v>
      </c>
      <c r="E323" s="189">
        <v>0</v>
      </c>
      <c r="F323" s="33">
        <v>0</v>
      </c>
      <c r="G323" s="33">
        <v>0</v>
      </c>
      <c r="H323" s="33">
        <v>0</v>
      </c>
      <c r="I323" s="33">
        <v>0</v>
      </c>
      <c r="K323" s="472">
        <v>0</v>
      </c>
      <c r="L323" t="b">
        <v>1</v>
      </c>
      <c r="M323" s="18"/>
    </row>
    <row r="324" spans="1:24">
      <c r="C324">
        <v>2</v>
      </c>
      <c r="D324" s="4" t="s">
        <v>875</v>
      </c>
      <c r="E324" s="189">
        <v>0</v>
      </c>
      <c r="F324" s="33">
        <v>0</v>
      </c>
      <c r="G324" s="33">
        <v>0</v>
      </c>
      <c r="H324" s="33">
        <v>0</v>
      </c>
      <c r="I324" s="33">
        <v>0</v>
      </c>
      <c r="K324" s="472">
        <v>0</v>
      </c>
      <c r="L324" t="b">
        <v>1</v>
      </c>
      <c r="M324" s="18"/>
    </row>
    <row r="325" spans="1:24">
      <c r="C325">
        <v>3</v>
      </c>
      <c r="D325" s="4" t="s">
        <v>872</v>
      </c>
      <c r="E325" s="189">
        <v>0</v>
      </c>
      <c r="F325" s="33">
        <v>0</v>
      </c>
      <c r="G325" s="33">
        <v>0</v>
      </c>
      <c r="H325" s="33">
        <v>0</v>
      </c>
      <c r="I325" s="33">
        <v>0</v>
      </c>
      <c r="K325" s="472">
        <v>0</v>
      </c>
      <c r="L325" t="b">
        <v>1</v>
      </c>
      <c r="M325" s="18"/>
    </row>
    <row r="326" spans="1:24">
      <c r="C326">
        <v>3</v>
      </c>
      <c r="D326" s="4" t="s">
        <v>873</v>
      </c>
      <c r="E326" s="189">
        <v>0</v>
      </c>
      <c r="F326" s="33">
        <v>0</v>
      </c>
      <c r="G326" s="33">
        <v>0</v>
      </c>
      <c r="H326" s="33">
        <v>0</v>
      </c>
      <c r="I326" s="33">
        <v>0</v>
      </c>
      <c r="K326" s="472">
        <v>0</v>
      </c>
      <c r="L326" t="b">
        <v>1</v>
      </c>
      <c r="M326" s="18"/>
    </row>
    <row r="327" spans="1:24">
      <c r="C327">
        <v>3</v>
      </c>
      <c r="D327" s="4" t="s">
        <v>874</v>
      </c>
      <c r="E327" s="189">
        <v>0</v>
      </c>
      <c r="F327" s="33">
        <v>0</v>
      </c>
      <c r="G327" s="33">
        <v>0</v>
      </c>
      <c r="H327" s="33">
        <v>0</v>
      </c>
      <c r="I327" s="33">
        <v>0</v>
      </c>
      <c r="K327" s="472">
        <v>0</v>
      </c>
      <c r="L327" t="b">
        <v>1</v>
      </c>
      <c r="M327" s="18"/>
    </row>
    <row r="328" spans="1:24">
      <c r="C328">
        <v>3</v>
      </c>
      <c r="D328" s="4" t="s">
        <v>875</v>
      </c>
      <c r="E328" s="189">
        <v>0</v>
      </c>
      <c r="F328" s="33">
        <v>0</v>
      </c>
      <c r="G328" s="33">
        <v>0</v>
      </c>
      <c r="H328" s="33">
        <v>0</v>
      </c>
      <c r="I328" s="33">
        <v>0</v>
      </c>
      <c r="K328" s="472">
        <v>0</v>
      </c>
      <c r="L328" t="b">
        <v>1</v>
      </c>
      <c r="M328" s="18"/>
    </row>
    <row r="329" spans="1:24">
      <c r="C329">
        <v>4</v>
      </c>
      <c r="D329" s="4" t="s">
        <v>872</v>
      </c>
      <c r="E329" s="189">
        <v>0</v>
      </c>
      <c r="F329" s="33">
        <v>0</v>
      </c>
      <c r="G329" s="33">
        <v>0</v>
      </c>
      <c r="H329" s="33">
        <v>0</v>
      </c>
      <c r="I329" s="33">
        <v>0</v>
      </c>
      <c r="K329" s="472">
        <v>0</v>
      </c>
      <c r="L329" t="b">
        <v>1</v>
      </c>
      <c r="M329" s="18"/>
    </row>
    <row r="330" spans="1:24">
      <c r="C330">
        <v>4</v>
      </c>
      <c r="D330" s="4" t="s">
        <v>873</v>
      </c>
      <c r="E330" s="189">
        <v>0</v>
      </c>
      <c r="F330" s="33">
        <v>0</v>
      </c>
      <c r="G330" s="33">
        <v>0</v>
      </c>
      <c r="H330" s="33">
        <v>0</v>
      </c>
      <c r="I330" s="33">
        <v>0</v>
      </c>
      <c r="K330" s="472">
        <v>0</v>
      </c>
      <c r="L330" t="b">
        <v>1</v>
      </c>
      <c r="M330" s="18"/>
    </row>
    <row r="331" spans="1:24">
      <c r="C331">
        <v>4</v>
      </c>
      <c r="D331" s="4" t="s">
        <v>874</v>
      </c>
      <c r="E331" s="189">
        <v>0</v>
      </c>
      <c r="F331" s="33">
        <v>0</v>
      </c>
      <c r="G331" s="33">
        <v>0</v>
      </c>
      <c r="H331" s="33">
        <v>0</v>
      </c>
      <c r="I331" s="33">
        <v>0</v>
      </c>
      <c r="K331" s="472">
        <v>0</v>
      </c>
      <c r="L331" t="b">
        <v>1</v>
      </c>
      <c r="M331" s="18"/>
    </row>
    <row r="332" spans="1:24">
      <c r="C332">
        <v>4</v>
      </c>
      <c r="D332" s="4" t="s">
        <v>875</v>
      </c>
      <c r="E332" s="189">
        <v>0</v>
      </c>
      <c r="F332" s="33">
        <v>0</v>
      </c>
      <c r="G332" s="33">
        <v>0</v>
      </c>
      <c r="H332" s="33">
        <v>0</v>
      </c>
      <c r="I332" s="33">
        <v>0</v>
      </c>
      <c r="K332" s="472">
        <v>0</v>
      </c>
      <c r="L332" t="b">
        <v>1</v>
      </c>
      <c r="M332" s="18"/>
    </row>
    <row r="333" spans="1:24">
      <c r="E333" s="189">
        <v>0</v>
      </c>
      <c r="F333" s="33">
        <v>0</v>
      </c>
      <c r="G333" s="33">
        <v>0</v>
      </c>
      <c r="H333" s="33">
        <v>0</v>
      </c>
      <c r="I333" s="33">
        <v>0</v>
      </c>
      <c r="K333" s="472"/>
      <c r="L333" t="b">
        <v>1</v>
      </c>
      <c r="M333" s="18"/>
    </row>
    <row r="334" spans="1:24">
      <c r="A334" s="2" t="s">
        <v>3286</v>
      </c>
      <c r="C334" s="1017"/>
      <c r="E334" s="189"/>
      <c r="F334" s="33"/>
      <c r="G334" s="33"/>
      <c r="H334" s="33"/>
      <c r="I334" s="33"/>
      <c r="K334" s="472"/>
      <c r="L334" t="b">
        <v>1</v>
      </c>
      <c r="O334" s="120"/>
      <c r="T334" s="119"/>
      <c r="U334" s="119"/>
      <c r="V334" s="119"/>
      <c r="W334" s="119"/>
      <c r="X334" s="119"/>
    </row>
    <row r="335" spans="1:24">
      <c r="B335" s="2" t="s">
        <v>1598</v>
      </c>
      <c r="C335" s="1017"/>
      <c r="E335" s="189"/>
      <c r="F335" s="33"/>
      <c r="G335" s="33"/>
      <c r="H335" s="33"/>
      <c r="I335" s="33"/>
      <c r="K335" s="472"/>
      <c r="L335" t="b">
        <v>1</v>
      </c>
      <c r="O335" s="120"/>
      <c r="T335" s="119"/>
      <c r="U335" s="119"/>
      <c r="V335" s="119"/>
      <c r="W335" s="119"/>
      <c r="X335" s="119"/>
    </row>
    <row r="336" spans="1:24">
      <c r="B336" s="457" t="s">
        <v>3518</v>
      </c>
      <c r="C336" s="1017"/>
      <c r="E336" s="189">
        <v>0</v>
      </c>
      <c r="F336" s="33">
        <v>0</v>
      </c>
      <c r="G336" s="33">
        <v>0</v>
      </c>
      <c r="H336" s="33">
        <v>0</v>
      </c>
      <c r="I336" s="33">
        <v>0</v>
      </c>
      <c r="J336" t="s">
        <v>2165</v>
      </c>
      <c r="K336" s="472">
        <v>0</v>
      </c>
      <c r="L336" t="b">
        <v>1</v>
      </c>
      <c r="O336" s="120"/>
      <c r="T336" s="119"/>
      <c r="U336" s="119"/>
      <c r="V336" s="119"/>
      <c r="W336" s="119"/>
      <c r="X336" s="119"/>
    </row>
    <row r="337" spans="1:24">
      <c r="B337" s="457" t="s">
        <v>3519</v>
      </c>
      <c r="C337" s="1017"/>
      <c r="E337" s="189">
        <v>0</v>
      </c>
      <c r="F337" s="33">
        <v>0</v>
      </c>
      <c r="G337" s="33">
        <v>0</v>
      </c>
      <c r="H337" s="33">
        <v>0</v>
      </c>
      <c r="I337" s="33">
        <v>0</v>
      </c>
      <c r="J337" t="s">
        <v>2166</v>
      </c>
      <c r="K337" s="472">
        <v>0</v>
      </c>
      <c r="L337" t="b">
        <v>1</v>
      </c>
      <c r="O337" s="120"/>
      <c r="T337" s="119"/>
      <c r="U337" s="119"/>
      <c r="V337" s="119"/>
      <c r="W337" s="119"/>
      <c r="X337" s="119"/>
    </row>
    <row r="338" spans="1:24">
      <c r="B338" s="457" t="s">
        <v>3173</v>
      </c>
      <c r="C338" s="1017"/>
      <c r="E338" s="189">
        <v>0</v>
      </c>
      <c r="F338" s="33">
        <v>0</v>
      </c>
      <c r="G338" s="33">
        <v>0</v>
      </c>
      <c r="H338" s="33">
        <v>0</v>
      </c>
      <c r="I338" s="33">
        <v>0</v>
      </c>
      <c r="J338" t="s">
        <v>2167</v>
      </c>
      <c r="K338" s="472">
        <v>0</v>
      </c>
      <c r="L338" t="b">
        <v>1</v>
      </c>
      <c r="O338" s="120"/>
      <c r="T338" s="119"/>
      <c r="U338" s="119"/>
      <c r="V338" s="119"/>
      <c r="W338" s="119"/>
      <c r="X338" s="119"/>
    </row>
    <row r="339" spans="1:24">
      <c r="B339" s="2" t="s">
        <v>1599</v>
      </c>
      <c r="C339" s="1017"/>
      <c r="E339" s="189"/>
      <c r="F339" s="33"/>
      <c r="G339" s="33"/>
      <c r="H339" s="33"/>
      <c r="I339" s="33"/>
      <c r="K339" s="472"/>
      <c r="L339" t="b">
        <v>1</v>
      </c>
      <c r="O339" s="120"/>
      <c r="T339" s="119"/>
      <c r="U339" s="119"/>
      <c r="V339" s="119"/>
      <c r="W339" s="119"/>
      <c r="X339" s="119"/>
    </row>
    <row r="340" spans="1:24">
      <c r="B340" s="457" t="s">
        <v>3518</v>
      </c>
      <c r="C340" s="1017"/>
      <c r="E340" s="189">
        <v>0</v>
      </c>
      <c r="F340" s="33">
        <v>0</v>
      </c>
      <c r="G340" s="33">
        <v>0</v>
      </c>
      <c r="H340" s="33">
        <v>0</v>
      </c>
      <c r="I340" s="33">
        <v>0</v>
      </c>
      <c r="J340" t="s">
        <v>2168</v>
      </c>
      <c r="K340" s="472">
        <v>0</v>
      </c>
      <c r="L340" t="b">
        <v>1</v>
      </c>
      <c r="O340" s="120"/>
      <c r="T340" s="119"/>
      <c r="U340" s="119"/>
      <c r="V340" s="119"/>
      <c r="W340" s="119"/>
      <c r="X340" s="119"/>
    </row>
    <row r="341" spans="1:24">
      <c r="B341" s="457" t="s">
        <v>3519</v>
      </c>
      <c r="C341" s="1017"/>
      <c r="E341" s="189">
        <v>0</v>
      </c>
      <c r="F341" s="33">
        <v>0</v>
      </c>
      <c r="G341" s="33">
        <v>0</v>
      </c>
      <c r="H341" s="33">
        <v>0</v>
      </c>
      <c r="I341" s="33">
        <v>0</v>
      </c>
      <c r="J341" t="s">
        <v>2169</v>
      </c>
      <c r="K341" s="472">
        <v>0</v>
      </c>
      <c r="L341" t="b">
        <v>1</v>
      </c>
      <c r="O341" s="120"/>
      <c r="T341" s="119"/>
      <c r="U341" s="119"/>
      <c r="V341" s="119"/>
      <c r="W341" s="119"/>
      <c r="X341" s="119"/>
    </row>
    <row r="342" spans="1:24">
      <c r="B342" s="457" t="s">
        <v>3173</v>
      </c>
      <c r="C342" s="1017"/>
      <c r="E342" s="189">
        <v>0</v>
      </c>
      <c r="F342" s="33">
        <v>0</v>
      </c>
      <c r="G342" s="33">
        <v>0</v>
      </c>
      <c r="H342" s="33">
        <v>0</v>
      </c>
      <c r="I342" s="33">
        <v>0</v>
      </c>
      <c r="J342" t="s">
        <v>2170</v>
      </c>
      <c r="K342" s="472">
        <v>0</v>
      </c>
      <c r="L342" t="b">
        <v>1</v>
      </c>
      <c r="O342" s="120"/>
      <c r="T342" s="119"/>
      <c r="U342" s="119"/>
      <c r="V342" s="119"/>
      <c r="W342" s="119"/>
      <c r="X342" s="119"/>
    </row>
    <row r="343" spans="1:24">
      <c r="A343" s="2" t="s">
        <v>3285</v>
      </c>
      <c r="C343" s="1017"/>
      <c r="E343" s="189"/>
      <c r="F343" s="33"/>
      <c r="G343" s="33"/>
      <c r="H343" s="33"/>
      <c r="I343" s="33"/>
      <c r="K343" s="472"/>
      <c r="L343" t="b">
        <v>1</v>
      </c>
      <c r="O343" s="120"/>
      <c r="T343" s="119"/>
      <c r="U343" s="119"/>
      <c r="V343" s="119"/>
      <c r="W343" s="119"/>
      <c r="X343" s="119"/>
    </row>
    <row r="344" spans="1:24">
      <c r="B344" s="2" t="s">
        <v>1598</v>
      </c>
      <c r="C344" s="1017"/>
      <c r="E344" s="189"/>
      <c r="F344" s="33"/>
      <c r="G344" s="33"/>
      <c r="H344" s="33"/>
      <c r="I344" s="33"/>
      <c r="K344" s="472"/>
      <c r="L344" t="b">
        <v>1</v>
      </c>
      <c r="O344" s="120"/>
      <c r="T344" s="119"/>
      <c r="U344" s="119"/>
      <c r="V344" s="119"/>
      <c r="W344" s="119"/>
      <c r="X344" s="119"/>
    </row>
    <row r="345" spans="1:24">
      <c r="B345" s="457" t="s">
        <v>3442</v>
      </c>
      <c r="C345" s="1017"/>
      <c r="E345" s="189">
        <v>0</v>
      </c>
      <c r="F345" s="33">
        <v>0</v>
      </c>
      <c r="G345" s="33">
        <v>0</v>
      </c>
      <c r="H345" s="33">
        <v>0</v>
      </c>
      <c r="I345" s="33">
        <v>0</v>
      </c>
      <c r="J345" t="s">
        <v>2171</v>
      </c>
      <c r="K345" s="472">
        <v>0</v>
      </c>
      <c r="L345" t="b">
        <v>1</v>
      </c>
      <c r="O345" s="120"/>
      <c r="T345" s="119"/>
      <c r="U345" s="119"/>
      <c r="V345" s="119"/>
      <c r="W345" s="119"/>
      <c r="X345" s="119"/>
    </row>
    <row r="346" spans="1:24">
      <c r="B346" s="457" t="s">
        <v>1108</v>
      </c>
      <c r="C346" s="1017"/>
      <c r="E346" s="189">
        <v>0</v>
      </c>
      <c r="F346" s="33">
        <v>0</v>
      </c>
      <c r="G346" s="33">
        <v>0</v>
      </c>
      <c r="H346" s="33">
        <v>0</v>
      </c>
      <c r="I346" s="33">
        <v>0</v>
      </c>
      <c r="J346" s="905" t="s">
        <v>4143</v>
      </c>
      <c r="K346" s="472">
        <v>0</v>
      </c>
      <c r="L346" t="b">
        <v>1</v>
      </c>
      <c r="O346" s="120"/>
      <c r="T346" s="119"/>
      <c r="U346" s="119"/>
      <c r="V346" s="119"/>
      <c r="W346" s="119"/>
      <c r="X346" s="119"/>
    </row>
    <row r="347" spans="1:24">
      <c r="B347" s="457" t="s">
        <v>4003</v>
      </c>
      <c r="C347" s="1017"/>
      <c r="E347" s="189">
        <v>0</v>
      </c>
      <c r="F347" s="33">
        <v>0</v>
      </c>
      <c r="G347" s="33">
        <v>0</v>
      </c>
      <c r="H347" s="33">
        <v>0</v>
      </c>
      <c r="I347" s="33">
        <v>0</v>
      </c>
      <c r="J347" t="s">
        <v>2172</v>
      </c>
      <c r="K347" s="472">
        <v>0</v>
      </c>
      <c r="L347" t="b">
        <v>1</v>
      </c>
      <c r="O347" s="120"/>
      <c r="T347" s="119"/>
      <c r="U347" s="119"/>
      <c r="V347" s="119"/>
      <c r="W347" s="119"/>
      <c r="X347" s="119"/>
    </row>
    <row r="348" spans="1:24">
      <c r="B348" s="457" t="s">
        <v>4004</v>
      </c>
      <c r="C348" s="1017"/>
      <c r="E348" s="189">
        <v>0</v>
      </c>
      <c r="F348" s="33">
        <v>0</v>
      </c>
      <c r="G348" s="33">
        <v>0</v>
      </c>
      <c r="H348" s="33">
        <v>0</v>
      </c>
      <c r="I348" s="33">
        <v>0</v>
      </c>
      <c r="J348" t="s">
        <v>2173</v>
      </c>
      <c r="K348" s="472">
        <v>0</v>
      </c>
      <c r="L348" t="b">
        <v>1</v>
      </c>
      <c r="O348" s="120"/>
      <c r="T348" s="119"/>
      <c r="U348" s="119"/>
      <c r="V348" s="119"/>
      <c r="W348" s="119"/>
      <c r="X348" s="119"/>
    </row>
    <row r="349" spans="1:24">
      <c r="B349" s="2" t="s">
        <v>1599</v>
      </c>
      <c r="C349" s="1017"/>
      <c r="E349" s="189"/>
      <c r="F349" s="33"/>
      <c r="G349" s="33"/>
      <c r="H349" s="33"/>
      <c r="I349" s="33"/>
      <c r="K349" s="472"/>
      <c r="L349" t="b">
        <v>1</v>
      </c>
      <c r="O349" s="120"/>
      <c r="T349" s="119"/>
      <c r="U349" s="119"/>
      <c r="V349" s="119"/>
      <c r="W349" s="119"/>
      <c r="X349" s="119"/>
    </row>
    <row r="350" spans="1:24">
      <c r="B350" s="457" t="s">
        <v>3442</v>
      </c>
      <c r="C350" s="1017"/>
      <c r="E350" s="189">
        <v>0</v>
      </c>
      <c r="F350" s="33">
        <v>0</v>
      </c>
      <c r="G350" s="33">
        <v>0</v>
      </c>
      <c r="H350" s="33">
        <v>0</v>
      </c>
      <c r="I350" s="33">
        <v>0</v>
      </c>
      <c r="J350" t="s">
        <v>2174</v>
      </c>
      <c r="K350" s="472">
        <v>0</v>
      </c>
      <c r="L350" t="b">
        <v>1</v>
      </c>
      <c r="O350" s="120"/>
      <c r="T350" s="119"/>
      <c r="U350" s="119"/>
      <c r="V350" s="119"/>
      <c r="W350" s="119"/>
      <c r="X350" s="119"/>
    </row>
    <row r="351" spans="1:24">
      <c r="B351" s="457" t="s">
        <v>1108</v>
      </c>
      <c r="C351" s="1017"/>
      <c r="E351" s="189">
        <v>0</v>
      </c>
      <c r="F351" s="33">
        <v>0</v>
      </c>
      <c r="G351" s="33">
        <v>0</v>
      </c>
      <c r="H351" s="33">
        <v>0</v>
      </c>
      <c r="I351" s="33">
        <v>0</v>
      </c>
      <c r="J351" s="905" t="s">
        <v>4144</v>
      </c>
      <c r="K351" s="472">
        <v>0</v>
      </c>
      <c r="L351" t="b">
        <v>1</v>
      </c>
      <c r="O351" s="120"/>
      <c r="T351" s="119"/>
      <c r="U351" s="119"/>
      <c r="V351" s="119"/>
      <c r="W351" s="119"/>
      <c r="X351" s="119"/>
    </row>
    <row r="352" spans="1:24">
      <c r="B352" s="457" t="s">
        <v>4003</v>
      </c>
      <c r="C352" s="1017"/>
      <c r="E352" s="189">
        <v>0</v>
      </c>
      <c r="F352" s="33">
        <v>0</v>
      </c>
      <c r="G352" s="33">
        <v>0</v>
      </c>
      <c r="H352" s="33">
        <v>0</v>
      </c>
      <c r="I352" s="33">
        <v>0</v>
      </c>
      <c r="J352" t="s">
        <v>2175</v>
      </c>
      <c r="K352" s="472">
        <v>0</v>
      </c>
      <c r="L352" t="b">
        <v>1</v>
      </c>
      <c r="O352" s="120"/>
      <c r="T352" s="119"/>
      <c r="U352" s="119"/>
      <c r="V352" s="119"/>
      <c r="W352" s="119"/>
      <c r="X352" s="119"/>
    </row>
    <row r="353" spans="1:24">
      <c r="B353" s="457" t="s">
        <v>4004</v>
      </c>
      <c r="C353" s="1017"/>
      <c r="E353" s="189">
        <v>0</v>
      </c>
      <c r="F353" s="33">
        <v>0</v>
      </c>
      <c r="G353" s="33">
        <v>0</v>
      </c>
      <c r="H353" s="33">
        <v>0</v>
      </c>
      <c r="I353" s="33">
        <v>0</v>
      </c>
      <c r="J353" t="s">
        <v>2176</v>
      </c>
      <c r="K353" s="472">
        <v>0</v>
      </c>
      <c r="L353" t="b">
        <v>1</v>
      </c>
      <c r="O353" s="120"/>
      <c r="T353" s="119"/>
      <c r="U353" s="119"/>
      <c r="V353" s="119"/>
      <c r="W353" s="119"/>
      <c r="X353" s="119"/>
    </row>
    <row r="354" spans="1:24">
      <c r="E354" s="189"/>
      <c r="F354" s="33"/>
      <c r="G354" s="33"/>
      <c r="H354" s="33"/>
      <c r="I354" s="33"/>
      <c r="K354" s="472"/>
      <c r="L354" t="b">
        <v>1</v>
      </c>
      <c r="O354" s="120"/>
      <c r="T354" s="119"/>
      <c r="U354" s="119"/>
      <c r="V354" s="119"/>
      <c r="W354" s="119"/>
      <c r="X354" s="119"/>
    </row>
    <row r="355" spans="1:24">
      <c r="A355" s="2" t="s">
        <v>1397</v>
      </c>
      <c r="E355" s="189"/>
      <c r="F355" s="33"/>
      <c r="G355" s="33"/>
      <c r="H355" s="33"/>
      <c r="I355" s="33"/>
      <c r="K355" s="472"/>
      <c r="L355" t="b">
        <v>1</v>
      </c>
      <c r="M355" s="18"/>
    </row>
    <row r="356" spans="1:24">
      <c r="E356" s="189"/>
      <c r="F356" s="33"/>
      <c r="G356" s="33"/>
      <c r="H356" s="33"/>
      <c r="I356" s="33"/>
      <c r="K356" s="472"/>
      <c r="L356" t="b">
        <v>1</v>
      </c>
      <c r="M356" s="18"/>
    </row>
    <row r="357" spans="1:24">
      <c r="E357" s="189"/>
      <c r="F357" s="33"/>
      <c r="G357" s="33"/>
      <c r="H357" s="33"/>
      <c r="I357" s="33"/>
      <c r="K357" s="472"/>
      <c r="L357" t="b">
        <v>1</v>
      </c>
      <c r="M357" s="18"/>
    </row>
    <row r="358" spans="1:24">
      <c r="E358" s="189"/>
      <c r="F358" s="33"/>
      <c r="G358" s="33"/>
      <c r="H358" s="33"/>
      <c r="I358" s="33"/>
      <c r="K358" s="472"/>
      <c r="L358" t="b">
        <v>1</v>
      </c>
      <c r="M358" s="18"/>
    </row>
    <row r="359" spans="1:24">
      <c r="E359" s="189"/>
      <c r="F359" s="33"/>
      <c r="G359" s="33"/>
      <c r="H359" s="33"/>
      <c r="I359" s="33"/>
      <c r="K359" s="472"/>
      <c r="L359" t="b">
        <v>1</v>
      </c>
      <c r="M359" s="18"/>
    </row>
    <row r="360" spans="1:24">
      <c r="E360" s="189"/>
      <c r="F360" s="33"/>
      <c r="G360" s="33"/>
      <c r="H360" s="33"/>
      <c r="I360" s="33"/>
      <c r="K360" s="472"/>
      <c r="L360" t="b">
        <v>1</v>
      </c>
      <c r="M360" s="18"/>
    </row>
    <row r="361" spans="1:24">
      <c r="E361" s="189"/>
      <c r="F361" s="33"/>
      <c r="G361" s="33"/>
      <c r="H361" s="33"/>
      <c r="I361" s="33"/>
      <c r="K361" s="472"/>
      <c r="L361" t="b">
        <v>1</v>
      </c>
      <c r="M361" s="18"/>
    </row>
    <row r="362" spans="1:24">
      <c r="E362" s="189"/>
      <c r="F362" s="33"/>
      <c r="G362" s="33"/>
      <c r="H362" s="33"/>
      <c r="I362" s="33"/>
      <c r="K362" s="472"/>
      <c r="L362" t="b">
        <v>1</v>
      </c>
      <c r="M362" s="18"/>
    </row>
    <row r="363" spans="1:24">
      <c r="E363" s="189"/>
      <c r="F363" s="33"/>
      <c r="G363" s="33"/>
      <c r="H363" s="33"/>
      <c r="I363" s="33"/>
      <c r="K363" s="472"/>
      <c r="L363" t="b">
        <v>1</v>
      </c>
      <c r="M363" s="18"/>
    </row>
    <row r="364" spans="1:24">
      <c r="E364" s="189"/>
      <c r="F364" s="33"/>
      <c r="G364" s="33"/>
      <c r="H364" s="33"/>
      <c r="I364" s="33"/>
      <c r="K364" s="472"/>
      <c r="L364" t="b">
        <v>1</v>
      </c>
      <c r="M364" s="18"/>
    </row>
    <row r="365" spans="1:24">
      <c r="E365" s="189"/>
      <c r="F365" s="33"/>
      <c r="G365" s="33"/>
      <c r="H365" s="33"/>
      <c r="I365" s="33"/>
      <c r="K365" s="472"/>
      <c r="L365" t="b">
        <v>1</v>
      </c>
      <c r="M365" s="18"/>
    </row>
    <row r="366" spans="1:24">
      <c r="E366" s="189"/>
      <c r="F366" s="33"/>
      <c r="G366" s="33"/>
      <c r="H366" s="33"/>
      <c r="I366" s="33"/>
      <c r="K366" s="472"/>
      <c r="L366" t="b">
        <v>1</v>
      </c>
      <c r="M366" s="18"/>
    </row>
    <row r="367" spans="1:24">
      <c r="E367" s="189"/>
      <c r="F367" s="33"/>
      <c r="G367" s="33"/>
      <c r="H367" s="33"/>
      <c r="I367" s="33"/>
      <c r="K367" s="472"/>
      <c r="L367" t="b">
        <v>1</v>
      </c>
      <c r="M367" s="18"/>
    </row>
    <row r="368" spans="1:24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476"/>
    </row>
    <row r="369" spans="1:1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476"/>
    </row>
  </sheetData>
  <phoneticPr fontId="0" type="noConversion"/>
  <conditionalFormatting sqref="L4:L347 L349:L352 L354:L382">
    <cfRule type="cellIs" dxfId="15" priority="3" stopIfTrue="1" operator="notEqual">
      <formula>TRUE</formula>
    </cfRule>
  </conditionalFormatting>
  <conditionalFormatting sqref="D78">
    <cfRule type="cellIs" dxfId="14" priority="4" stopIfTrue="1" operator="notEqual">
      <formula>$E$78</formula>
    </cfRule>
  </conditionalFormatting>
  <conditionalFormatting sqref="D87">
    <cfRule type="cellIs" dxfId="13" priority="5" stopIfTrue="1" operator="notEqual">
      <formula>$E$87</formula>
    </cfRule>
  </conditionalFormatting>
  <conditionalFormatting sqref="D88 D107">
    <cfRule type="cellIs" dxfId="12" priority="6" stopIfTrue="1" operator="notEqual">
      <formula>$E$88</formula>
    </cfRule>
  </conditionalFormatting>
  <conditionalFormatting sqref="D96">
    <cfRule type="cellIs" dxfId="11" priority="7" stopIfTrue="1" operator="notEqual">
      <formula>$E$96</formula>
    </cfRule>
  </conditionalFormatting>
  <conditionalFormatting sqref="D99">
    <cfRule type="cellIs" dxfId="10" priority="8" stopIfTrue="1" operator="notEqual">
      <formula>$E$99</formula>
    </cfRule>
  </conditionalFormatting>
  <conditionalFormatting sqref="D106">
    <cfRule type="cellIs" dxfId="9" priority="9" stopIfTrue="1" operator="notEqual">
      <formula>$E$106</formula>
    </cfRule>
  </conditionalFormatting>
  <conditionalFormatting sqref="M1">
    <cfRule type="cellIs" dxfId="8" priority="10" stopIfTrue="1" operator="equal">
      <formula>TRUE</formula>
    </cfRule>
  </conditionalFormatting>
  <conditionalFormatting sqref="L348">
    <cfRule type="cellIs" dxfId="7" priority="2" stopIfTrue="1" operator="notEqual">
      <formula>TRUE</formula>
    </cfRule>
  </conditionalFormatting>
  <conditionalFormatting sqref="L353">
    <cfRule type="cellIs" dxfId="6" priority="1" stopIfTrue="1" operator="notEqual">
      <formula>TRUE</formula>
    </cfRule>
  </conditionalFormatting>
  <dataValidations disablePrompts="1" count="1">
    <dataValidation type="whole" operator="lessThanOrEqual" allowBlank="1" showInputMessage="1" showErrorMessage="1" errorTitle="Input Error" error="Family brand can be only three levels higher than prior year.  " sqref="E185">
      <formula1>3</formula1>
    </dataValidation>
  </dataValidations>
  <pageMargins left="0.5" right="0.5" top="0.5" bottom="0.5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bal">
    <tabColor indexed="11"/>
  </sheetPr>
  <dimension ref="A1:K369"/>
  <sheetViews>
    <sheetView workbookViewId="0">
      <pane xSplit="4" ySplit="1" topLeftCell="E287" activePane="bottomRight" state="frozen"/>
      <selection activeCell="A348" activeCellId="1" sqref="A353:XFD353 A348:XFD348"/>
      <selection pane="topRight" activeCell="A348" activeCellId="1" sqref="A353:XFD353 A348:XFD348"/>
      <selection pane="bottomLeft" activeCell="A348" activeCellId="1" sqref="A353:XFD353 A348:XFD348"/>
      <selection pane="bottomRight" activeCell="F325" sqref="F325"/>
    </sheetView>
  </sheetViews>
  <sheetFormatPr defaultRowHeight="11.25"/>
  <cols>
    <col min="1" max="1" width="5.83203125" customWidth="1"/>
    <col min="2" max="2" width="6.83203125" customWidth="1"/>
    <col min="3" max="3" width="9.83203125" customWidth="1"/>
    <col min="4" max="4" width="16.5" customWidth="1"/>
    <col min="5" max="5" width="18.83203125" bestFit="1" customWidth="1"/>
    <col min="6" max="9" width="15.1640625" bestFit="1" customWidth="1"/>
  </cols>
  <sheetData>
    <row r="1" spans="1:10" s="145" customFormat="1" ht="15.75">
      <c r="A1" s="143" t="s">
        <v>3312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0">
      <c r="A2" s="2" t="s">
        <v>1839</v>
      </c>
    </row>
    <row r="3" spans="1:10">
      <c r="A3" s="2" t="s">
        <v>1842</v>
      </c>
      <c r="E3" t="s">
        <v>1392</v>
      </c>
    </row>
    <row r="4" spans="1:10">
      <c r="B4" t="s">
        <v>1840</v>
      </c>
      <c r="E4" s="185">
        <f ca="1">finCashClosingValue</f>
        <v>6695625983.2060633</v>
      </c>
      <c r="F4" s="185">
        <f ca="1">finCashClosingValue</f>
        <v>6695625983.2060633</v>
      </c>
      <c r="G4" s="185">
        <f ca="1">finCashClosingValue</f>
        <v>6695625983.2060633</v>
      </c>
      <c r="H4" s="185">
        <f ca="1">finCashClosingValue</f>
        <v>6695625983.2060633</v>
      </c>
      <c r="I4" s="185">
        <f ca="1">finCashClosingValue</f>
        <v>6695625983.2060633</v>
      </c>
      <c r="J4" t="s">
        <v>877</v>
      </c>
    </row>
    <row r="5" spans="1:10">
      <c r="B5" t="s">
        <v>1430</v>
      </c>
      <c r="E5" s="189"/>
      <c r="F5" s="189"/>
      <c r="G5" s="189"/>
      <c r="H5" s="189"/>
      <c r="I5" s="189"/>
    </row>
    <row r="6" spans="1:10">
      <c r="C6" t="s">
        <v>3791</v>
      </c>
      <c r="E6" s="185">
        <f>finPNLReg1Rev*(paramReg1ARCreditDays/paramDaysPerYear)</f>
        <v>3194920616.583333</v>
      </c>
      <c r="F6" s="185">
        <f>finPNLReg1Rev*(paramReg1ARCreditDays/paramDaysPerYear)</f>
        <v>3194920616.583333</v>
      </c>
      <c r="G6" s="185">
        <f>finPNLReg1Rev*(paramReg1ARCreditDays/paramDaysPerYear)</f>
        <v>3194920616.583333</v>
      </c>
      <c r="H6" s="185">
        <f>finPNLReg1Rev*(paramReg1ARCreditDays/paramDaysPerYear)</f>
        <v>3194920616.583333</v>
      </c>
      <c r="I6" s="185">
        <f>finPNLReg1Rev*(paramReg1ARCreditDays/paramDaysPerYear)</f>
        <v>3194920616.583333</v>
      </c>
      <c r="J6" t="s">
        <v>3513</v>
      </c>
    </row>
    <row r="7" spans="1:10">
      <c r="C7" t="s">
        <v>3792</v>
      </c>
      <c r="E7" s="185">
        <f>finPNLReg2Rev*(paramReg2ARCreditDays/paramDaysPerYear)</f>
        <v>1162100000</v>
      </c>
      <c r="F7" s="185">
        <f>finPNLReg2Rev*(paramReg2ARCreditDays/paramDaysPerYear)</f>
        <v>1162100000</v>
      </c>
      <c r="G7" s="185">
        <f>finPNLReg2Rev*(paramReg2ARCreditDays/paramDaysPerYear)</f>
        <v>1162100000</v>
      </c>
      <c r="H7" s="185">
        <f>finPNLReg2Rev*(paramReg2ARCreditDays/paramDaysPerYear)</f>
        <v>1162100000</v>
      </c>
      <c r="I7" s="185">
        <f>finPNLReg2Rev*(paramReg2ARCreditDays/paramDaysPerYear)</f>
        <v>1162100000</v>
      </c>
      <c r="J7" t="s">
        <v>3514</v>
      </c>
    </row>
    <row r="8" spans="1:10">
      <c r="B8" t="s">
        <v>1189</v>
      </c>
      <c r="E8" s="185">
        <f>SUM(E6:E7)</f>
        <v>4357020616.583333</v>
      </c>
      <c r="F8" s="185">
        <f>SUM(F6:F7)</f>
        <v>4357020616.583333</v>
      </c>
      <c r="G8" s="185">
        <f>SUM(G6:G7)</f>
        <v>4357020616.583333</v>
      </c>
      <c r="H8" s="185">
        <f>SUM(H6:H7)</f>
        <v>4357020616.583333</v>
      </c>
      <c r="I8" s="185">
        <f>SUM(I6:I7)</f>
        <v>4357020616.583333</v>
      </c>
      <c r="J8" t="s">
        <v>2095</v>
      </c>
    </row>
    <row r="9" spans="1:10">
      <c r="B9" s="207"/>
      <c r="C9" s="207"/>
      <c r="D9" s="207"/>
      <c r="E9" s="257"/>
      <c r="F9" s="257"/>
      <c r="G9" s="257"/>
      <c r="H9" s="257"/>
      <c r="I9" s="257"/>
    </row>
    <row r="10" spans="1:10">
      <c r="B10" s="2" t="s">
        <v>2928</v>
      </c>
      <c r="E10" s="186">
        <f ca="1">E4+E8</f>
        <v>11052646599.789396</v>
      </c>
      <c r="F10" s="186">
        <f ca="1">F4+F8</f>
        <v>11052646599.789396</v>
      </c>
      <c r="G10" s="186">
        <f ca="1">G4+G8</f>
        <v>11052646599.789396</v>
      </c>
      <c r="H10" s="186">
        <f ca="1">H4+H8</f>
        <v>11052646599.789396</v>
      </c>
      <c r="I10" s="186">
        <f ca="1">I4+I8</f>
        <v>11052646599.789396</v>
      </c>
    </row>
    <row r="11" spans="1:10">
      <c r="B11" s="2"/>
      <c r="E11" s="186"/>
      <c r="F11" s="186"/>
      <c r="G11" s="186"/>
      <c r="H11" s="186"/>
      <c r="I11" s="186"/>
    </row>
    <row r="12" spans="1:10">
      <c r="B12" s="424" t="str">
        <f>DataNameProd2&amp;" Prods"</f>
        <v>Breakthrough Prods</v>
      </c>
      <c r="C12" s="424"/>
      <c r="E12" s="186"/>
      <c r="F12" s="186"/>
      <c r="G12" s="186"/>
      <c r="H12" s="186"/>
      <c r="I12" s="186"/>
    </row>
    <row r="13" spans="1:10">
      <c r="B13" s="2" t="str">
        <f>DataNameProd2&amp;" Slot 1"</f>
        <v>Breakthrough Slot 1</v>
      </c>
      <c r="E13" s="186"/>
      <c r="F13" s="186"/>
      <c r="G13" s="186"/>
      <c r="H13" s="186"/>
      <c r="I13" s="186"/>
    </row>
    <row r="14" spans="1:10">
      <c r="B14" t="str">
        <f>"Materials " &amp;DataNameProd2</f>
        <v>Materials Breakthrough</v>
      </c>
      <c r="E14" s="185">
        <f>paramProd2MatPctOfProduction*capReg1Prod2UnitsProduction*capProd21COGSPUnitMat</f>
        <v>0</v>
      </c>
      <c r="F14" s="185">
        <f>paramProd2MatPctOfProduction*capReg1Prod2UnitsProduction*capProd21COGSPUnitMat</f>
        <v>0</v>
      </c>
      <c r="G14" s="185">
        <f>paramProd2MatPctOfProduction*capReg1Prod2UnitsProduction*capProd21COGSPUnitMat</f>
        <v>0</v>
      </c>
      <c r="H14" s="185">
        <f>paramProd2MatPctOfProduction*capReg1Prod2UnitsProduction*capProd21COGSPUnitMat</f>
        <v>0</v>
      </c>
      <c r="I14" s="185">
        <f>paramProd2MatPctOfProduction*capReg1Prod2UnitsProduction*capProd21COGSPUnitMat</f>
        <v>0</v>
      </c>
      <c r="J14" t="s">
        <v>3098</v>
      </c>
    </row>
    <row r="15" spans="1:10">
      <c r="B15" t="str">
        <f>"WIP " &amp;DataNameProd2</f>
        <v>WIP Breakthrough</v>
      </c>
      <c r="E15" s="185">
        <f>capReg1Prod2UnitsWiPEnd*capProd21COGSPUnitMat</f>
        <v>0</v>
      </c>
      <c r="F15" s="185">
        <f>capReg1Prod2UnitsWiPEnd*capProd21COGSPUnitMat</f>
        <v>0</v>
      </c>
      <c r="G15" s="185">
        <f>capReg1Prod2UnitsWiPEnd*capProd21COGSPUnitMat</f>
        <v>0</v>
      </c>
      <c r="H15" s="185">
        <f>capReg1Prod2UnitsWiPEnd*capProd21COGSPUnitMat</f>
        <v>0</v>
      </c>
      <c r="I15" s="185">
        <f>capReg1Prod2UnitsWiPEnd*capProd21COGSPUnitMat</f>
        <v>0</v>
      </c>
      <c r="J15" t="s">
        <v>3862</v>
      </c>
    </row>
    <row r="16" spans="1:10">
      <c r="B16" t="str">
        <f>"Finished Goods " &amp;DataNameProd2</f>
        <v>Finished Goods Breakthrough</v>
      </c>
      <c r="E16" s="185">
        <v>0</v>
      </c>
      <c r="F16" s="185">
        <v>0</v>
      </c>
      <c r="G16" s="185">
        <v>0</v>
      </c>
      <c r="H16" s="185">
        <v>0</v>
      </c>
      <c r="I16" s="185">
        <v>0</v>
      </c>
      <c r="J16" t="s">
        <v>3869</v>
      </c>
    </row>
    <row r="17" spans="2:10">
      <c r="B17" s="207"/>
      <c r="C17" s="207"/>
      <c r="D17" s="207"/>
      <c r="E17" s="257"/>
      <c r="F17" s="257"/>
      <c r="G17" s="257"/>
      <c r="H17" s="257"/>
      <c r="I17" s="257"/>
    </row>
    <row r="18" spans="2:10">
      <c r="E18" s="186">
        <f>SUM(E14:E16)</f>
        <v>0</v>
      </c>
      <c r="F18" s="186">
        <f>SUM(F14:F16)</f>
        <v>0</v>
      </c>
      <c r="G18" s="186">
        <f>SUM(G14:G16)</f>
        <v>0</v>
      </c>
      <c r="H18" s="186">
        <f>SUM(H14:H16)</f>
        <v>0</v>
      </c>
      <c r="I18" s="186">
        <f>SUM(I14:I16)</f>
        <v>0</v>
      </c>
    </row>
    <row r="19" spans="2:10">
      <c r="E19" s="185"/>
      <c r="F19" s="185"/>
      <c r="G19" s="185"/>
      <c r="H19" s="185"/>
      <c r="I19" s="185"/>
    </row>
    <row r="20" spans="2:10">
      <c r="B20" s="2" t="str">
        <f>DataNameProd2&amp;" Slot 2"</f>
        <v>Breakthrough Slot 2</v>
      </c>
      <c r="E20" s="185"/>
      <c r="F20" s="185"/>
      <c r="G20" s="185"/>
      <c r="H20" s="185"/>
      <c r="I20" s="185"/>
    </row>
    <row r="21" spans="2:10">
      <c r="B21" t="str">
        <f>"Materials " &amp;DataNameProd2</f>
        <v>Materials Breakthrough</v>
      </c>
      <c r="E21" s="185">
        <f>paramProd2MatPctOfProduction*capReg2Prod2UnitsProduction*capProd22COGSPUnitMat</f>
        <v>0</v>
      </c>
      <c r="F21" s="185">
        <f>paramProd2MatPctOfProduction*capReg2Prod2UnitsProduction*capProd22COGSPUnitMat</f>
        <v>0</v>
      </c>
      <c r="G21" s="185">
        <f>paramProd2MatPctOfProduction*capReg2Prod2UnitsProduction*capProd22COGSPUnitMat</f>
        <v>0</v>
      </c>
      <c r="H21" s="185">
        <f>paramProd2MatPctOfProduction*capReg2Prod2UnitsProduction*capProd22COGSPUnitMat</f>
        <v>0</v>
      </c>
      <c r="I21" s="185">
        <f>paramProd2MatPctOfProduction*capReg2Prod2UnitsProduction*capProd22COGSPUnitMat</f>
        <v>0</v>
      </c>
      <c r="J21" t="s">
        <v>2999</v>
      </c>
    </row>
    <row r="22" spans="2:10">
      <c r="B22" t="str">
        <f>"WIP " &amp;DataNameProd2</f>
        <v>WIP Breakthrough</v>
      </c>
      <c r="E22" s="185">
        <f>capReg2Prod2UnitsWiPEnd*capProd22COGSPUnitMat</f>
        <v>0</v>
      </c>
      <c r="F22" s="185">
        <f>capReg2Prod2UnitsWiPEnd*capProd22COGSPUnitMat</f>
        <v>0</v>
      </c>
      <c r="G22" s="185">
        <f>capReg2Prod2UnitsWiPEnd*capProd22COGSPUnitMat</f>
        <v>0</v>
      </c>
      <c r="H22" s="185">
        <f>capReg2Prod2UnitsWiPEnd*capProd22COGSPUnitMat</f>
        <v>0</v>
      </c>
      <c r="I22" s="185">
        <f>capReg2Prod2UnitsWiPEnd*capProd22COGSPUnitMat</f>
        <v>0</v>
      </c>
      <c r="J22" t="s">
        <v>3079</v>
      </c>
    </row>
    <row r="23" spans="2:10">
      <c r="B23" t="str">
        <f>"Finished Goods " &amp;DataNameProd2</f>
        <v>Finished Goods Breakthrough</v>
      </c>
      <c r="E23" s="185">
        <v>0</v>
      </c>
      <c r="F23" s="185">
        <v>0</v>
      </c>
      <c r="G23" s="185">
        <v>0</v>
      </c>
      <c r="H23" s="185">
        <v>0</v>
      </c>
      <c r="I23" s="185">
        <v>0</v>
      </c>
      <c r="J23" t="s">
        <v>3964</v>
      </c>
    </row>
    <row r="24" spans="2:10">
      <c r="B24" s="207"/>
      <c r="C24" s="207"/>
      <c r="D24" s="207"/>
      <c r="E24" s="257"/>
      <c r="F24" s="257"/>
      <c r="G24" s="257"/>
      <c r="H24" s="257"/>
      <c r="I24" s="257"/>
    </row>
    <row r="25" spans="2:10">
      <c r="E25" s="186">
        <f>SUM(E21:E23)</f>
        <v>0</v>
      </c>
      <c r="F25" s="186">
        <f>SUM(F21:F23)</f>
        <v>0</v>
      </c>
      <c r="G25" s="186">
        <f>SUM(G21:G23)</f>
        <v>0</v>
      </c>
      <c r="H25" s="186">
        <f>SUM(H21:H23)</f>
        <v>0</v>
      </c>
      <c r="I25" s="186">
        <f>SUM(I21:I23)</f>
        <v>0</v>
      </c>
    </row>
    <row r="26" spans="2:10">
      <c r="E26" s="185"/>
      <c r="F26" s="185"/>
      <c r="G26" s="185"/>
      <c r="H26" s="185"/>
      <c r="I26" s="185"/>
    </row>
    <row r="27" spans="2:10">
      <c r="B27" s="424" t="s">
        <v>3095</v>
      </c>
      <c r="C27" s="131"/>
      <c r="E27" s="185"/>
      <c r="F27" s="185"/>
      <c r="G27" s="185"/>
      <c r="H27" s="185"/>
      <c r="I27" s="185"/>
    </row>
    <row r="28" spans="2:10">
      <c r="B28" t="str">
        <f>"Materials " &amp;DataNameProd1</f>
        <v>Materials CSD</v>
      </c>
      <c r="E28" s="185">
        <f>paramProd1MatPctOfProduction*capReg1Prod1UnitsProduction*capProd1COGSPUnitMat</f>
        <v>182842132.4235267</v>
      </c>
      <c r="F28" s="185">
        <f>paramProd1MatPctOfProduction*capReg1Prod1UnitsProduction*capProd1COGSPUnitMat</f>
        <v>182842132.4235267</v>
      </c>
      <c r="G28" s="185">
        <f>paramProd1MatPctOfProduction*capReg1Prod1UnitsProduction*capProd1COGSPUnitMat</f>
        <v>182842132.4235267</v>
      </c>
      <c r="H28" s="185">
        <f>paramProd1MatPctOfProduction*capReg1Prod1UnitsProduction*capProd1COGSPUnitMat</f>
        <v>182842132.4235267</v>
      </c>
      <c r="I28" s="185">
        <f>paramProd1MatPctOfProduction*capReg1Prod1UnitsProduction*capProd1COGSPUnitMat</f>
        <v>182842132.4235267</v>
      </c>
      <c r="J28" t="s">
        <v>3097</v>
      </c>
    </row>
    <row r="29" spans="2:10">
      <c r="B29" t="str">
        <f>"Materials " &amp;DataNameProd3</f>
        <v>Materials NCB</v>
      </c>
      <c r="E29" s="185">
        <f>paramProd3MatPctOfProduction*capReg1Prod3UnitsProduction*capProd3COGSPUnitMat</f>
        <v>148786471.96481746</v>
      </c>
      <c r="F29" s="185">
        <f>paramProd3MatPctOfProduction*capReg1Prod3UnitsProduction*capProd3COGSPUnitMat</f>
        <v>148786471.96481746</v>
      </c>
      <c r="G29" s="185">
        <f>paramProd3MatPctOfProduction*capReg1Prod3UnitsProduction*capProd3COGSPUnitMat</f>
        <v>148786471.96481746</v>
      </c>
      <c r="H29" s="185">
        <f>paramProd3MatPctOfProduction*capReg1Prod3UnitsProduction*capProd3COGSPUnitMat</f>
        <v>148786471.96481746</v>
      </c>
      <c r="I29" s="185">
        <f>paramProd3MatPctOfProduction*capReg1Prod3UnitsProduction*capProd3COGSPUnitMat</f>
        <v>148786471.96481746</v>
      </c>
      <c r="J29" t="s">
        <v>3099</v>
      </c>
    </row>
    <row r="30" spans="2:10">
      <c r="B30" t="str">
        <f>"Materials " &amp;DataNameProd4</f>
        <v>Materials F&amp;S</v>
      </c>
      <c r="E30" s="185">
        <f>paramProd4MatPctOfProduction*capReg1Prod4UnitsProduction*capProd4COGSPUnitMat</f>
        <v>223910321.26330647</v>
      </c>
      <c r="F30" s="185">
        <f>paramProd4MatPctOfProduction*capReg1Prod4UnitsProduction*capProd4COGSPUnitMat</f>
        <v>223910321.26330647</v>
      </c>
      <c r="G30" s="185">
        <f>paramProd4MatPctOfProduction*capReg1Prod4UnitsProduction*capProd4COGSPUnitMat</f>
        <v>223910321.26330647</v>
      </c>
      <c r="H30" s="185">
        <f>paramProd4MatPctOfProduction*capReg1Prod4UnitsProduction*capProd4COGSPUnitMat</f>
        <v>223910321.26330647</v>
      </c>
      <c r="I30" s="185">
        <f>paramProd4MatPctOfProduction*capReg1Prod4UnitsProduction*capProd4COGSPUnitMat</f>
        <v>223910321.26330647</v>
      </c>
      <c r="J30" t="s">
        <v>3100</v>
      </c>
    </row>
    <row r="31" spans="2:10">
      <c r="B31" t="str">
        <f>"Materials " &amp;DataNameProd5</f>
        <v>Materials Product Five</v>
      </c>
      <c r="E31" s="185"/>
      <c r="F31" s="185"/>
      <c r="G31" s="185"/>
      <c r="H31" s="185"/>
      <c r="I31" s="185"/>
      <c r="J31" t="s">
        <v>3977</v>
      </c>
    </row>
    <row r="32" spans="2:10">
      <c r="B32" t="str">
        <f>"Materials " &amp;DataNameProd6</f>
        <v>Materials Product Six</v>
      </c>
      <c r="E32" s="185"/>
      <c r="F32" s="185"/>
      <c r="G32" s="185"/>
      <c r="H32" s="185"/>
      <c r="I32" s="185"/>
      <c r="J32" t="s">
        <v>3978</v>
      </c>
    </row>
    <row r="33" spans="2:10">
      <c r="B33" s="207"/>
      <c r="C33" s="207"/>
      <c r="D33" s="207"/>
      <c r="E33" s="257"/>
      <c r="F33" s="257"/>
      <c r="G33" s="257"/>
      <c r="H33" s="257"/>
      <c r="I33" s="257"/>
    </row>
    <row r="34" spans="2:10">
      <c r="B34" s="2" t="s">
        <v>2925</v>
      </c>
      <c r="E34" s="186">
        <f>SUM(E28:E32)</f>
        <v>555538925.65165067</v>
      </c>
      <c r="F34" s="186">
        <f>SUM(F28:F30)</f>
        <v>555538925.65165067</v>
      </c>
      <c r="G34" s="186">
        <f>SUM(G28:G30)</f>
        <v>555538925.65165067</v>
      </c>
      <c r="H34" s="186">
        <f>SUM(H28:H30)</f>
        <v>555538925.65165067</v>
      </c>
      <c r="I34" s="186">
        <f>SUM(I28:I30)</f>
        <v>555538925.65165067</v>
      </c>
      <c r="J34" t="s">
        <v>3859</v>
      </c>
    </row>
    <row r="35" spans="2:10">
      <c r="B35" s="2"/>
      <c r="E35" s="185"/>
      <c r="F35" s="185"/>
      <c r="G35" s="185"/>
      <c r="H35" s="185"/>
      <c r="I35" s="185"/>
    </row>
    <row r="36" spans="2:10">
      <c r="B36" t="str">
        <f>"WIP " &amp;DataNameProd1</f>
        <v>WIP CSD</v>
      </c>
      <c r="E36" s="185">
        <f>capReg1Prod1UnitsWiPEnd*capProd1COGSPUnitMat</f>
        <v>397988.94626037555</v>
      </c>
      <c r="F36" s="185">
        <f>capReg1Prod1UnitsWiPEnd*capProd1COGSPUnitMat</f>
        <v>397988.94626037555</v>
      </c>
      <c r="G36" s="185">
        <f>capReg1Prod1UnitsWiPEnd*capProd1COGSPUnitMat</f>
        <v>397988.94626037555</v>
      </c>
      <c r="H36" s="185">
        <f>capReg1Prod1UnitsWiPEnd*capProd1COGSPUnitMat</f>
        <v>397988.94626037555</v>
      </c>
      <c r="I36" s="185">
        <f>capReg1Prod1UnitsWiPEnd*capProd1COGSPUnitMat</f>
        <v>397988.94626037555</v>
      </c>
      <c r="J36" t="s">
        <v>3861</v>
      </c>
    </row>
    <row r="37" spans="2:10">
      <c r="B37" t="str">
        <f>"WIP " &amp;DataNameProd3</f>
        <v>WIP NCB</v>
      </c>
      <c r="E37" s="185">
        <f>capReg1Prod3UnitsWiPEnd*capProd3COGSPUnitMat</f>
        <v>847539.57003371196</v>
      </c>
      <c r="F37" s="185">
        <f>capReg1Prod3UnitsWiPEnd*capProd3COGSPUnitMat</f>
        <v>847539.57003371196</v>
      </c>
      <c r="G37" s="185">
        <f>capReg1Prod3UnitsWiPEnd*capProd3COGSPUnitMat</f>
        <v>847539.57003371196</v>
      </c>
      <c r="H37" s="185">
        <f>capReg1Prod3UnitsWiPEnd*capProd3COGSPUnitMat</f>
        <v>847539.57003371196</v>
      </c>
      <c r="I37" s="185">
        <f>capReg1Prod3UnitsWiPEnd*capProd3COGSPUnitMat</f>
        <v>847539.57003371196</v>
      </c>
      <c r="J37" t="s">
        <v>3863</v>
      </c>
    </row>
    <row r="38" spans="2:10">
      <c r="B38" t="str">
        <f>"WIP " &amp;DataNameProd4</f>
        <v>WIP F&amp;S</v>
      </c>
      <c r="E38" s="185">
        <f>capReg1Prod4UnitsWiPEnd*capProd4COGSPUnitMat</f>
        <v>2125773.915798848</v>
      </c>
      <c r="F38" s="185">
        <f>capReg1Prod4UnitsWiPEnd*capProd4COGSPUnitMat</f>
        <v>2125773.915798848</v>
      </c>
      <c r="G38" s="185">
        <f>capReg1Prod4UnitsWiPEnd*capProd4COGSPUnitMat</f>
        <v>2125773.915798848</v>
      </c>
      <c r="H38" s="185">
        <f>capReg1Prod4UnitsWiPEnd*capProd4COGSPUnitMat</f>
        <v>2125773.915798848</v>
      </c>
      <c r="I38" s="185">
        <f>capReg1Prod4UnitsWiPEnd*capProd4COGSPUnitMat</f>
        <v>2125773.915798848</v>
      </c>
      <c r="J38" t="s">
        <v>3864</v>
      </c>
    </row>
    <row r="39" spans="2:10">
      <c r="B39" t="str">
        <f>"WIP " &amp;DataNameProd5</f>
        <v>WIP Product Five</v>
      </c>
      <c r="E39" s="185"/>
      <c r="F39" s="185"/>
      <c r="G39" s="185"/>
      <c r="H39" s="185"/>
      <c r="I39" s="185"/>
      <c r="J39" t="s">
        <v>3865</v>
      </c>
    </row>
    <row r="40" spans="2:10">
      <c r="B40" t="str">
        <f>"WIP " &amp;DataNameProd6</f>
        <v>WIP Product Six</v>
      </c>
      <c r="E40" s="185"/>
      <c r="F40" s="185"/>
      <c r="G40" s="185"/>
      <c r="H40" s="185"/>
      <c r="I40" s="185"/>
      <c r="J40" t="s">
        <v>3866</v>
      </c>
    </row>
    <row r="41" spans="2:10">
      <c r="B41" s="207"/>
      <c r="C41" s="207"/>
      <c r="D41" s="207"/>
      <c r="E41" s="257"/>
      <c r="F41" s="257"/>
      <c r="G41" s="257"/>
      <c r="H41" s="257"/>
      <c r="I41" s="257"/>
    </row>
    <row r="42" spans="2:10">
      <c r="B42" s="2" t="s">
        <v>2926</v>
      </c>
      <c r="E42" s="186">
        <f>SUM(E36:E40)</f>
        <v>3371302.4320929358</v>
      </c>
      <c r="F42" s="186">
        <f>SUM(F36:F40)</f>
        <v>3371302.4320929358</v>
      </c>
      <c r="G42" s="186">
        <f>SUM(G36:G40)</f>
        <v>3371302.4320929358</v>
      </c>
      <c r="H42" s="186">
        <f>SUM(H36:H40)</f>
        <v>3371302.4320929358</v>
      </c>
      <c r="I42" s="186">
        <f>SUM(I36:I40)</f>
        <v>3371302.4320929358</v>
      </c>
      <c r="J42" t="s">
        <v>3867</v>
      </c>
    </row>
    <row r="43" spans="2:10">
      <c r="B43" s="2"/>
      <c r="E43" s="185"/>
      <c r="F43" s="185"/>
      <c r="G43" s="185"/>
      <c r="H43" s="185"/>
      <c r="I43" s="185"/>
    </row>
    <row r="44" spans="2:10">
      <c r="B44" t="str">
        <f>"Finished Goods " &amp;DataNameProd1</f>
        <v>Finished Goods CSD</v>
      </c>
      <c r="E44" s="185">
        <f ca="1">capReg1Prod1UnitsFGCbal*capReg1Prod1COGSPUnit</f>
        <v>0</v>
      </c>
      <c r="F44" s="185">
        <f ca="1">capReg1Prod1UnitsFGCbal*capReg1Prod1COGSPUnit</f>
        <v>0</v>
      </c>
      <c r="G44" s="185">
        <f ca="1">capReg1Prod1UnitsFGCbal*capReg1Prod1COGSPUnit</f>
        <v>0</v>
      </c>
      <c r="H44" s="185">
        <f ca="1">capReg1Prod1UnitsFGCbal*capReg1Prod1COGSPUnit</f>
        <v>0</v>
      </c>
      <c r="I44" s="185">
        <f ca="1">capReg1Prod1UnitsFGCbal*capReg1Prod1COGSPUnit</f>
        <v>0</v>
      </c>
      <c r="J44" t="s">
        <v>3868</v>
      </c>
    </row>
    <row r="45" spans="2:10">
      <c r="B45" t="str">
        <f>"Finished Goods " &amp;DataNameProd3</f>
        <v>Finished Goods NCB</v>
      </c>
      <c r="E45" s="185">
        <f ca="1">capReg1Prod3UnitsFGCbal*capReg1Prod3COGSPUnit</f>
        <v>26024117.135806303</v>
      </c>
      <c r="F45" s="185">
        <f ca="1">capReg1Prod3UnitsFGCbal*capReg1Prod3COGSPUnit</f>
        <v>26024117.135806303</v>
      </c>
      <c r="G45" s="185">
        <f ca="1">capReg1Prod3UnitsFGCbal*capReg1Prod3COGSPUnit</f>
        <v>26024117.135806303</v>
      </c>
      <c r="H45" s="185">
        <f ca="1">capReg1Prod3UnitsFGCbal*capReg1Prod3COGSPUnit</f>
        <v>26024117.135806303</v>
      </c>
      <c r="I45" s="185">
        <f ca="1">capReg1Prod3UnitsFGCbal*capReg1Prod3COGSPUnit</f>
        <v>26024117.135806303</v>
      </c>
      <c r="J45" t="s">
        <v>3870</v>
      </c>
    </row>
    <row r="46" spans="2:10">
      <c r="B46" t="str">
        <f>"Finished Goods " &amp;DataNameProd4</f>
        <v>Finished Goods F&amp;S</v>
      </c>
      <c r="E46" s="185">
        <f ca="1">capReg1Prod4UnitsFGCbal*capReg1Prod4COGSPUnit</f>
        <v>11421322.716963653</v>
      </c>
      <c r="F46" s="185">
        <f ca="1">capReg1Prod4UnitsFGCbal*capReg1Prod4COGSPUnit</f>
        <v>11421322.716963653</v>
      </c>
      <c r="G46" s="185">
        <f ca="1">capReg1Prod4UnitsFGCbal*capReg1Prod4COGSPUnit</f>
        <v>11421322.716963653</v>
      </c>
      <c r="H46" s="185">
        <f ca="1">capReg1Prod4UnitsFGCbal*capReg1Prod4COGSPUnit</f>
        <v>11421322.716963653</v>
      </c>
      <c r="I46" s="185">
        <f ca="1">capReg1Prod4UnitsFGCbal*capReg1Prod4COGSPUnit</f>
        <v>11421322.716963653</v>
      </c>
      <c r="J46" t="s">
        <v>3871</v>
      </c>
    </row>
    <row r="47" spans="2:10">
      <c r="B47" t="str">
        <f>"Finished Goods " &amp;DataNameProd5</f>
        <v>Finished Goods Product Five</v>
      </c>
      <c r="E47" s="185"/>
      <c r="F47" s="185"/>
      <c r="G47" s="185"/>
      <c r="H47" s="185"/>
      <c r="I47" s="185"/>
      <c r="J47" t="s">
        <v>2697</v>
      </c>
    </row>
    <row r="48" spans="2:10">
      <c r="B48" t="str">
        <f>"Finished Goods " &amp;DataNameProd6</f>
        <v>Finished Goods Product Six</v>
      </c>
      <c r="E48" s="185"/>
      <c r="F48" s="185"/>
      <c r="G48" s="185"/>
      <c r="H48" s="185"/>
      <c r="I48" s="185"/>
      <c r="J48" t="s">
        <v>144</v>
      </c>
    </row>
    <row r="49" spans="2:10">
      <c r="B49" s="207"/>
      <c r="C49" s="207"/>
      <c r="D49" s="207"/>
      <c r="E49" s="257"/>
      <c r="F49" s="257"/>
      <c r="G49" s="257"/>
      <c r="H49" s="257"/>
      <c r="I49" s="257"/>
    </row>
    <row r="50" spans="2:10">
      <c r="B50" s="2" t="s">
        <v>2927</v>
      </c>
      <c r="E50" s="186">
        <f ca="1">SUM(E44:E48)</f>
        <v>37445439.852769956</v>
      </c>
      <c r="F50" s="186">
        <f ca="1">SUM(F44:F48)</f>
        <v>37445439.852769956</v>
      </c>
      <c r="G50" s="186">
        <f ca="1">SUM(G44:G48)</f>
        <v>37445439.852769956</v>
      </c>
      <c r="H50" s="186">
        <f ca="1">SUM(H44:H48)</f>
        <v>37445439.852769956</v>
      </c>
      <c r="I50" s="186">
        <f ca="1">SUM(I44:I48)</f>
        <v>37445439.852769956</v>
      </c>
      <c r="J50" t="s">
        <v>145</v>
      </c>
    </row>
    <row r="51" spans="2:10">
      <c r="B51" s="2"/>
      <c r="E51" s="185"/>
      <c r="F51" s="185"/>
      <c r="G51" s="185"/>
      <c r="H51" s="185"/>
      <c r="I51" s="185"/>
    </row>
    <row r="52" spans="2:10">
      <c r="B52" s="424" t="s">
        <v>3096</v>
      </c>
      <c r="C52" s="131"/>
      <c r="E52" s="185"/>
      <c r="F52" s="185"/>
      <c r="G52" s="185"/>
      <c r="H52" s="185"/>
      <c r="I52" s="185"/>
    </row>
    <row r="53" spans="2:10">
      <c r="B53" t="str">
        <f>"Materials " &amp;DataNameProd1</f>
        <v>Materials CSD</v>
      </c>
      <c r="E53" s="185">
        <f>paramProd1MatPctOfProduction*capReg2Prod1UnitsProduction*capProd1COGSPUnitMat</f>
        <v>87956280.892672196</v>
      </c>
      <c r="F53" s="185">
        <f>paramProd1MatPctOfProduction*capReg2Prod1UnitsProduction*capProd1COGSPUnitMat</f>
        <v>87956280.892672196</v>
      </c>
      <c r="G53" s="185">
        <f>paramProd1MatPctOfProduction*capReg2Prod1UnitsProduction*capProd1COGSPUnitMat</f>
        <v>87956280.892672196</v>
      </c>
      <c r="H53" s="185">
        <f>paramProd1MatPctOfProduction*capReg2Prod1UnitsProduction*capProd1COGSPUnitMat</f>
        <v>87956280.892672196</v>
      </c>
      <c r="I53" s="185">
        <f>paramProd1MatPctOfProduction*capReg2Prod1UnitsProduction*capProd1COGSPUnitMat</f>
        <v>87956280.892672196</v>
      </c>
      <c r="J53" t="s">
        <v>146</v>
      </c>
    </row>
    <row r="54" spans="2:10">
      <c r="B54" t="str">
        <f>"Materials " &amp;DataNameProd3</f>
        <v>Materials NCB</v>
      </c>
      <c r="E54" s="185">
        <f>paramProd3MatPctOfProduction*capReg2Prod3UnitsProduction*capProd3COGSPUnitMat</f>
        <v>102166494.14432968</v>
      </c>
      <c r="F54" s="185">
        <f>paramProd3MatPctOfProduction*capReg2Prod3UnitsProduction*capProd3COGSPUnitMat</f>
        <v>102166494.14432968</v>
      </c>
      <c r="G54" s="185">
        <f>paramProd3MatPctOfProduction*capReg2Prod3UnitsProduction*capProd3COGSPUnitMat</f>
        <v>102166494.14432968</v>
      </c>
      <c r="H54" s="185">
        <f>paramProd3MatPctOfProduction*capReg2Prod3UnitsProduction*capProd3COGSPUnitMat</f>
        <v>102166494.14432968</v>
      </c>
      <c r="I54" s="185">
        <f>paramProd3MatPctOfProduction*capReg2Prod3UnitsProduction*capProd3COGSPUnitMat</f>
        <v>102166494.14432968</v>
      </c>
      <c r="J54" t="s">
        <v>3000</v>
      </c>
    </row>
    <row r="55" spans="2:10">
      <c r="B55" t="str">
        <f>"Materials " &amp;DataNameProd4</f>
        <v>Materials F&amp;S</v>
      </c>
      <c r="E55" s="185">
        <f>paramProd4MatPctOfProduction*capReg2Prod4UnitsProduction*capProd4COGSPUnitMat</f>
        <v>93103884.969613403</v>
      </c>
      <c r="F55" s="185">
        <f>paramProd4MatPctOfProduction*capReg2Prod4UnitsProduction*capProd4COGSPUnitMat</f>
        <v>93103884.969613403</v>
      </c>
      <c r="G55" s="185">
        <f>paramProd4MatPctOfProduction*capReg2Prod4UnitsProduction*capProd4COGSPUnitMat</f>
        <v>93103884.969613403</v>
      </c>
      <c r="H55" s="185">
        <f>paramProd4MatPctOfProduction*capReg2Prod4UnitsProduction*capProd4COGSPUnitMat</f>
        <v>93103884.969613403</v>
      </c>
      <c r="I55" s="185">
        <f>paramProd4MatPctOfProduction*capReg2Prod4UnitsProduction*capProd4COGSPUnitMat</f>
        <v>93103884.969613403</v>
      </c>
      <c r="J55" t="s">
        <v>3074</v>
      </c>
    </row>
    <row r="56" spans="2:10">
      <c r="B56" t="str">
        <f>"Materials " &amp;DataNameProd5</f>
        <v>Materials Product Five</v>
      </c>
      <c r="E56" s="185"/>
      <c r="F56" s="185"/>
      <c r="G56" s="185"/>
      <c r="H56" s="185"/>
      <c r="I56" s="185"/>
      <c r="J56" t="s">
        <v>3075</v>
      </c>
    </row>
    <row r="57" spans="2:10">
      <c r="B57" t="str">
        <f>"Materials " &amp;DataNameProd6</f>
        <v>Materials Product Six</v>
      </c>
      <c r="E57" s="185"/>
      <c r="F57" s="185"/>
      <c r="G57" s="185"/>
      <c r="H57" s="185"/>
      <c r="I57" s="185"/>
      <c r="J57" t="s">
        <v>3076</v>
      </c>
    </row>
    <row r="58" spans="2:10">
      <c r="B58" s="207"/>
      <c r="C58" s="207"/>
      <c r="D58" s="207"/>
      <c r="E58" s="257"/>
      <c r="F58" s="257"/>
      <c r="G58" s="257"/>
      <c r="H58" s="257"/>
      <c r="I58" s="257"/>
    </row>
    <row r="59" spans="2:10">
      <c r="B59" s="2" t="s">
        <v>2925</v>
      </c>
      <c r="E59" s="186">
        <f>SUM(E53:E57)</f>
        <v>283226660.00661528</v>
      </c>
      <c r="F59" s="186">
        <f>SUM(F53:F55)</f>
        <v>283226660.00661528</v>
      </c>
      <c r="G59" s="186">
        <f>SUM(G53:G55)</f>
        <v>283226660.00661528</v>
      </c>
      <c r="H59" s="186">
        <f>SUM(H53:H55)</f>
        <v>283226660.00661528</v>
      </c>
      <c r="I59" s="186">
        <f>SUM(I53:I55)</f>
        <v>283226660.00661528</v>
      </c>
      <c r="J59" t="s">
        <v>3077</v>
      </c>
    </row>
    <row r="60" spans="2:10">
      <c r="B60" s="2"/>
      <c r="E60" s="185"/>
      <c r="F60" s="185"/>
      <c r="G60" s="185"/>
      <c r="H60" s="185"/>
      <c r="I60" s="185"/>
    </row>
    <row r="61" spans="2:10">
      <c r="B61" t="str">
        <f>"WIP " &amp;DataNameProd1</f>
        <v>WIP CSD</v>
      </c>
      <c r="E61" s="185">
        <f>capReg2Prod1UnitsWiPEnd*capProd1COGSPUnitMat</f>
        <v>191453.395606481</v>
      </c>
      <c r="F61" s="185">
        <f>capReg2Prod1UnitsWiPEnd*capProd1COGSPUnitMat</f>
        <v>191453.395606481</v>
      </c>
      <c r="G61" s="185">
        <f>capReg2Prod1UnitsWiPEnd*capProd1COGSPUnitMat</f>
        <v>191453.395606481</v>
      </c>
      <c r="H61" s="185">
        <f>capReg2Prod1UnitsWiPEnd*capProd1COGSPUnitMat</f>
        <v>191453.395606481</v>
      </c>
      <c r="I61" s="185">
        <f>capReg2Prod1UnitsWiPEnd*capProd1COGSPUnitMat</f>
        <v>191453.395606481</v>
      </c>
      <c r="J61" t="s">
        <v>3078</v>
      </c>
    </row>
    <row r="62" spans="2:10">
      <c r="B62" t="str">
        <f>"WIP " &amp;DataNameProd3</f>
        <v>WIP NCB</v>
      </c>
      <c r="E62" s="185">
        <f>capReg2Prod3UnitsWiPEnd*capProd3COGSPUnitMat</f>
        <v>581978.07921614405</v>
      </c>
      <c r="F62" s="185">
        <f>capReg2Prod3UnitsWiPEnd*capProd3COGSPUnitMat</f>
        <v>581978.07921614405</v>
      </c>
      <c r="G62" s="185">
        <f>capReg2Prod3UnitsWiPEnd*capProd3COGSPUnitMat</f>
        <v>581978.07921614405</v>
      </c>
      <c r="H62" s="185">
        <f>capReg2Prod3UnitsWiPEnd*capProd3COGSPUnitMat</f>
        <v>581978.07921614405</v>
      </c>
      <c r="I62" s="185">
        <f>capReg2Prod3UnitsWiPEnd*capProd3COGSPUnitMat</f>
        <v>581978.07921614405</v>
      </c>
      <c r="J62" t="s">
        <v>3080</v>
      </c>
    </row>
    <row r="63" spans="2:10">
      <c r="B63" t="str">
        <f>"WIP " &amp;DataNameProd4</f>
        <v>WIP F&amp;S</v>
      </c>
      <c r="E63" s="185">
        <f>capReg2Prod4UnitsWiPEnd*capProd4COGSPUnitMat</f>
        <v>883918.24179585616</v>
      </c>
      <c r="F63" s="185">
        <f>capReg2Prod4UnitsWiPEnd*capProd4COGSPUnitMat</f>
        <v>883918.24179585616</v>
      </c>
      <c r="G63" s="185">
        <f>capReg2Prod4UnitsWiPEnd*capProd4COGSPUnitMat</f>
        <v>883918.24179585616</v>
      </c>
      <c r="H63" s="185">
        <f>capReg2Prod4UnitsWiPEnd*capProd4COGSPUnitMat</f>
        <v>883918.24179585616</v>
      </c>
      <c r="I63" s="185">
        <f>capReg2Prod4UnitsWiPEnd*capProd4COGSPUnitMat</f>
        <v>883918.24179585616</v>
      </c>
      <c r="J63" t="s">
        <v>3081</v>
      </c>
    </row>
    <row r="64" spans="2:10">
      <c r="B64" t="str">
        <f>"WIP " &amp;DataNameProd5</f>
        <v>WIP Product Five</v>
      </c>
      <c r="E64" s="185"/>
      <c r="F64" s="185"/>
      <c r="G64" s="185"/>
      <c r="H64" s="185"/>
      <c r="I64" s="185"/>
      <c r="J64" t="s">
        <v>3082</v>
      </c>
    </row>
    <row r="65" spans="1:10">
      <c r="B65" t="str">
        <f>"WIP " &amp;DataNameProd6</f>
        <v>WIP Product Six</v>
      </c>
      <c r="E65" s="185"/>
      <c r="F65" s="185"/>
      <c r="G65" s="185"/>
      <c r="H65" s="185"/>
      <c r="I65" s="185"/>
      <c r="J65" t="s">
        <v>3083</v>
      </c>
    </row>
    <row r="66" spans="1:10">
      <c r="B66" s="207"/>
      <c r="C66" s="207"/>
      <c r="D66" s="207"/>
      <c r="E66" s="257"/>
      <c r="F66" s="257"/>
      <c r="G66" s="257"/>
      <c r="H66" s="257"/>
      <c r="I66" s="257"/>
    </row>
    <row r="67" spans="1:10">
      <c r="B67" s="2" t="s">
        <v>2926</v>
      </c>
      <c r="E67" s="186">
        <f>SUM(E61:E65)</f>
        <v>1657349.7166184811</v>
      </c>
      <c r="F67" s="186">
        <f>SUM(F61:F66)</f>
        <v>1657349.7166184811</v>
      </c>
      <c r="G67" s="186">
        <f>SUM(G61:G66)</f>
        <v>1657349.7166184811</v>
      </c>
      <c r="H67" s="186">
        <f>SUM(H61:H66)</f>
        <v>1657349.7166184811</v>
      </c>
      <c r="I67" s="186">
        <f>SUM(I61:I66)</f>
        <v>1657349.7166184811</v>
      </c>
      <c r="J67" t="s">
        <v>3084</v>
      </c>
    </row>
    <row r="68" spans="1:10">
      <c r="B68" s="2"/>
      <c r="E68" s="185"/>
      <c r="F68" s="185"/>
      <c r="G68" s="185"/>
      <c r="H68" s="185"/>
      <c r="I68" s="185"/>
    </row>
    <row r="69" spans="1:10">
      <c r="B69" t="str">
        <f>"Finished Goods " &amp;DataNameProd1</f>
        <v>Finished Goods CSD</v>
      </c>
      <c r="E69" s="185">
        <f ca="1">capReg2Prod1UnitsFGCbal*capReg2Prod1COGSPUnit</f>
        <v>7031173.6600389471</v>
      </c>
      <c r="F69" s="185">
        <f ca="1">capReg2Prod1UnitsFGCbal*capReg2Prod1COGSPUnit</f>
        <v>7031173.6600389471</v>
      </c>
      <c r="G69" s="185">
        <f ca="1">capReg2Prod1UnitsFGCbal*capReg2Prod1COGSPUnit</f>
        <v>7031173.6600389471</v>
      </c>
      <c r="H69" s="185">
        <f ca="1">capReg2Prod1UnitsFGCbal*capReg2Prod1COGSPUnit</f>
        <v>7031173.6600389471</v>
      </c>
      <c r="I69" s="185">
        <f ca="1">capReg2Prod1UnitsFGCbal*capReg2Prod1COGSPUnit</f>
        <v>7031173.6600389471</v>
      </c>
      <c r="J69" t="s">
        <v>3963</v>
      </c>
    </row>
    <row r="70" spans="1:10">
      <c r="B70" t="str">
        <f>"Finished Goods " &amp;DataNameProd3</f>
        <v>Finished Goods NCB</v>
      </c>
      <c r="E70" s="185">
        <f ca="1">capReg2Prod3UnitsFGCbal*capReg2Prod3COGSPUnit</f>
        <v>19510979.443354141</v>
      </c>
      <c r="F70" s="185">
        <f ca="1">capReg2Prod3UnitsFGCbal*capReg2Prod3COGSPUnit</f>
        <v>19510979.443354141</v>
      </c>
      <c r="G70" s="185">
        <f ca="1">capReg2Prod3UnitsFGCbal*capReg2Prod3COGSPUnit</f>
        <v>19510979.443354141</v>
      </c>
      <c r="H70" s="185">
        <f ca="1">capReg2Prod3UnitsFGCbal*capReg2Prod3COGSPUnit</f>
        <v>19510979.443354141</v>
      </c>
      <c r="I70" s="185">
        <f ca="1">capReg2Prod3UnitsFGCbal*capReg2Prod3COGSPUnit</f>
        <v>19510979.443354141</v>
      </c>
      <c r="J70" t="s">
        <v>3965</v>
      </c>
    </row>
    <row r="71" spans="1:10">
      <c r="B71" t="str">
        <f>"Finished Goods " &amp;DataNameProd4</f>
        <v>Finished Goods F&amp;S</v>
      </c>
      <c r="E71" s="185">
        <f ca="1">capReg2Prod4UnitsFGCbal*capReg2Prod4COGSPUnit</f>
        <v>14858696.318229618</v>
      </c>
      <c r="F71" s="185">
        <f ca="1">capReg2Prod4UnitsFGCbal*capReg2Prod4COGSPUnit</f>
        <v>14858696.318229618</v>
      </c>
      <c r="G71" s="185">
        <f ca="1">capReg2Prod4UnitsFGCbal*capReg2Prod4COGSPUnit</f>
        <v>14858696.318229618</v>
      </c>
      <c r="H71" s="185">
        <f ca="1">capReg2Prod4UnitsFGCbal*capReg2Prod4COGSPUnit</f>
        <v>14858696.318229618</v>
      </c>
      <c r="I71" s="185">
        <f ca="1">capReg2Prod4UnitsFGCbal*capReg2Prod4COGSPUnit</f>
        <v>14858696.318229618</v>
      </c>
      <c r="J71" t="s">
        <v>3797</v>
      </c>
    </row>
    <row r="72" spans="1:10">
      <c r="B72" t="str">
        <f>"Finished Goods " &amp;DataNameProd5</f>
        <v>Finished Goods Product Five</v>
      </c>
      <c r="E72" s="185"/>
      <c r="F72" s="185"/>
      <c r="G72" s="185"/>
      <c r="H72" s="185"/>
      <c r="I72" s="185"/>
      <c r="J72" t="s">
        <v>3798</v>
      </c>
    </row>
    <row r="73" spans="1:10">
      <c r="B73" t="str">
        <f>"Finished Goods " &amp;DataNameProd6</f>
        <v>Finished Goods Product Six</v>
      </c>
      <c r="E73" s="185"/>
      <c r="F73" s="185"/>
      <c r="G73" s="185"/>
      <c r="H73" s="185"/>
      <c r="I73" s="185"/>
      <c r="J73" t="s">
        <v>3799</v>
      </c>
    </row>
    <row r="74" spans="1:10">
      <c r="B74" s="207"/>
      <c r="C74" s="207"/>
      <c r="D74" s="207"/>
      <c r="E74" s="257"/>
      <c r="F74" s="257"/>
      <c r="G74" s="257"/>
      <c r="H74" s="257"/>
      <c r="I74" s="257"/>
    </row>
    <row r="75" spans="1:10">
      <c r="B75" s="2" t="s">
        <v>2927</v>
      </c>
      <c r="E75" s="186">
        <f ca="1">SUM(E69:E73)</f>
        <v>41400849.421622708</v>
      </c>
      <c r="F75" s="186">
        <f ca="1">SUM(F69:F74)</f>
        <v>41400849.421622708</v>
      </c>
      <c r="G75" s="186">
        <f ca="1">SUM(G69:G74)</f>
        <v>41400849.421622708</v>
      </c>
      <c r="H75" s="186">
        <f ca="1">SUM(H69:H74)</f>
        <v>41400849.421622708</v>
      </c>
      <c r="I75" s="186">
        <f ca="1">SUM(I69:I74)</f>
        <v>41400849.421622708</v>
      </c>
      <c r="J75" t="s">
        <v>489</v>
      </c>
    </row>
    <row r="76" spans="1:10">
      <c r="B76" s="2"/>
      <c r="E76" s="186"/>
      <c r="F76" s="186"/>
      <c r="G76" s="186"/>
      <c r="H76" s="186"/>
      <c r="I76" s="186"/>
    </row>
    <row r="77" spans="1:10">
      <c r="B77" s="119"/>
      <c r="C77" s="119"/>
      <c r="D77" s="207"/>
      <c r="E77" s="257"/>
      <c r="F77" s="257"/>
      <c r="G77" s="257"/>
      <c r="H77" s="257"/>
      <c r="I77" s="257"/>
    </row>
    <row r="78" spans="1:10">
      <c r="A78" s="2" t="s">
        <v>1841</v>
      </c>
      <c r="E78" s="186">
        <f ca="1">E75+E67+E59+E50+E42+E34+E18+E25+E10</f>
        <v>11975287126.870766</v>
      </c>
      <c r="F78" s="186">
        <f ca="1">F75+F67+F59+F50+F42+F34+F18+F25+F10</f>
        <v>11975287126.870766</v>
      </c>
      <c r="G78" s="186">
        <f ca="1">G75+G67+G59+G50+G42+G34+G18+G25+G10</f>
        <v>11975287126.870766</v>
      </c>
      <c r="H78" s="186">
        <f ca="1">H75+H67+H59+H50+H42+H34+H18+H25+H10</f>
        <v>11975287126.870766</v>
      </c>
      <c r="I78" s="186">
        <f ca="1">I75+I67+I59+I50+I42+I34+I18+I25+I10</f>
        <v>11975287126.870766</v>
      </c>
    </row>
    <row r="79" spans="1:10">
      <c r="A79" s="2"/>
      <c r="E79" s="186"/>
      <c r="F79" s="186"/>
      <c r="G79" s="186"/>
      <c r="H79" s="186"/>
      <c r="I79" s="186"/>
    </row>
    <row r="80" spans="1:10">
      <c r="A80" s="2"/>
      <c r="E80" s="186"/>
      <c r="F80" s="186"/>
      <c r="G80" s="186"/>
      <c r="H80" s="186"/>
      <c r="I80" s="186"/>
    </row>
    <row r="81" spans="1:10">
      <c r="A81" s="2" t="s">
        <v>1058</v>
      </c>
      <c r="E81" s="186"/>
      <c r="F81" s="186"/>
      <c r="G81" s="186"/>
      <c r="H81" s="186"/>
      <c r="I81" s="186"/>
    </row>
    <row r="82" spans="1:10">
      <c r="A82" s="2"/>
      <c r="B82" t="s">
        <v>1058</v>
      </c>
      <c r="E82" s="186">
        <f>obalGoodWillValue*(1-paramGoodwillAmorRate)</f>
        <v>2800000000</v>
      </c>
      <c r="F82" s="186">
        <f>obalGoodWillValue*(1-paramGoodwillAmorRate)</f>
        <v>2800000000</v>
      </c>
      <c r="G82" s="186">
        <f>obalGoodWillValue*(1-paramGoodwillAmorRate)</f>
        <v>2800000000</v>
      </c>
      <c r="H82" s="186">
        <f>obalGoodWillValue*(1-paramGoodwillAmorRate)</f>
        <v>2800000000</v>
      </c>
      <c r="I82" s="186">
        <f>obalGoodWillValue*(1-paramGoodwillAmorRate)</f>
        <v>2800000000</v>
      </c>
      <c r="J82" t="s">
        <v>3473</v>
      </c>
    </row>
    <row r="83" spans="1:10">
      <c r="A83" s="2"/>
      <c r="E83" s="186"/>
      <c r="F83" s="186"/>
      <c r="G83" s="186"/>
      <c r="H83" s="186"/>
      <c r="I83" s="186"/>
    </row>
    <row r="84" spans="1:10">
      <c r="A84" s="2" t="s">
        <v>1843</v>
      </c>
      <c r="E84" s="185"/>
      <c r="F84" s="185"/>
      <c r="G84" s="185"/>
      <c r="H84" s="185"/>
      <c r="I84" s="185"/>
    </row>
    <row r="85" spans="1:10">
      <c r="B85" t="str">
        <f>DataNamePlant1</f>
        <v>Plant</v>
      </c>
      <c r="E85" s="185">
        <f ca="1">obalPlant1Value-capPlant1Depreciation-capPlant1InEffDepreciation-capPlant1ExCapDepreciation-capPlant1DivestmentValue+capPlant1Investment</f>
        <v>6373894260</v>
      </c>
      <c r="F85" s="185">
        <f ca="1">obalPlant1Value-capPlant1Depreciation-capPlant1InEffDepreciation-capPlant1ExCapDepreciation-capPlant1DivestmentValue+capPlant1Investment</f>
        <v>6373894260</v>
      </c>
      <c r="G85" s="185">
        <f ca="1">obalPlant1Value-capPlant1Depreciation-capPlant1InEffDepreciation-capPlant1ExCapDepreciation-capPlant1DivestmentValue+capPlant1Investment</f>
        <v>6373894260</v>
      </c>
      <c r="H85" s="185">
        <f ca="1">obalPlant1Value-capPlant1Depreciation-capPlant1InEffDepreciation-capPlant1ExCapDepreciation-capPlant1DivestmentValue+capPlant1Investment</f>
        <v>6373894260</v>
      </c>
      <c r="I85" s="185">
        <f ca="1">obalPlant1Value-capPlant1Depreciation-capPlant1InEffDepreciation-capPlant1ExCapDepreciation-capPlant1DivestmentValue+capPlant1Investment</f>
        <v>6373894260</v>
      </c>
      <c r="J85" t="s">
        <v>4531</v>
      </c>
    </row>
    <row r="86" spans="1:10">
      <c r="B86" s="119"/>
      <c r="C86" s="119"/>
      <c r="D86" s="207"/>
      <c r="E86" s="257"/>
      <c r="F86" s="257"/>
      <c r="G86" s="257"/>
      <c r="H86" s="257"/>
      <c r="I86" s="257"/>
    </row>
    <row r="87" spans="1:10">
      <c r="A87" s="2" t="s">
        <v>1844</v>
      </c>
      <c r="E87" s="186">
        <f ca="1">SUM(E85)</f>
        <v>6373894260</v>
      </c>
      <c r="F87" s="186">
        <f ca="1">SUM(F85)</f>
        <v>6373894260</v>
      </c>
      <c r="G87" s="186">
        <f ca="1">SUM(G85)</f>
        <v>6373894260</v>
      </c>
      <c r="H87" s="186">
        <f ca="1">SUM(H85)</f>
        <v>6373894260</v>
      </c>
      <c r="I87" s="186">
        <f ca="1">SUM(I85)</f>
        <v>6373894260</v>
      </c>
      <c r="J87" t="s">
        <v>3539</v>
      </c>
    </row>
    <row r="88" spans="1:10">
      <c r="A88" s="2" t="s">
        <v>1845</v>
      </c>
      <c r="E88" s="186">
        <f ca="1">E87+E82+E78</f>
        <v>21149181386.870766</v>
      </c>
      <c r="F88" s="186">
        <f ca="1">F87+F82+F78</f>
        <v>21149181386.870766</v>
      </c>
      <c r="G88" s="186">
        <f ca="1">G87+G82+G78</f>
        <v>21149181386.870766</v>
      </c>
      <c r="H88" s="186">
        <f ca="1">H87+H82+H78</f>
        <v>21149181386.870766</v>
      </c>
      <c r="I88" s="186">
        <f ca="1">I87+I82+I78</f>
        <v>21149181386.870766</v>
      </c>
      <c r="J88" t="s">
        <v>1169</v>
      </c>
    </row>
    <row r="89" spans="1:10">
      <c r="E89" s="185"/>
      <c r="F89" s="185"/>
      <c r="G89" s="185"/>
      <c r="H89" s="185"/>
      <c r="I89" s="185"/>
    </row>
    <row r="90" spans="1:10">
      <c r="A90" s="2" t="s">
        <v>1846</v>
      </c>
      <c r="E90" s="185"/>
      <c r="F90" s="185"/>
      <c r="G90" s="185"/>
      <c r="H90" s="185"/>
      <c r="I90" s="185"/>
    </row>
    <row r="91" spans="1:10">
      <c r="A91" s="2" t="s">
        <v>1847</v>
      </c>
      <c r="E91" s="185"/>
      <c r="F91" s="185"/>
      <c r="G91" s="185"/>
      <c r="H91" s="185"/>
      <c r="I91" s="185"/>
    </row>
    <row r="92" spans="1:10">
      <c r="B92" s="3" t="s">
        <v>3505</v>
      </c>
      <c r="E92" s="185">
        <f ca="1">(finCashExpense+capPlant1InvestmentNew+capPlant1CapitalMaint)*paramAPDays/paramDaysPerYear</f>
        <v>2290770901.6469336</v>
      </c>
      <c r="F92" s="185">
        <f ca="1">(finCashExpense+capPlant1InvestmentNew+capPlant1CapitalMaint)*paramAPDays/paramDaysPerYear</f>
        <v>2290770901.6469336</v>
      </c>
      <c r="G92" s="185">
        <f ca="1">(finCashExpense+capPlant1InvestmentNew+capPlant1CapitalMaint)*paramAPDays/paramDaysPerYear</f>
        <v>2290770901.6469336</v>
      </c>
      <c r="H92" s="185">
        <f ca="1">(finCashExpense+capPlant1InvestmentNew+capPlant1CapitalMaint)*paramAPDays/paramDaysPerYear</f>
        <v>2290770901.6469336</v>
      </c>
      <c r="I92" s="185">
        <f ca="1">(finCashExpense+capPlant1InvestmentNew+capPlant1CapitalMaint)*paramAPDays/paramDaysPerYear</f>
        <v>2290770901.6469336</v>
      </c>
      <c r="J92" t="s">
        <v>2096</v>
      </c>
    </row>
    <row r="93" spans="1:10">
      <c r="B93" s="3" t="s">
        <v>2339</v>
      </c>
      <c r="E93" s="187">
        <f>obalOtherCurrLiabValue*(1+paramOtherCurrLiabGrowth)</f>
        <v>3630000000.000001</v>
      </c>
      <c r="F93" s="187">
        <f>obalOtherCurrLiabValue*(1+paramOtherCurrLiabGrowth)</f>
        <v>3630000000.000001</v>
      </c>
      <c r="G93" s="187">
        <f>obalOtherCurrLiabValue*(1+paramOtherCurrLiabGrowth)</f>
        <v>3630000000.000001</v>
      </c>
      <c r="H93" s="187">
        <f>obalOtherCurrLiabValue*(1+paramOtherCurrLiabGrowth)</f>
        <v>3630000000.000001</v>
      </c>
      <c r="I93" s="187">
        <f>obalOtherCurrLiabValue*(1+paramOtherCurrLiabGrowth)</f>
        <v>3630000000.000001</v>
      </c>
      <c r="J93" t="s">
        <v>2097</v>
      </c>
    </row>
    <row r="94" spans="1:10">
      <c r="B94" s="3" t="s">
        <v>2340</v>
      </c>
      <c r="E94" s="185">
        <f ca="1">finCashFlowSpecLoansChange+obalSpecLoansValue</f>
        <v>0</v>
      </c>
      <c r="F94" s="185">
        <f ca="1">finCashFlowSpecLoansChange+obalSpecLoansValue</f>
        <v>0</v>
      </c>
      <c r="G94" s="185">
        <f ca="1">finCashFlowSpecLoansChange+obalSpecLoansValue</f>
        <v>0</v>
      </c>
      <c r="H94" s="185">
        <f ca="1">finCashFlowSpecLoansChange+obalSpecLoansValue</f>
        <v>0</v>
      </c>
      <c r="I94" s="185">
        <f ca="1">finCashFlowSpecLoansChange+obalSpecLoansValue</f>
        <v>0</v>
      </c>
      <c r="J94" t="s">
        <v>2098</v>
      </c>
    </row>
    <row r="95" spans="1:10">
      <c r="B95" s="266"/>
      <c r="C95" s="119"/>
      <c r="D95" s="207"/>
      <c r="E95" s="257"/>
      <c r="F95" s="257"/>
      <c r="G95" s="257"/>
      <c r="H95" s="257"/>
      <c r="I95" s="257"/>
    </row>
    <row r="96" spans="1:10">
      <c r="A96" s="2" t="s">
        <v>2341</v>
      </c>
      <c r="D96" s="14"/>
      <c r="E96" s="186">
        <f ca="1">SUM(E92:E94)</f>
        <v>5920770901.6469345</v>
      </c>
      <c r="F96" s="186">
        <f ca="1">SUM(F92:F94)</f>
        <v>5920770901.6469345</v>
      </c>
      <c r="G96" s="186">
        <f ca="1">SUM(G92:G94)</f>
        <v>5920770901.6469345</v>
      </c>
      <c r="H96" s="186">
        <f ca="1">SUM(H92:H94)</f>
        <v>5920770901.6469345</v>
      </c>
      <c r="I96" s="186">
        <f ca="1">SUM(I92:I94)</f>
        <v>5920770901.6469345</v>
      </c>
    </row>
    <row r="97" spans="1:10">
      <c r="B97" s="3" t="s">
        <v>2342</v>
      </c>
      <c r="E97" s="185">
        <f>obalLTDebtValue+finDebtChange</f>
        <v>3110000000</v>
      </c>
      <c r="F97" s="185">
        <f>obalLTDebtValue+finDebtChange</f>
        <v>3110000000</v>
      </c>
      <c r="G97" s="185">
        <f>obalLTDebtValue+finDebtChange</f>
        <v>3110000000</v>
      </c>
      <c r="H97" s="185">
        <f>obalLTDebtValue+finDebtChange</f>
        <v>3110000000</v>
      </c>
      <c r="I97" s="185">
        <f>obalLTDebtValue+finDebtChange</f>
        <v>3110000000</v>
      </c>
      <c r="J97" t="s">
        <v>1100</v>
      </c>
    </row>
    <row r="98" spans="1:10">
      <c r="B98" s="266"/>
      <c r="C98" s="119"/>
      <c r="D98" s="207"/>
      <c r="E98" s="257"/>
      <c r="F98" s="257"/>
      <c r="G98" s="257"/>
      <c r="H98" s="257"/>
      <c r="I98" s="257"/>
    </row>
    <row r="99" spans="1:10">
      <c r="A99" s="2" t="s">
        <v>2343</v>
      </c>
      <c r="D99" s="14"/>
      <c r="E99" s="186">
        <f ca="1">SUM(E96:E97)</f>
        <v>9030770901.6469345</v>
      </c>
      <c r="F99" s="186">
        <f ca="1">SUM(F96:F97)</f>
        <v>9030770901.6469345</v>
      </c>
      <c r="G99" s="186">
        <f ca="1">SUM(G96:G97)</f>
        <v>9030770901.6469345</v>
      </c>
      <c r="H99" s="186">
        <f ca="1">SUM(H96:H97)</f>
        <v>9030770901.6469345</v>
      </c>
      <c r="I99" s="186">
        <f ca="1">SUM(I96:I97)</f>
        <v>9030770901.6469345</v>
      </c>
    </row>
    <row r="100" spans="1:10">
      <c r="E100" s="185"/>
      <c r="F100" s="185"/>
      <c r="G100" s="185"/>
      <c r="H100" s="185"/>
      <c r="I100" s="185"/>
    </row>
    <row r="101" spans="1:10">
      <c r="A101" s="2" t="s">
        <v>2344</v>
      </c>
      <c r="E101" s="185"/>
      <c r="F101" s="185"/>
      <c r="G101" s="185"/>
      <c r="H101" s="185"/>
      <c r="I101" s="185"/>
    </row>
    <row r="102" spans="1:10">
      <c r="B102" s="3" t="s">
        <v>2345</v>
      </c>
      <c r="E102" s="185">
        <f>obalCStockValue+finCommonStockChange</f>
        <v>5223400000</v>
      </c>
      <c r="F102" s="185">
        <f>obalCStockValue+finCommonStockChange</f>
        <v>5223400000</v>
      </c>
      <c r="G102" s="185">
        <f>obalCStockValue+finCommonStockChange</f>
        <v>5223400000</v>
      </c>
      <c r="H102" s="185">
        <f>obalCStockValue+finCommonStockChange</f>
        <v>5223400000</v>
      </c>
      <c r="I102" s="185">
        <f>obalCStockValue+finCommonStockChange</f>
        <v>5223400000</v>
      </c>
      <c r="J102" t="s">
        <v>880</v>
      </c>
    </row>
    <row r="103" spans="1:10">
      <c r="B103" s="3" t="s">
        <v>323</v>
      </c>
      <c r="E103" s="185">
        <f>obalRetEarnValue+obalNetEarnValue+finCashFlowDividendPayOut+fin!E736</f>
        <v>3495018678.5273628</v>
      </c>
      <c r="F103" s="185">
        <f>obalRetEarnValue+obalNetEarnValue+finCashFlowDividendPayOut+fin!F736</f>
        <v>3495018678.5273628</v>
      </c>
      <c r="G103" s="185">
        <f>obalRetEarnValue+obalNetEarnValue+finCashFlowDividendPayOut+fin!G736</f>
        <v>3495018678.5273628</v>
      </c>
      <c r="H103" s="185">
        <f>obalRetEarnValue+obalNetEarnValue+finCashFlowDividendPayOut+fin!H736</f>
        <v>3495018678.5273628</v>
      </c>
      <c r="I103" s="185">
        <f>obalRetEarnValue+obalNetEarnValue+finCashFlowDividendPayOut+fin!I736</f>
        <v>3495018678.5273628</v>
      </c>
      <c r="J103" t="s">
        <v>878</v>
      </c>
    </row>
    <row r="104" spans="1:10">
      <c r="B104" s="3" t="s">
        <v>324</v>
      </c>
      <c r="E104" s="185">
        <f ca="1">finPNLNetEarn</f>
        <v>3399991806.6964707</v>
      </c>
      <c r="F104" s="185">
        <f ca="1">finPNLNetEarn</f>
        <v>3399991806.6964707</v>
      </c>
      <c r="G104" s="185">
        <f ca="1">finPNLNetEarn</f>
        <v>3399991806.6964707</v>
      </c>
      <c r="H104" s="185">
        <f ca="1">finPNLNetEarn</f>
        <v>3399991806.6964707</v>
      </c>
      <c r="I104" s="185">
        <f ca="1">finPNLNetEarn</f>
        <v>3399991806.6964707</v>
      </c>
      <c r="J104" t="s">
        <v>879</v>
      </c>
    </row>
    <row r="105" spans="1:10">
      <c r="B105" s="266"/>
      <c r="C105" s="119"/>
      <c r="D105" s="207"/>
      <c r="E105" s="257"/>
      <c r="F105" s="257"/>
      <c r="G105" s="257"/>
      <c r="H105" s="257"/>
      <c r="I105" s="257"/>
    </row>
    <row r="106" spans="1:10">
      <c r="A106" s="2" t="s">
        <v>325</v>
      </c>
      <c r="D106" s="14"/>
      <c r="E106" s="186">
        <f ca="1">SUM(E102:E104)</f>
        <v>12118410485.223833</v>
      </c>
      <c r="F106" s="186">
        <f ca="1">SUM(F102:F104)</f>
        <v>12118410485.223833</v>
      </c>
      <c r="G106" s="186">
        <f ca="1">SUM(G102:G104)</f>
        <v>12118410485.223833</v>
      </c>
      <c r="H106" s="186">
        <f ca="1">SUM(H102:H104)</f>
        <v>12118410485.223833</v>
      </c>
      <c r="I106" s="186">
        <f ca="1">SUM(I102:I104)</f>
        <v>12118410485.223833</v>
      </c>
      <c r="J106" t="s">
        <v>4530</v>
      </c>
    </row>
    <row r="107" spans="1:10">
      <c r="A107" s="2" t="s">
        <v>328</v>
      </c>
      <c r="E107" s="186">
        <f ca="1">SUM(E106,E99)</f>
        <v>21149181386.870766</v>
      </c>
      <c r="F107" s="186">
        <f ca="1">SUM(F106,F99)</f>
        <v>21149181386.870766</v>
      </c>
      <c r="G107" s="186">
        <f ca="1">SUM(G106,G99)</f>
        <v>21149181386.870766</v>
      </c>
      <c r="H107" s="186">
        <f ca="1">SUM(H106,H99)</f>
        <v>21149181386.870766</v>
      </c>
      <c r="I107" s="186">
        <f ca="1">SUM(I106,I99)</f>
        <v>21149181386.870766</v>
      </c>
    </row>
    <row r="108" spans="1:10">
      <c r="A108" s="30" t="s">
        <v>60</v>
      </c>
      <c r="E108" s="188" t="b">
        <f ca="1">E107=E88</f>
        <v>1</v>
      </c>
      <c r="F108" s="188" t="b">
        <f ca="1">F107=F88</f>
        <v>1</v>
      </c>
      <c r="G108" s="188" t="b">
        <f ca="1">G107=G88</f>
        <v>1</v>
      </c>
      <c r="H108" s="188" t="b">
        <f ca="1">H107=H88</f>
        <v>1</v>
      </c>
      <c r="I108" s="188" t="b">
        <f ca="1">I107=I88</f>
        <v>1</v>
      </c>
    </row>
    <row r="109" spans="1:10">
      <c r="A109" s="2" t="s">
        <v>2348</v>
      </c>
      <c r="E109" s="350">
        <f ca="1">E107-E88</f>
        <v>0</v>
      </c>
      <c r="F109" s="350">
        <f ca="1">F107-F88</f>
        <v>0</v>
      </c>
      <c r="G109" s="350">
        <f ca="1">G107-G88</f>
        <v>0</v>
      </c>
      <c r="H109" s="350">
        <f ca="1">H107-H88</f>
        <v>0</v>
      </c>
      <c r="I109" s="350">
        <f ca="1">I107-I88</f>
        <v>0</v>
      </c>
    </row>
    <row r="110" spans="1:10">
      <c r="A110" s="2"/>
      <c r="B110" s="2" t="s">
        <v>3791</v>
      </c>
      <c r="E110" s="350"/>
      <c r="F110" s="350"/>
      <c r="G110" s="350"/>
      <c r="H110" s="350"/>
      <c r="I110" s="350"/>
    </row>
    <row r="111" spans="1:10">
      <c r="B111" t="str">
        <f>DataNameProd1 &amp; " Units WIP"</f>
        <v>CSD Units WIP</v>
      </c>
      <c r="E111" s="185">
        <f>capReg1Prod1UnitsWiPEnd</f>
        <v>171628</v>
      </c>
      <c r="F111" s="185">
        <f>capReg1Prod1UnitsWiPEnd</f>
        <v>171628</v>
      </c>
      <c r="G111" s="185">
        <f>capReg1Prod1UnitsWiPEnd</f>
        <v>171628</v>
      </c>
      <c r="H111" s="185">
        <f>capReg1Prod1UnitsWiPEnd</f>
        <v>171628</v>
      </c>
      <c r="I111" s="185">
        <f>capReg1Prod1UnitsWiPEnd</f>
        <v>171628</v>
      </c>
      <c r="J111" t="s">
        <v>3253</v>
      </c>
    </row>
    <row r="112" spans="1:10">
      <c r="B112" t="str">
        <f>DataNameProd1 &amp; " Units FG"</f>
        <v>CSD Units FG</v>
      </c>
      <c r="E112" s="185">
        <f>capReg1Prod1UnitsFGCbal</f>
        <v>0</v>
      </c>
      <c r="F112" s="185">
        <f>capReg1Prod1UnitsFGCbal</f>
        <v>0</v>
      </c>
      <c r="G112" s="185">
        <f>capReg1Prod1UnitsFGCbal</f>
        <v>0</v>
      </c>
      <c r="H112" s="185">
        <f>capReg1Prod1UnitsFGCbal</f>
        <v>0</v>
      </c>
      <c r="I112" s="185">
        <f>capReg1Prod1UnitsFGCbal</f>
        <v>0</v>
      </c>
      <c r="J112" t="s">
        <v>3254</v>
      </c>
    </row>
    <row r="113" spans="2:10">
      <c r="B113" t="str">
        <f>DataNameProd1 &amp; " Units Sold"</f>
        <v>CSD Units Sold</v>
      </c>
      <c r="E113" s="185">
        <f>capReg1Prod1UnitsSold</f>
        <v>741713021</v>
      </c>
      <c r="F113" s="185">
        <f>capReg1Prod1UnitsSold</f>
        <v>741713021</v>
      </c>
      <c r="G113" s="185">
        <f>capReg1Prod1UnitsSold</f>
        <v>741713021</v>
      </c>
      <c r="H113" s="185">
        <f>capReg1Prod1UnitsSold</f>
        <v>741713021</v>
      </c>
      <c r="I113" s="185">
        <f>capReg1Prod1UnitsSold</f>
        <v>741713021</v>
      </c>
      <c r="J113" t="s">
        <v>2771</v>
      </c>
    </row>
    <row r="114" spans="2:10">
      <c r="B114" t="str">
        <f>DataNameProd3 &amp; " Units WIP"</f>
        <v>NCB Units WIP</v>
      </c>
      <c r="E114" s="185">
        <f>capReg1Prod3UnitsWiPEnd</f>
        <v>211622</v>
      </c>
      <c r="F114" s="185">
        <f>capReg1Prod3UnitsWiPEnd</f>
        <v>211622</v>
      </c>
      <c r="G114" s="185">
        <f>capReg1Prod3UnitsWiPEnd</f>
        <v>211622</v>
      </c>
      <c r="H114" s="185">
        <f>capReg1Prod3UnitsWiPEnd</f>
        <v>211622</v>
      </c>
      <c r="I114" s="185">
        <f>capReg1Prod3UnitsWiPEnd</f>
        <v>211622</v>
      </c>
      <c r="J114" t="s">
        <v>810</v>
      </c>
    </row>
    <row r="115" spans="2:10">
      <c r="B115" t="str">
        <f>DataNameProd3 &amp; " Units FG"</f>
        <v>NCB Units FG</v>
      </c>
      <c r="E115" s="185">
        <f>capReg1Prod3UnitsFGCbal</f>
        <v>4225850</v>
      </c>
      <c r="F115" s="185">
        <f>capReg1Prod3UnitsFGCbal</f>
        <v>4225850</v>
      </c>
      <c r="G115" s="185">
        <f>capReg1Prod3UnitsFGCbal</f>
        <v>4225850</v>
      </c>
      <c r="H115" s="185">
        <f>capReg1Prod3UnitsFGCbal</f>
        <v>4225850</v>
      </c>
      <c r="I115" s="185">
        <f>capReg1Prod3UnitsFGCbal</f>
        <v>4225850</v>
      </c>
      <c r="J115" t="s">
        <v>811</v>
      </c>
    </row>
    <row r="116" spans="2:10">
      <c r="B116" t="str">
        <f>DataNameProd3 &amp; " Units Sold"</f>
        <v>NCB Units Sold</v>
      </c>
      <c r="E116" s="185">
        <f>capReg1Prod3UnitsSold</f>
        <v>356800000</v>
      </c>
      <c r="F116" s="185">
        <f>capReg1Prod3UnitsSold</f>
        <v>356800000</v>
      </c>
      <c r="G116" s="185">
        <f>capReg1Prod3UnitsSold</f>
        <v>356800000</v>
      </c>
      <c r="H116" s="185">
        <f>capReg1Prod3UnitsSold</f>
        <v>356800000</v>
      </c>
      <c r="I116" s="185">
        <f>capReg1Prod3UnitsSold</f>
        <v>356800000</v>
      </c>
      <c r="J116" t="s">
        <v>812</v>
      </c>
    </row>
    <row r="117" spans="2:10">
      <c r="B117" t="str">
        <f>DataNameProd4 &amp; " Units WIP"</f>
        <v>F&amp;S Units WIP</v>
      </c>
      <c r="E117" s="185">
        <f>capReg1Prod4UnitsWiPEnd</f>
        <v>641312</v>
      </c>
      <c r="F117" s="185">
        <f>capReg1Prod4UnitsWiPEnd</f>
        <v>641312</v>
      </c>
      <c r="G117" s="185">
        <f>capReg1Prod4UnitsWiPEnd</f>
        <v>641312</v>
      </c>
      <c r="H117" s="185">
        <f>capReg1Prod4UnitsWiPEnd</f>
        <v>641312</v>
      </c>
      <c r="I117" s="185">
        <f>capReg1Prod4UnitsWiPEnd</f>
        <v>641312</v>
      </c>
      <c r="J117" t="s">
        <v>813</v>
      </c>
    </row>
    <row r="118" spans="2:10">
      <c r="B118" t="str">
        <f>DataNameProd4 &amp; " Units FG"</f>
        <v>F&amp;S Units FG</v>
      </c>
      <c r="E118" s="185">
        <f>capReg1Prod4UnitsFGCbal</f>
        <v>2166800</v>
      </c>
      <c r="F118" s="185">
        <f>capReg1Prod4UnitsFGCbal</f>
        <v>2166800</v>
      </c>
      <c r="G118" s="185">
        <f>capReg1Prod4UnitsFGCbal</f>
        <v>2166800</v>
      </c>
      <c r="H118" s="185">
        <f>capReg1Prod4UnitsFGCbal</f>
        <v>2166800</v>
      </c>
      <c r="I118" s="185">
        <f>capReg1Prod4UnitsFGCbal</f>
        <v>2166800</v>
      </c>
      <c r="J118" t="s">
        <v>814</v>
      </c>
    </row>
    <row r="119" spans="2:10">
      <c r="B119" t="str">
        <f>DataNameProd4 &amp; " Units Sold"</f>
        <v>F&amp;S Units Sold</v>
      </c>
      <c r="E119" s="185">
        <f>capReg1Prod4UnitsSold</f>
        <v>541700000</v>
      </c>
      <c r="F119" s="185">
        <f>capReg1Prod4UnitsSold</f>
        <v>541700000</v>
      </c>
      <c r="G119" s="185">
        <f>capReg1Prod4UnitsSold</f>
        <v>541700000</v>
      </c>
      <c r="H119" s="185">
        <f>capReg1Prod4UnitsSold</f>
        <v>541700000</v>
      </c>
      <c r="I119" s="185">
        <f>capReg1Prod4UnitsSold</f>
        <v>541700000</v>
      </c>
      <c r="J119" t="s">
        <v>815</v>
      </c>
    </row>
    <row r="120" spans="2:10">
      <c r="B120" s="2" t="s">
        <v>3792</v>
      </c>
      <c r="E120" s="185"/>
      <c r="F120" s="185"/>
      <c r="G120" s="185"/>
      <c r="H120" s="185"/>
      <c r="I120" s="185"/>
    </row>
    <row r="121" spans="2:10">
      <c r="B121" t="str">
        <f>DataNameProd1 &amp; " Units WIP"</f>
        <v>CSD Units WIP</v>
      </c>
      <c r="E121" s="185">
        <f>capReg2Prod1UnitsWiPEnd</f>
        <v>82562</v>
      </c>
      <c r="F121" s="185">
        <f>capReg2Prod1UnitsWiPEnd</f>
        <v>82562</v>
      </c>
      <c r="G121" s="185">
        <f>capReg2Prod1UnitsWiPEnd</f>
        <v>82562</v>
      </c>
      <c r="H121" s="185">
        <f>capReg2Prod1UnitsWiPEnd</f>
        <v>82562</v>
      </c>
      <c r="I121" s="185">
        <f>capReg2Prod1UnitsWiPEnd</f>
        <v>82562</v>
      </c>
      <c r="J121" t="s">
        <v>832</v>
      </c>
    </row>
    <row r="122" spans="2:10">
      <c r="B122" t="str">
        <f>DataNameProd1 &amp; " Units FG"</f>
        <v>CSD Units FG</v>
      </c>
      <c r="E122" s="185">
        <f>capReg2Prod1UnitsFGCbal</f>
        <v>2383994.8000000003</v>
      </c>
      <c r="F122" s="185">
        <f>capReg2Prod1UnitsFGCbal</f>
        <v>2383994.8000000003</v>
      </c>
      <c r="G122" s="185">
        <f>capReg2Prod1UnitsFGCbal</f>
        <v>2383994.8000000003</v>
      </c>
      <c r="H122" s="185">
        <f>capReg2Prod1UnitsFGCbal</f>
        <v>2383994.8000000003</v>
      </c>
      <c r="I122" s="185">
        <f>capReg2Prod1UnitsFGCbal</f>
        <v>2383994.8000000003</v>
      </c>
      <c r="J122" t="s">
        <v>833</v>
      </c>
    </row>
    <row r="123" spans="2:10">
      <c r="B123" t="str">
        <f>DataNameProd1 &amp; " Units Sold"</f>
        <v>CSD Units Sold</v>
      </c>
      <c r="E123" s="185">
        <f>capReg2Prod1UnitsSold</f>
        <v>356800000</v>
      </c>
      <c r="F123" s="185">
        <f>capReg2Prod1UnitsSold</f>
        <v>356800000</v>
      </c>
      <c r="G123" s="185">
        <f>capReg2Prod1UnitsSold</f>
        <v>356800000</v>
      </c>
      <c r="H123" s="185">
        <f>capReg2Prod1UnitsSold</f>
        <v>356800000</v>
      </c>
      <c r="I123" s="185">
        <f>capReg2Prod1UnitsSold</f>
        <v>356800000</v>
      </c>
      <c r="J123" t="s">
        <v>834</v>
      </c>
    </row>
    <row r="124" spans="2:10">
      <c r="B124" t="str">
        <f>DataNameProd3 &amp; " Units WIP"</f>
        <v>NCB Units WIP</v>
      </c>
      <c r="E124" s="185">
        <f>capReg2Prod3UnitsWiPEnd</f>
        <v>145314</v>
      </c>
      <c r="F124" s="185">
        <f>capReg2Prod3UnitsWiPEnd</f>
        <v>145314</v>
      </c>
      <c r="G124" s="185">
        <f>capReg2Prod3UnitsWiPEnd</f>
        <v>145314</v>
      </c>
      <c r="H124" s="185">
        <f>capReg2Prod3UnitsWiPEnd</f>
        <v>145314</v>
      </c>
      <c r="I124" s="185">
        <f>capReg2Prod3UnitsWiPEnd</f>
        <v>145314</v>
      </c>
      <c r="J124" t="s">
        <v>838</v>
      </c>
    </row>
    <row r="125" spans="2:10">
      <c r="B125" t="str">
        <f>DataNameProd3 &amp; " Units FG"</f>
        <v>NCB Units FG</v>
      </c>
      <c r="E125" s="185">
        <f>capReg2Prod3UnitsFGCbal</f>
        <v>3969000</v>
      </c>
      <c r="F125" s="185">
        <f>capReg2Prod3UnitsFGCbal</f>
        <v>3969000</v>
      </c>
      <c r="G125" s="185">
        <f>capReg2Prod3UnitsFGCbal</f>
        <v>3969000</v>
      </c>
      <c r="H125" s="185">
        <f>capReg2Prod3UnitsFGCbal</f>
        <v>3969000</v>
      </c>
      <c r="I125" s="185">
        <f>capReg2Prod3UnitsFGCbal</f>
        <v>3969000</v>
      </c>
      <c r="J125" t="s">
        <v>839</v>
      </c>
    </row>
    <row r="126" spans="2:10">
      <c r="B126" t="str">
        <f>DataNameProd3 &amp; " Units Sold"</f>
        <v>NCB Units Sold</v>
      </c>
      <c r="E126" s="185">
        <f>capReg2Prod3UnitsSold</f>
        <v>245000000</v>
      </c>
      <c r="F126" s="185">
        <f>capReg2Prod3UnitsSold</f>
        <v>245000000</v>
      </c>
      <c r="G126" s="185">
        <f>capReg2Prod3UnitsSold</f>
        <v>245000000</v>
      </c>
      <c r="H126" s="185">
        <f>capReg2Prod3UnitsSold</f>
        <v>245000000</v>
      </c>
      <c r="I126" s="185">
        <f>capReg2Prod3UnitsSold</f>
        <v>245000000</v>
      </c>
      <c r="J126" t="s">
        <v>1755</v>
      </c>
    </row>
    <row r="127" spans="2:10">
      <c r="B127" t="str">
        <f>DataNameProd4 &amp; " Units WIP"</f>
        <v>F&amp;S Units WIP</v>
      </c>
      <c r="E127" s="185">
        <f>capReg2Prod4UnitsWiPEnd</f>
        <v>266664</v>
      </c>
      <c r="F127" s="185">
        <f>capReg2Prod4UnitsWiPEnd</f>
        <v>266664</v>
      </c>
      <c r="G127" s="185">
        <f>capReg2Prod4UnitsWiPEnd</f>
        <v>266664</v>
      </c>
      <c r="H127" s="185">
        <f>capReg2Prod4UnitsWiPEnd</f>
        <v>266664</v>
      </c>
      <c r="I127" s="185">
        <f>capReg2Prod4UnitsWiPEnd</f>
        <v>266664</v>
      </c>
      <c r="J127" t="s">
        <v>1756</v>
      </c>
    </row>
    <row r="128" spans="2:10">
      <c r="B128" t="str">
        <f>DataNameProd4 &amp; " Units FG"</f>
        <v>F&amp;S Units FG</v>
      </c>
      <c r="E128" s="185">
        <f>capReg2Prod4UnitsFGCbal</f>
        <v>3600000</v>
      </c>
      <c r="F128" s="185">
        <f>capReg2Prod4UnitsFGCbal</f>
        <v>3600000</v>
      </c>
      <c r="G128" s="185">
        <f>capReg2Prod4UnitsFGCbal</f>
        <v>3600000</v>
      </c>
      <c r="H128" s="185">
        <f>capReg2Prod4UnitsFGCbal</f>
        <v>3600000</v>
      </c>
      <c r="I128" s="185">
        <f>capReg2Prod4UnitsFGCbal</f>
        <v>3600000</v>
      </c>
      <c r="J128" t="s">
        <v>171</v>
      </c>
    </row>
    <row r="129" spans="1:10">
      <c r="B129" t="str">
        <f>DataNameProd4 &amp; " Units Sold"</f>
        <v>F&amp;S Units Sold</v>
      </c>
      <c r="E129" s="185">
        <f>capReg2Prod4UnitsSold</f>
        <v>225000000</v>
      </c>
      <c r="F129" s="185">
        <f>capReg2Prod4UnitsSold</f>
        <v>225000000</v>
      </c>
      <c r="G129" s="185">
        <f>capReg2Prod4UnitsSold</f>
        <v>225000000</v>
      </c>
      <c r="H129" s="185">
        <f>capReg2Prod4UnitsSold</f>
        <v>225000000</v>
      </c>
      <c r="I129" s="185">
        <f>capReg2Prod4UnitsSold</f>
        <v>225000000</v>
      </c>
      <c r="J129" t="s">
        <v>3532</v>
      </c>
    </row>
    <row r="130" spans="1:10">
      <c r="B130" s="2" t="s">
        <v>3449</v>
      </c>
      <c r="E130" s="185"/>
      <c r="F130" s="185"/>
      <c r="G130" s="185"/>
      <c r="H130" s="185"/>
      <c r="I130" s="185"/>
    </row>
    <row r="131" spans="1:10">
      <c r="B131" t="str">
        <f>DataNameProd2 &amp; " 1 Units WIP"</f>
        <v>Breakthrough 1 Units WIP</v>
      </c>
      <c r="E131" s="185">
        <f>capReg1Prod2UnitsWiPEnd</f>
        <v>0</v>
      </c>
      <c r="F131" s="185">
        <f>capReg1Prod2UnitsWiPEnd</f>
        <v>0</v>
      </c>
      <c r="G131" s="185">
        <f>capReg1Prod2UnitsWiPEnd</f>
        <v>0</v>
      </c>
      <c r="H131" s="185">
        <f>capReg1Prod2UnitsWiPEnd</f>
        <v>0</v>
      </c>
      <c r="I131" s="185">
        <f>capReg1Prod2UnitsWiPEnd</f>
        <v>0</v>
      </c>
      <c r="J131" t="s">
        <v>2900</v>
      </c>
    </row>
    <row r="132" spans="1:10">
      <c r="B132" t="str">
        <f>DataNameProd2 &amp; " 1 FG Units"</f>
        <v>Breakthrough 1 FG Units</v>
      </c>
      <c r="E132" s="185">
        <f>capReg1Prod2UnitsFGCbal</f>
        <v>0</v>
      </c>
      <c r="F132" s="185">
        <f>capReg1Prod2UnitsFGCbal</f>
        <v>0</v>
      </c>
      <c r="G132" s="185">
        <f>capReg1Prod2UnitsFGCbal</f>
        <v>0</v>
      </c>
      <c r="H132" s="185">
        <f>capReg1Prod2UnitsFGCbal</f>
        <v>0</v>
      </c>
      <c r="I132" s="185">
        <f>capReg1Prod2UnitsFGCbal</f>
        <v>0</v>
      </c>
      <c r="J132" t="s">
        <v>2901</v>
      </c>
    </row>
    <row r="133" spans="1:10">
      <c r="B133" t="str">
        <f>DataNameProd2 &amp; " 1 Units Sold"</f>
        <v>Breakthrough 1 Units Sold</v>
      </c>
      <c r="E133" s="185">
        <f>capReg1Prod2UnitsSold</f>
        <v>0</v>
      </c>
      <c r="F133" s="185">
        <f>capReg1Prod2UnitsSold</f>
        <v>0</v>
      </c>
      <c r="G133" s="185">
        <f>capReg1Prod2UnitsSold</f>
        <v>0</v>
      </c>
      <c r="H133" s="185">
        <f>capReg1Prod2UnitsSold</f>
        <v>0</v>
      </c>
      <c r="I133" s="185">
        <f>capReg1Prod2UnitsSold</f>
        <v>0</v>
      </c>
      <c r="J133" t="s">
        <v>809</v>
      </c>
    </row>
    <row r="134" spans="1:10">
      <c r="B134" t="str">
        <f>DataNameProd2 &amp; " 2 Units WIP"</f>
        <v>Breakthrough 2 Units WIP</v>
      </c>
      <c r="E134" s="185">
        <f>capReg2Prod2UnitsWiPEnd</f>
        <v>0</v>
      </c>
      <c r="F134" s="185">
        <f>capReg2Prod2UnitsWiPEnd</f>
        <v>0</v>
      </c>
      <c r="G134" s="185">
        <f>capReg2Prod2UnitsWiPEnd</f>
        <v>0</v>
      </c>
      <c r="H134" s="185">
        <f>capReg2Prod2UnitsWiPEnd</f>
        <v>0</v>
      </c>
      <c r="I134" s="185">
        <f>capReg2Prod2UnitsWiPEnd</f>
        <v>0</v>
      </c>
      <c r="J134" t="s">
        <v>835</v>
      </c>
    </row>
    <row r="135" spans="1:10">
      <c r="B135" t="str">
        <f>DataNameProd2 &amp; " 2 FG Units"</f>
        <v>Breakthrough 2 FG Units</v>
      </c>
      <c r="E135" s="185">
        <f>capReg2Prod2UnitsFGCbal</f>
        <v>0</v>
      </c>
      <c r="F135" s="185">
        <f>capReg2Prod2UnitsFGCbal</f>
        <v>0</v>
      </c>
      <c r="G135" s="185">
        <f>capReg2Prod2UnitsFGCbal</f>
        <v>0</v>
      </c>
      <c r="H135" s="185">
        <f>capReg2Prod2UnitsFGCbal</f>
        <v>0</v>
      </c>
      <c r="I135" s="185">
        <f>capReg2Prod2UnitsFGCbal</f>
        <v>0</v>
      </c>
      <c r="J135" t="s">
        <v>836</v>
      </c>
    </row>
    <row r="136" spans="1:10">
      <c r="B136" t="str">
        <f>DataNameProd2 &amp; " 2 Units Sold"</f>
        <v>Breakthrough 2 Units Sold</v>
      </c>
      <c r="E136" s="185">
        <f>capReg2Prod2UnitsSold</f>
        <v>0</v>
      </c>
      <c r="F136" s="185">
        <f>capReg2Prod2UnitsSold</f>
        <v>0</v>
      </c>
      <c r="G136" s="185">
        <f>capReg2Prod2UnitsSold</f>
        <v>0</v>
      </c>
      <c r="H136" s="185">
        <f>capReg2Prod2UnitsSold</f>
        <v>0</v>
      </c>
      <c r="I136" s="185">
        <f>capReg2Prod2UnitsSold</f>
        <v>0</v>
      </c>
      <c r="J136" t="s">
        <v>837</v>
      </c>
    </row>
    <row r="137" spans="1:10">
      <c r="E137" s="185"/>
      <c r="F137" s="185"/>
      <c r="G137" s="185"/>
      <c r="H137" s="185"/>
      <c r="I137" s="185"/>
    </row>
    <row r="138" spans="1:10">
      <c r="B138" s="2" t="s">
        <v>2772</v>
      </c>
      <c r="E138" s="185"/>
      <c r="F138" s="185"/>
      <c r="G138" s="185"/>
      <c r="H138" s="185"/>
      <c r="I138" s="185"/>
    </row>
    <row r="139" spans="1:10">
      <c r="B139" t="s">
        <v>2773</v>
      </c>
      <c r="E139" s="191" t="e">
        <f>decReg2Price</f>
        <v>#NAME?</v>
      </c>
      <c r="F139" s="191" t="e">
        <f>decReg2Price</f>
        <v>#NAME?</v>
      </c>
      <c r="G139" s="191" t="e">
        <f>decReg2Price</f>
        <v>#NAME?</v>
      </c>
      <c r="H139" s="191" t="e">
        <f>decReg2Price</f>
        <v>#NAME?</v>
      </c>
      <c r="I139" s="191" t="e">
        <f>decReg2Price</f>
        <v>#NAME?</v>
      </c>
    </row>
    <row r="140" spans="1:10">
      <c r="E140" s="185"/>
      <c r="F140" s="185"/>
      <c r="G140" s="185"/>
      <c r="H140" s="185"/>
      <c r="I140" s="185"/>
    </row>
    <row r="141" spans="1:10">
      <c r="A141" s="2" t="s">
        <v>3991</v>
      </c>
      <c r="E141" s="189"/>
      <c r="F141" s="189"/>
      <c r="G141" s="189"/>
      <c r="H141" s="189"/>
      <c r="I141" s="189"/>
    </row>
    <row r="142" spans="1:10">
      <c r="B142" t="s">
        <v>2350</v>
      </c>
      <c r="E142" s="189"/>
      <c r="F142" s="189"/>
      <c r="G142" s="189"/>
      <c r="H142" s="189"/>
      <c r="I142" s="189"/>
    </row>
    <row r="143" spans="1:10">
      <c r="B143" t="str">
        <f>DataNameEmp1&amp;" Employees"</f>
        <v>Lower Region Sales Force Employees</v>
      </c>
      <c r="E143" s="185">
        <f>capEmp1End</f>
        <v>4000</v>
      </c>
      <c r="F143" s="185">
        <f>capEmp1End</f>
        <v>4000</v>
      </c>
      <c r="G143" s="185">
        <f>capEmp1End</f>
        <v>4000</v>
      </c>
      <c r="H143" s="185">
        <f>capEmp1End</f>
        <v>4000</v>
      </c>
      <c r="I143" s="185">
        <f>capEmp1End</f>
        <v>4000</v>
      </c>
      <c r="J143" t="s">
        <v>768</v>
      </c>
    </row>
    <row r="144" spans="1:10">
      <c r="B144" t="str">
        <f>DataNameEmp2&amp;" Employees"</f>
        <v>Upper Region Sales Force Employees</v>
      </c>
      <c r="E144" s="185">
        <f>capEmp2End</f>
        <v>2100</v>
      </c>
      <c r="F144" s="185">
        <f>capEmp2End</f>
        <v>2100</v>
      </c>
      <c r="G144" s="185">
        <f>capEmp2End</f>
        <v>2100</v>
      </c>
      <c r="H144" s="185">
        <f>capEmp2End</f>
        <v>2100</v>
      </c>
      <c r="I144" s="185">
        <f>capEmp2End</f>
        <v>2100</v>
      </c>
      <c r="J144" t="s">
        <v>766</v>
      </c>
    </row>
    <row r="145" spans="1:10">
      <c r="B145" t="str">
        <f>DataNameEmp3&amp;" Employees"</f>
        <v>Labor Employees</v>
      </c>
      <c r="E145" s="185">
        <f>capEmp3End</f>
        <v>69909</v>
      </c>
      <c r="F145" s="185">
        <f>capEmp3End</f>
        <v>69909</v>
      </c>
      <c r="G145" s="185">
        <f>capEmp3End</f>
        <v>69909</v>
      </c>
      <c r="H145" s="185">
        <f>capEmp3End</f>
        <v>69909</v>
      </c>
      <c r="I145" s="185">
        <f>capEmp3End</f>
        <v>69909</v>
      </c>
      <c r="J145" t="s">
        <v>767</v>
      </c>
    </row>
    <row r="146" spans="1:10">
      <c r="B146" t="s">
        <v>2261</v>
      </c>
      <c r="E146" s="583">
        <f>capEmp3Utiliz</f>
        <v>1.0371559793673131</v>
      </c>
      <c r="F146" s="583">
        <f>capEmp3Utiliz</f>
        <v>1.0371559793673131</v>
      </c>
      <c r="G146" s="583">
        <f>capEmp3Utiliz</f>
        <v>1.0371559793673131</v>
      </c>
      <c r="H146" s="583">
        <f>capEmp3Utiliz</f>
        <v>1.0371559793673131</v>
      </c>
      <c r="I146" s="583">
        <f>capEmp3Utiliz</f>
        <v>1.0371559793673131</v>
      </c>
      <c r="J146" t="s">
        <v>2584</v>
      </c>
    </row>
    <row r="147" spans="1:10">
      <c r="B147" t="str">
        <f>DataNameEmp10</f>
        <v>MTU</v>
      </c>
      <c r="D147" s="10"/>
      <c r="E147" s="185">
        <f>capEmp10End</f>
        <v>114.38166259183188</v>
      </c>
      <c r="F147" s="185">
        <f>capEmp10End</f>
        <v>114.38166259183188</v>
      </c>
      <c r="G147" s="185">
        <f>capEmp10End</f>
        <v>114.38166259183188</v>
      </c>
      <c r="H147" s="185">
        <f>capEmp10End</f>
        <v>114.38166259183188</v>
      </c>
      <c r="I147" s="185">
        <f>capEmp10End</f>
        <v>114.38166259183188</v>
      </c>
      <c r="J147" t="s">
        <v>715</v>
      </c>
    </row>
    <row r="148" spans="1:10">
      <c r="B148" t="s">
        <v>1541</v>
      </c>
      <c r="D148" s="10"/>
      <c r="E148" s="185">
        <f>decRecruitLevel</f>
        <v>3</v>
      </c>
      <c r="F148" s="185">
        <f>decRecruitLevel</f>
        <v>3</v>
      </c>
      <c r="G148" s="185">
        <f>decRecruitLevel</f>
        <v>3</v>
      </c>
      <c r="H148" s="185">
        <f>decRecruitLevel</f>
        <v>3</v>
      </c>
      <c r="I148" s="185">
        <f>decRecruitLevel</f>
        <v>3</v>
      </c>
      <c r="J148" t="s">
        <v>1558</v>
      </c>
    </row>
    <row r="149" spans="1:10">
      <c r="B149" t="s">
        <v>3336</v>
      </c>
      <c r="D149" s="10"/>
      <c r="E149" s="185">
        <f>decEmpDevLevel</f>
        <v>3</v>
      </c>
      <c r="F149" s="185">
        <f>decEmpDevLevel</f>
        <v>3</v>
      </c>
      <c r="G149" s="185">
        <f>decEmpDevLevel</f>
        <v>3</v>
      </c>
      <c r="H149" s="185">
        <f>decEmpDevLevel</f>
        <v>3</v>
      </c>
      <c r="I149" s="185">
        <f>decEmpDevLevel</f>
        <v>3</v>
      </c>
      <c r="J149" t="s">
        <v>1559</v>
      </c>
    </row>
    <row r="150" spans="1:10">
      <c r="E150" s="189"/>
      <c r="F150" s="189"/>
      <c r="G150" s="189"/>
      <c r="H150" s="189"/>
      <c r="I150" s="189"/>
    </row>
    <row r="151" spans="1:10">
      <c r="A151" s="2" t="s">
        <v>1843</v>
      </c>
      <c r="E151" s="189"/>
      <c r="F151" s="189"/>
      <c r="G151" s="189"/>
      <c r="H151" s="189"/>
      <c r="I151" s="189"/>
    </row>
    <row r="152" spans="1:10">
      <c r="B152" t="str">
        <f>DataNamePlant1&amp;" Plant Units"</f>
        <v>Plant Plant Units</v>
      </c>
      <c r="E152" s="189">
        <f>capPlant1UnitsEnd</f>
        <v>931</v>
      </c>
      <c r="F152" s="189">
        <f>capPlant1UnitsEnd</f>
        <v>931</v>
      </c>
      <c r="G152" s="189">
        <f>capPlant1UnitsEnd</f>
        <v>931</v>
      </c>
      <c r="H152" s="189">
        <f>capPlant1UnitsEnd</f>
        <v>931</v>
      </c>
      <c r="I152" s="189">
        <f>capPlant1UnitsEnd</f>
        <v>931</v>
      </c>
      <c r="J152" t="s">
        <v>1426</v>
      </c>
    </row>
    <row r="153" spans="1:10">
      <c r="B153" t="s">
        <v>709</v>
      </c>
      <c r="E153" s="189">
        <f>decPlant1Flex</f>
        <v>3</v>
      </c>
      <c r="F153" s="189">
        <f>decPlant1Flex</f>
        <v>3</v>
      </c>
      <c r="G153" s="189">
        <f>decPlant1Flex</f>
        <v>3</v>
      </c>
      <c r="H153" s="189">
        <f>decPlant1Flex</f>
        <v>3</v>
      </c>
      <c r="I153" s="189">
        <f>decPlant1Flex</f>
        <v>3</v>
      </c>
      <c r="J153" t="s">
        <v>4532</v>
      </c>
    </row>
    <row r="154" spans="1:10">
      <c r="E154" s="189"/>
      <c r="F154" s="189"/>
      <c r="G154" s="189"/>
      <c r="H154" s="189"/>
      <c r="I154" s="189"/>
    </row>
    <row r="155" spans="1:10">
      <c r="A155" s="2" t="s">
        <v>2351</v>
      </c>
      <c r="E155" s="189"/>
      <c r="F155" s="189"/>
      <c r="G155" s="189"/>
      <c r="H155" s="189"/>
      <c r="I155" s="189"/>
    </row>
    <row r="156" spans="1:10">
      <c r="A156" s="2"/>
      <c r="B156" t="s">
        <v>235</v>
      </c>
      <c r="E156" s="463">
        <f>finPNLReg1Rev</f>
        <v>19169523699.5</v>
      </c>
      <c r="F156" s="463">
        <f>finPNLReg1Rev</f>
        <v>19169523699.5</v>
      </c>
      <c r="G156" s="463">
        <f>finPNLReg1Rev</f>
        <v>19169523699.5</v>
      </c>
      <c r="H156" s="463">
        <f>finPNLReg1Rev</f>
        <v>19169523699.5</v>
      </c>
      <c r="I156" s="463">
        <f>finPNLReg1Rev</f>
        <v>19169523699.5</v>
      </c>
      <c r="J156" t="s">
        <v>4533</v>
      </c>
    </row>
    <row r="157" spans="1:10">
      <c r="A157" s="2"/>
      <c r="B157" t="s">
        <v>236</v>
      </c>
      <c r="E157" s="463">
        <f>finPNLReg2Rev</f>
        <v>6972600000</v>
      </c>
      <c r="F157" s="463">
        <f>finPNLReg2Rev</f>
        <v>6972600000</v>
      </c>
      <c r="G157" s="463">
        <f>finPNLReg2Rev</f>
        <v>6972600000</v>
      </c>
      <c r="H157" s="463">
        <f>finPNLReg2Rev</f>
        <v>6972600000</v>
      </c>
      <c r="I157" s="463">
        <f>finPNLReg2Rev</f>
        <v>6972600000</v>
      </c>
      <c r="J157" t="s">
        <v>4534</v>
      </c>
    </row>
    <row r="158" spans="1:10">
      <c r="A158" s="2"/>
      <c r="B158" t="s">
        <v>2576</v>
      </c>
      <c r="E158" s="463">
        <f>finPNLRev</f>
        <v>26142123699.5</v>
      </c>
      <c r="F158" s="463">
        <f>finPNLRev</f>
        <v>26142123699.5</v>
      </c>
      <c r="G158" s="463">
        <f>finPNLRev</f>
        <v>26142123699.5</v>
      </c>
      <c r="H158" s="463">
        <f>finPNLRev</f>
        <v>26142123699.5</v>
      </c>
      <c r="I158" s="463">
        <f>finPNLRev</f>
        <v>26142123699.5</v>
      </c>
      <c r="J158" t="s">
        <v>4535</v>
      </c>
    </row>
    <row r="159" spans="1:10">
      <c r="A159" s="2"/>
      <c r="B159" t="s">
        <v>546</v>
      </c>
      <c r="E159" s="463">
        <f>finPNLReg1NetRev</f>
        <v>16104523699.5</v>
      </c>
      <c r="F159" s="463">
        <f>finPNLReg1NetRev</f>
        <v>16104523699.5</v>
      </c>
      <c r="G159" s="463">
        <f>finPNLReg1NetRev</f>
        <v>16104523699.5</v>
      </c>
      <c r="H159" s="463">
        <f>finPNLReg1NetRev</f>
        <v>16104523699.5</v>
      </c>
      <c r="I159" s="463">
        <f>finPNLReg1NetRev</f>
        <v>16104523699.5</v>
      </c>
      <c r="J159" t="s">
        <v>4536</v>
      </c>
    </row>
    <row r="160" spans="1:10">
      <c r="A160" s="2"/>
      <c r="B160" t="s">
        <v>547</v>
      </c>
      <c r="E160" s="463">
        <f>finPNLReg2NetRev</f>
        <v>6517600000</v>
      </c>
      <c r="F160" s="463">
        <f>finPNLReg2NetRev</f>
        <v>6517600000</v>
      </c>
      <c r="G160" s="463">
        <f>finPNLReg2NetRev</f>
        <v>6517600000</v>
      </c>
      <c r="H160" s="463">
        <f>finPNLReg2NetRev</f>
        <v>6517600000</v>
      </c>
      <c r="I160" s="463">
        <f>finPNLReg2NetRev</f>
        <v>6517600000</v>
      </c>
      <c r="J160" t="s">
        <v>4537</v>
      </c>
    </row>
    <row r="161" spans="1:10">
      <c r="A161" s="2"/>
      <c r="B161" t="s">
        <v>548</v>
      </c>
      <c r="E161" s="463">
        <f>finPNLNetRev</f>
        <v>22622123699.5</v>
      </c>
      <c r="F161" s="463">
        <f>finPNLNetRev</f>
        <v>22622123699.5</v>
      </c>
      <c r="G161" s="463">
        <f>finPNLNetRev</f>
        <v>22622123699.5</v>
      </c>
      <c r="H161" s="463">
        <f>finPNLNetRev</f>
        <v>22622123699.5</v>
      </c>
      <c r="I161" s="463">
        <f>finPNLNetRev</f>
        <v>22622123699.5</v>
      </c>
      <c r="J161" t="s">
        <v>4538</v>
      </c>
    </row>
    <row r="162" spans="1:10">
      <c r="A162" s="2"/>
      <c r="B162" t="s">
        <v>408</v>
      </c>
      <c r="E162" s="190">
        <f>obalCStockPricePShare</f>
        <v>1</v>
      </c>
      <c r="F162" s="190">
        <f>obalCStockPricePShare</f>
        <v>1</v>
      </c>
      <c r="G162" s="190">
        <f>obalCStockPricePShare</f>
        <v>1</v>
      </c>
      <c r="H162" s="190">
        <f>obalCStockPricePShare</f>
        <v>1</v>
      </c>
      <c r="I162" s="190">
        <f>obalCStockPricePShare</f>
        <v>1</v>
      </c>
      <c r="J162" t="s">
        <v>4539</v>
      </c>
    </row>
    <row r="163" spans="1:10">
      <c r="B163" t="s">
        <v>2352</v>
      </c>
      <c r="E163" s="185">
        <f>obalCStockShares+finStockchange</f>
        <v>5223400000</v>
      </c>
      <c r="F163" s="185">
        <f>obalCStockShares+finStockchange</f>
        <v>5223400000</v>
      </c>
      <c r="G163" s="185">
        <f>obalCStockShares+finStockchange</f>
        <v>5223400000</v>
      </c>
      <c r="H163" s="185">
        <f>obalCStockShares+finStockchange</f>
        <v>5223400000</v>
      </c>
      <c r="I163" s="185">
        <f>obalCStockShares+finStockchange</f>
        <v>5223400000</v>
      </c>
      <c r="J163" t="s">
        <v>55</v>
      </c>
    </row>
    <row r="164" spans="1:10">
      <c r="E164" s="189"/>
      <c r="F164" s="189"/>
      <c r="G164" s="189"/>
      <c r="H164" s="189"/>
      <c r="I164" s="189"/>
    </row>
    <row r="165" spans="1:10">
      <c r="A165" s="2" t="s">
        <v>1826</v>
      </c>
      <c r="E165" s="189"/>
      <c r="F165" s="189"/>
      <c r="G165" s="189"/>
      <c r="H165" s="189"/>
      <c r="I165" s="189"/>
    </row>
    <row r="166" spans="1:10">
      <c r="B166" t="s">
        <v>1827</v>
      </c>
      <c r="E166" s="191">
        <f>obalCSAT</f>
        <v>0.5</v>
      </c>
      <c r="F166" s="191">
        <f>obalCSAT</f>
        <v>0.5</v>
      </c>
      <c r="G166" s="191">
        <f>obalCSAT</f>
        <v>0.5</v>
      </c>
      <c r="H166" s="191">
        <f>obalCSAT</f>
        <v>0.5</v>
      </c>
      <c r="I166" s="191">
        <f>obalCSAT</f>
        <v>0.5</v>
      </c>
      <c r="J166" t="s">
        <v>4540</v>
      </c>
    </row>
    <row r="167" spans="1:10">
      <c r="B167" t="str">
        <f>DataNameProd1 &amp; " Positioning"</f>
        <v>CSD Positioning</v>
      </c>
      <c r="E167" s="578" t="str">
        <f>decProd1Brand</f>
        <v>SELECT ONE</v>
      </c>
      <c r="F167" s="189" t="str">
        <f>decProd1Brand</f>
        <v>SELECT ONE</v>
      </c>
      <c r="G167" s="189" t="str">
        <f>decProd1Brand</f>
        <v>SELECT ONE</v>
      </c>
      <c r="H167" s="189" t="str">
        <f>decProd1Brand</f>
        <v>SELECT ONE</v>
      </c>
      <c r="I167" s="189" t="str">
        <f>decProd1Brand</f>
        <v>SELECT ONE</v>
      </c>
      <c r="J167" t="s">
        <v>2935</v>
      </c>
    </row>
    <row r="168" spans="1:10">
      <c r="B168" t="str">
        <f>DataNameProd2 &amp; " Positioning"</f>
        <v>Breakthrough Positioning</v>
      </c>
      <c r="E168" s="578">
        <f>capProd2Brand</f>
        <v>0</v>
      </c>
      <c r="F168" s="578">
        <f>capProd2Brand</f>
        <v>0</v>
      </c>
      <c r="G168" s="578">
        <f>capProd2Brand</f>
        <v>0</v>
      </c>
      <c r="H168" s="578">
        <f>capProd2Brand</f>
        <v>0</v>
      </c>
      <c r="I168" s="578">
        <f>capProd2Brand</f>
        <v>0</v>
      </c>
      <c r="J168" t="s">
        <v>2936</v>
      </c>
    </row>
    <row r="169" spans="1:10">
      <c r="B169" t="str">
        <f>DataNameProd3 &amp; " Positioning"</f>
        <v>NCB Positioning</v>
      </c>
      <c r="E169" s="189" t="str">
        <f>decProd3Brand</f>
        <v>SELECT ONE</v>
      </c>
      <c r="F169" s="189" t="str">
        <f>decProd3Brand</f>
        <v>SELECT ONE</v>
      </c>
      <c r="G169" s="189" t="str">
        <f>decProd3Brand</f>
        <v>SELECT ONE</v>
      </c>
      <c r="H169" s="189" t="str">
        <f>decProd3Brand</f>
        <v>SELECT ONE</v>
      </c>
      <c r="I169" s="189" t="str">
        <f>decProd3Brand</f>
        <v>SELECT ONE</v>
      </c>
      <c r="J169" t="s">
        <v>2937</v>
      </c>
    </row>
    <row r="170" spans="1:10">
      <c r="B170" t="str">
        <f>DataNameProd4 &amp; " Positioning"</f>
        <v>F&amp;S Positioning</v>
      </c>
      <c r="E170" s="189" t="str">
        <f>decProd4Brand</f>
        <v>SELECT ONE</v>
      </c>
      <c r="F170" s="189" t="str">
        <f>decProd4Brand</f>
        <v>SELECT ONE</v>
      </c>
      <c r="G170" s="189" t="str">
        <f>decProd4Brand</f>
        <v>SELECT ONE</v>
      </c>
      <c r="H170" s="189" t="str">
        <f>decProd4Brand</f>
        <v>SELECT ONE</v>
      </c>
      <c r="I170" s="189" t="str">
        <f>decProd4Brand</f>
        <v>SELECT ONE</v>
      </c>
      <c r="J170" t="s">
        <v>2938</v>
      </c>
    </row>
    <row r="171" spans="1:10">
      <c r="E171" s="189"/>
      <c r="F171" s="189"/>
      <c r="G171" s="189"/>
      <c r="H171" s="189"/>
      <c r="I171" s="189"/>
    </row>
    <row r="172" spans="1:10">
      <c r="A172" s="2" t="s">
        <v>1722</v>
      </c>
      <c r="E172" s="189"/>
      <c r="F172" s="189"/>
      <c r="G172" s="189"/>
      <c r="H172" s="189"/>
      <c r="I172" s="189"/>
    </row>
    <row r="173" spans="1:10">
      <c r="A173" s="2"/>
      <c r="B173" t="s">
        <v>1671</v>
      </c>
      <c r="E173" s="189">
        <f>capReg2ChanLevel</f>
        <v>3</v>
      </c>
      <c r="F173" s="189">
        <f>capReg2ChanLevel</f>
        <v>3</v>
      </c>
      <c r="G173" s="189">
        <f>capReg2ChanLevel</f>
        <v>3</v>
      </c>
      <c r="H173" s="189">
        <f>capReg2ChanLevel</f>
        <v>3</v>
      </c>
      <c r="I173" s="189">
        <f>capReg2ChanLevel</f>
        <v>3</v>
      </c>
      <c r="J173" t="s">
        <v>4541</v>
      </c>
    </row>
    <row r="174" spans="1:10">
      <c r="E174" s="189"/>
      <c r="F174" s="189"/>
      <c r="G174" s="189"/>
      <c r="H174" s="189"/>
      <c r="I174" s="189"/>
    </row>
    <row r="175" spans="1:10">
      <c r="A175" s="2" t="s">
        <v>134</v>
      </c>
      <c r="E175" s="189"/>
      <c r="F175" s="189"/>
      <c r="G175" s="189"/>
      <c r="H175" s="189"/>
      <c r="I175" s="189"/>
    </row>
    <row r="176" spans="1:10">
      <c r="B176" t="s">
        <v>3337</v>
      </c>
      <c r="E176" s="189">
        <f>decITcapAdd+obalITcapLevel</f>
        <v>2</v>
      </c>
      <c r="F176" s="189">
        <f>decITcapAdd+obalITcapLevel</f>
        <v>2</v>
      </c>
      <c r="G176" s="189">
        <f>decITcapAdd+obalITcapLevel</f>
        <v>2</v>
      </c>
      <c r="H176" s="189">
        <f>decITcapAdd+obalITcapLevel</f>
        <v>2</v>
      </c>
      <c r="I176" s="189">
        <f>decITcapAdd+obalITcapLevel</f>
        <v>2</v>
      </c>
      <c r="J176" t="s">
        <v>136</v>
      </c>
    </row>
    <row r="177" spans="1:10">
      <c r="E177" s="189"/>
      <c r="F177" s="189"/>
      <c r="G177" s="189"/>
      <c r="H177" s="189"/>
      <c r="I177" s="189"/>
    </row>
    <row r="178" spans="1:10">
      <c r="A178" s="2" t="str">
        <f>DataNameProd1</f>
        <v>CSD</v>
      </c>
      <c r="E178" s="189"/>
      <c r="F178" s="189"/>
      <c r="G178" s="189"/>
      <c r="H178" s="189"/>
      <c r="I178" s="189"/>
    </row>
    <row r="179" spans="1:10">
      <c r="A179" s="2"/>
      <c r="B179" t="s">
        <v>1714</v>
      </c>
      <c r="E179" s="189">
        <f>capProd1Reg1Price</f>
        <v>9.5</v>
      </c>
      <c r="F179" s="189">
        <f>capProd1Reg1Price</f>
        <v>9.5</v>
      </c>
      <c r="G179" s="189">
        <f>capProd1Reg1Price</f>
        <v>9.5</v>
      </c>
      <c r="H179" s="189">
        <f>capProd1Reg1Price</f>
        <v>9.5</v>
      </c>
      <c r="I179" s="189">
        <f>capProd1Reg1Price</f>
        <v>9.5</v>
      </c>
      <c r="J179" t="s">
        <v>1492</v>
      </c>
    </row>
    <row r="180" spans="1:10">
      <c r="A180" s="2"/>
      <c r="B180" t="s">
        <v>1715</v>
      </c>
      <c r="E180" s="189">
        <f>capProd1Reg2Price</f>
        <v>7</v>
      </c>
      <c r="F180" s="189">
        <f>capProd1Reg2Price</f>
        <v>7</v>
      </c>
      <c r="G180" s="189">
        <f>capProd1Reg2Price</f>
        <v>7</v>
      </c>
      <c r="H180" s="189">
        <f>capProd1Reg2Price</f>
        <v>7</v>
      </c>
      <c r="I180" s="850">
        <f>capProd1Reg2Price</f>
        <v>7</v>
      </c>
      <c r="J180" t="s">
        <v>1493</v>
      </c>
    </row>
    <row r="181" spans="1:10">
      <c r="A181" s="2"/>
      <c r="B181" t="s">
        <v>3555</v>
      </c>
      <c r="E181" s="189">
        <f>finPNLReg1Prod1Rev</f>
        <v>7046273699.5</v>
      </c>
      <c r="F181" s="189">
        <f>finPNLReg1Prod1Rev</f>
        <v>7046273699.5</v>
      </c>
      <c r="G181" s="189">
        <f>finPNLReg1Prod1Rev</f>
        <v>7046273699.5</v>
      </c>
      <c r="H181" s="189">
        <f>finPNLReg1Prod1Rev</f>
        <v>7046273699.5</v>
      </c>
      <c r="I181" s="189">
        <f>finPNLReg1Prod1Rev</f>
        <v>7046273699.5</v>
      </c>
      <c r="J181" t="s">
        <v>1768</v>
      </c>
    </row>
    <row r="182" spans="1:10">
      <c r="A182" s="2"/>
      <c r="B182" t="s">
        <v>3556</v>
      </c>
      <c r="E182" s="189">
        <f>finPNLReg2Prod1Rev</f>
        <v>2497600000</v>
      </c>
      <c r="F182" s="189">
        <f>finPNLReg2Prod1Rev</f>
        <v>2497600000</v>
      </c>
      <c r="G182" s="189">
        <f>finPNLReg2Prod1Rev</f>
        <v>2497600000</v>
      </c>
      <c r="H182" s="189">
        <f>finPNLReg2Prod1Rev</f>
        <v>2497600000</v>
      </c>
      <c r="I182" s="189">
        <f>finPNLReg2Prod1Rev</f>
        <v>2497600000</v>
      </c>
      <c r="J182" t="s">
        <v>1769</v>
      </c>
    </row>
    <row r="183" spans="1:10">
      <c r="A183" s="2"/>
      <c r="B183" t="s">
        <v>3838</v>
      </c>
      <c r="E183" s="189">
        <f>finPNLReg1Prod1NetRev</f>
        <v>5596273699.5</v>
      </c>
      <c r="F183" s="189">
        <f>finPNLReg1Prod1NetRev</f>
        <v>5596273699.5</v>
      </c>
      <c r="G183" s="189">
        <f>finPNLReg1Prod1NetRev</f>
        <v>5596273699.5</v>
      </c>
      <c r="H183" s="189">
        <f>finPNLReg1Prod1NetRev</f>
        <v>5596273699.5</v>
      </c>
      <c r="I183" s="189">
        <f>finPNLReg1Prod1NetRev</f>
        <v>5596273699.5</v>
      </c>
      <c r="J183" t="s">
        <v>3843</v>
      </c>
    </row>
    <row r="184" spans="1:10">
      <c r="A184" s="2"/>
      <c r="B184" t="s">
        <v>3839</v>
      </c>
      <c r="E184" s="189">
        <f>finPNLReg2Prod1NetRev</f>
        <v>2302600000</v>
      </c>
      <c r="F184" s="189">
        <f>finPNLReg2Prod1NetRev</f>
        <v>2302600000</v>
      </c>
      <c r="G184" s="189">
        <f>finPNLReg2Prod1NetRev</f>
        <v>2302600000</v>
      </c>
      <c r="H184" s="189">
        <f>finPNLReg2Prod1NetRev</f>
        <v>2302600000</v>
      </c>
      <c r="I184" s="189">
        <f>finPNLReg2Prod1NetRev</f>
        <v>2302600000</v>
      </c>
      <c r="J184" t="s">
        <v>3844</v>
      </c>
    </row>
    <row r="185" spans="1:10">
      <c r="B185" t="s">
        <v>1054</v>
      </c>
      <c r="E185" s="189">
        <f>decProd1Ftr1Level</f>
        <v>0</v>
      </c>
      <c r="F185" s="189">
        <f>decProd1Ftr1Level</f>
        <v>0</v>
      </c>
      <c r="G185" s="189">
        <f>decProd1Ftr1Level</f>
        <v>0</v>
      </c>
      <c r="H185" s="189">
        <f>decProd1Ftr1Level</f>
        <v>0</v>
      </c>
      <c r="I185" s="189">
        <f>decProd1Ftr1Level</f>
        <v>0</v>
      </c>
      <c r="J185" t="s">
        <v>1284</v>
      </c>
    </row>
    <row r="186" spans="1:10">
      <c r="B186" t="s">
        <v>1639</v>
      </c>
      <c r="E186" s="189">
        <f>decProd1Ftr2Level</f>
        <v>0</v>
      </c>
      <c r="F186" s="189">
        <f>decProd1Ftr2Level</f>
        <v>0</v>
      </c>
      <c r="G186" s="189">
        <f>decProd1Ftr2Level</f>
        <v>0</v>
      </c>
      <c r="H186" s="189">
        <f>decProd1Ftr2Level</f>
        <v>0</v>
      </c>
      <c r="I186" s="189">
        <f>decProd1Ftr2Level</f>
        <v>0</v>
      </c>
      <c r="J186" t="s">
        <v>362</v>
      </c>
    </row>
    <row r="187" spans="1:10">
      <c r="B187" t="s">
        <v>1640</v>
      </c>
      <c r="E187" s="189">
        <v>0</v>
      </c>
      <c r="F187" s="189">
        <v>0</v>
      </c>
      <c r="G187" s="189">
        <v>0</v>
      </c>
      <c r="H187" s="189">
        <v>0</v>
      </c>
      <c r="I187" s="189">
        <v>0</v>
      </c>
      <c r="J187" t="s">
        <v>363</v>
      </c>
    </row>
    <row r="188" spans="1:10">
      <c r="B188" t="s">
        <v>2268</v>
      </c>
      <c r="E188" s="189">
        <f>capProd1Ftr4Level</f>
        <v>6</v>
      </c>
      <c r="F188" s="189">
        <f>capProd1Ftr4Level</f>
        <v>6</v>
      </c>
      <c r="G188" s="189">
        <f>capProd1Ftr4Level</f>
        <v>6</v>
      </c>
      <c r="H188" s="189">
        <f>capProd1Ftr4Level</f>
        <v>6</v>
      </c>
      <c r="I188" s="189">
        <f>capProd1Ftr4Level</f>
        <v>6</v>
      </c>
      <c r="J188" t="s">
        <v>364</v>
      </c>
    </row>
    <row r="189" spans="1:10">
      <c r="B189" t="s">
        <v>1950</v>
      </c>
      <c r="E189" s="190">
        <f>capProd1COGSPUnitMat</f>
        <v>2.3189045275850999</v>
      </c>
      <c r="F189" s="190">
        <f>capProd1COGSPUnitMat</f>
        <v>2.3189045275850999</v>
      </c>
      <c r="G189" s="190">
        <f>capProd1COGSPUnitMat</f>
        <v>2.3189045275850999</v>
      </c>
      <c r="H189" s="190">
        <f>capProd1COGSPUnitMat</f>
        <v>2.3189045275850999</v>
      </c>
      <c r="I189" s="190">
        <f>capProd1COGSPUnitMat</f>
        <v>2.3189045275850999</v>
      </c>
      <c r="J189" t="s">
        <v>4542</v>
      </c>
    </row>
    <row r="190" spans="1:10">
      <c r="B190" t="str">
        <f>DataNameEmp3 &amp; " Cost Cogs Region 1"</f>
        <v>Labor Cost Cogs Region 1</v>
      </c>
      <c r="E190" s="190">
        <f>capReg1Prod1CostPUnitEmp3</f>
        <v>1.5168384461231603</v>
      </c>
      <c r="F190" s="190">
        <f>capReg1Prod1CostPUnitEmp3</f>
        <v>1.5168384461231603</v>
      </c>
      <c r="G190" s="190">
        <f>capReg1Prod1CostPUnitEmp3</f>
        <v>1.5168384461231603</v>
      </c>
      <c r="H190" s="190">
        <f>capReg1Prod1CostPUnitEmp3</f>
        <v>1.5168384461231603</v>
      </c>
      <c r="I190" s="190">
        <f>capReg1Prod1CostPUnitEmp3</f>
        <v>1.5168384461231603</v>
      </c>
      <c r="J190" t="s">
        <v>4543</v>
      </c>
    </row>
    <row r="191" spans="1:10">
      <c r="B191" t="str">
        <f>DataNameEmp3 &amp; " Cost Cogs Region 2"</f>
        <v>Labor Cost Cogs Region 2</v>
      </c>
      <c r="E191" s="190">
        <f>capReg2Prod1CostPUnitEmp3</f>
        <v>0.40686197998307172</v>
      </c>
      <c r="F191" s="190">
        <f>capReg2Prod1CostPUnitEmp3</f>
        <v>0.40686197998307172</v>
      </c>
      <c r="G191" s="190">
        <f>capReg2Prod1CostPUnitEmp3</f>
        <v>0.40686197998307172</v>
      </c>
      <c r="H191" s="190">
        <f>capReg2Prod1CostPUnitEmp3</f>
        <v>0.40686197998307172</v>
      </c>
      <c r="I191" s="190">
        <f>capReg2Prod1CostPUnitEmp3</f>
        <v>0.40686197998307172</v>
      </c>
      <c r="J191" t="s">
        <v>4544</v>
      </c>
    </row>
    <row r="192" spans="1:10">
      <c r="B192" t="str">
        <f>DataNamePlant1 &amp; " Mach Cost cogs"</f>
        <v>Plant Mach Cost cogs</v>
      </c>
      <c r="E192" s="190">
        <f ca="1">capProd1COGSPUnitPlant1</f>
        <v>8.8978198203173986E-4</v>
      </c>
      <c r="F192" s="190">
        <f ca="1">capProd1COGSPUnitPlant1</f>
        <v>8.8978198203173986E-4</v>
      </c>
      <c r="G192" s="190">
        <f ca="1">capProd1COGSPUnitPlant1</f>
        <v>8.8978198203173986E-4</v>
      </c>
      <c r="H192" s="190">
        <f ca="1">capProd1COGSPUnitPlant1</f>
        <v>8.8978198203173986E-4</v>
      </c>
      <c r="I192" s="190">
        <f ca="1">capProd1COGSPUnitPlant1</f>
        <v>8.8978198203173986E-4</v>
      </c>
      <c r="J192" t="s">
        <v>934</v>
      </c>
    </row>
    <row r="193" spans="1:10">
      <c r="B193" t="s">
        <v>3387</v>
      </c>
      <c r="E193" s="190">
        <f>capProd1COGSPUnitDep</f>
        <v>0.22266795395861044</v>
      </c>
      <c r="F193" s="190">
        <f>capProd1COGSPUnitDep</f>
        <v>0.22266795395861044</v>
      </c>
      <c r="G193" s="190">
        <f>capProd1COGSPUnitDep</f>
        <v>0.22266795395861044</v>
      </c>
      <c r="H193" s="190">
        <f>capProd1COGSPUnitDep</f>
        <v>0.22266795395861044</v>
      </c>
      <c r="I193" s="190">
        <f>capProd1COGSPUnitDep</f>
        <v>0.22266795395861044</v>
      </c>
      <c r="J193" t="s">
        <v>4545</v>
      </c>
    </row>
    <row r="194" spans="1:10">
      <c r="E194" s="189"/>
      <c r="F194" s="189"/>
      <c r="G194" s="189"/>
      <c r="H194" s="189"/>
      <c r="I194" s="189"/>
    </row>
    <row r="195" spans="1:10">
      <c r="A195" s="2" t="str">
        <f>DataNameProd2</f>
        <v>Breakthrough</v>
      </c>
      <c r="E195" s="189"/>
      <c r="F195" s="189"/>
      <c r="G195" s="189"/>
      <c r="H195" s="189"/>
      <c r="I195" s="189"/>
    </row>
    <row r="196" spans="1:10">
      <c r="A196" s="2"/>
      <c r="B196" t="s">
        <v>3633</v>
      </c>
      <c r="E196" s="189">
        <f>capProd2Reg1Price</f>
        <v>1</v>
      </c>
      <c r="F196" s="189">
        <f>capProd2Reg1Price</f>
        <v>1</v>
      </c>
      <c r="G196" s="189">
        <f>capProd2Reg1Price</f>
        <v>1</v>
      </c>
      <c r="H196" s="189">
        <f>capProd2Reg1Price</f>
        <v>1</v>
      </c>
      <c r="I196" s="189">
        <f>capProd2Reg1Price</f>
        <v>1</v>
      </c>
      <c r="J196" t="s">
        <v>1494</v>
      </c>
    </row>
    <row r="197" spans="1:10">
      <c r="A197" s="2"/>
      <c r="B197" t="s">
        <v>3634</v>
      </c>
      <c r="E197" s="189">
        <f>capProd2Reg2Price</f>
        <v>1</v>
      </c>
      <c r="F197" s="189">
        <f>capProd2Reg2Price</f>
        <v>1</v>
      </c>
      <c r="G197" s="189">
        <f>capProd2Reg2Price</f>
        <v>1</v>
      </c>
      <c r="H197" s="189">
        <f>capProd2Reg2Price</f>
        <v>1</v>
      </c>
      <c r="I197" s="189">
        <f>capProd2Reg2Price</f>
        <v>1</v>
      </c>
      <c r="J197" t="s">
        <v>1495</v>
      </c>
    </row>
    <row r="198" spans="1:10">
      <c r="A198" s="2"/>
      <c r="B198" t="s">
        <v>2298</v>
      </c>
      <c r="E198" s="189">
        <f>finPNLReg1Prod2RevS1</f>
        <v>0</v>
      </c>
      <c r="F198" s="189">
        <f>finPNLReg1Prod2RevS1</f>
        <v>0</v>
      </c>
      <c r="G198" s="189">
        <f>finPNLReg1Prod2RevS1</f>
        <v>0</v>
      </c>
      <c r="H198" s="189">
        <f>finPNLReg1Prod2RevS1</f>
        <v>0</v>
      </c>
      <c r="I198" s="189">
        <f>finPNLReg1Prod2RevS1</f>
        <v>0</v>
      </c>
      <c r="J198" t="s">
        <v>4546</v>
      </c>
    </row>
    <row r="199" spans="1:10">
      <c r="A199" s="2"/>
      <c r="B199" t="s">
        <v>3658</v>
      </c>
      <c r="E199" s="189">
        <f>finPNLReg2Prod2RevS2</f>
        <v>0</v>
      </c>
      <c r="F199" s="189">
        <f>finPNLReg2Prod2RevS2</f>
        <v>0</v>
      </c>
      <c r="G199" s="189">
        <f>finPNLReg2Prod2RevS2</f>
        <v>0</v>
      </c>
      <c r="H199" s="189">
        <f>finPNLReg2Prod2RevS2</f>
        <v>0</v>
      </c>
      <c r="I199" s="189">
        <f>finPNLReg2Prod2RevS2</f>
        <v>0</v>
      </c>
      <c r="J199" t="s">
        <v>4547</v>
      </c>
    </row>
    <row r="200" spans="1:10">
      <c r="A200" s="2"/>
      <c r="B200" t="s">
        <v>3840</v>
      </c>
      <c r="E200" s="189">
        <f>finPNLReg1Prod2NetRevS1</f>
        <v>0</v>
      </c>
      <c r="F200" s="189">
        <f>finPNLReg1Prod2NetRevS1</f>
        <v>0</v>
      </c>
      <c r="G200" s="189">
        <f>finPNLReg1Prod2NetRevS1</f>
        <v>0</v>
      </c>
      <c r="H200" s="189">
        <f>finPNLReg1Prod2NetRevS1</f>
        <v>0</v>
      </c>
      <c r="I200" s="189">
        <f>finPNLReg1Prod2NetRevS1</f>
        <v>0</v>
      </c>
      <c r="J200" t="s">
        <v>4548</v>
      </c>
    </row>
    <row r="201" spans="1:10">
      <c r="A201" s="2"/>
      <c r="B201" t="s">
        <v>3841</v>
      </c>
      <c r="E201" s="189">
        <f>finPNLReg2Prod2NetRevS2</f>
        <v>0</v>
      </c>
      <c r="F201" s="189">
        <f>finPNLReg2Prod2NetRevS2</f>
        <v>0</v>
      </c>
      <c r="G201" s="189">
        <f>finPNLReg2Prod2NetRevS2</f>
        <v>0</v>
      </c>
      <c r="H201" s="189">
        <f>finPNLReg2Prod2NetRevS2</f>
        <v>0</v>
      </c>
      <c r="I201" s="189">
        <f>finPNLReg2Prod2NetRevS2</f>
        <v>0</v>
      </c>
      <c r="J201" t="s">
        <v>4549</v>
      </c>
    </row>
    <row r="202" spans="1:10">
      <c r="A202" s="2"/>
      <c r="B202" t="s">
        <v>3555</v>
      </c>
      <c r="E202" s="189">
        <f>finPNLReg1Prod2Rev</f>
        <v>0</v>
      </c>
      <c r="F202" s="189">
        <f>finPNLReg1Prod2Rev</f>
        <v>0</v>
      </c>
      <c r="G202" s="189">
        <f>finPNLReg1Prod2Rev</f>
        <v>0</v>
      </c>
      <c r="H202" s="189">
        <f>finPNLReg1Prod2Rev</f>
        <v>0</v>
      </c>
      <c r="I202" s="189">
        <f>finPNLReg1Prod2Rev</f>
        <v>0</v>
      </c>
      <c r="J202" t="s">
        <v>1770</v>
      </c>
    </row>
    <row r="203" spans="1:10">
      <c r="A203" s="2"/>
      <c r="B203" t="s">
        <v>3556</v>
      </c>
      <c r="E203" s="189">
        <f>finPNLReg2Prod2Rev</f>
        <v>0</v>
      </c>
      <c r="F203" s="189">
        <f>finPNLReg2Prod2Rev</f>
        <v>0</v>
      </c>
      <c r="G203" s="189">
        <f>finPNLReg2Prod2Rev</f>
        <v>0</v>
      </c>
      <c r="H203" s="189">
        <f>finPNLReg2Prod2Rev</f>
        <v>0</v>
      </c>
      <c r="I203" s="189">
        <f>finPNLReg2Prod2Rev</f>
        <v>0</v>
      </c>
      <c r="J203" t="s">
        <v>1771</v>
      </c>
    </row>
    <row r="204" spans="1:10">
      <c r="A204" s="2"/>
      <c r="B204" t="s">
        <v>3838</v>
      </c>
      <c r="E204" s="189">
        <f>finPNLReg1Prod2NetRev</f>
        <v>0</v>
      </c>
      <c r="F204" s="189">
        <f>finPNLReg1Prod2NetRev</f>
        <v>0</v>
      </c>
      <c r="G204" s="189">
        <f>finPNLReg1Prod2NetRev</f>
        <v>0</v>
      </c>
      <c r="H204" s="189">
        <f>finPNLReg1Prod2NetRev</f>
        <v>0</v>
      </c>
      <c r="I204" s="189">
        <f>finPNLReg1Prod2NetRev</f>
        <v>0</v>
      </c>
      <c r="J204" t="s">
        <v>3311</v>
      </c>
    </row>
    <row r="205" spans="1:10">
      <c r="A205" s="2"/>
      <c r="B205" t="s">
        <v>3839</v>
      </c>
      <c r="E205" s="189">
        <f>finPNLReg2Prod2NetRev</f>
        <v>0</v>
      </c>
      <c r="F205" s="189">
        <f>finPNLReg2Prod2NetRev</f>
        <v>0</v>
      </c>
      <c r="G205" s="189">
        <f>finPNLReg2Prod2NetRev</f>
        <v>0</v>
      </c>
      <c r="H205" s="189">
        <f>finPNLReg2Prod2NetRev</f>
        <v>0</v>
      </c>
      <c r="I205" s="189">
        <f>finPNLReg2Prod2NetRev</f>
        <v>0</v>
      </c>
      <c r="J205" t="s">
        <v>3446</v>
      </c>
    </row>
    <row r="206" spans="1:10">
      <c r="A206" s="2"/>
      <c r="B206" t="s">
        <v>1054</v>
      </c>
      <c r="E206" s="189">
        <f>capProd2Ftr1Level</f>
        <v>0</v>
      </c>
      <c r="F206" s="189">
        <f>capProd2Ftr1Level</f>
        <v>0</v>
      </c>
      <c r="G206" s="189">
        <f>capProd2Ftr1Level</f>
        <v>0</v>
      </c>
      <c r="H206" s="189">
        <f>capProd2Ftr1Level</f>
        <v>0</v>
      </c>
      <c r="I206" s="189">
        <f>capProd2Ftr1Level</f>
        <v>0</v>
      </c>
      <c r="J206" t="s">
        <v>365</v>
      </c>
    </row>
    <row r="207" spans="1:10">
      <c r="A207" s="2"/>
      <c r="B207" t="s">
        <v>1639</v>
      </c>
      <c r="E207" s="189">
        <f>capProd2Ftr2Level</f>
        <v>0</v>
      </c>
      <c r="F207" s="189">
        <f>capProd2Ftr2Level</f>
        <v>0</v>
      </c>
      <c r="G207" s="189">
        <f>capProd2Ftr2Level</f>
        <v>0</v>
      </c>
      <c r="H207" s="189">
        <f>capProd2Ftr2Level</f>
        <v>0</v>
      </c>
      <c r="I207" s="189">
        <f>capProd2Ftr2Level</f>
        <v>0</v>
      </c>
      <c r="J207" t="s">
        <v>366</v>
      </c>
    </row>
    <row r="208" spans="1:10">
      <c r="A208" s="2"/>
      <c r="B208" t="s">
        <v>1640</v>
      </c>
      <c r="E208" s="189">
        <f>capProd2Ftr3Level</f>
        <v>0</v>
      </c>
      <c r="F208" s="189">
        <f>capProd2Ftr3Level</f>
        <v>0</v>
      </c>
      <c r="G208" s="189">
        <f>capProd2Ftr3Level</f>
        <v>0</v>
      </c>
      <c r="H208" s="189">
        <f>capProd2Ftr3Level</f>
        <v>0</v>
      </c>
      <c r="I208" s="189">
        <f>capProd2Ftr3Level</f>
        <v>0</v>
      </c>
      <c r="J208" t="s">
        <v>367</v>
      </c>
    </row>
    <row r="209" spans="1:10">
      <c r="A209" s="2"/>
      <c r="B209" t="s">
        <v>1716</v>
      </c>
      <c r="E209" s="189">
        <f>capProd2Ftr4Level</f>
        <v>2</v>
      </c>
      <c r="F209" s="189">
        <f>capProd2Ftr4Level</f>
        <v>2</v>
      </c>
      <c r="G209" s="189">
        <f>capProd2Ftr4Level</f>
        <v>2</v>
      </c>
      <c r="H209" s="189">
        <f>capProd2Ftr4Level</f>
        <v>2</v>
      </c>
      <c r="I209" s="189">
        <f>capProd2Ftr4Level</f>
        <v>2</v>
      </c>
      <c r="J209" t="s">
        <v>368</v>
      </c>
    </row>
    <row r="210" spans="1:10">
      <c r="A210" s="2"/>
      <c r="B210" t="s">
        <v>1717</v>
      </c>
      <c r="E210" s="189">
        <f>capProd2Ftr4Level2</f>
        <v>2</v>
      </c>
      <c r="F210" s="189">
        <f>capProd2Ftr4Level2</f>
        <v>2</v>
      </c>
      <c r="G210" s="189">
        <f>capProd2Ftr4Level2</f>
        <v>2</v>
      </c>
      <c r="H210" s="189">
        <f>capProd2Ftr4Level2</f>
        <v>2</v>
      </c>
      <c r="I210" s="189">
        <f>capProd2Ftr4Level2</f>
        <v>2</v>
      </c>
    </row>
    <row r="211" spans="1:10">
      <c r="B211" t="s">
        <v>2493</v>
      </c>
      <c r="E211" s="190">
        <f>capProd21COGSPUnitMat</f>
        <v>0</v>
      </c>
      <c r="F211" s="190">
        <f>capProd21COGSPUnitMat</f>
        <v>0</v>
      </c>
      <c r="G211" s="190">
        <f>capProd21COGSPUnitMat</f>
        <v>0</v>
      </c>
      <c r="H211" s="190">
        <f>capProd21COGSPUnitMat</f>
        <v>0</v>
      </c>
      <c r="I211" s="190">
        <f>capProd21COGSPUnitMat</f>
        <v>0</v>
      </c>
      <c r="J211" t="s">
        <v>4550</v>
      </c>
    </row>
    <row r="212" spans="1:10">
      <c r="B212" t="s">
        <v>3048</v>
      </c>
      <c r="E212" s="190">
        <f>capProd22COGSPUnitMat</f>
        <v>0</v>
      </c>
      <c r="F212" s="190">
        <f>capProd22COGSPUnitMat</f>
        <v>0</v>
      </c>
      <c r="G212" s="190">
        <f>capProd22COGSPUnitMat</f>
        <v>0</v>
      </c>
      <c r="H212" s="190">
        <f>capProd22COGSPUnitMat</f>
        <v>0</v>
      </c>
      <c r="I212" s="190">
        <f>capProd22COGSPUnitMat</f>
        <v>0</v>
      </c>
      <c r="J212" t="s">
        <v>4551</v>
      </c>
    </row>
    <row r="213" spans="1:10">
      <c r="B213" t="str">
        <f>DataNameEmp3 &amp; " Cost Cogs Disruptive 1 Region 1"</f>
        <v>Labor Cost Cogs Disruptive 1 Region 1</v>
      </c>
      <c r="E213" s="190">
        <f>capReg1Prod21CostPUnitEmp3</f>
        <v>0</v>
      </c>
      <c r="F213" s="190">
        <f>capReg1Prod21CostPUnitEmp3</f>
        <v>0</v>
      </c>
      <c r="G213" s="190">
        <f>capReg1Prod21CostPUnitEmp3</f>
        <v>0</v>
      </c>
      <c r="H213" s="190">
        <f>capReg1Prod21CostPUnitEmp3</f>
        <v>0</v>
      </c>
      <c r="I213" s="190">
        <f>capReg1Prod21CostPUnitEmp3</f>
        <v>0</v>
      </c>
      <c r="J213" t="s">
        <v>1789</v>
      </c>
    </row>
    <row r="214" spans="1:10">
      <c r="B214" t="str">
        <f>DataNameEmp3 &amp; " Cost Cogs Disruptive 1 Region 2"</f>
        <v>Labor Cost Cogs Disruptive 1 Region 2</v>
      </c>
      <c r="E214" s="190">
        <f>capReg2Prod21CostPUnitEmp3</f>
        <v>0</v>
      </c>
      <c r="F214" s="190">
        <f>capReg2Prod21CostPUnitEmp3</f>
        <v>0</v>
      </c>
      <c r="G214" s="190">
        <f>capReg2Prod21CostPUnitEmp3</f>
        <v>0</v>
      </c>
      <c r="H214" s="190">
        <f>capReg2Prod21CostPUnitEmp3</f>
        <v>0</v>
      </c>
      <c r="I214" s="190">
        <f>capReg2Prod21CostPUnitEmp3</f>
        <v>0</v>
      </c>
    </row>
    <row r="215" spans="1:10">
      <c r="B215" t="str">
        <f>DataNameEmp3 &amp; " Cost Cogs Disruptive 2 Region 1"</f>
        <v>Labor Cost Cogs Disruptive 2 Region 1</v>
      </c>
      <c r="E215" s="190">
        <f>capReg1Prod22CostPUnitEmp3</f>
        <v>0</v>
      </c>
      <c r="F215" s="190">
        <f>capReg1Prod22CostPUnitEmp3</f>
        <v>0</v>
      </c>
      <c r="G215" s="190">
        <f>capReg1Prod22CostPUnitEmp3</f>
        <v>0</v>
      </c>
      <c r="H215" s="190">
        <f>capReg1Prod22CostPUnitEmp3</f>
        <v>0</v>
      </c>
      <c r="I215" s="190">
        <f>capReg1Prod22CostPUnitEmp3</f>
        <v>0</v>
      </c>
    </row>
    <row r="216" spans="1:10">
      <c r="B216" t="str">
        <f>DataNameEmp3 &amp; " Cost Cogs Dirsuptive 2 Region 2"</f>
        <v>Labor Cost Cogs Dirsuptive 2 Region 2</v>
      </c>
      <c r="E216" s="190">
        <f>capReg2Prod22CostPUnitEmp3</f>
        <v>0</v>
      </c>
      <c r="F216" s="190">
        <f>capReg2Prod22CostPUnitEmp3</f>
        <v>0</v>
      </c>
      <c r="G216" s="190">
        <f>capReg2Prod22CostPUnitEmp3</f>
        <v>0</v>
      </c>
      <c r="H216" s="190">
        <f>capReg2Prod22CostPUnitEmp3</f>
        <v>0</v>
      </c>
      <c r="I216" s="190">
        <f>capReg2Prod22CostPUnitEmp3</f>
        <v>0</v>
      </c>
    </row>
    <row r="217" spans="1:10">
      <c r="B217" t="str">
        <f>DataNamePlant1 &amp; " 1 Mach Cost cogs"</f>
        <v>Plant 1 Mach Cost cogs</v>
      </c>
      <c r="E217" s="190">
        <f>capProd21COGSPUnitPlant1</f>
        <v>0</v>
      </c>
      <c r="F217" s="190">
        <f>capProd21COGSPUnitPlant1</f>
        <v>0</v>
      </c>
      <c r="G217" s="190">
        <f>capProd21COGSPUnitPlant1</f>
        <v>0</v>
      </c>
      <c r="H217" s="190">
        <f>capProd21COGSPUnitPlant1</f>
        <v>0</v>
      </c>
      <c r="I217" s="190">
        <f>capProd21COGSPUnitPlant1</f>
        <v>0</v>
      </c>
      <c r="J217" t="s">
        <v>1790</v>
      </c>
    </row>
    <row r="218" spans="1:10">
      <c r="B218" t="str">
        <f>DataNamePlant1 &amp; " 2 Mach Cost cogs"</f>
        <v>Plant 2 Mach Cost cogs</v>
      </c>
      <c r="E218" s="190">
        <f>capProd22COGSPUnitPlant1</f>
        <v>0</v>
      </c>
      <c r="F218" s="190">
        <f>capProd22COGSPUnitPlant1</f>
        <v>0</v>
      </c>
      <c r="G218" s="190">
        <f>capProd22COGSPUnitPlant1</f>
        <v>0</v>
      </c>
      <c r="H218" s="190">
        <f>capProd22COGSPUnitPlant1</f>
        <v>0</v>
      </c>
      <c r="I218" s="190">
        <f>capProd22COGSPUnitPlant1</f>
        <v>0</v>
      </c>
    </row>
    <row r="219" spans="1:10">
      <c r="B219" t="s">
        <v>1521</v>
      </c>
      <c r="E219" s="190">
        <f>capProd21COGSPUnitDep</f>
        <v>0</v>
      </c>
      <c r="F219" s="190">
        <f>capProd21COGSPUnitDep</f>
        <v>0</v>
      </c>
      <c r="G219" s="190">
        <f>capProd21COGSPUnitDep</f>
        <v>0</v>
      </c>
      <c r="H219" s="190">
        <f>capProd21COGSPUnitDep</f>
        <v>0</v>
      </c>
      <c r="I219" s="190">
        <f>capProd21COGSPUnitDep</f>
        <v>0</v>
      </c>
      <c r="J219" t="s">
        <v>4552</v>
      </c>
    </row>
    <row r="220" spans="1:10">
      <c r="B220" t="s">
        <v>1522</v>
      </c>
      <c r="E220" s="190">
        <f>capProd22COGSPUnitDep</f>
        <v>0</v>
      </c>
      <c r="F220" s="190">
        <f>capProd22COGSPUnitDep</f>
        <v>0</v>
      </c>
      <c r="G220" s="190">
        <f>capProd22COGSPUnitDep</f>
        <v>0</v>
      </c>
      <c r="H220" s="190">
        <f>capProd22COGSPUnitDep</f>
        <v>0</v>
      </c>
      <c r="I220" s="190">
        <f>capProd22COGSPUnitDep</f>
        <v>0</v>
      </c>
    </row>
    <row r="221" spans="1:10">
      <c r="B221" t="s">
        <v>1356</v>
      </c>
      <c r="E221" s="190">
        <f>decDisrupt1</f>
        <v>0</v>
      </c>
      <c r="F221" s="190">
        <f>decDisrupt1</f>
        <v>0</v>
      </c>
      <c r="G221" s="190">
        <f>decDisrupt1</f>
        <v>0</v>
      </c>
      <c r="H221" s="190">
        <f>decDisrupt1</f>
        <v>0</v>
      </c>
      <c r="I221" s="190">
        <f>decDisrupt1</f>
        <v>0</v>
      </c>
      <c r="J221" t="s">
        <v>1358</v>
      </c>
    </row>
    <row r="222" spans="1:10">
      <c r="B222" t="s">
        <v>1357</v>
      </c>
      <c r="E222" s="190">
        <f>decDisrupt2</f>
        <v>0</v>
      </c>
      <c r="F222" s="190">
        <f>decDisrupt2</f>
        <v>0</v>
      </c>
      <c r="G222" s="190">
        <f>decDisrupt2</f>
        <v>0</v>
      </c>
      <c r="H222" s="190">
        <f>decDisrupt2</f>
        <v>0</v>
      </c>
      <c r="I222" s="190">
        <f>decDisrupt2</f>
        <v>0</v>
      </c>
      <c r="J222" t="s">
        <v>1359</v>
      </c>
    </row>
    <row r="223" spans="1:10">
      <c r="E223" s="189"/>
      <c r="F223" s="189"/>
      <c r="G223" s="189"/>
      <c r="H223" s="189"/>
      <c r="I223" s="189"/>
    </row>
    <row r="224" spans="1:10">
      <c r="A224" s="2" t="str">
        <f>DataNameProd3</f>
        <v>NCB</v>
      </c>
      <c r="E224" s="189"/>
      <c r="F224" s="189"/>
      <c r="G224" s="189"/>
      <c r="H224" s="189"/>
      <c r="I224" s="189"/>
    </row>
    <row r="225" spans="1:10">
      <c r="A225" s="2"/>
      <c r="B225" t="s">
        <v>1714</v>
      </c>
      <c r="E225" s="189">
        <f>capProd3Reg1Price</f>
        <v>15</v>
      </c>
      <c r="F225" s="189">
        <f>capProd3Reg1Price</f>
        <v>15</v>
      </c>
      <c r="G225" s="189">
        <f>capProd3Reg1Price</f>
        <v>15</v>
      </c>
      <c r="H225" s="189">
        <f>capProd3Reg1Price</f>
        <v>15</v>
      </c>
      <c r="I225" s="189">
        <f>capProd3Reg1Price</f>
        <v>15</v>
      </c>
      <c r="J225" t="s">
        <v>1496</v>
      </c>
    </row>
    <row r="226" spans="1:10">
      <c r="A226" s="2"/>
      <c r="B226" t="s">
        <v>1715</v>
      </c>
      <c r="E226" s="189">
        <f>capProd3Reg2Price</f>
        <v>10</v>
      </c>
      <c r="F226" s="189">
        <f>capProd3Reg2Price</f>
        <v>10</v>
      </c>
      <c r="G226" s="189">
        <f>capProd3Reg2Price</f>
        <v>10</v>
      </c>
      <c r="H226" s="189">
        <f>capProd3Reg2Price</f>
        <v>10</v>
      </c>
      <c r="I226" s="850">
        <f>capProd3Reg2Price</f>
        <v>10</v>
      </c>
      <c r="J226" t="s">
        <v>1497</v>
      </c>
    </row>
    <row r="227" spans="1:10">
      <c r="A227" s="2"/>
      <c r="B227" t="s">
        <v>3555</v>
      </c>
      <c r="E227" s="189">
        <f>finPNLReg1Prod3Rev</f>
        <v>5352000000</v>
      </c>
      <c r="F227" s="189">
        <f>finPNLReg1Prod3Rev</f>
        <v>5352000000</v>
      </c>
      <c r="G227" s="189">
        <f>finPNLReg1Prod3Rev</f>
        <v>5352000000</v>
      </c>
      <c r="H227" s="189">
        <f>finPNLReg1Prod3Rev</f>
        <v>5352000000</v>
      </c>
      <c r="I227" s="189">
        <f>finPNLReg1Prod3Rev</f>
        <v>5352000000</v>
      </c>
      <c r="J227" t="s">
        <v>2190</v>
      </c>
    </row>
    <row r="228" spans="1:10">
      <c r="A228" s="2"/>
      <c r="B228" t="s">
        <v>3556</v>
      </c>
      <c r="E228" s="189">
        <f>finPNLReg2Prod3Rev</f>
        <v>2450000000</v>
      </c>
      <c r="F228" s="189">
        <f>finPNLReg2Prod3Rev</f>
        <v>2450000000</v>
      </c>
      <c r="G228" s="189">
        <f>finPNLReg2Prod3Rev</f>
        <v>2450000000</v>
      </c>
      <c r="H228" s="189">
        <f>finPNLReg2Prod3Rev</f>
        <v>2450000000</v>
      </c>
      <c r="I228" s="189">
        <f>finPNLReg2Prod3Rev</f>
        <v>2450000000</v>
      </c>
      <c r="J228" t="s">
        <v>2191</v>
      </c>
    </row>
    <row r="229" spans="1:10">
      <c r="A229" s="2"/>
      <c r="B229" t="s">
        <v>3842</v>
      </c>
      <c r="E229" s="189">
        <f>finPNLReg1Prod3NetRev</f>
        <v>4497000000</v>
      </c>
      <c r="F229" s="189">
        <f>finPNLReg1Prod3NetRev</f>
        <v>4497000000</v>
      </c>
      <c r="G229" s="189">
        <f>finPNLReg1Prod3NetRev</f>
        <v>4497000000</v>
      </c>
      <c r="H229" s="189">
        <f>finPNLReg1Prod3NetRev</f>
        <v>4497000000</v>
      </c>
      <c r="I229" s="189">
        <f>finPNLReg1Prod3NetRev</f>
        <v>4497000000</v>
      </c>
      <c r="J229" t="s">
        <v>3845</v>
      </c>
    </row>
    <row r="230" spans="1:10">
      <c r="A230" s="2"/>
      <c r="B230" t="s">
        <v>3839</v>
      </c>
      <c r="E230" s="189">
        <f>finPNLReg2Prod3NetRev</f>
        <v>2285000000</v>
      </c>
      <c r="F230" s="189">
        <f>finPNLReg2Prod3NetRev</f>
        <v>2285000000</v>
      </c>
      <c r="G230" s="189">
        <f>finPNLReg2Prod3NetRev</f>
        <v>2285000000</v>
      </c>
      <c r="H230" s="189">
        <f>finPNLReg2Prod3NetRev</f>
        <v>2285000000</v>
      </c>
      <c r="I230" s="189">
        <f>finPNLReg2Prod3NetRev</f>
        <v>2285000000</v>
      </c>
      <c r="J230" t="s">
        <v>3846</v>
      </c>
    </row>
    <row r="231" spans="1:10">
      <c r="A231" s="2"/>
      <c r="B231" t="s">
        <v>1054</v>
      </c>
      <c r="E231" s="189">
        <f>decProd3Ftr1Level</f>
        <v>0</v>
      </c>
      <c r="F231" s="189">
        <f>decProd3Ftr1Level</f>
        <v>0</v>
      </c>
      <c r="G231" s="189">
        <f>decProd3Ftr1Level</f>
        <v>0</v>
      </c>
      <c r="H231" s="189">
        <f>decProd3Ftr1Level</f>
        <v>0</v>
      </c>
      <c r="I231" s="189">
        <f>decProd3Ftr1Level</f>
        <v>0</v>
      </c>
      <c r="J231" t="s">
        <v>369</v>
      </c>
    </row>
    <row r="232" spans="1:10">
      <c r="A232" s="2"/>
      <c r="B232" t="s">
        <v>1639</v>
      </c>
      <c r="E232" s="189">
        <f>decProd3Ftr2Level</f>
        <v>0</v>
      </c>
      <c r="F232" s="189">
        <f>decProd3Ftr2Level</f>
        <v>0</v>
      </c>
      <c r="G232" s="189">
        <f>decProd3Ftr2Level</f>
        <v>0</v>
      </c>
      <c r="H232" s="189">
        <f>decProd3Ftr2Level</f>
        <v>0</v>
      </c>
      <c r="I232" s="189">
        <f>decProd3Ftr2Level</f>
        <v>0</v>
      </c>
      <c r="J232" t="s">
        <v>370</v>
      </c>
    </row>
    <row r="233" spans="1:10">
      <c r="A233" s="2"/>
      <c r="B233" t="s">
        <v>1640</v>
      </c>
      <c r="E233" s="189">
        <f>capProd3Ftr3Level</f>
        <v>0</v>
      </c>
      <c r="F233" s="189">
        <f>capProd3Ftr3Level</f>
        <v>0</v>
      </c>
      <c r="G233" s="189">
        <f>capProd3Ftr3Level</f>
        <v>0</v>
      </c>
      <c r="H233" s="189">
        <f>capProd3Ftr3Level</f>
        <v>0</v>
      </c>
      <c r="I233" s="189">
        <f>capProd3Ftr3Level</f>
        <v>0</v>
      </c>
      <c r="J233" t="s">
        <v>371</v>
      </c>
    </row>
    <row r="234" spans="1:10">
      <c r="A234" s="2"/>
      <c r="B234" t="s">
        <v>2268</v>
      </c>
      <c r="E234" s="189">
        <f>capProd3Ftr4Level</f>
        <v>4</v>
      </c>
      <c r="F234" s="189">
        <f>capProd3Ftr4Level</f>
        <v>4</v>
      </c>
      <c r="G234" s="189">
        <f>capProd3Ftr4Level</f>
        <v>4</v>
      </c>
      <c r="H234" s="189">
        <f>capProd3Ftr4Level</f>
        <v>4</v>
      </c>
      <c r="I234" s="189">
        <f>capProd3Ftr4Level</f>
        <v>4</v>
      </c>
      <c r="J234" t="s">
        <v>372</v>
      </c>
    </row>
    <row r="235" spans="1:10">
      <c r="B235" t="s">
        <v>1950</v>
      </c>
      <c r="E235" s="190">
        <f>capProd3COGSPUnitMat</f>
        <v>4.004969096</v>
      </c>
      <c r="F235" s="190">
        <f>capProd3COGSPUnitMat</f>
        <v>4.004969096</v>
      </c>
      <c r="G235" s="190">
        <f>capProd3COGSPUnitMat</f>
        <v>4.004969096</v>
      </c>
      <c r="H235" s="190">
        <f>capProd3COGSPUnitMat</f>
        <v>4.004969096</v>
      </c>
      <c r="I235" s="190">
        <f>capProd3COGSPUnitMat</f>
        <v>4.004969096</v>
      </c>
      <c r="J235" t="s">
        <v>4553</v>
      </c>
    </row>
    <row r="236" spans="1:10">
      <c r="B236" t="str">
        <f>DataNameEmp3 &amp; " Cost Cogs Region 1"</f>
        <v>Labor Cost Cogs Region 1</v>
      </c>
      <c r="E236" s="190">
        <f>capReg1Prod3CostPUnitEmp3</f>
        <v>1.6979012682786405</v>
      </c>
      <c r="F236" s="190">
        <f>capReg1Prod3CostPUnitEmp3</f>
        <v>1.6979012682786405</v>
      </c>
      <c r="G236" s="190">
        <f>capReg1Prod3CostPUnitEmp3</f>
        <v>1.6979012682786405</v>
      </c>
      <c r="H236" s="190">
        <f>capReg1Prod3CostPUnitEmp3</f>
        <v>1.6979012682786405</v>
      </c>
      <c r="I236" s="190">
        <f>capReg1Prod3CostPUnitEmp3</f>
        <v>1.6979012682786405</v>
      </c>
      <c r="J236" t="s">
        <v>4554</v>
      </c>
    </row>
    <row r="237" spans="1:10">
      <c r="B237" t="str">
        <f>DataNameEmp3 &amp; " Cost Cogs Region 2"</f>
        <v>Labor Cost Cogs Region 2</v>
      </c>
      <c r="E237" s="190">
        <f>capReg2Prod3CostPUnitEmp3</f>
        <v>0.45542850894453502</v>
      </c>
      <c r="F237" s="190">
        <f>capReg2Prod3CostPUnitEmp3</f>
        <v>0.45542850894453502</v>
      </c>
      <c r="G237" s="190">
        <f>capReg2Prod3CostPUnitEmp3</f>
        <v>0.45542850894453502</v>
      </c>
      <c r="H237" s="190">
        <f>capReg2Prod3CostPUnitEmp3</f>
        <v>0.45542850894453502</v>
      </c>
      <c r="I237" s="190">
        <f>capReg2Prod3CostPUnitEmp3</f>
        <v>0.45542850894453502</v>
      </c>
      <c r="J237" t="s">
        <v>4555</v>
      </c>
    </row>
    <row r="238" spans="1:10">
      <c r="B238" t="str">
        <f>DataNamePlant1 &amp; " Mach Cost cogs"</f>
        <v>Plant Mach Cost cogs</v>
      </c>
      <c r="E238" s="190">
        <f ca="1">capProd3COGSPUnitPlant1</f>
        <v>1.8127090373750471E-3</v>
      </c>
      <c r="F238" s="190">
        <f ca="1">capProd3COGSPUnitPlant1</f>
        <v>1.8127090373750471E-3</v>
      </c>
      <c r="G238" s="190">
        <f ca="1">capProd3COGSPUnitPlant1</f>
        <v>1.8127090373750471E-3</v>
      </c>
      <c r="H238" s="190">
        <f ca="1">capProd3COGSPUnitPlant1</f>
        <v>1.8127090373750471E-3</v>
      </c>
      <c r="I238" s="190">
        <f ca="1">capProd3COGSPUnitPlant1</f>
        <v>1.8127090373750471E-3</v>
      </c>
      <c r="J238" t="s">
        <v>1791</v>
      </c>
    </row>
    <row r="239" spans="1:10">
      <c r="B239" t="s">
        <v>3387</v>
      </c>
      <c r="E239" s="190">
        <f>capProd3COGSPUnitDep</f>
        <v>0.45363232732676845</v>
      </c>
      <c r="F239" s="190">
        <f>capProd3COGSPUnitDep</f>
        <v>0.45363232732676845</v>
      </c>
      <c r="G239" s="190">
        <f>capProd3COGSPUnitDep</f>
        <v>0.45363232732676845</v>
      </c>
      <c r="H239" s="190">
        <f>capProd3COGSPUnitDep</f>
        <v>0.45363232732676845</v>
      </c>
      <c r="I239" s="190">
        <f>capProd3COGSPUnitDep</f>
        <v>0.45363232732676845</v>
      </c>
      <c r="J239" t="s">
        <v>4556</v>
      </c>
    </row>
    <row r="240" spans="1:10">
      <c r="E240" s="189"/>
      <c r="F240" s="189"/>
      <c r="G240" s="189"/>
      <c r="H240" s="189"/>
      <c r="I240" s="189"/>
    </row>
    <row r="241" spans="1:10">
      <c r="A241" s="2" t="str">
        <f>DataNameProd4</f>
        <v>F&amp;S</v>
      </c>
      <c r="E241" s="189"/>
      <c r="F241" s="189"/>
      <c r="G241" s="189"/>
      <c r="H241" s="189"/>
      <c r="I241" s="189"/>
    </row>
    <row r="242" spans="1:10">
      <c r="A242" s="2"/>
      <c r="B242" t="s">
        <v>1714</v>
      </c>
      <c r="E242" s="189">
        <f>capProd4Reg1Price</f>
        <v>12.5</v>
      </c>
      <c r="F242" s="189">
        <f>capProd4Reg1Price</f>
        <v>12.5</v>
      </c>
      <c r="G242" s="189">
        <f>capProd4Reg1Price</f>
        <v>12.5</v>
      </c>
      <c r="H242" s="189">
        <f>capProd4Reg1Price</f>
        <v>12.5</v>
      </c>
      <c r="I242" s="189">
        <f>capProd4Reg1Price</f>
        <v>12.5</v>
      </c>
      <c r="J242" t="s">
        <v>1498</v>
      </c>
    </row>
    <row r="243" spans="1:10">
      <c r="A243" s="2"/>
      <c r="B243" t="s">
        <v>1715</v>
      </c>
      <c r="E243" s="189">
        <f>capProd4Reg2Price</f>
        <v>9</v>
      </c>
      <c r="F243" s="189">
        <f>capProd4Reg2Price</f>
        <v>9</v>
      </c>
      <c r="G243" s="189">
        <f>capProd4Reg2Price</f>
        <v>9</v>
      </c>
      <c r="H243" s="189">
        <f>capProd4Reg2Price</f>
        <v>9</v>
      </c>
      <c r="I243" s="850">
        <f>capProd4Reg2Price</f>
        <v>9</v>
      </c>
      <c r="J243" t="s">
        <v>1499</v>
      </c>
    </row>
    <row r="244" spans="1:10">
      <c r="A244" s="2"/>
      <c r="B244" t="s">
        <v>3555</v>
      </c>
      <c r="E244" s="189">
        <f>finPNLReg1Prod4Rev</f>
        <v>6771250000</v>
      </c>
      <c r="F244" s="189">
        <f>finPNLReg1Prod4Rev</f>
        <v>6771250000</v>
      </c>
      <c r="G244" s="189">
        <f>finPNLReg1Prod4Rev</f>
        <v>6771250000</v>
      </c>
      <c r="H244" s="189">
        <f>finPNLReg1Prod4Rev</f>
        <v>6771250000</v>
      </c>
      <c r="I244" s="189">
        <f>finPNLReg1Prod4Rev</f>
        <v>6771250000</v>
      </c>
      <c r="J244" t="s">
        <v>1071</v>
      </c>
    </row>
    <row r="245" spans="1:10">
      <c r="A245" s="2"/>
      <c r="B245" t="s">
        <v>3556</v>
      </c>
      <c r="E245" s="189">
        <f>finPNLReg2Prod4Rev</f>
        <v>2025000000</v>
      </c>
      <c r="F245" s="189">
        <f>finPNLReg2Prod4Rev</f>
        <v>2025000000</v>
      </c>
      <c r="G245" s="189">
        <f>finPNLReg2Prod4Rev</f>
        <v>2025000000</v>
      </c>
      <c r="H245" s="189">
        <f>finPNLReg2Prod4Rev</f>
        <v>2025000000</v>
      </c>
      <c r="I245" s="189">
        <f>finPNLReg2Prod4Rev</f>
        <v>2025000000</v>
      </c>
      <c r="J245" t="s">
        <v>1072</v>
      </c>
    </row>
    <row r="246" spans="1:10">
      <c r="A246" s="2"/>
      <c r="B246" t="s">
        <v>3838</v>
      </c>
      <c r="E246" s="189">
        <f>finPNLReg1Prod4NetRev</f>
        <v>6011250000</v>
      </c>
      <c r="F246" s="189">
        <f>finPNLReg1Prod4NetRev</f>
        <v>6011250000</v>
      </c>
      <c r="G246" s="189">
        <f>finPNLReg1Prod4NetRev</f>
        <v>6011250000</v>
      </c>
      <c r="H246" s="189">
        <f>finPNLReg1Prod4NetRev</f>
        <v>6011250000</v>
      </c>
      <c r="I246" s="189">
        <f>finPNLReg1Prod4NetRev</f>
        <v>6011250000</v>
      </c>
      <c r="J246" t="s">
        <v>3463</v>
      </c>
    </row>
    <row r="247" spans="1:10">
      <c r="A247" s="2"/>
      <c r="B247" t="s">
        <v>3839</v>
      </c>
      <c r="E247" s="189">
        <f>finPNLReg2Prod4NetRev</f>
        <v>1930000000</v>
      </c>
      <c r="F247" s="189">
        <f>finPNLReg2Prod4NetRev</f>
        <v>1930000000</v>
      </c>
      <c r="G247" s="189">
        <f>finPNLReg2Prod4NetRev</f>
        <v>1930000000</v>
      </c>
      <c r="H247" s="189">
        <f>finPNLReg2Prod4NetRev</f>
        <v>1930000000</v>
      </c>
      <c r="I247" s="189">
        <f>finPNLReg2Prod4NetRev</f>
        <v>1930000000</v>
      </c>
      <c r="J247" t="s">
        <v>3847</v>
      </c>
    </row>
    <row r="248" spans="1:10">
      <c r="A248" s="2"/>
      <c r="B248" t="s">
        <v>1054</v>
      </c>
      <c r="E248" s="189">
        <f>decProd4Ftr1Level</f>
        <v>0</v>
      </c>
      <c r="F248" s="189">
        <f>decProd4Ftr1Level</f>
        <v>0</v>
      </c>
      <c r="G248" s="189">
        <f>decProd4Ftr1Level</f>
        <v>0</v>
      </c>
      <c r="H248" s="189">
        <f>decProd4Ftr1Level</f>
        <v>0</v>
      </c>
      <c r="I248" s="189">
        <f>decProd4Ftr1Level</f>
        <v>0</v>
      </c>
      <c r="J248" t="s">
        <v>373</v>
      </c>
    </row>
    <row r="249" spans="1:10">
      <c r="A249" s="2"/>
      <c r="B249" t="s">
        <v>1639</v>
      </c>
      <c r="E249" s="189">
        <f>decProd4Ftr2Level</f>
        <v>0</v>
      </c>
      <c r="F249" s="189">
        <f>decProd4Ftr2Level</f>
        <v>0</v>
      </c>
      <c r="G249" s="189">
        <f>decProd4Ftr2Level</f>
        <v>0</v>
      </c>
      <c r="H249" s="189">
        <f>decProd4Ftr2Level</f>
        <v>0</v>
      </c>
      <c r="I249" s="189">
        <f>decProd4Ftr2Level</f>
        <v>0</v>
      </c>
      <c r="J249" t="s">
        <v>374</v>
      </c>
    </row>
    <row r="250" spans="1:10">
      <c r="A250" s="2"/>
      <c r="B250" t="s">
        <v>1640</v>
      </c>
      <c r="E250" s="189">
        <f>decProd4Ftr3Level</f>
        <v>1</v>
      </c>
      <c r="F250" s="189">
        <f>decProd4Ftr3Level</f>
        <v>1</v>
      </c>
      <c r="G250" s="189">
        <f>decProd4Ftr3Level</f>
        <v>1</v>
      </c>
      <c r="H250" s="189">
        <f>decProd4Ftr3Level</f>
        <v>1</v>
      </c>
      <c r="I250" s="189">
        <f>decProd4Ftr3Level</f>
        <v>1</v>
      </c>
      <c r="J250" t="s">
        <v>375</v>
      </c>
    </row>
    <row r="251" spans="1:10">
      <c r="A251" s="2"/>
      <c r="B251" t="s">
        <v>2268</v>
      </c>
      <c r="E251" s="189">
        <f>capProd4Ftr4Level</f>
        <v>4</v>
      </c>
      <c r="F251" s="189">
        <f>capProd4Ftr4Level</f>
        <v>4</v>
      </c>
      <c r="G251" s="189">
        <f>capProd4Ftr4Level</f>
        <v>4</v>
      </c>
      <c r="H251" s="189">
        <f>capProd4Ftr4Level</f>
        <v>4</v>
      </c>
      <c r="I251" s="189">
        <f>capProd4Ftr4Level</f>
        <v>4</v>
      </c>
      <c r="J251" t="s">
        <v>376</v>
      </c>
    </row>
    <row r="252" spans="1:10">
      <c r="B252" t="s">
        <v>1950</v>
      </c>
      <c r="E252" s="190">
        <f>capProd4COGSPUnitMat</f>
        <v>3.3147265540000004</v>
      </c>
      <c r="F252" s="190">
        <f>capProd4COGSPUnitMat</f>
        <v>3.3147265540000004</v>
      </c>
      <c r="G252" s="190">
        <f>capProd4COGSPUnitMat</f>
        <v>3.3147265540000004</v>
      </c>
      <c r="H252" s="190">
        <f>capProd4COGSPUnitMat</f>
        <v>3.3147265540000004</v>
      </c>
      <c r="I252" s="190">
        <f>capProd4COGSPUnitMat</f>
        <v>3.3147265540000004</v>
      </c>
      <c r="J252" t="s">
        <v>4557</v>
      </c>
    </row>
    <row r="253" spans="1:10">
      <c r="B253" t="str">
        <f>DataNameEmp3 &amp; " Cost Cogs Region 1"</f>
        <v>Labor Cost Cogs Region 1</v>
      </c>
      <c r="E253" s="190">
        <f>capReg1Prod4CostPUnitEmp3</f>
        <v>1.5628409401201129</v>
      </c>
      <c r="F253" s="190">
        <f>capReg1Prod4CostPUnitEmp3</f>
        <v>1.5628409401201129</v>
      </c>
      <c r="G253" s="190">
        <f>capReg1Prod4CostPUnitEmp3</f>
        <v>1.5628409401201129</v>
      </c>
      <c r="H253" s="190">
        <f>capReg1Prod4CostPUnitEmp3</f>
        <v>1.5628409401201129</v>
      </c>
      <c r="I253" s="190">
        <f>capReg1Prod4CostPUnitEmp3</f>
        <v>1.5628409401201129</v>
      </c>
      <c r="J253" t="s">
        <v>4558</v>
      </c>
    </row>
    <row r="254" spans="1:10">
      <c r="B254" t="str">
        <f>DataNameEmp3 &amp; " Cost Cogs Region 2"</f>
        <v>Labor Cost Cogs Region 2</v>
      </c>
      <c r="E254" s="190">
        <f>capReg2Prod4CostPUnitEmp3</f>
        <v>0.41920124118758345</v>
      </c>
      <c r="F254" s="190">
        <f>capReg2Prod4CostPUnitEmp3</f>
        <v>0.41920124118758345</v>
      </c>
      <c r="G254" s="190">
        <f>capReg2Prod4CostPUnitEmp3</f>
        <v>0.41920124118758345</v>
      </c>
      <c r="H254" s="190">
        <f>capReg2Prod4CostPUnitEmp3</f>
        <v>0.41920124118758345</v>
      </c>
      <c r="I254" s="190">
        <f>capReg2Prod4CostPUnitEmp3</f>
        <v>0.41920124118758345</v>
      </c>
      <c r="J254" t="s">
        <v>4559</v>
      </c>
    </row>
    <row r="255" spans="1:10">
      <c r="B255" t="str">
        <f>DataNamePlant1&amp; " Mach Cost cogs"</f>
        <v>Plant Mach Cost cogs</v>
      </c>
      <c r="E255" s="190">
        <f ca="1">capProd4COGSPUnitPlant1</f>
        <v>1.5686905131130217E-3</v>
      </c>
      <c r="F255" s="190">
        <f ca="1">capProd4COGSPUnitPlant1</f>
        <v>1.5686905131130217E-3</v>
      </c>
      <c r="G255" s="190">
        <f ca="1">capProd4COGSPUnitPlant1</f>
        <v>1.5686905131130217E-3</v>
      </c>
      <c r="H255" s="190">
        <f ca="1">capProd4COGSPUnitPlant1</f>
        <v>1.5686905131130217E-3</v>
      </c>
      <c r="I255" s="190">
        <f ca="1">capProd4COGSPUnitPlant1</f>
        <v>1.5686905131130217E-3</v>
      </c>
      <c r="J255" t="s">
        <v>3111</v>
      </c>
    </row>
    <row r="256" spans="1:10">
      <c r="B256" t="s">
        <v>3387</v>
      </c>
      <c r="E256" s="190">
        <f>capProd4COGSPUnitDep</f>
        <v>0.39191915825197443</v>
      </c>
      <c r="F256" s="190">
        <f>capProd4COGSPUnitDep</f>
        <v>0.39191915825197443</v>
      </c>
      <c r="G256" s="190">
        <f>capProd4COGSPUnitDep</f>
        <v>0.39191915825197443</v>
      </c>
      <c r="H256" s="190">
        <f>capProd4COGSPUnitDep</f>
        <v>0.39191915825197443</v>
      </c>
      <c r="I256" s="190">
        <f>capProd4COGSPUnitDep</f>
        <v>0.39191915825197443</v>
      </c>
      <c r="J256" t="s">
        <v>4560</v>
      </c>
    </row>
    <row r="257" spans="1:10">
      <c r="E257" s="189"/>
      <c r="F257" s="189"/>
      <c r="G257" s="189"/>
      <c r="H257" s="189"/>
      <c r="I257" s="189"/>
    </row>
    <row r="258" spans="1:10">
      <c r="A258" s="2" t="str">
        <f>DataNameProd5</f>
        <v>Product Five</v>
      </c>
      <c r="E258" s="189"/>
      <c r="F258" s="189"/>
      <c r="G258" s="189"/>
      <c r="H258" s="189"/>
      <c r="I258" s="189"/>
    </row>
    <row r="259" spans="1:10">
      <c r="A259" s="2"/>
      <c r="B259" t="s">
        <v>1054</v>
      </c>
      <c r="E259" s="189"/>
      <c r="F259" s="189"/>
      <c r="G259" s="189"/>
      <c r="H259" s="189"/>
      <c r="I259" s="189"/>
    </row>
    <row r="260" spans="1:10">
      <c r="A260" s="2"/>
      <c r="B260" t="s">
        <v>1639</v>
      </c>
      <c r="E260" s="189"/>
      <c r="F260" s="189"/>
      <c r="G260" s="189"/>
      <c r="H260" s="189"/>
      <c r="I260" s="189"/>
    </row>
    <row r="261" spans="1:10">
      <c r="A261" s="2"/>
      <c r="B261" t="s">
        <v>1640</v>
      </c>
      <c r="E261" s="189"/>
      <c r="F261" s="189"/>
      <c r="G261" s="189"/>
      <c r="H261" s="189"/>
      <c r="I261" s="189"/>
    </row>
    <row r="262" spans="1:10">
      <c r="A262" s="2"/>
      <c r="B262" t="s">
        <v>1641</v>
      </c>
      <c r="E262" s="189"/>
      <c r="F262" s="189"/>
      <c r="G262" s="189"/>
      <c r="H262" s="189"/>
      <c r="I262" s="189"/>
    </row>
    <row r="263" spans="1:10">
      <c r="B263" t="s">
        <v>1950</v>
      </c>
      <c r="E263" s="190"/>
      <c r="F263" s="190"/>
      <c r="G263" s="190"/>
      <c r="H263" s="190"/>
      <c r="I263" s="190"/>
      <c r="J263" t="s">
        <v>4561</v>
      </c>
    </row>
    <row r="264" spans="1:10">
      <c r="B264" t="s">
        <v>1951</v>
      </c>
      <c r="E264" s="190"/>
      <c r="F264" s="190"/>
      <c r="G264" s="190"/>
      <c r="H264" s="190"/>
      <c r="I264" s="190"/>
      <c r="J264" t="s">
        <v>4562</v>
      </c>
    </row>
    <row r="265" spans="1:10">
      <c r="B265" t="s">
        <v>1953</v>
      </c>
      <c r="E265" s="190"/>
      <c r="F265" s="190"/>
      <c r="G265" s="190"/>
      <c r="H265" s="190"/>
      <c r="I265" s="190"/>
      <c r="J265" t="s">
        <v>4563</v>
      </c>
    </row>
    <row r="266" spans="1:10">
      <c r="B266" t="s">
        <v>1952</v>
      </c>
      <c r="E266" s="190"/>
      <c r="F266" s="190"/>
      <c r="G266" s="190"/>
      <c r="H266" s="190"/>
      <c r="I266" s="190"/>
      <c r="J266" t="s">
        <v>4564</v>
      </c>
    </row>
    <row r="267" spans="1:10">
      <c r="E267" s="189"/>
      <c r="F267" s="189"/>
      <c r="G267" s="189"/>
      <c r="H267" s="189"/>
      <c r="I267" s="189"/>
    </row>
    <row r="268" spans="1:10">
      <c r="A268" s="2" t="str">
        <f>DataNameProd6</f>
        <v>Product Six</v>
      </c>
      <c r="E268" s="189"/>
      <c r="F268" s="189"/>
      <c r="G268" s="189"/>
      <c r="H268" s="189"/>
      <c r="I268" s="189"/>
    </row>
    <row r="269" spans="1:10">
      <c r="A269" s="2"/>
      <c r="B269" t="s">
        <v>1054</v>
      </c>
      <c r="E269" s="189"/>
      <c r="F269" s="189"/>
      <c r="G269" s="189"/>
      <c r="H269" s="189"/>
      <c r="I269" s="189"/>
    </row>
    <row r="270" spans="1:10">
      <c r="A270" s="2"/>
      <c r="B270" t="s">
        <v>1639</v>
      </c>
      <c r="E270" s="189"/>
      <c r="F270" s="189"/>
      <c r="G270" s="189"/>
      <c r="H270" s="189"/>
      <c r="I270" s="189"/>
    </row>
    <row r="271" spans="1:10">
      <c r="A271" s="2"/>
      <c r="B271" t="s">
        <v>1640</v>
      </c>
      <c r="E271" s="189"/>
      <c r="F271" s="189"/>
      <c r="G271" s="189"/>
      <c r="H271" s="189"/>
      <c r="I271" s="189"/>
    </row>
    <row r="272" spans="1:10">
      <c r="B272" t="s">
        <v>1641</v>
      </c>
      <c r="E272" s="189"/>
      <c r="F272" s="189"/>
      <c r="G272" s="189"/>
      <c r="H272" s="189"/>
      <c r="I272" s="189"/>
    </row>
    <row r="273" spans="1:10">
      <c r="B273" t="s">
        <v>1950</v>
      </c>
      <c r="E273" s="190"/>
      <c r="F273" s="190"/>
      <c r="G273" s="190"/>
      <c r="H273" s="190"/>
      <c r="I273" s="190"/>
      <c r="J273" t="s">
        <v>4565</v>
      </c>
    </row>
    <row r="274" spans="1:10">
      <c r="B274" t="s">
        <v>1951</v>
      </c>
      <c r="E274" s="190"/>
      <c r="F274" s="190"/>
      <c r="G274" s="190"/>
      <c r="H274" s="190"/>
      <c r="I274" s="190"/>
      <c r="J274" t="s">
        <v>4566</v>
      </c>
    </row>
    <row r="275" spans="1:10">
      <c r="B275" t="s">
        <v>1953</v>
      </c>
      <c r="E275" s="190"/>
      <c r="F275" s="190"/>
      <c r="G275" s="190"/>
      <c r="H275" s="190"/>
      <c r="I275" s="190"/>
      <c r="J275" t="s">
        <v>4567</v>
      </c>
    </row>
    <row r="276" spans="1:10">
      <c r="B276" t="s">
        <v>1952</v>
      </c>
      <c r="E276" s="190"/>
      <c r="F276" s="190"/>
      <c r="G276" s="190"/>
      <c r="H276" s="190"/>
      <c r="I276" s="190"/>
      <c r="J276" t="s">
        <v>4568</v>
      </c>
    </row>
    <row r="277" spans="1:10">
      <c r="E277" s="189"/>
      <c r="F277" s="189"/>
      <c r="G277" s="189"/>
      <c r="H277" s="189"/>
      <c r="I277" s="189"/>
    </row>
    <row r="278" spans="1:10">
      <c r="A278" s="2" t="s">
        <v>1828</v>
      </c>
      <c r="E278" s="189"/>
      <c r="F278" s="189"/>
      <c r="G278" s="189"/>
      <c r="H278" s="189"/>
      <c r="I278" s="189"/>
    </row>
    <row r="279" spans="1:10">
      <c r="B279" s="4" t="s">
        <v>1831</v>
      </c>
      <c r="C279" t="s">
        <v>1832</v>
      </c>
      <c r="D279" t="s">
        <v>3375</v>
      </c>
      <c r="E279" s="189"/>
      <c r="F279" s="189"/>
      <c r="G279" s="189"/>
      <c r="H279" s="189"/>
      <c r="I279" s="189"/>
    </row>
    <row r="280" spans="1:10">
      <c r="B280" s="4">
        <v>1</v>
      </c>
      <c r="C280" s="1017" t="s">
        <v>963</v>
      </c>
      <c r="D280">
        <f t="shared" ref="D280:D286" si="0">MAX(xxYear-B280+1,0)</f>
        <v>1</v>
      </c>
      <c r="E280" s="189">
        <f>IF(xxYear=$B280,decSpecProg1,obal!E280)</f>
        <v>0</v>
      </c>
      <c r="F280" s="189">
        <f>IF(xxYear=$B280,decSpecProg1,obal!F280)</f>
        <v>0</v>
      </c>
      <c r="G280" s="189">
        <f>IF(xxYear=$B280,decSpecProg1,obal!G280)</f>
        <v>0</v>
      </c>
      <c r="H280" s="189">
        <f>IF(xxYear=$B280,decSpecProg1,obal!H280)</f>
        <v>0</v>
      </c>
      <c r="I280" s="189">
        <f>IF(xxYear=$B280,decSpecProg1,obal!I280)</f>
        <v>0</v>
      </c>
      <c r="J280" s="905" t="s">
        <v>4829</v>
      </c>
    </row>
    <row r="281" spans="1:10">
      <c r="B281" s="4">
        <v>1</v>
      </c>
      <c r="C281" s="1017" t="s">
        <v>964</v>
      </c>
      <c r="D281">
        <f t="shared" si="0"/>
        <v>1</v>
      </c>
      <c r="E281" s="189">
        <f>IF(xxYear=$B281,decSpecProg2,obal!E281)</f>
        <v>0</v>
      </c>
      <c r="F281" s="189">
        <f>IF(xxYear=$B281,decSpecProg2,obal!F281)</f>
        <v>0</v>
      </c>
      <c r="G281" s="189">
        <f>IF(xxYear=$B281,decSpecProg2,obal!G281)</f>
        <v>0</v>
      </c>
      <c r="H281" s="189">
        <f>IF(xxYear=$B281,decSpecProg2,obal!H281)</f>
        <v>0</v>
      </c>
      <c r="I281" s="189">
        <f>IF(xxYear=$B281,decSpecProg2,obal!I281)</f>
        <v>0</v>
      </c>
      <c r="J281" s="905" t="s">
        <v>4830</v>
      </c>
    </row>
    <row r="282" spans="1:10">
      <c r="B282" s="4">
        <v>1</v>
      </c>
      <c r="C282" s="1017" t="s">
        <v>869</v>
      </c>
      <c r="D282">
        <f t="shared" si="0"/>
        <v>1</v>
      </c>
      <c r="E282" s="189">
        <f>IF(xxYear=$B282,decSpecProg3,obal!E282)</f>
        <v>0</v>
      </c>
      <c r="F282" s="189">
        <f>IF(xxYear=$B282,decSpecProg3,obal!F282)</f>
        <v>0</v>
      </c>
      <c r="G282" s="189">
        <f>IF(xxYear=$B282,decSpecProg3,obal!G282)</f>
        <v>0</v>
      </c>
      <c r="H282" s="189">
        <f>IF(xxYear=$B282,decSpecProg3,obal!H282)</f>
        <v>0</v>
      </c>
      <c r="I282" s="189">
        <f>IF(xxYear=$B282,decSpecProg3,obal!I282)</f>
        <v>0</v>
      </c>
      <c r="J282" s="905" t="s">
        <v>4831</v>
      </c>
    </row>
    <row r="283" spans="1:10">
      <c r="B283" s="4">
        <v>1</v>
      </c>
      <c r="C283" s="1017" t="s">
        <v>870</v>
      </c>
      <c r="D283">
        <f t="shared" si="0"/>
        <v>1</v>
      </c>
      <c r="E283" s="189">
        <f>IF(xxYear=$B283,decSpecProg4,obal!E283)</f>
        <v>0</v>
      </c>
      <c r="F283" s="189">
        <f>IF(xxYear=$B283,decSpecProg4,obal!F283)</f>
        <v>0</v>
      </c>
      <c r="G283" s="189">
        <f>IF(xxYear=$B283,decSpecProg4,obal!G283)</f>
        <v>0</v>
      </c>
      <c r="H283" s="189">
        <f>IF(xxYear=$B283,decSpecProg4,obal!H283)</f>
        <v>0</v>
      </c>
      <c r="I283" s="189">
        <f>IF(xxYear=$B283,decSpecProg4,obal!I283)</f>
        <v>0</v>
      </c>
      <c r="J283" s="905" t="s">
        <v>4832</v>
      </c>
    </row>
    <row r="284" spans="1:10">
      <c r="B284" s="4">
        <v>1</v>
      </c>
      <c r="C284" s="1017" t="s">
        <v>871</v>
      </c>
      <c r="D284">
        <f t="shared" si="0"/>
        <v>1</v>
      </c>
      <c r="E284" s="189">
        <f>IF(xxYear=$B284,decSpecProg5,obal!E284)</f>
        <v>0</v>
      </c>
      <c r="F284" s="189">
        <f>IF(xxYear=$B284,decSpecProg5,obal!F284)</f>
        <v>0</v>
      </c>
      <c r="G284" s="189">
        <f>IF(xxYear=$B284,decSpecProg5,obal!G284)</f>
        <v>0</v>
      </c>
      <c r="H284" s="189">
        <f>IF(xxYear=$B284,decSpecProg5,obal!H284)</f>
        <v>0</v>
      </c>
      <c r="I284" s="189">
        <f>IF(xxYear=$B284,decSpecProg5,obal!I284)</f>
        <v>0</v>
      </c>
      <c r="J284" s="905" t="s">
        <v>4833</v>
      </c>
    </row>
    <row r="285" spans="1:10">
      <c r="B285" s="4">
        <v>1</v>
      </c>
      <c r="C285" s="1017" t="s">
        <v>1038</v>
      </c>
      <c r="D285">
        <f t="shared" si="0"/>
        <v>1</v>
      </c>
      <c r="E285" s="189">
        <f>IF(xxYear=$B285,decSpecProg6,obal!E285)</f>
        <v>0</v>
      </c>
      <c r="F285" s="189">
        <f>IF(xxYear=$B285,decSpecProg6,obal!F285)</f>
        <v>0</v>
      </c>
      <c r="G285" s="189">
        <f>IF(xxYear=$B285,decSpecProg6,obal!G285)</f>
        <v>0</v>
      </c>
      <c r="H285" s="189">
        <f>IF(xxYear=$B285,decSpecProg6,obal!H285)</f>
        <v>0</v>
      </c>
      <c r="I285" s="189">
        <f>IF(xxYear=$B285,decSpecProg6,obal!I285)</f>
        <v>0</v>
      </c>
      <c r="J285" s="905" t="s">
        <v>4834</v>
      </c>
    </row>
    <row r="286" spans="1:10">
      <c r="B286">
        <v>2</v>
      </c>
      <c r="C286" s="1017" t="s">
        <v>963</v>
      </c>
      <c r="D286">
        <f t="shared" si="0"/>
        <v>0</v>
      </c>
      <c r="E286" s="189">
        <f>IF(xxYear=$B286,decSpecProg1,obal!E286)</f>
        <v>0</v>
      </c>
      <c r="F286" s="189">
        <f>IF(xxYear=$B286,decSpecProg1,obal!F286)</f>
        <v>0</v>
      </c>
      <c r="G286" s="189">
        <f>IF(xxYear=$B286,decSpecProg1,obal!G286)</f>
        <v>0</v>
      </c>
      <c r="H286" s="189">
        <f>IF(xxYear=$B286,decSpecProg1,obal!H286)</f>
        <v>0</v>
      </c>
      <c r="I286" s="189">
        <f>IF(xxYear=$B286,decSpecProg1,obal!I286)</f>
        <v>0</v>
      </c>
      <c r="J286" s="905" t="s">
        <v>4835</v>
      </c>
    </row>
    <row r="287" spans="1:10">
      <c r="B287">
        <v>2</v>
      </c>
      <c r="C287" s="1017" t="s">
        <v>964</v>
      </c>
      <c r="D287">
        <f t="shared" ref="D287:D297" si="1">MAX(xxYear-B287+1,0)</f>
        <v>0</v>
      </c>
      <c r="E287" s="189">
        <f>IF(xxYear=$B287,decSpecProg2,obal!E287)</f>
        <v>0</v>
      </c>
      <c r="F287" s="189">
        <f>IF(xxYear=$B287,decSpecProg2,obal!F287)</f>
        <v>0</v>
      </c>
      <c r="G287" s="189">
        <f>IF(xxYear=$B287,decSpecProg2,obal!G287)</f>
        <v>0</v>
      </c>
      <c r="H287" s="189">
        <f>IF(xxYear=$B287,decSpecProg2,obal!H287)</f>
        <v>0</v>
      </c>
      <c r="I287" s="189">
        <f>IF(xxYear=$B287,decSpecProg2,obal!I287)</f>
        <v>0</v>
      </c>
      <c r="J287" s="905" t="s">
        <v>4836</v>
      </c>
    </row>
    <row r="288" spans="1:10">
      <c r="B288">
        <v>2</v>
      </c>
      <c r="C288" s="1017" t="s">
        <v>869</v>
      </c>
      <c r="D288">
        <f t="shared" si="1"/>
        <v>0</v>
      </c>
      <c r="E288" s="189">
        <f>IF(xxYear=$B288,decSpecProg3,obal!E288)</f>
        <v>0</v>
      </c>
      <c r="F288" s="189">
        <f>IF(xxYear=$B288,decSpecProg3,obal!F288)</f>
        <v>0</v>
      </c>
      <c r="G288" s="189">
        <f>IF(xxYear=$B288,decSpecProg3,obal!G288)</f>
        <v>0</v>
      </c>
      <c r="H288" s="189">
        <f>IF(xxYear=$B288,decSpecProg3,obal!H288)</f>
        <v>0</v>
      </c>
      <c r="I288" s="189">
        <f>IF(xxYear=$B288,decSpecProg3,obal!I288)</f>
        <v>0</v>
      </c>
      <c r="J288" s="905" t="s">
        <v>4837</v>
      </c>
    </row>
    <row r="289" spans="1:11">
      <c r="B289">
        <v>2</v>
      </c>
      <c r="C289" s="1017" t="s">
        <v>870</v>
      </c>
      <c r="D289">
        <f t="shared" si="1"/>
        <v>0</v>
      </c>
      <c r="E289" s="189">
        <f>IF(xxYear=$B289,decSpecProg4,obal!E289)</f>
        <v>0</v>
      </c>
      <c r="F289" s="189">
        <f>IF(xxYear=$B289,decSpecProg4,obal!F289)</f>
        <v>0</v>
      </c>
      <c r="G289" s="189">
        <f>IF(xxYear=$B289,decSpecProg4,obal!G289)</f>
        <v>0</v>
      </c>
      <c r="H289" s="189">
        <f>IF(xxYear=$B289,decSpecProg4,obal!H289)</f>
        <v>0</v>
      </c>
      <c r="I289" s="189">
        <f>IF(xxYear=$B289,decSpecProg4,obal!I289)</f>
        <v>0</v>
      </c>
      <c r="J289" s="905" t="s">
        <v>4838</v>
      </c>
    </row>
    <row r="290" spans="1:11">
      <c r="B290">
        <v>2</v>
      </c>
      <c r="C290" s="1017" t="s">
        <v>871</v>
      </c>
      <c r="D290">
        <f t="shared" si="1"/>
        <v>0</v>
      </c>
      <c r="E290" s="189">
        <f>IF(xxYear=$B290,decSpecProg5,obal!E290)</f>
        <v>0</v>
      </c>
      <c r="F290" s="189">
        <f>IF(xxYear=$B290,decSpecProg5,obal!F290)</f>
        <v>0</v>
      </c>
      <c r="G290" s="189">
        <f>IF(xxYear=$B290,decSpecProg5,obal!G290)</f>
        <v>0</v>
      </c>
      <c r="H290" s="189">
        <f>IF(xxYear=$B290,decSpecProg5,obal!H290)</f>
        <v>0</v>
      </c>
      <c r="I290" s="189">
        <f>IF(xxYear=$B290,decSpecProg5,obal!I290)</f>
        <v>0</v>
      </c>
      <c r="J290" s="905" t="s">
        <v>4839</v>
      </c>
    </row>
    <row r="291" spans="1:11">
      <c r="B291">
        <v>2</v>
      </c>
      <c r="C291" s="1017" t="s">
        <v>1038</v>
      </c>
      <c r="D291">
        <f t="shared" si="1"/>
        <v>0</v>
      </c>
      <c r="E291" s="189">
        <f>IF(xxYear=$B291,decSpecProg6,obal!E291)</f>
        <v>0</v>
      </c>
      <c r="F291" s="189">
        <f>IF(xxYear=$B291,decSpecProg6,obal!F291)</f>
        <v>0</v>
      </c>
      <c r="G291" s="189">
        <f>IF(xxYear=$B291,decSpecProg6,obal!G291)</f>
        <v>0</v>
      </c>
      <c r="H291" s="189">
        <f>IF(xxYear=$B291,decSpecProg6,obal!H291)</f>
        <v>0</v>
      </c>
      <c r="I291" s="189">
        <f>IF(xxYear=$B291,decSpecProg6,obal!I291)</f>
        <v>0</v>
      </c>
      <c r="J291" s="905" t="s">
        <v>4840</v>
      </c>
    </row>
    <row r="292" spans="1:11">
      <c r="B292">
        <v>3</v>
      </c>
      <c r="C292" s="1017" t="s">
        <v>963</v>
      </c>
      <c r="D292">
        <f t="shared" si="1"/>
        <v>0</v>
      </c>
      <c r="E292" s="189">
        <f>IF(xxYear=$B292,decSpecProg1,obal!E292)</f>
        <v>0</v>
      </c>
      <c r="F292" s="189">
        <f>IF(xxYear=$B292,decSpecProg1,obal!F292)</f>
        <v>0</v>
      </c>
      <c r="G292" s="189">
        <f>IF(xxYear=$B292,decSpecProg1,obal!G292)</f>
        <v>0</v>
      </c>
      <c r="H292" s="189">
        <f>IF(xxYear=$B292,decSpecProg1,obal!H292)</f>
        <v>0</v>
      </c>
      <c r="I292" s="189">
        <f>IF(xxYear=$B292,decSpecProg1,obal!I292)</f>
        <v>0</v>
      </c>
      <c r="J292" s="905" t="s">
        <v>4841</v>
      </c>
    </row>
    <row r="293" spans="1:11">
      <c r="B293">
        <v>3</v>
      </c>
      <c r="C293" s="1017" t="s">
        <v>964</v>
      </c>
      <c r="D293">
        <f t="shared" si="1"/>
        <v>0</v>
      </c>
      <c r="E293" s="189">
        <f>IF(xxYear=$B293,decSpecProg2,obal!E293)</f>
        <v>0</v>
      </c>
      <c r="F293" s="189">
        <f>IF(xxYear=$B293,decSpecProg2,obal!F293)</f>
        <v>0</v>
      </c>
      <c r="G293" s="189">
        <f>IF(xxYear=$B293,decSpecProg2,obal!G293)</f>
        <v>0</v>
      </c>
      <c r="H293" s="189">
        <f>IF(xxYear=$B293,decSpecProg2,obal!H293)</f>
        <v>0</v>
      </c>
      <c r="I293" s="189">
        <f>IF(xxYear=$B293,decSpecProg2,obal!I293)</f>
        <v>0</v>
      </c>
      <c r="J293" s="905" t="s">
        <v>4842</v>
      </c>
    </row>
    <row r="294" spans="1:11">
      <c r="B294">
        <v>3</v>
      </c>
      <c r="C294" s="1017" t="s">
        <v>869</v>
      </c>
      <c r="D294">
        <f t="shared" si="1"/>
        <v>0</v>
      </c>
      <c r="E294" s="189">
        <f>IF(xxYear=$B294,decSpecProg3,obal!E294)</f>
        <v>0</v>
      </c>
      <c r="F294" s="189">
        <f>IF(xxYear=$B294,decSpecProg3,obal!F294)</f>
        <v>0</v>
      </c>
      <c r="G294" s="189">
        <f>IF(xxYear=$B294,decSpecProg3,obal!G294)</f>
        <v>0</v>
      </c>
      <c r="H294" s="189">
        <f>IF(xxYear=$B294,decSpecProg3,obal!H294)</f>
        <v>0</v>
      </c>
      <c r="I294" s="189">
        <f>IF(xxYear=$B294,decSpecProg3,obal!I294)</f>
        <v>0</v>
      </c>
      <c r="J294" s="905" t="s">
        <v>4843</v>
      </c>
    </row>
    <row r="295" spans="1:11">
      <c r="B295">
        <v>3</v>
      </c>
      <c r="C295" s="1017" t="s">
        <v>870</v>
      </c>
      <c r="D295">
        <f t="shared" si="1"/>
        <v>0</v>
      </c>
      <c r="E295" s="189">
        <f>IF(xxYear=$B295,decSpecProg4,obal!E295)</f>
        <v>0</v>
      </c>
      <c r="F295" s="189">
        <f>IF(xxYear=$B295,decSpecProg4,obal!F295)</f>
        <v>0</v>
      </c>
      <c r="G295" s="189">
        <f>IF(xxYear=$B295,decSpecProg4,obal!G295)</f>
        <v>0</v>
      </c>
      <c r="H295" s="189">
        <f>IF(xxYear=$B295,decSpecProg4,obal!H295)</f>
        <v>0</v>
      </c>
      <c r="I295" s="189">
        <f>IF(xxYear=$B295,decSpecProg4,obal!I295)</f>
        <v>0</v>
      </c>
      <c r="J295" s="905" t="s">
        <v>4844</v>
      </c>
    </row>
    <row r="296" spans="1:11">
      <c r="B296">
        <v>3</v>
      </c>
      <c r="C296" s="1017" t="s">
        <v>871</v>
      </c>
      <c r="D296">
        <f t="shared" si="1"/>
        <v>0</v>
      </c>
      <c r="E296" s="189">
        <f>IF(xxYear=$B296,decSpecProg5,obal!E296)</f>
        <v>0</v>
      </c>
      <c r="F296" s="189">
        <f>IF(xxYear=$B296,decSpecProg5,obal!F296)</f>
        <v>0</v>
      </c>
      <c r="G296" s="189">
        <f>IF(xxYear=$B296,decSpecProg5,obal!G296)</f>
        <v>0</v>
      </c>
      <c r="H296" s="189">
        <f>IF(xxYear=$B296,decSpecProg5,obal!H296)</f>
        <v>0</v>
      </c>
      <c r="I296" s="189">
        <f>IF(xxYear=$B296,decSpecProg5,obal!I296)</f>
        <v>0</v>
      </c>
      <c r="J296" s="905" t="s">
        <v>4845</v>
      </c>
    </row>
    <row r="297" spans="1:11">
      <c r="B297">
        <v>3</v>
      </c>
      <c r="C297" s="1017" t="s">
        <v>1038</v>
      </c>
      <c r="D297">
        <f t="shared" si="1"/>
        <v>0</v>
      </c>
      <c r="E297" s="189">
        <f>IF(xxYear=$B297,decSpecProg6,obal!E297)</f>
        <v>0</v>
      </c>
      <c r="F297" s="189">
        <f>IF(xxYear=$B297,decSpecProg6,obal!F297)</f>
        <v>0</v>
      </c>
      <c r="G297" s="189">
        <f>IF(xxYear=$B297,decSpecProg6,obal!G297)</f>
        <v>0</v>
      </c>
      <c r="H297" s="189">
        <f>IF(xxYear=$B297,decSpecProg6,obal!H297)</f>
        <v>0</v>
      </c>
      <c r="I297" s="189">
        <f>IF(xxYear=$B297,decSpecProg6,obal!I297)</f>
        <v>0</v>
      </c>
      <c r="J297" s="905" t="s">
        <v>4846</v>
      </c>
    </row>
    <row r="298" spans="1:11">
      <c r="C298" s="1017"/>
      <c r="E298" s="189">
        <v>0</v>
      </c>
      <c r="F298" s="189">
        <v>0</v>
      </c>
      <c r="G298" s="189">
        <v>0</v>
      </c>
      <c r="H298" s="189">
        <v>0</v>
      </c>
      <c r="I298" s="189">
        <v>0</v>
      </c>
    </row>
    <row r="299" spans="1:11">
      <c r="B299" t="s">
        <v>3769</v>
      </c>
      <c r="C299" s="1017"/>
      <c r="E299" s="189" t="b">
        <f>AND(OR(COUNTIF(E$280:E$297,DataPage!$S334)=1,COUNTIF(E$280:E$297,DataPage!$U334)=1,COUNTIF(E$280:E$297,DataPage!$U335)=1,COUNTIF(E$280:E$297,DataPage!$S335)=1),E$176&gt;=DataPage!$Q335)</f>
        <v>0</v>
      </c>
      <c r="F299" s="189" t="b">
        <f>AND(OR(COUNTIF(F$280:F$297,DataPage!$S334)=1,COUNTIF(F$280:F$297,DataPage!$U334)=1,COUNTIF(F$280:F$297,DataPage!$U335)=1,COUNTIF(F$280:F$297,DataPage!$S335)=1),F$176&gt;=DataPage!$Q335)</f>
        <v>0</v>
      </c>
      <c r="G299" s="189" t="b">
        <f>AND(OR(COUNTIF(G$280:G$297,DataPage!$S334)=1,COUNTIF(G$280:G$297,DataPage!$U334)=1,COUNTIF(G$280:G$297,DataPage!$U335)=1,COUNTIF(G$280:G$297,DataPage!$S335)=1),G$176&gt;=DataPage!$Q335)</f>
        <v>0</v>
      </c>
      <c r="H299" s="189" t="b">
        <f>AND(OR(COUNTIF(H$280:H$297,DataPage!$S334)=1,COUNTIF(H$280:H$297,DataPage!$U334)=1,COUNTIF(H$280:H$297,DataPage!$U335)=1,COUNTIF(H$280:H$297,DataPage!$S335)=1),H$176&gt;=DataPage!$Q335)</f>
        <v>0</v>
      </c>
      <c r="I299" s="189" t="b">
        <f>AND(OR(COUNTIF(I$280:I$297,DataPage!$S334)=1,COUNTIF(I$280:I$297,DataPage!$U334)=1,COUNTIF(I$280:I$297,DataPage!$U335)=1,COUNTIF(I$280:I$297,DataPage!$S335)=1),I$176&gt;=DataPage!$Q335)</f>
        <v>0</v>
      </c>
      <c r="J299" t="s">
        <v>4569</v>
      </c>
    </row>
    <row r="300" spans="1:11">
      <c r="B300" t="s">
        <v>3770</v>
      </c>
      <c r="C300" s="1017"/>
      <c r="E300" s="189" t="b">
        <f>AND(OR(COUNTIF(E$280:E$297,DataPage!$S336)=1,COUNTIF(E$280:E$297,DataPage!$U336)=1,COUNTIF(E$280:E$297,DataPage!$U337)=1,COUNTIF(E$280:E$297,DataPage!$S337)=1),E$176&gt;=DataPage!$Q336,E299)</f>
        <v>0</v>
      </c>
      <c r="F300" s="189" t="b">
        <f>AND(OR(COUNTIF(F$280:F$297,DataPage!$S336)=1,COUNTIF(F$280:F$297,DataPage!$U336)=1,COUNTIF(F$280:F$297,DataPage!$U337)=1,COUNTIF(F$280:F$297,DataPage!$S337)=1),F$176&gt;=DataPage!$Q336,F299)</f>
        <v>0</v>
      </c>
      <c r="G300" s="189" t="b">
        <f>AND(OR(COUNTIF(G$280:G$297,DataPage!$S336)=1,COUNTIF(G$280:G$297,DataPage!$U336)=1,COUNTIF(G$280:G$297,DataPage!$U337)=1,COUNTIF(G$280:G$297,DataPage!$S337)=1),G$176&gt;=DataPage!$Q336,G299)</f>
        <v>0</v>
      </c>
      <c r="H300" s="189" t="b">
        <f>AND(OR(COUNTIF(H$280:H$297,DataPage!$S336)=1,COUNTIF(H$280:H$297,DataPage!$U336)=1,COUNTIF(H$280:H$297,DataPage!$U337)=1,COUNTIF(H$280:H$297,DataPage!$S337)=1),H$176&gt;=DataPage!$Q336,H299)</f>
        <v>0</v>
      </c>
      <c r="I300" s="189" t="b">
        <f>AND(OR(COUNTIF(I$280:I$297,DataPage!$S336)=1,COUNTIF(I$280:I$297,DataPage!$U336)=1,COUNTIF(I$280:I$297,DataPage!$U337)=1,COUNTIF(I$280:I$297,DataPage!$S337)=1),I$176&gt;=DataPage!$Q336,I299)</f>
        <v>0</v>
      </c>
      <c r="J300" t="s">
        <v>4570</v>
      </c>
    </row>
    <row r="301" spans="1:11">
      <c r="C301" s="1017"/>
      <c r="E301" s="189">
        <v>0</v>
      </c>
      <c r="F301" s="189">
        <v>0</v>
      </c>
      <c r="G301" s="189">
        <v>0</v>
      </c>
      <c r="H301" s="189">
        <v>0</v>
      </c>
      <c r="I301" s="189">
        <v>0</v>
      </c>
    </row>
    <row r="302" spans="1:11">
      <c r="A302" s="2" t="s">
        <v>2432</v>
      </c>
      <c r="C302" s="1017"/>
      <c r="E302" s="189">
        <v>0</v>
      </c>
      <c r="F302" s="189">
        <v>0</v>
      </c>
      <c r="G302" s="189">
        <v>0</v>
      </c>
      <c r="H302" s="189">
        <v>0</v>
      </c>
      <c r="I302" s="189">
        <v>0</v>
      </c>
    </row>
    <row r="303" spans="1:11">
      <c r="B303" s="4" t="s">
        <v>1831</v>
      </c>
      <c r="C303" s="1017" t="s">
        <v>1832</v>
      </c>
      <c r="D303" t="s">
        <v>3375</v>
      </c>
      <c r="E303" s="189">
        <v>0</v>
      </c>
      <c r="F303" s="189">
        <v>0</v>
      </c>
      <c r="G303" s="189">
        <v>0</v>
      </c>
      <c r="H303" s="189">
        <v>0</v>
      </c>
      <c r="I303" s="189">
        <v>0</v>
      </c>
    </row>
    <row r="304" spans="1:11">
      <c r="B304">
        <v>1</v>
      </c>
      <c r="C304" s="1018" t="s">
        <v>3203</v>
      </c>
      <c r="D304">
        <f t="shared" ref="D304:D315" si="2">MAX(xxYear-B304+1,0)</f>
        <v>1</v>
      </c>
      <c r="E304" s="189">
        <f>IF(xxYear=$B304,VLOOKUP(capInnov1,dataInnovsDets,3,0),obal!E304)</f>
        <v>0</v>
      </c>
      <c r="F304" s="189">
        <f>IF(xxYear=$B304,VLOOKUP(capInnov1,dataInnovsDets,3,0),obal!F304)</f>
        <v>0</v>
      </c>
      <c r="G304" s="189">
        <f>IF(xxYear=$B304,VLOOKUP(capInnov1,dataInnovsDets,3,0),obal!G304)</f>
        <v>0</v>
      </c>
      <c r="H304" s="189">
        <f>IF(xxYear=$B304,VLOOKUP(capInnov1,dataInnovsDets,3,0),obal!H304)</f>
        <v>0</v>
      </c>
      <c r="I304" s="189">
        <f>IF(xxYear=$B304,VLOOKUP(capInnov1,dataInnovsDets,3,0),obal!I304)</f>
        <v>0</v>
      </c>
      <c r="J304" s="905" t="s">
        <v>4859</v>
      </c>
      <c r="K304">
        <f>IF(COUNTIF($E$304:$I$307,VLOOKUP(DataNameProd2Seg1,dataDisruptInnovsDets,3,0))&gt;0,1,0)</f>
        <v>0</v>
      </c>
    </row>
    <row r="305" spans="1:11">
      <c r="B305">
        <v>1</v>
      </c>
      <c r="C305" s="1018" t="s">
        <v>3204</v>
      </c>
      <c r="D305">
        <f t="shared" si="2"/>
        <v>1</v>
      </c>
      <c r="E305" s="189">
        <f>IF(xxYear=$B305,VLOOKUP(capInnov2,dataInnovsDets,3,0),obal!E305)</f>
        <v>0</v>
      </c>
      <c r="F305" s="189">
        <f>IF(xxYear=$B305,VLOOKUP(capInnov2,dataInnovsDets,3,0),obal!F305)</f>
        <v>0</v>
      </c>
      <c r="G305" s="189">
        <f>IF(xxYear=$B305,VLOOKUP(capInnov2,dataInnovsDets,3,0),obal!G305)</f>
        <v>0</v>
      </c>
      <c r="H305" s="189">
        <f>IF(xxYear=$B305,VLOOKUP(capInnov2,dataInnovsDets,3,0),obal!H305)</f>
        <v>0</v>
      </c>
      <c r="I305" s="189">
        <f>IF(xxYear=$B305,VLOOKUP(capInnov2,dataInnovsDets,3,0),obal!I305)</f>
        <v>0</v>
      </c>
      <c r="J305" s="905" t="s">
        <v>4860</v>
      </c>
      <c r="K305">
        <f>IF(COUNTIF($E$304:$I$307,VLOOKUP(DataNameProd2Seg2,dataDisruptInnovsDets,3,0))&gt;0,1,0)</f>
        <v>0</v>
      </c>
    </row>
    <row r="306" spans="1:11">
      <c r="B306">
        <v>1</v>
      </c>
      <c r="C306" s="1018" t="s">
        <v>3205</v>
      </c>
      <c r="D306">
        <f t="shared" si="2"/>
        <v>1</v>
      </c>
      <c r="E306" s="189">
        <f>IF(xxYear=$B306,VLOOKUP(capInnov3,dataInnovsDets,3,0),obal!E306)</f>
        <v>0</v>
      </c>
      <c r="F306" s="189">
        <f>IF(xxYear=$B306,VLOOKUP(capInnov3,dataInnovsDets,3,0),obal!F306)</f>
        <v>0</v>
      </c>
      <c r="G306" s="189">
        <f>IF(xxYear=$B306,VLOOKUP(capInnov3,dataInnovsDets,3,0),obal!G306)</f>
        <v>0</v>
      </c>
      <c r="H306" s="189">
        <f>IF(xxYear=$B306,VLOOKUP(capInnov3,dataInnovsDets,3,0),obal!H306)</f>
        <v>0</v>
      </c>
      <c r="I306" s="189">
        <f>IF(xxYear=$B306,VLOOKUP(capInnov3,dataInnovsDets,3,0),obal!I306)</f>
        <v>0</v>
      </c>
      <c r="J306" s="905" t="s">
        <v>4861</v>
      </c>
      <c r="K306">
        <f>IF(COUNTIF($E$304:$I$307,VLOOKUP(DataNameProd2Seg3,dataDisruptInnovsDets,3,0))&gt;0,1,0)</f>
        <v>0</v>
      </c>
    </row>
    <row r="307" spans="1:11">
      <c r="B307">
        <v>1</v>
      </c>
      <c r="C307" s="1018" t="s">
        <v>3206</v>
      </c>
      <c r="D307">
        <f t="shared" si="2"/>
        <v>1</v>
      </c>
      <c r="E307" s="189">
        <f>IF(xxYear=$B307,VLOOKUP(capInnov4,dataInnovsDets,3,0),obal!E307)</f>
        <v>0</v>
      </c>
      <c r="F307" s="189">
        <f>IF(xxYear=$B307,VLOOKUP(capInnov4,dataInnovsDets,3,0),obal!F307)</f>
        <v>0</v>
      </c>
      <c r="G307" s="189">
        <f>IF(xxYear=$B307,VLOOKUP(capInnov4,dataInnovsDets,3,0),obal!G307)</f>
        <v>0</v>
      </c>
      <c r="H307" s="189">
        <f>IF(xxYear=$B307,VLOOKUP(capInnov4,dataInnovsDets,3,0),obal!H307)</f>
        <v>0</v>
      </c>
      <c r="I307" s="189">
        <f>IF(xxYear=$B307,VLOOKUP(capInnov4,dataInnovsDets,3,0),obal!I307)</f>
        <v>0</v>
      </c>
      <c r="J307" s="905" t="s">
        <v>4862</v>
      </c>
      <c r="K307">
        <f>IF(COUNTIF($E$304:$I$307,VLOOKUP(DataNameProd2Seg4,dataDisruptInnovsDets,3,0))&gt;0,1,0)</f>
        <v>0</v>
      </c>
    </row>
    <row r="308" spans="1:11">
      <c r="B308">
        <v>2</v>
      </c>
      <c r="C308" s="1018" t="s">
        <v>3203</v>
      </c>
      <c r="D308">
        <f t="shared" si="2"/>
        <v>0</v>
      </c>
      <c r="E308" s="189">
        <f>IF(xxYear=$B308,VLOOKUP(capInnov1,dataInnovsDets,3,0),obal!E308)</f>
        <v>0</v>
      </c>
      <c r="F308" s="189">
        <f>IF(xxYear=$B308,VLOOKUP(capInnov1,dataInnovsDets,3,0),obal!F308)</f>
        <v>0</v>
      </c>
      <c r="G308" s="189">
        <f>IF(xxYear=$B308,VLOOKUP(capInnov1,dataInnovsDets,3,0),obal!G308)</f>
        <v>0</v>
      </c>
      <c r="H308" s="189">
        <f>IF(xxYear=$B308,VLOOKUP(capInnov1,dataInnovsDets,3,0),obal!H308)</f>
        <v>0</v>
      </c>
      <c r="I308" s="189">
        <f>IF(xxYear=$B308,VLOOKUP(capInnov1,dataInnovsDets,3,0),obal!I308)</f>
        <v>0</v>
      </c>
      <c r="J308" s="905" t="s">
        <v>4863</v>
      </c>
      <c r="K308">
        <f>IF(COUNTIF($E$308:$I$311,VLOOKUP(DataNameProd2Seg1,dataDisruptInnovsDets,3,0))&gt;0,1,0)</f>
        <v>0</v>
      </c>
    </row>
    <row r="309" spans="1:11">
      <c r="B309">
        <v>2</v>
      </c>
      <c r="C309" s="1018" t="s">
        <v>3204</v>
      </c>
      <c r="D309">
        <f t="shared" si="2"/>
        <v>0</v>
      </c>
      <c r="E309" s="189">
        <f>IF(xxYear=$B309,VLOOKUP(capInnov2,dataInnovsDets,3,0),obal!E309)</f>
        <v>0</v>
      </c>
      <c r="F309" s="189">
        <f>IF(xxYear=$B309,VLOOKUP(capInnov2,dataInnovsDets,3,0),obal!F309)</f>
        <v>0</v>
      </c>
      <c r="G309" s="189">
        <f>IF(xxYear=$B309,VLOOKUP(capInnov2,dataInnovsDets,3,0),obal!G309)</f>
        <v>0</v>
      </c>
      <c r="H309" s="189">
        <f>IF(xxYear=$B309,VLOOKUP(capInnov2,dataInnovsDets,3,0),obal!H309)</f>
        <v>0</v>
      </c>
      <c r="I309" s="189">
        <f>IF(xxYear=$B309,VLOOKUP(capInnov2,dataInnovsDets,3,0),obal!I309)</f>
        <v>0</v>
      </c>
      <c r="J309" s="905" t="s">
        <v>4864</v>
      </c>
      <c r="K309">
        <f>IF(COUNTIF($E$308:$I$311,VLOOKUP(DataNameProd2Seg2,dataDisruptInnovsDets,3,0))&gt;0,1,0)</f>
        <v>0</v>
      </c>
    </row>
    <row r="310" spans="1:11">
      <c r="B310">
        <v>2</v>
      </c>
      <c r="C310" s="1018" t="s">
        <v>3205</v>
      </c>
      <c r="D310">
        <f t="shared" si="2"/>
        <v>0</v>
      </c>
      <c r="E310" s="189">
        <f>IF(xxYear=$B310,VLOOKUP(capInnov3,dataInnovsDets,3,0),obal!E310)</f>
        <v>0</v>
      </c>
      <c r="F310" s="189">
        <f>IF(xxYear=$B310,VLOOKUP(capInnov3,dataInnovsDets,3,0),obal!F310)</f>
        <v>0</v>
      </c>
      <c r="G310" s="189">
        <f>IF(xxYear=$B310,VLOOKUP(capInnov3,dataInnovsDets,3,0),obal!G310)</f>
        <v>0</v>
      </c>
      <c r="H310" s="189">
        <f>IF(xxYear=$B310,VLOOKUP(capInnov3,dataInnovsDets,3,0),obal!H310)</f>
        <v>0</v>
      </c>
      <c r="I310" s="189">
        <f>IF(xxYear=$B310,VLOOKUP(capInnov3,dataInnovsDets,3,0),obal!I310)</f>
        <v>0</v>
      </c>
      <c r="J310" s="905" t="s">
        <v>4865</v>
      </c>
      <c r="K310">
        <f>IF(COUNTIF($E$308:$I$311,VLOOKUP(DataNameProd2Seg3,dataDisruptInnovsDets,3,0))&gt;0,1,0)</f>
        <v>0</v>
      </c>
    </row>
    <row r="311" spans="1:11">
      <c r="B311">
        <v>2</v>
      </c>
      <c r="C311" s="1018" t="s">
        <v>3206</v>
      </c>
      <c r="D311">
        <f t="shared" si="2"/>
        <v>0</v>
      </c>
      <c r="E311" s="189">
        <f>IF(xxYear=$B311,VLOOKUP(capInnov4,dataInnovsDets,3,0),obal!E311)</f>
        <v>0</v>
      </c>
      <c r="F311" s="189">
        <f>IF(xxYear=$B311,VLOOKUP(capInnov4,dataInnovsDets,3,0),obal!F311)</f>
        <v>0</v>
      </c>
      <c r="G311" s="189">
        <f>IF(xxYear=$B311,VLOOKUP(capInnov4,dataInnovsDets,3,0),obal!G311)</f>
        <v>0</v>
      </c>
      <c r="H311" s="189">
        <f>IF(xxYear=$B311,VLOOKUP(capInnov4,dataInnovsDets,3,0),obal!H311)</f>
        <v>0</v>
      </c>
      <c r="I311" s="189">
        <f>IF(xxYear=$B311,VLOOKUP(capInnov4,dataInnovsDets,3,0),obal!I311)</f>
        <v>0</v>
      </c>
      <c r="J311" s="905" t="s">
        <v>4866</v>
      </c>
      <c r="K311">
        <f>IF(COUNTIF($E$308:$I$311,VLOOKUP(DataNameProd2Seg4,dataDisruptInnovsDets,3,0))&gt;0,1,0)</f>
        <v>0</v>
      </c>
    </row>
    <row r="312" spans="1:11">
      <c r="B312">
        <v>3</v>
      </c>
      <c r="C312" s="1018" t="s">
        <v>3203</v>
      </c>
      <c r="D312">
        <f t="shared" si="2"/>
        <v>0</v>
      </c>
      <c r="E312" s="189">
        <f>IF(xxYear=$B312,VLOOKUP(capInnov1,dataInnovsDets,3,0),obal!E312)</f>
        <v>0</v>
      </c>
      <c r="F312" s="189">
        <f>IF(xxYear=$B312,VLOOKUP(capInnov1,dataInnovsDets,3,0),obal!F312)</f>
        <v>0</v>
      </c>
      <c r="G312" s="189">
        <f>IF(xxYear=$B312,VLOOKUP(capInnov1,dataInnovsDets,3,0),obal!G312)</f>
        <v>0</v>
      </c>
      <c r="H312" s="189">
        <f>IF(xxYear=$B312,VLOOKUP(capInnov1,dataInnovsDets,3,0),obal!H312)</f>
        <v>0</v>
      </c>
      <c r="I312" s="189">
        <f>IF(xxYear=$B312,VLOOKUP(capInnov1,dataInnovsDets,3,0),obal!I312)</f>
        <v>0</v>
      </c>
      <c r="J312" s="905" t="s">
        <v>4867</v>
      </c>
      <c r="K312">
        <f>IF(COUNTIF($E$312:$I$315,VLOOKUP(DataNameProd2Seg1,dataDisruptInnovsDets,3,0))&gt;0,1,0)</f>
        <v>0</v>
      </c>
    </row>
    <row r="313" spans="1:11">
      <c r="B313">
        <v>3</v>
      </c>
      <c r="C313" s="1018" t="s">
        <v>3204</v>
      </c>
      <c r="D313">
        <f t="shared" si="2"/>
        <v>0</v>
      </c>
      <c r="E313" s="189">
        <f>IF(xxYear=$B313,VLOOKUP(capInnov2,dataInnovsDets,3,0),obal!E313)</f>
        <v>0</v>
      </c>
      <c r="F313" s="189">
        <f>IF(xxYear=$B313,VLOOKUP(capInnov2,dataInnovsDets,3,0),obal!F313)</f>
        <v>0</v>
      </c>
      <c r="G313" s="189">
        <f>IF(xxYear=$B313,VLOOKUP(capInnov2,dataInnovsDets,3,0),obal!G313)</f>
        <v>0</v>
      </c>
      <c r="H313" s="189">
        <f>IF(xxYear=$B313,VLOOKUP(capInnov2,dataInnovsDets,3,0),obal!H313)</f>
        <v>0</v>
      </c>
      <c r="I313" s="189">
        <f>IF(xxYear=$B313,VLOOKUP(capInnov2,dataInnovsDets,3,0),obal!I313)</f>
        <v>0</v>
      </c>
      <c r="J313" s="905" t="s">
        <v>4868</v>
      </c>
      <c r="K313">
        <f>IF(COUNTIF($E$312:$I$315,VLOOKUP(DataNameProd2Seg2,dataDisruptInnovsDets,3,0))&gt;0,1,0)</f>
        <v>0</v>
      </c>
    </row>
    <row r="314" spans="1:11">
      <c r="B314">
        <v>3</v>
      </c>
      <c r="C314" s="1018" t="s">
        <v>3205</v>
      </c>
      <c r="D314">
        <f t="shared" si="2"/>
        <v>0</v>
      </c>
      <c r="E314" s="189">
        <f>IF(xxYear=$B314,VLOOKUP(capInnov3,dataInnovsDets,3,0),obal!E314)</f>
        <v>0</v>
      </c>
      <c r="F314" s="189">
        <f>IF(xxYear=$B314,VLOOKUP(capInnov3,dataInnovsDets,3,0),obal!F314)</f>
        <v>0</v>
      </c>
      <c r="G314" s="189">
        <f>IF(xxYear=$B314,VLOOKUP(capInnov3,dataInnovsDets,3,0),obal!G314)</f>
        <v>0</v>
      </c>
      <c r="H314" s="189">
        <f>IF(xxYear=$B314,VLOOKUP(capInnov3,dataInnovsDets,3,0),obal!H314)</f>
        <v>0</v>
      </c>
      <c r="I314" s="189">
        <f>IF(xxYear=$B314,VLOOKUP(capInnov3,dataInnovsDets,3,0),obal!I314)</f>
        <v>0</v>
      </c>
      <c r="J314" s="905" t="s">
        <v>4869</v>
      </c>
      <c r="K314">
        <f>IF(COUNTIF($E$312:$I$315,VLOOKUP(DataNameProd2Seg3,dataDisruptInnovsDets,3,0))&gt;0,1,0)</f>
        <v>0</v>
      </c>
    </row>
    <row r="315" spans="1:11">
      <c r="B315">
        <v>3</v>
      </c>
      <c r="C315" s="1018" t="s">
        <v>3206</v>
      </c>
      <c r="D315">
        <f t="shared" si="2"/>
        <v>0</v>
      </c>
      <c r="E315" s="189">
        <f>IF(xxYear=$B315,VLOOKUP(capInnov4,dataInnovsDets,3,0),obal!E315)</f>
        <v>0</v>
      </c>
      <c r="F315" s="189">
        <f>IF(xxYear=$B315,VLOOKUP(capInnov4,dataInnovsDets,3,0),obal!F315)</f>
        <v>0</v>
      </c>
      <c r="G315" s="189">
        <f>IF(xxYear=$B315,VLOOKUP(capInnov4,dataInnovsDets,3,0),obal!G315)</f>
        <v>0</v>
      </c>
      <c r="H315" s="189">
        <f>IF(xxYear=$B315,VLOOKUP(capInnov4,dataInnovsDets,3,0),obal!H315)</f>
        <v>0</v>
      </c>
      <c r="I315" s="189">
        <f>IF(xxYear=$B315,VLOOKUP(capInnov4,dataInnovsDets,3,0),obal!I315)</f>
        <v>0</v>
      </c>
      <c r="J315" s="905" t="s">
        <v>4870</v>
      </c>
      <c r="K315">
        <f>IF(COUNTIF($E$312:$I$315,VLOOKUP(DataNameProd2Seg4,dataDisruptInnovsDets,3,0))&gt;0,1,0)</f>
        <v>0</v>
      </c>
    </row>
    <row r="316" spans="1:11">
      <c r="A316" s="2" t="s">
        <v>876</v>
      </c>
      <c r="C316" s="1017"/>
      <c r="E316" s="189">
        <v>0</v>
      </c>
      <c r="F316" s="189">
        <v>0</v>
      </c>
      <c r="G316" s="189">
        <v>0</v>
      </c>
      <c r="H316" s="189">
        <v>0</v>
      </c>
      <c r="I316" s="189">
        <v>0</v>
      </c>
    </row>
    <row r="317" spans="1:11">
      <c r="B317" s="4">
        <v>1</v>
      </c>
      <c r="C317" s="1017" t="s">
        <v>872</v>
      </c>
      <c r="D317">
        <f t="shared" ref="D317:D328" si="3">MAX(xxYear-B317+1,0)</f>
        <v>1</v>
      </c>
      <c r="E317" s="189">
        <f>IF(xxYear=$B317,decWobbler1,obal!E317)</f>
        <v>0</v>
      </c>
      <c r="F317" s="189">
        <f>IF(xxYear=$B317,decWobbler1,obal!F317)</f>
        <v>0</v>
      </c>
      <c r="G317" s="189">
        <f>IF(xxYear=$B317,decWobbler1,obal!G317)</f>
        <v>0</v>
      </c>
      <c r="H317" s="189">
        <f>IF(xxYear=$B317,decWobbler1,obal!H317)</f>
        <v>0</v>
      </c>
      <c r="I317" s="189">
        <f>IF(xxYear=$B317,decWobbler1,obal!I317)</f>
        <v>0</v>
      </c>
    </row>
    <row r="318" spans="1:11">
      <c r="B318" s="4">
        <v>1</v>
      </c>
      <c r="C318" s="1017" t="s">
        <v>873</v>
      </c>
      <c r="D318">
        <f t="shared" si="3"/>
        <v>1</v>
      </c>
      <c r="E318" s="189">
        <f>IF(xxYear=$B318,decWobbler2,obal!E318)</f>
        <v>0</v>
      </c>
      <c r="F318" s="189">
        <f>IF(xxYear=$B318,decWobbler2,obal!F318)</f>
        <v>0</v>
      </c>
      <c r="G318" s="189">
        <f>IF(xxYear=$B318,decWobbler2,obal!G318)</f>
        <v>0</v>
      </c>
      <c r="H318" s="189">
        <f>IF(xxYear=$B318,decWobbler2,obal!H318)</f>
        <v>0</v>
      </c>
      <c r="I318" s="189">
        <f>IF(xxYear=$B318,decWobbler2,obal!I318)</f>
        <v>0</v>
      </c>
    </row>
    <row r="319" spans="1:11">
      <c r="B319" s="4">
        <v>1</v>
      </c>
      <c r="C319" s="1017" t="s">
        <v>874</v>
      </c>
      <c r="D319">
        <f t="shared" si="3"/>
        <v>1</v>
      </c>
      <c r="E319" s="189">
        <f>IF(xxYear=$B319,decWobbler3,obal!E319)</f>
        <v>0</v>
      </c>
      <c r="F319" s="189">
        <f>IF(xxYear=$B319,decWobbler3,obal!F319)</f>
        <v>0</v>
      </c>
      <c r="G319" s="189">
        <f>IF(xxYear=$B319,decWobbler3,obal!G319)</f>
        <v>0</v>
      </c>
      <c r="H319" s="189">
        <f>IF(xxYear=$B319,decWobbler3,obal!H319)</f>
        <v>0</v>
      </c>
      <c r="I319" s="189">
        <f>IF(xxYear=$B319,decWobbler3,obal!I319)</f>
        <v>0</v>
      </c>
    </row>
    <row r="320" spans="1:11">
      <c r="B320" s="4">
        <v>1</v>
      </c>
      <c r="C320" s="1017" t="s">
        <v>875</v>
      </c>
      <c r="D320">
        <f t="shared" si="3"/>
        <v>1</v>
      </c>
      <c r="E320" s="189">
        <f>IF(xxYear=$B320,decWobbler4,obal!E320)</f>
        <v>0</v>
      </c>
      <c r="F320" s="189">
        <f>IF(xxYear=$B320,decWobbler4,obal!F320)</f>
        <v>0</v>
      </c>
      <c r="G320" s="189">
        <f>IF(xxYear=$B320,decWobbler4,obal!G320)</f>
        <v>0</v>
      </c>
      <c r="H320" s="189">
        <f>IF(xxYear=$B320,decWobbler4,obal!H320)</f>
        <v>0</v>
      </c>
      <c r="I320" s="189">
        <f>IF(xxYear=$B320,decWobbler4,obal!I320)</f>
        <v>0</v>
      </c>
    </row>
    <row r="321" spans="1:10">
      <c r="B321">
        <v>2</v>
      </c>
      <c r="C321" s="1017" t="s">
        <v>872</v>
      </c>
      <c r="D321">
        <f t="shared" si="3"/>
        <v>0</v>
      </c>
      <c r="E321" s="189">
        <f>IF(xxYear=$B321,decWobbler1,obal!E321)</f>
        <v>0</v>
      </c>
      <c r="F321" s="189">
        <f>IF(xxYear=$B321,decWobbler1,obal!F321)</f>
        <v>0</v>
      </c>
      <c r="G321" s="189">
        <f>IF(xxYear=$B321,decWobbler1,obal!G321)</f>
        <v>0</v>
      </c>
      <c r="H321" s="189">
        <f>IF(xxYear=$B321,decWobbler1,obal!H321)</f>
        <v>0</v>
      </c>
      <c r="I321" s="189">
        <f>IF(xxYear=$B321,decWobbler1,obal!I321)</f>
        <v>0</v>
      </c>
    </row>
    <row r="322" spans="1:10">
      <c r="B322">
        <v>2</v>
      </c>
      <c r="C322" s="1017" t="s">
        <v>873</v>
      </c>
      <c r="D322">
        <f t="shared" si="3"/>
        <v>0</v>
      </c>
      <c r="E322" s="189">
        <f>IF(xxYear=$B322,decWobbler2,obal!E322)</f>
        <v>0</v>
      </c>
      <c r="F322" s="189">
        <f>IF(xxYear=$B322,decWobbler2,obal!F322)</f>
        <v>0</v>
      </c>
      <c r="G322" s="189">
        <f>IF(xxYear=$B322,decWobbler2,obal!G322)</f>
        <v>0</v>
      </c>
      <c r="H322" s="189">
        <f>IF(xxYear=$B322,decWobbler2,obal!H322)</f>
        <v>0</v>
      </c>
      <c r="I322" s="189">
        <f>IF(xxYear=$B322,decWobbler2,obal!I322)</f>
        <v>0</v>
      </c>
    </row>
    <row r="323" spans="1:10">
      <c r="B323">
        <v>2</v>
      </c>
      <c r="C323" s="1017" t="s">
        <v>874</v>
      </c>
      <c r="D323">
        <f t="shared" si="3"/>
        <v>0</v>
      </c>
      <c r="E323" s="189">
        <f>IF(xxYear=$B323,decWobbler3,obal!E323)</f>
        <v>0</v>
      </c>
      <c r="F323" s="189">
        <f>IF(xxYear=$B323,decWobbler3,obal!F323)</f>
        <v>0</v>
      </c>
      <c r="G323" s="189">
        <f>IF(xxYear=$B323,decWobbler3,obal!G323)</f>
        <v>0</v>
      </c>
      <c r="H323" s="189">
        <f>IF(xxYear=$B323,decWobbler3,obal!H323)</f>
        <v>0</v>
      </c>
      <c r="I323" s="189">
        <f>IF(xxYear=$B323,decWobbler3,obal!I323)</f>
        <v>0</v>
      </c>
    </row>
    <row r="324" spans="1:10">
      <c r="B324">
        <v>2</v>
      </c>
      <c r="C324" s="1017" t="s">
        <v>875</v>
      </c>
      <c r="D324">
        <f t="shared" si="3"/>
        <v>0</v>
      </c>
      <c r="E324" s="189">
        <f>IF(xxYear=$B324,decWobbler4,obal!E324)</f>
        <v>0</v>
      </c>
      <c r="F324" s="189">
        <f>IF(xxYear=$B324,decWobbler4,obal!F324)</f>
        <v>0</v>
      </c>
      <c r="G324" s="189">
        <f>IF(xxYear=$B324,decWobbler4,obal!G324)</f>
        <v>0</v>
      </c>
      <c r="H324" s="189">
        <f>IF(xxYear=$B324,decWobbler4,obal!H324)</f>
        <v>0</v>
      </c>
      <c r="I324" s="189">
        <f>IF(xxYear=$B324,decWobbler4,obal!I324)</f>
        <v>0</v>
      </c>
    </row>
    <row r="325" spans="1:10">
      <c r="B325">
        <v>3</v>
      </c>
      <c r="C325" s="1017" t="s">
        <v>872</v>
      </c>
      <c r="D325">
        <f t="shared" si="3"/>
        <v>0</v>
      </c>
      <c r="E325" s="189">
        <f>IF(xxYear=$B325,decWobbler1,obal!E325)</f>
        <v>0</v>
      </c>
      <c r="F325" s="189">
        <f>IF(xxYear=$B325,decWobbler1,obal!F325)</f>
        <v>0</v>
      </c>
      <c r="G325" s="189">
        <f>IF(xxYear=$B325,decWobbler1,obal!G325)</f>
        <v>0</v>
      </c>
      <c r="H325" s="189">
        <f>IF(xxYear=$B325,decWobbler1,obal!H325)</f>
        <v>0</v>
      </c>
      <c r="I325" s="189">
        <f>IF(xxYear=$B325,decWobbler1,obal!I325)</f>
        <v>0</v>
      </c>
    </row>
    <row r="326" spans="1:10">
      <c r="B326">
        <v>3</v>
      </c>
      <c r="C326" s="1017" t="s">
        <v>873</v>
      </c>
      <c r="D326">
        <f t="shared" si="3"/>
        <v>0</v>
      </c>
      <c r="E326" s="189">
        <f>IF(xxYear=$B326,decWobbler2,obal!E326)</f>
        <v>0</v>
      </c>
      <c r="F326" s="189">
        <f>IF(xxYear=$B326,decWobbler2,obal!F326)</f>
        <v>0</v>
      </c>
      <c r="G326" s="189">
        <f>IF(xxYear=$B326,decWobbler2,obal!G326)</f>
        <v>0</v>
      </c>
      <c r="H326" s="189">
        <f>IF(xxYear=$B326,decWobbler2,obal!H326)</f>
        <v>0</v>
      </c>
      <c r="I326" s="189">
        <f>IF(xxYear=$B326,decWobbler2,obal!I326)</f>
        <v>0</v>
      </c>
    </row>
    <row r="327" spans="1:10">
      <c r="B327">
        <v>3</v>
      </c>
      <c r="C327" s="1017" t="s">
        <v>874</v>
      </c>
      <c r="D327">
        <f t="shared" si="3"/>
        <v>0</v>
      </c>
      <c r="E327" s="189">
        <f>IF(xxYear=$B327,decWobbler3,obal!E327)</f>
        <v>0</v>
      </c>
      <c r="F327" s="189">
        <f>IF(xxYear=$B327,decWobbler3,obal!F327)</f>
        <v>0</v>
      </c>
      <c r="G327" s="189">
        <f>IF(xxYear=$B327,decWobbler3,obal!G327)</f>
        <v>0</v>
      </c>
      <c r="H327" s="189">
        <f>IF(xxYear=$B327,decWobbler3,obal!H327)</f>
        <v>0</v>
      </c>
      <c r="I327" s="189">
        <f>IF(xxYear=$B327,decWobbler3,obal!I327)</f>
        <v>0</v>
      </c>
    </row>
    <row r="328" spans="1:10">
      <c r="B328">
        <v>3</v>
      </c>
      <c r="C328" s="1017" t="s">
        <v>875</v>
      </c>
      <c r="D328">
        <f t="shared" si="3"/>
        <v>0</v>
      </c>
      <c r="E328" s="189">
        <f>IF(xxYear=$B328,decWobbler4,obal!E328)</f>
        <v>0</v>
      </c>
      <c r="F328" s="189">
        <f>IF(xxYear=$B328,decWobbler4,obal!F328)</f>
        <v>0</v>
      </c>
      <c r="G328" s="189">
        <f>IF(xxYear=$B328,decWobbler4,obal!G328)</f>
        <v>0</v>
      </c>
      <c r="H328" s="189">
        <f>IF(xxYear=$B328,decWobbler4,obal!H328)</f>
        <v>0</v>
      </c>
      <c r="I328" s="189">
        <f>IF(xxYear=$B328,decWobbler4,obal!I328)</f>
        <v>0</v>
      </c>
    </row>
    <row r="329" spans="1:10">
      <c r="B329">
        <v>4</v>
      </c>
      <c r="C329" s="1017" t="s">
        <v>872</v>
      </c>
      <c r="D329">
        <f>MAX(xxYear-B329+1,0)</f>
        <v>0</v>
      </c>
      <c r="E329" s="189">
        <f>IF(xxYear=$B329,decWobbler1,obal!E329)</f>
        <v>0</v>
      </c>
      <c r="F329" s="189">
        <f>IF(xxYear=$B329,decWobbler1,obal!F329)</f>
        <v>0</v>
      </c>
      <c r="G329" s="189">
        <f>IF(xxYear=$B329,decWobbler1,obal!G329)</f>
        <v>0</v>
      </c>
      <c r="H329" s="189">
        <f>IF(xxYear=$B329,decWobbler1,obal!H329)</f>
        <v>0</v>
      </c>
      <c r="I329" s="189">
        <f>IF(xxYear=$B329,decWobbler1,obal!I329)</f>
        <v>0</v>
      </c>
    </row>
    <row r="330" spans="1:10">
      <c r="B330">
        <v>4</v>
      </c>
      <c r="C330" s="1017" t="s">
        <v>873</v>
      </c>
      <c r="D330">
        <f>MAX(xxYear-B330+1,0)</f>
        <v>0</v>
      </c>
      <c r="E330" s="189">
        <f>IF(xxYear=$B330,decWobbler2,obal!E330)</f>
        <v>0</v>
      </c>
      <c r="F330" s="189">
        <f>IF(xxYear=$B330,decWobbler2,obal!F330)</f>
        <v>0</v>
      </c>
      <c r="G330" s="189">
        <f>IF(xxYear=$B330,decWobbler2,obal!G330)</f>
        <v>0</v>
      </c>
      <c r="H330" s="189">
        <f>IF(xxYear=$B330,decWobbler2,obal!H330)</f>
        <v>0</v>
      </c>
      <c r="I330" s="189">
        <f>IF(xxYear=$B330,decWobbler2,obal!I330)</f>
        <v>0</v>
      </c>
    </row>
    <row r="331" spans="1:10">
      <c r="B331">
        <v>4</v>
      </c>
      <c r="C331" s="1017" t="s">
        <v>874</v>
      </c>
      <c r="D331">
        <f>MAX(xxYear-B331+1,0)</f>
        <v>0</v>
      </c>
      <c r="E331" s="189">
        <f>IF(xxYear=$B331,decWobbler3,obal!E331)</f>
        <v>0</v>
      </c>
      <c r="F331" s="189">
        <f>IF(xxYear=$B331,decWobbler3,obal!F331)</f>
        <v>0</v>
      </c>
      <c r="G331" s="189">
        <f>IF(xxYear=$B331,decWobbler3,obal!G331)</f>
        <v>0</v>
      </c>
      <c r="H331" s="189">
        <f>IF(xxYear=$B331,decWobbler3,obal!H331)</f>
        <v>0</v>
      </c>
      <c r="I331" s="189">
        <f>IF(xxYear=$B331,decWobbler3,obal!I331)</f>
        <v>0</v>
      </c>
    </row>
    <row r="332" spans="1:10">
      <c r="B332">
        <v>4</v>
      </c>
      <c r="C332" s="1017" t="s">
        <v>875</v>
      </c>
      <c r="D332">
        <f>MAX(xxYear-B332+1,0)</f>
        <v>0</v>
      </c>
      <c r="E332" s="189">
        <f>IF(xxYear=$B332,decWobbler4,obal!E332)</f>
        <v>0</v>
      </c>
      <c r="F332" s="189">
        <f>IF(xxYear=$B332,decWobbler4,obal!F332)</f>
        <v>0</v>
      </c>
      <c r="G332" s="189">
        <f>IF(xxYear=$B332,decWobbler4,obal!G332)</f>
        <v>0</v>
      </c>
      <c r="H332" s="189">
        <f>IF(xxYear=$B332,decWobbler4,obal!H332)</f>
        <v>0</v>
      </c>
      <c r="I332" s="189">
        <f>IF(xxYear=$B332,decWobbler4,obal!I332)</f>
        <v>0</v>
      </c>
    </row>
    <row r="333" spans="1:10">
      <c r="C333" s="1017"/>
      <c r="E333" s="189">
        <v>0</v>
      </c>
      <c r="F333" s="189">
        <v>0</v>
      </c>
      <c r="G333" s="189">
        <v>0</v>
      </c>
      <c r="H333" s="189">
        <v>0</v>
      </c>
      <c r="I333" s="189">
        <v>0</v>
      </c>
    </row>
    <row r="334" spans="1:10">
      <c r="A334" s="2" t="s">
        <v>3286</v>
      </c>
      <c r="C334" s="1017"/>
      <c r="E334" s="189"/>
      <c r="F334" s="189"/>
      <c r="G334" s="189"/>
      <c r="H334" s="189"/>
      <c r="I334" s="189"/>
    </row>
    <row r="335" spans="1:10">
      <c r="B335" s="2" t="s">
        <v>1598</v>
      </c>
      <c r="C335" s="1017"/>
      <c r="E335" s="189"/>
      <c r="F335" s="189"/>
      <c r="G335" s="189"/>
      <c r="H335" s="189"/>
      <c r="I335" s="189"/>
    </row>
    <row r="336" spans="1:10">
      <c r="B336" s="457" t="s">
        <v>3518</v>
      </c>
      <c r="C336" s="1017"/>
      <c r="E336" s="189">
        <f>IF(xxYear&gt;1,obalStratVetCSD,decStratVetCSD)</f>
        <v>0</v>
      </c>
      <c r="F336" s="189">
        <f>IF(xxYear&gt;1,obalStratVetCSD,decStratVetCSD)</f>
        <v>0</v>
      </c>
      <c r="G336" s="189">
        <f>IF(xxYear&gt;1,obalStratVetCSD,decStratVetCSD)</f>
        <v>0</v>
      </c>
      <c r="H336" s="189">
        <f>IF(xxYear&gt;1,obalStratVetCSD,decStratVetCSD)</f>
        <v>0</v>
      </c>
      <c r="I336" s="189">
        <f>IF(xxYear&gt;1,obalStratVetCSD,decStratVetCSD)</f>
        <v>0</v>
      </c>
      <c r="J336" t="s">
        <v>2177</v>
      </c>
    </row>
    <row r="337" spans="1:10">
      <c r="B337" s="457" t="s">
        <v>3519</v>
      </c>
      <c r="C337" s="1017"/>
      <c r="E337" s="189">
        <f>IF(xxYear&gt;1,obalStratVetNCB,decStratVetNCB)</f>
        <v>0</v>
      </c>
      <c r="F337" s="189">
        <f>IF(xxYear&gt;1,obalStratVetNCB,decStratVetNCB)</f>
        <v>0</v>
      </c>
      <c r="G337" s="189">
        <f>IF(xxYear&gt;1,obalStratVetNCB,decStratVetNCB)</f>
        <v>0</v>
      </c>
      <c r="H337" s="189">
        <f>IF(xxYear&gt;1,obalStratVetNCB,decStratVetNCB)</f>
        <v>0</v>
      </c>
      <c r="I337" s="189">
        <f>IF(xxYear&gt;1,obalStratVetNCB,decStratVetNCB)</f>
        <v>0</v>
      </c>
      <c r="J337" t="s">
        <v>2178</v>
      </c>
    </row>
    <row r="338" spans="1:10">
      <c r="B338" s="457" t="s">
        <v>3173</v>
      </c>
      <c r="C338" s="1017"/>
      <c r="E338" s="189">
        <f>IF(xxYear&gt;1,obalStratVetFnS,decStratVetFnS)</f>
        <v>0</v>
      </c>
      <c r="F338" s="189">
        <f>IF(xxYear&gt;1,obalStratVetFnS,decStratVetFnS)</f>
        <v>0</v>
      </c>
      <c r="G338" s="189">
        <f>IF(xxYear&gt;1,obalStratVetFnS,decStratVetFnS)</f>
        <v>0</v>
      </c>
      <c r="H338" s="189">
        <f>IF(xxYear&gt;1,obalStratVetFnS,decStratVetFnS)</f>
        <v>0</v>
      </c>
      <c r="I338" s="189">
        <f>IF(xxYear&gt;1,obalStratVetFnS,decStratVetFnS)</f>
        <v>0</v>
      </c>
      <c r="J338" t="s">
        <v>2179</v>
      </c>
    </row>
    <row r="339" spans="1:10">
      <c r="B339" s="2" t="s">
        <v>1599</v>
      </c>
      <c r="C339" s="1017"/>
      <c r="E339" s="189"/>
      <c r="F339" s="189"/>
      <c r="G339" s="189"/>
      <c r="H339" s="189"/>
      <c r="I339" s="189"/>
    </row>
    <row r="340" spans="1:10">
      <c r="B340" s="457" t="s">
        <v>3518</v>
      </c>
      <c r="C340" s="1017"/>
      <c r="E340" s="189">
        <f>IF(xxYear&gt;1,obalStratEdaCSD,decStratEdaCSD)</f>
        <v>0</v>
      </c>
      <c r="F340" s="189">
        <f>IF(xxYear&gt;1,obalStratEdaCSD,decStratEdaCSD)</f>
        <v>0</v>
      </c>
      <c r="G340" s="189">
        <f>IF(xxYear&gt;1,obalStratEdaCSD,decStratEdaCSD)</f>
        <v>0</v>
      </c>
      <c r="H340" s="189">
        <f>IF(xxYear&gt;1,obalStratEdaCSD,decStratEdaCSD)</f>
        <v>0</v>
      </c>
      <c r="I340" s="189">
        <f>IF(xxYear&gt;1,obalStratEdaCSD,decStratEdaCSD)</f>
        <v>0</v>
      </c>
      <c r="J340" t="s">
        <v>2180</v>
      </c>
    </row>
    <row r="341" spans="1:10">
      <c r="B341" s="457" t="s">
        <v>3519</v>
      </c>
      <c r="C341" s="1017"/>
      <c r="E341" s="189">
        <f>IF(xxYear&gt;1,obalStratEdaNCB,decStratEdaNCB)</f>
        <v>0</v>
      </c>
      <c r="F341" s="189">
        <f>IF(xxYear&gt;1,obalStratEdaNCB,decStratEdaNCB)</f>
        <v>0</v>
      </c>
      <c r="G341" s="189">
        <f>IF(xxYear&gt;1,obalStratEdaNCB,decStratEdaNCB)</f>
        <v>0</v>
      </c>
      <c r="H341" s="189">
        <f>IF(xxYear&gt;1,obalStratEdaNCB,decStratEdaNCB)</f>
        <v>0</v>
      </c>
      <c r="I341" s="189">
        <f>IF(xxYear&gt;1,obalStratEdaNCB,decStratEdaNCB)</f>
        <v>0</v>
      </c>
      <c r="J341" t="s">
        <v>2181</v>
      </c>
    </row>
    <row r="342" spans="1:10">
      <c r="B342" s="457" t="s">
        <v>3173</v>
      </c>
      <c r="C342" s="1017"/>
      <c r="E342" s="189">
        <f>IF(xxYear&gt;1,obalStratEdaFnS,decStratEdaFnS)</f>
        <v>0</v>
      </c>
      <c r="F342" s="189">
        <f>IF(xxYear&gt;1,obalStratEdaFnS,decStratEdaFnS)</f>
        <v>0</v>
      </c>
      <c r="G342" s="189">
        <f>IF(xxYear&gt;1,obalStratEdaFnS,decStratEdaFnS)</f>
        <v>0</v>
      </c>
      <c r="H342" s="189">
        <f>IF(xxYear&gt;1,obalStratEdaFnS,decStratEdaFnS)</f>
        <v>0</v>
      </c>
      <c r="I342" s="189">
        <f>IF(xxYear&gt;1,obalStratEdaFnS,decStratEdaFnS)</f>
        <v>0</v>
      </c>
      <c r="J342" t="s">
        <v>2182</v>
      </c>
    </row>
    <row r="343" spans="1:10">
      <c r="A343" s="2" t="s">
        <v>3285</v>
      </c>
      <c r="C343" s="1017"/>
      <c r="E343" s="189"/>
      <c r="F343" s="189"/>
      <c r="G343" s="189"/>
      <c r="H343" s="189"/>
      <c r="I343" s="189"/>
    </row>
    <row r="344" spans="1:10">
      <c r="B344" s="2" t="s">
        <v>1598</v>
      </c>
      <c r="C344" s="1017"/>
      <c r="E344" s="189"/>
      <c r="F344" s="189"/>
      <c r="G344" s="189"/>
      <c r="H344" s="189"/>
      <c r="I344" s="189"/>
    </row>
    <row r="345" spans="1:10">
      <c r="B345" s="457" t="s">
        <v>3442</v>
      </c>
      <c r="C345" s="1017"/>
      <c r="E345" s="189">
        <f>IF(xxYear&gt;1,obalStratVetCons,decStratVetCons)</f>
        <v>0</v>
      </c>
      <c r="F345" s="189">
        <f>IF(xxYear&gt;1,obalStratVetCons,decStratVetCons)</f>
        <v>0</v>
      </c>
      <c r="G345" s="189">
        <f>IF(xxYear&gt;1,obalStratVetCons,decStratVetCons)</f>
        <v>0</v>
      </c>
      <c r="H345" s="189">
        <f>IF(xxYear&gt;1,obalStratVetCons,decStratVetCons)</f>
        <v>0</v>
      </c>
      <c r="I345" s="189">
        <f>IF(xxYear&gt;1,obalStratVetCons,decStratVetCons)</f>
        <v>0</v>
      </c>
      <c r="J345" t="s">
        <v>2183</v>
      </c>
    </row>
    <row r="346" spans="1:10">
      <c r="B346" s="457" t="s">
        <v>1108</v>
      </c>
      <c r="C346" s="1017"/>
      <c r="E346" s="189">
        <f>IF(xxYear&gt;1,obalStratVetCust,decStratVetCust)</f>
        <v>0</v>
      </c>
      <c r="F346" s="189">
        <f>IF(xxYear&gt;1,obalStratVetCust,decStratVetCust)</f>
        <v>0</v>
      </c>
      <c r="G346" s="189">
        <f>IF(xxYear&gt;1,obalStratVetCust,decStratVetCust)</f>
        <v>0</v>
      </c>
      <c r="H346" s="189">
        <f>IF(xxYear&gt;1,obalStratVetCust,decStratVetCust)</f>
        <v>0</v>
      </c>
      <c r="I346" s="189">
        <f>IF(xxYear&gt;1,obalStratVetCust,decStratVetCust)</f>
        <v>0</v>
      </c>
      <c r="J346" s="905" t="s">
        <v>4145</v>
      </c>
    </row>
    <row r="347" spans="1:10">
      <c r="B347" s="457" t="s">
        <v>4003</v>
      </c>
      <c r="C347" s="1017"/>
      <c r="E347" s="189">
        <f>IF(xxYear&gt;1,obalStratVetComp,decStratVetComp)</f>
        <v>0</v>
      </c>
      <c r="F347" s="189">
        <f>IF(xxYear&gt;1,obalStratVetComp,decStratVetComp)</f>
        <v>0</v>
      </c>
      <c r="G347" s="189">
        <f>IF(xxYear&gt;1,obalStratVetComp,decStratVetComp)</f>
        <v>0</v>
      </c>
      <c r="H347" s="189">
        <f>IF(xxYear&gt;1,obalStratVetComp,decStratVetComp)</f>
        <v>0</v>
      </c>
      <c r="I347" s="189">
        <f>IF(xxYear&gt;1,obalStratVetComp,decStratVetComp)</f>
        <v>0</v>
      </c>
      <c r="J347" t="s">
        <v>2184</v>
      </c>
    </row>
    <row r="348" spans="1:10">
      <c r="B348" s="457" t="s">
        <v>4004</v>
      </c>
      <c r="C348" s="1017"/>
      <c r="E348" s="189">
        <f>IF(xxYear&gt;1,obalStratVetProd,decStratVetProd)</f>
        <v>0</v>
      </c>
      <c r="F348" s="189">
        <f>IF(xxYear&gt;1,obalStratVetProd,decStratVetProd)</f>
        <v>0</v>
      </c>
      <c r="G348" s="189">
        <f>IF(xxYear&gt;1,obalStratVetProd,decStratVetProd)</f>
        <v>0</v>
      </c>
      <c r="H348" s="189">
        <f>IF(xxYear&gt;1,obalStratVetProd,decStratVetProd)</f>
        <v>0</v>
      </c>
      <c r="I348" s="189">
        <f>IF(xxYear&gt;1,obalStratVetProd,decStratVetProd)</f>
        <v>0</v>
      </c>
      <c r="J348" t="s">
        <v>2185</v>
      </c>
    </row>
    <row r="349" spans="1:10">
      <c r="B349" s="2" t="s">
        <v>1599</v>
      </c>
      <c r="C349" s="1017"/>
      <c r="E349" s="189"/>
      <c r="F349" s="189"/>
      <c r="G349" s="189"/>
      <c r="H349" s="189"/>
      <c r="I349" s="189"/>
    </row>
    <row r="350" spans="1:10">
      <c r="B350" s="457" t="s">
        <v>3442</v>
      </c>
      <c r="C350" s="1017"/>
      <c r="E350" s="189">
        <f>IF(xxYear&gt;1,obalStratEdaCons,decStratEdaCons)</f>
        <v>0</v>
      </c>
      <c r="F350" s="189">
        <f>IF(xxYear&gt;1,obalStratEdaCons,decStratEdaCons)</f>
        <v>0</v>
      </c>
      <c r="G350" s="189">
        <f>IF(xxYear&gt;1,obalStratEdaCons,decStratEdaCons)</f>
        <v>0</v>
      </c>
      <c r="H350" s="189">
        <f>IF(xxYear&gt;1,obalStratEdaCons,decStratEdaCons)</f>
        <v>0</v>
      </c>
      <c r="I350" s="189">
        <f>IF(xxYear&gt;1,obalStratEdaCons,decStratEdaCons)</f>
        <v>0</v>
      </c>
      <c r="J350" t="s">
        <v>2186</v>
      </c>
    </row>
    <row r="351" spans="1:10">
      <c r="B351" s="457" t="s">
        <v>1108</v>
      </c>
      <c r="C351" s="1017"/>
      <c r="E351" s="189">
        <f>IF(xxYear&gt;1,obalStratEdaCust,decStratEdaCust)</f>
        <v>0</v>
      </c>
      <c r="F351" s="189">
        <f>IF(xxYear&gt;1,obalStratEdaCust,decStratEdaCust)</f>
        <v>0</v>
      </c>
      <c r="G351" s="189">
        <f>IF(xxYear&gt;1,obalStratEdaCust,decStratEdaCust)</f>
        <v>0</v>
      </c>
      <c r="H351" s="189">
        <f>IF(xxYear&gt;1,obalStratEdaCust,decStratEdaCust)</f>
        <v>0</v>
      </c>
      <c r="I351" s="189">
        <f>IF(xxYear&gt;1,obalStratEdaCust,decStratEdaCust)</f>
        <v>0</v>
      </c>
      <c r="J351" s="905" t="s">
        <v>4146</v>
      </c>
    </row>
    <row r="352" spans="1:10">
      <c r="B352" s="457" t="s">
        <v>4003</v>
      </c>
      <c r="C352" s="1017"/>
      <c r="E352" s="189">
        <f>IF(xxYear&gt;1,obalStratEdaComp,decStratEdaComp)</f>
        <v>0</v>
      </c>
      <c r="F352" s="189">
        <f>IF(xxYear&gt;1,obalStratEdaComp,decStratEdaComp)</f>
        <v>0</v>
      </c>
      <c r="G352" s="189">
        <f>IF(xxYear&gt;1,obalStratEdaComp,decStratEdaComp)</f>
        <v>0</v>
      </c>
      <c r="H352" s="189">
        <f>IF(xxYear&gt;1,obalStratEdaComp,decStratEdaComp)</f>
        <v>0</v>
      </c>
      <c r="I352" s="189">
        <f>IF(xxYear&gt;1,obalStratEdaComp,decStratEdaComp)</f>
        <v>0</v>
      </c>
      <c r="J352" t="s">
        <v>2187</v>
      </c>
    </row>
    <row r="353" spans="1:10">
      <c r="B353" s="457" t="s">
        <v>4004</v>
      </c>
      <c r="C353" s="1017"/>
      <c r="E353" s="189">
        <f>IF(xxYear&gt;1,obalStratEdaProd,decStratEdaProd)</f>
        <v>0</v>
      </c>
      <c r="F353" s="189">
        <f>IF(xxYear&gt;1,obalStratEdaProd,decStratEdaProd)</f>
        <v>0</v>
      </c>
      <c r="G353" s="189">
        <f>IF(xxYear&gt;1,obalStratEdaProd,decStratEdaProd)</f>
        <v>0</v>
      </c>
      <c r="H353" s="189">
        <f>IF(xxYear&gt;1,obalStratEdaProd,decStratEdaProd)</f>
        <v>0</v>
      </c>
      <c r="I353" s="189">
        <f>IF(xxYear&gt;1,obalStratEdaProd,decStratEdaProd)</f>
        <v>0</v>
      </c>
      <c r="J353" t="s">
        <v>2188</v>
      </c>
    </row>
    <row r="354" spans="1:10">
      <c r="C354" s="1017"/>
      <c r="E354" s="189"/>
      <c r="F354" s="189"/>
      <c r="G354" s="189"/>
      <c r="H354" s="189"/>
      <c r="I354" s="189"/>
    </row>
    <row r="355" spans="1:10">
      <c r="A355" s="2" t="s">
        <v>1397</v>
      </c>
      <c r="E355" s="189"/>
      <c r="F355" s="189"/>
      <c r="G355" s="189"/>
      <c r="H355" s="189"/>
      <c r="I355" s="189"/>
    </row>
    <row r="356" spans="1:10">
      <c r="E356" s="189"/>
      <c r="F356" s="189"/>
      <c r="G356" s="189"/>
      <c r="H356" s="189"/>
      <c r="I356" s="189"/>
    </row>
    <row r="357" spans="1:10">
      <c r="E357" s="189"/>
      <c r="F357" s="189"/>
      <c r="G357" s="189"/>
      <c r="H357" s="189"/>
      <c r="I357" s="189"/>
    </row>
    <row r="358" spans="1:10">
      <c r="E358" s="189"/>
      <c r="F358" s="189"/>
      <c r="G358" s="189"/>
      <c r="H358" s="189"/>
      <c r="I358" s="189"/>
    </row>
    <row r="359" spans="1:10">
      <c r="E359" s="189"/>
      <c r="F359" s="189"/>
      <c r="G359" s="189"/>
      <c r="H359" s="189"/>
      <c r="I359" s="189"/>
    </row>
    <row r="360" spans="1:10">
      <c r="E360" s="189"/>
      <c r="F360" s="189"/>
      <c r="G360" s="189"/>
      <c r="H360" s="189"/>
      <c r="I360" s="189"/>
    </row>
    <row r="361" spans="1:10">
      <c r="E361" s="189"/>
      <c r="F361" s="189"/>
      <c r="G361" s="189"/>
      <c r="H361" s="189"/>
      <c r="I361" s="189"/>
    </row>
    <row r="362" spans="1:10">
      <c r="E362" s="189"/>
      <c r="F362" s="189"/>
      <c r="G362" s="189"/>
      <c r="H362" s="189"/>
      <c r="I362" s="189"/>
    </row>
    <row r="363" spans="1:10">
      <c r="E363" s="189"/>
      <c r="F363" s="189"/>
      <c r="G363" s="189"/>
      <c r="H363" s="189"/>
      <c r="I363" s="189"/>
    </row>
    <row r="364" spans="1:10">
      <c r="E364" s="189"/>
      <c r="F364" s="189"/>
      <c r="G364" s="189"/>
      <c r="H364" s="189"/>
      <c r="I364" s="189"/>
    </row>
    <row r="365" spans="1:10">
      <c r="E365" s="189"/>
      <c r="F365" s="189"/>
      <c r="G365" s="189"/>
      <c r="H365" s="189"/>
      <c r="I365" s="189"/>
    </row>
    <row r="366" spans="1:10">
      <c r="E366" s="189"/>
      <c r="F366" s="189"/>
      <c r="G366" s="189"/>
      <c r="H366" s="189"/>
      <c r="I366" s="189"/>
    </row>
    <row r="367" spans="1:10">
      <c r="E367" s="189"/>
      <c r="F367" s="189"/>
      <c r="G367" s="189"/>
      <c r="H367" s="189"/>
      <c r="I367" s="189"/>
    </row>
    <row r="368" spans="1:10">
      <c r="A368" s="31"/>
      <c r="B368" s="31"/>
      <c r="C368" s="31"/>
      <c r="D368" s="31"/>
      <c r="E368" s="31"/>
      <c r="F368" s="31"/>
      <c r="G368" s="31"/>
      <c r="H368" s="31"/>
      <c r="I368" s="31"/>
      <c r="J368" s="31"/>
    </row>
    <row r="369" spans="1:10">
      <c r="A369" s="31"/>
      <c r="B369" s="31"/>
      <c r="C369" s="31"/>
      <c r="D369" s="31"/>
      <c r="E369" s="31"/>
      <c r="F369" s="31"/>
      <c r="G369" s="31"/>
      <c r="H369" s="31"/>
      <c r="I369" s="31"/>
      <c r="J369" s="31"/>
    </row>
  </sheetData>
  <phoneticPr fontId="0" type="noConversion"/>
  <pageMargins left="0.5" right="0.5" top="0.5" bottom="0.5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c">
    <tabColor indexed="50"/>
    <pageSetUpPr autoPageBreaks="0"/>
  </sheetPr>
  <dimension ref="A1:P787"/>
  <sheetViews>
    <sheetView workbookViewId="0">
      <pane xSplit="4" ySplit="1" topLeftCell="E11" activePane="bottomRight" state="frozen"/>
      <selection activeCell="C663" sqref="C663"/>
      <selection pane="topRight" activeCell="C663" sqref="C663"/>
      <selection pane="bottomLeft" activeCell="C663" sqref="C663"/>
      <selection pane="bottomRight" activeCell="H226" sqref="H226"/>
    </sheetView>
  </sheetViews>
  <sheetFormatPr defaultRowHeight="11.25"/>
  <cols>
    <col min="1" max="1" width="4.5" customWidth="1"/>
    <col min="2" max="2" width="4.1640625" customWidth="1"/>
    <col min="3" max="3" width="24.6640625" customWidth="1"/>
    <col min="5" max="9" width="18.1640625" customWidth="1"/>
    <col min="10" max="10" width="33.1640625" bestFit="1" customWidth="1"/>
    <col min="11" max="11" width="22" customWidth="1"/>
    <col min="12" max="12" width="14.1640625" bestFit="1" customWidth="1"/>
    <col min="13" max="16" width="10.5" bestFit="1" customWidth="1"/>
  </cols>
  <sheetData>
    <row r="1" spans="1:11" s="145" customFormat="1" ht="15.75">
      <c r="A1" s="143" t="s">
        <v>3120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3" spans="1:11" ht="15.75">
      <c r="A3" s="24" t="s">
        <v>881</v>
      </c>
      <c r="B3" s="25"/>
      <c r="C3" s="25"/>
      <c r="D3" s="25"/>
      <c r="E3" s="25"/>
      <c r="F3" s="25"/>
      <c r="G3" s="25"/>
      <c r="H3" s="25"/>
      <c r="I3" s="25"/>
    </row>
    <row r="4" spans="1:11" ht="8.1" customHeight="1">
      <c r="A4" s="423"/>
      <c r="B4" s="412"/>
      <c r="C4" s="412"/>
      <c r="D4" s="412"/>
      <c r="E4" s="412"/>
      <c r="F4" s="412"/>
      <c r="G4" s="412"/>
      <c r="H4" s="412"/>
      <c r="I4" s="412"/>
      <c r="J4" s="33"/>
    </row>
    <row r="5" spans="1:11" ht="15.75">
      <c r="A5" s="24" t="s">
        <v>2646</v>
      </c>
      <c r="B5" s="25"/>
      <c r="C5" s="25"/>
      <c r="D5" s="25"/>
      <c r="E5" s="25"/>
      <c r="F5" s="25"/>
      <c r="G5" s="25"/>
      <c r="H5" s="25"/>
      <c r="I5" s="25"/>
    </row>
    <row r="6" spans="1:11">
      <c r="A6" s="2"/>
      <c r="C6" s="2"/>
      <c r="F6" s="13"/>
      <c r="G6" s="13"/>
      <c r="H6" s="13"/>
      <c r="I6" s="13"/>
      <c r="J6" s="3"/>
    </row>
    <row r="7" spans="1:11" ht="12.75">
      <c r="A7" s="22" t="str">
        <f>DataNameProd2&amp;" Slot 1"</f>
        <v>Breakthrough Slot 1</v>
      </c>
    </row>
    <row r="8" spans="1:11">
      <c r="B8" s="2" t="s">
        <v>3754</v>
      </c>
      <c r="K8" t="b">
        <f t="shared" ref="K8:K68" si="0">MAX(E8:I8)=MIN(E8:I8)</f>
        <v>1</v>
      </c>
    </row>
    <row r="9" spans="1:11">
      <c r="C9" s="3" t="str">
        <f>DataNameProd2 &amp; " Gross Revenues"</f>
        <v>Breakthrough Gross Revenues</v>
      </c>
      <c r="D9" s="2"/>
      <c r="E9" s="85">
        <f>capReg1Prod2UnitsSold*capProd2Reg1Price</f>
        <v>0</v>
      </c>
      <c r="F9" s="85">
        <f>capReg1Prod2UnitsSold*capProd2Reg1Price</f>
        <v>0</v>
      </c>
      <c r="G9" s="85">
        <f>capReg1Prod2UnitsSold*capProd2Reg1Price</f>
        <v>0</v>
      </c>
      <c r="H9" s="85">
        <f>capReg1Prod2UnitsSold*capProd2Reg1Price</f>
        <v>0</v>
      </c>
      <c r="I9" s="85">
        <f>capReg1Prod2UnitsSold*capProd2Reg1Price</f>
        <v>0</v>
      </c>
      <c r="J9" t="s">
        <v>3023</v>
      </c>
      <c r="K9" t="b">
        <f t="shared" si="0"/>
        <v>1</v>
      </c>
    </row>
    <row r="10" spans="1:11">
      <c r="C10" s="3" t="str">
        <f>DataNameProd2 &amp; " Promotional Expense"</f>
        <v>Breakthrough Promotional Expense</v>
      </c>
      <c r="D10" s="3"/>
      <c r="E10" s="23">
        <f>IF(decDisrupt1=0,0,capProd2Promo1)</f>
        <v>0</v>
      </c>
      <c r="F10" s="23">
        <f>IF(decDisrupt1=0,0,capProd2Promo1)</f>
        <v>0</v>
      </c>
      <c r="G10" s="23">
        <f>IF(decDisrupt1=0,0,capProd2Promo1)</f>
        <v>0</v>
      </c>
      <c r="H10" s="23">
        <f>IF(decDisrupt1=0,0,capProd2Promo1)</f>
        <v>0</v>
      </c>
      <c r="I10" s="23">
        <f>IF(decDisrupt1=0,0,capProd2Promo1)</f>
        <v>0</v>
      </c>
      <c r="J10" t="s">
        <v>3033</v>
      </c>
      <c r="K10" t="b">
        <f t="shared" si="0"/>
        <v>1</v>
      </c>
    </row>
    <row r="11" spans="1:11">
      <c r="C11" s="2" t="str">
        <f>DataNameProd2 &amp; " Net Revenues"</f>
        <v>Breakthrough Net Revenues</v>
      </c>
      <c r="D11" s="3"/>
      <c r="E11" s="13">
        <f>E9-E10</f>
        <v>0</v>
      </c>
      <c r="F11" s="13">
        <f>F9-F10</f>
        <v>0</v>
      </c>
      <c r="G11" s="13">
        <f>G9-G10</f>
        <v>0</v>
      </c>
      <c r="H11" s="13">
        <f>H9-H10</f>
        <v>0</v>
      </c>
      <c r="I11" s="13">
        <f>I9-I10</f>
        <v>0</v>
      </c>
      <c r="J11" t="s">
        <v>2663</v>
      </c>
      <c r="K11" t="b">
        <f t="shared" si="0"/>
        <v>1</v>
      </c>
    </row>
    <row r="12" spans="1:11">
      <c r="B12" s="2" t="s">
        <v>3640</v>
      </c>
      <c r="K12" t="b">
        <f t="shared" si="0"/>
        <v>1</v>
      </c>
    </row>
    <row r="13" spans="1:11">
      <c r="C13" t="str">
        <f>DataNameProd2 &amp; " Material Expense"</f>
        <v>Breakthrough Material Expense</v>
      </c>
      <c r="E13" s="14">
        <f>(capReg1Prod2UnitsSoldNewProd-capReg1Prod2UnitsWiPUsed/2)*capProd21COGSPUnitMat+(capReg1Prod2UnitsSoldFG+capReg1Prod2UnitsWiPUsed/2)*obalProd21COGSPUnitMat</f>
        <v>0</v>
      </c>
      <c r="F13" s="14">
        <f>(capReg1Prod2UnitsSoldNewProd-capReg1Prod2UnitsWiPUsed/2)*capProd21COGSPUnitMat+(capReg1Prod2UnitsSoldFG+capReg1Prod2UnitsWiPUsed/2)*obalProd21COGSPUnitMat</f>
        <v>0</v>
      </c>
      <c r="G13" s="14">
        <f>(capReg1Prod2UnitsSoldNewProd-capReg1Prod2UnitsWiPUsed/2)*capProd21COGSPUnitMat+(capReg1Prod2UnitsSoldFG+capReg1Prod2UnitsWiPUsed/2)*obalProd21COGSPUnitMat</f>
        <v>0</v>
      </c>
      <c r="H13" s="14">
        <f>(capReg1Prod2UnitsSoldNewProd-capReg1Prod2UnitsWiPUsed/2)*capProd21COGSPUnitMat+(capReg1Prod2UnitsSoldFG+capReg1Prod2UnitsWiPUsed/2)*obalProd21COGSPUnitMat</f>
        <v>0</v>
      </c>
      <c r="I13" s="14">
        <f>(capReg1Prod2UnitsSoldNewProd-capReg1Prod2UnitsWiPUsed/2)*capProd21COGSPUnitMat+(capReg1Prod2UnitsSoldFG+capReg1Prod2UnitsWiPUsed/2)*obalProd21COGSPUnitMat</f>
        <v>0</v>
      </c>
      <c r="J13" t="s">
        <v>3024</v>
      </c>
      <c r="K13" t="b">
        <f t="shared" si="0"/>
        <v>1</v>
      </c>
    </row>
    <row r="14" spans="1:11">
      <c r="C14" t="str">
        <f>DataNameProd2 &amp; " Labor Expense"</f>
        <v>Breakthrough Labor Expense</v>
      </c>
      <c r="E14" s="11">
        <f>capReg1Prod21Emp3Exp+capReg2Prod21Emp3Exp</f>
        <v>0</v>
      </c>
      <c r="F14" s="11">
        <f>capReg1Prod21Emp3Exp+capReg2Prod21Emp3Exp</f>
        <v>0</v>
      </c>
      <c r="G14" s="11">
        <f>capReg1Prod21Emp3Exp+capReg2Prod21Emp3Exp</f>
        <v>0</v>
      </c>
      <c r="H14" s="11">
        <f>capReg1Prod21Emp3Exp+capReg2Prod21Emp3Exp</f>
        <v>0</v>
      </c>
      <c r="I14" s="11">
        <f>capReg1Prod21Emp3Exp+capReg2Prod21Emp3Exp</f>
        <v>0</v>
      </c>
      <c r="J14" t="s">
        <v>3025</v>
      </c>
      <c r="K14" t="b">
        <f t="shared" si="0"/>
        <v>1</v>
      </c>
    </row>
    <row r="15" spans="1:11">
      <c r="C15" t="str">
        <f>DataNameProd2 &amp; " Machinery Expense"</f>
        <v>Breakthrough Machinery Expense</v>
      </c>
      <c r="E15" s="14">
        <f>(capReg1Prod2UnitsSoldNewProd-capReg1Prod2UnitsWiPUsed/2)*capProd21COGSPUnitPlant1+(capReg1Prod2UnitsSoldFG+capReg1Prod2UnitsWiPUsed/2)*obalProd2COGSPUnitPlant</f>
        <v>0</v>
      </c>
      <c r="F15" s="14">
        <f>(capReg1Prod2UnitsSoldNewProd-capReg1Prod2UnitsWiPUsed/2)*capProd21COGSPUnitPlant1+(capReg1Prod2UnitsSoldFG+capReg1Prod2UnitsWiPUsed/2)*obalProd2COGSPUnitPlant</f>
        <v>0</v>
      </c>
      <c r="G15" s="14">
        <f>(capReg1Prod2UnitsSoldNewProd-capReg1Prod2UnitsWiPUsed/2)*capProd21COGSPUnitPlant1+(capReg1Prod2UnitsSoldFG+capReg1Prod2UnitsWiPUsed/2)*obalProd2COGSPUnitPlant</f>
        <v>0</v>
      </c>
      <c r="H15" s="14">
        <f>(capReg1Prod2UnitsSoldNewProd-capReg1Prod2UnitsWiPUsed/2)*capProd21COGSPUnitPlant1+(capReg1Prod2UnitsSoldFG+capReg1Prod2UnitsWiPUsed/2)*obalProd2COGSPUnitPlant</f>
        <v>0</v>
      </c>
      <c r="I15" s="14">
        <f>(capReg1Prod2UnitsSoldNewProd-capReg1Prod2UnitsWiPUsed/2)*capProd21COGSPUnitPlant1+(capReg1Prod2UnitsSoldFG+capReg1Prod2UnitsWiPUsed/2)*obalProd2COGSPUnitPlant</f>
        <v>0</v>
      </c>
      <c r="J15" t="s">
        <v>3026</v>
      </c>
      <c r="K15" t="b">
        <f t="shared" si="0"/>
        <v>1</v>
      </c>
    </row>
    <row r="16" spans="1:11">
      <c r="C16" t="str">
        <f>DataNameProd2 &amp; " Depreciation Expense"</f>
        <v>Breakthrough Depreciation Expense</v>
      </c>
      <c r="E16" s="11">
        <f>capProd21COGSPUnitDep*capReg1Prod2UnitsSold</f>
        <v>0</v>
      </c>
      <c r="F16" s="11">
        <f>capProd21COGSPUnitDep*capReg1Prod2UnitsSold</f>
        <v>0</v>
      </c>
      <c r="G16" s="11">
        <f>capProd21COGSPUnitDep*capReg1Prod2UnitsSold</f>
        <v>0</v>
      </c>
      <c r="H16" s="11">
        <f>capProd21COGSPUnitDep*capReg1Prod2UnitsSold</f>
        <v>0</v>
      </c>
      <c r="I16" s="11">
        <f>capProd21COGSPUnitDep*capReg1Prod2UnitsSold</f>
        <v>0</v>
      </c>
      <c r="J16" t="s">
        <v>3230</v>
      </c>
      <c r="K16" t="b">
        <f>MAX(E16:I16)=MIN(E16:I16)</f>
        <v>1</v>
      </c>
    </row>
    <row r="17" spans="1:11">
      <c r="C17" s="207"/>
      <c r="D17" s="207"/>
      <c r="E17" s="256"/>
      <c r="F17" s="256"/>
      <c r="G17" s="256"/>
      <c r="H17" s="256"/>
      <c r="I17" s="256"/>
      <c r="K17" t="b">
        <f t="shared" si="0"/>
        <v>1</v>
      </c>
    </row>
    <row r="18" spans="1:11">
      <c r="C18" s="2" t="str">
        <f>DataNameProd2 &amp; " Manufacturing Expense"</f>
        <v>Breakthrough Manufacturing Expense</v>
      </c>
      <c r="D18" s="2"/>
      <c r="E18" s="17">
        <f>SUM(E13:E16)</f>
        <v>0</v>
      </c>
      <c r="F18" s="17">
        <f>SUM(F13:F16)</f>
        <v>0</v>
      </c>
      <c r="G18" s="17">
        <f>SUM(G13:G16)</f>
        <v>0</v>
      </c>
      <c r="H18" s="17">
        <f>SUM(H13:H16)</f>
        <v>0</v>
      </c>
      <c r="I18" s="17">
        <f>SUM(I13:I16)</f>
        <v>0</v>
      </c>
      <c r="J18" t="s">
        <v>3027</v>
      </c>
      <c r="K18" t="b">
        <f t="shared" si="0"/>
        <v>1</v>
      </c>
    </row>
    <row r="19" spans="1:11">
      <c r="C19" t="str">
        <f>DataNameProd2 &amp; " Royalties Expense"</f>
        <v>Breakthrough Royalties Expense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t="s">
        <v>3029</v>
      </c>
      <c r="K19" t="b">
        <f t="shared" si="0"/>
        <v>1</v>
      </c>
    </row>
    <row r="20" spans="1:11">
      <c r="C20" t="str">
        <f>DataNameProd2 &amp; " Speciality Brand Expense"</f>
        <v>Breakthrough Speciality Brand Expense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K20" t="b">
        <f t="shared" si="0"/>
        <v>1</v>
      </c>
    </row>
    <row r="21" spans="1:11">
      <c r="C21" s="207"/>
      <c r="D21" s="207"/>
      <c r="E21" s="257"/>
      <c r="F21" s="257"/>
      <c r="G21" s="257"/>
      <c r="H21" s="257"/>
      <c r="I21" s="257"/>
      <c r="K21" t="b">
        <f t="shared" si="0"/>
        <v>1</v>
      </c>
    </row>
    <row r="22" spans="1:11">
      <c r="C22" s="2" t="str">
        <f>DataNameProd2 &amp; " COGS"</f>
        <v>Breakthrough COGS</v>
      </c>
      <c r="D22" s="2"/>
      <c r="E22" s="17">
        <f>SUM(E18:E20)</f>
        <v>0</v>
      </c>
      <c r="F22" s="17">
        <f>SUM(F18:F20)</f>
        <v>0</v>
      </c>
      <c r="G22" s="17">
        <f>SUM(G18:G20)</f>
        <v>0</v>
      </c>
      <c r="H22" s="17">
        <f>SUM(H18:H20)</f>
        <v>0</v>
      </c>
      <c r="I22" s="17">
        <f>SUM(I18:I20)</f>
        <v>0</v>
      </c>
      <c r="J22" t="s">
        <v>3030</v>
      </c>
      <c r="K22" t="b">
        <f t="shared" si="0"/>
        <v>1</v>
      </c>
    </row>
    <row r="23" spans="1:11">
      <c r="B23" s="2" t="s">
        <v>1223</v>
      </c>
      <c r="C23" s="3"/>
      <c r="D23" s="3"/>
      <c r="E23" s="3"/>
      <c r="F23" s="3"/>
      <c r="G23" s="3"/>
      <c r="H23" s="3"/>
      <c r="I23" s="3"/>
      <c r="K23" t="b">
        <f t="shared" si="0"/>
        <v>1</v>
      </c>
    </row>
    <row r="24" spans="1:11">
      <c r="C24" s="2" t="str">
        <f>DataNameProd2 &amp; " Gross Margin"</f>
        <v>Breakthrough Gross Margin</v>
      </c>
      <c r="D24" s="2"/>
      <c r="E24" s="17">
        <f>E11-E22</f>
        <v>0</v>
      </c>
      <c r="F24" s="17">
        <f>F11-F22</f>
        <v>0</v>
      </c>
      <c r="G24" s="17">
        <f>G11-G22</f>
        <v>0</v>
      </c>
      <c r="H24" s="17">
        <f>H11-H22</f>
        <v>0</v>
      </c>
      <c r="I24" s="17">
        <f>I11-I22</f>
        <v>0</v>
      </c>
      <c r="J24" t="s">
        <v>3031</v>
      </c>
      <c r="K24" t="b">
        <f t="shared" si="0"/>
        <v>1</v>
      </c>
    </row>
    <row r="25" spans="1:11" ht="12.75">
      <c r="A25" s="22"/>
      <c r="B25" s="2" t="s">
        <v>1309</v>
      </c>
      <c r="C25" s="3"/>
      <c r="D25" s="3"/>
      <c r="E25" s="3"/>
      <c r="F25" s="3"/>
      <c r="G25" s="3"/>
      <c r="H25" s="3"/>
      <c r="I25" s="3"/>
      <c r="K25" t="b">
        <f t="shared" si="0"/>
        <v>1</v>
      </c>
    </row>
    <row r="26" spans="1:11">
      <c r="C26" s="3" t="str">
        <f>DataNameProd2 &amp; " Advertising Expense"</f>
        <v>Breakthrough Advertising Expense</v>
      </c>
      <c r="D26" s="3"/>
      <c r="E26" s="23">
        <f>IF(decDisrupt1=0,0,capProd2Adv)</f>
        <v>0</v>
      </c>
      <c r="F26" s="23">
        <f>IF(decDisrupt1=0,0,capProd2Adv)</f>
        <v>0</v>
      </c>
      <c r="G26" s="23">
        <f>IF(decDisrupt1=0,0,capProd2Adv)</f>
        <v>0</v>
      </c>
      <c r="H26" s="23">
        <f>IF(decDisrupt1=0,0,capProd2Adv)</f>
        <v>0</v>
      </c>
      <c r="I26" s="23">
        <f>IF(decDisrupt1=0,0,capProd2Adv)</f>
        <v>0</v>
      </c>
      <c r="J26" t="s">
        <v>3032</v>
      </c>
      <c r="K26" t="b">
        <f t="shared" si="0"/>
        <v>1</v>
      </c>
    </row>
    <row r="27" spans="1:11">
      <c r="C27" s="3" t="str">
        <f>DataNameProd2 &amp; " Sales Force Expense"</f>
        <v>Breakthrough Sales Force Expense</v>
      </c>
      <c r="D27" s="3"/>
      <c r="E27" s="85">
        <f>capProd2Emp1SalExp</f>
        <v>0</v>
      </c>
      <c r="F27" s="85">
        <f>capProd2Emp1SalExp</f>
        <v>0</v>
      </c>
      <c r="G27" s="85">
        <f>capProd2Emp1SalExp</f>
        <v>0</v>
      </c>
      <c r="H27" s="85">
        <f>capProd2Emp1SalExp</f>
        <v>0</v>
      </c>
      <c r="I27" s="85">
        <f>capProd2Emp1SalExp</f>
        <v>0</v>
      </c>
      <c r="J27" t="s">
        <v>3034</v>
      </c>
      <c r="K27" t="b">
        <f t="shared" si="0"/>
        <v>1</v>
      </c>
    </row>
    <row r="28" spans="1:11" ht="12.75">
      <c r="A28" s="22"/>
      <c r="B28" s="2"/>
      <c r="C28" s="264"/>
      <c r="D28" s="264"/>
      <c r="E28" s="264"/>
      <c r="F28" s="264"/>
      <c r="G28" s="264"/>
      <c r="H28" s="264"/>
      <c r="I28" s="264"/>
      <c r="K28" t="b">
        <f t="shared" si="0"/>
        <v>1</v>
      </c>
    </row>
    <row r="29" spans="1:11">
      <c r="C29" s="2" t="str">
        <f>DataNameProd2 &amp; " Selling Expense"</f>
        <v>Breakthrough Selling Expense</v>
      </c>
      <c r="D29" s="2"/>
      <c r="E29" s="17">
        <f>SUM(E26:E27)</f>
        <v>0</v>
      </c>
      <c r="F29" s="17">
        <f>SUM(F26:F27)</f>
        <v>0</v>
      </c>
      <c r="G29" s="17">
        <f>SUM(G26:G27)</f>
        <v>0</v>
      </c>
      <c r="H29" s="17">
        <f>SUM(H26:H27)</f>
        <v>0</v>
      </c>
      <c r="I29" s="17">
        <f>SUM(I26:I27)</f>
        <v>0</v>
      </c>
      <c r="K29" t="b">
        <f t="shared" si="0"/>
        <v>1</v>
      </c>
    </row>
    <row r="30" spans="1:11">
      <c r="C30" s="3" t="str">
        <f>DataNameProd2 &amp; " Inventory Handling Expense"</f>
        <v>Breakthrough Inventory Handling Expense</v>
      </c>
      <c r="D30" s="3"/>
      <c r="E30" s="23">
        <f>IF(capProd2Reg1Units=0,0,paramProd2InventoryHndlgPct*(cbalReg1Prod2MatValue+cbalReg1Prod2WIPValue+cbalReg1Prod2FGValue))</f>
        <v>0</v>
      </c>
      <c r="F30" s="23">
        <f>IF(capProd2Reg1Units=0,0,paramProd2InventoryHndlgPct*(cbalReg1Prod2MatValue+cbalReg1Prod2WIPValue+cbalReg1Prod2FGValue))</f>
        <v>0</v>
      </c>
      <c r="G30" s="23">
        <f>IF(capProd2Reg1Units=0,0,paramProd2InventoryHndlgPct*(cbalReg1Prod2MatValue+cbalReg1Prod2WIPValue+cbalReg1Prod2FGValue))</f>
        <v>0</v>
      </c>
      <c r="H30" s="23">
        <f>IF(capProd2Reg1Units=0,0,paramProd2InventoryHndlgPct*(cbalReg1Prod2MatValue+cbalReg1Prod2WIPValue+cbalReg1Prod2FGValue))</f>
        <v>0</v>
      </c>
      <c r="I30" s="23">
        <f>IF(capProd2Reg1Units=0,0,paramProd2InventoryHndlgPct*(cbalReg1Prod2MatValue+cbalReg1Prod2WIPValue+cbalReg1Prod2FGValue))</f>
        <v>0</v>
      </c>
      <c r="J30" t="s">
        <v>3035</v>
      </c>
      <c r="K30" t="b">
        <f t="shared" si="0"/>
        <v>1</v>
      </c>
    </row>
    <row r="31" spans="1:11">
      <c r="C31" s="3" t="str">
        <f>DataNameProd2 &amp; " Distribution Expense"</f>
        <v>Breakthrough Distribution Expense</v>
      </c>
      <c r="D31" s="3"/>
      <c r="E31" s="85">
        <f>paramReg1Prod2DistCostPUnit*capReg1Prod2UnitsSold</f>
        <v>0</v>
      </c>
      <c r="F31" s="85">
        <f>paramReg1Prod2DistCostPUnit*capReg1Prod2UnitsSold</f>
        <v>0</v>
      </c>
      <c r="G31" s="85">
        <f>paramReg1Prod2DistCostPUnit*capReg1Prod2UnitsSold</f>
        <v>0</v>
      </c>
      <c r="H31" s="85">
        <f>paramReg1Prod2DistCostPUnit*capReg1Prod2UnitsSold</f>
        <v>0</v>
      </c>
      <c r="I31" s="85">
        <f>paramReg1Prod2DistCostPUnit*capReg1Prod2UnitsSold</f>
        <v>0</v>
      </c>
      <c r="J31" t="s">
        <v>3028</v>
      </c>
      <c r="K31" t="b">
        <f t="shared" si="0"/>
        <v>1</v>
      </c>
    </row>
    <row r="32" spans="1:11">
      <c r="C32" s="264"/>
      <c r="D32" s="264"/>
      <c r="E32" s="264"/>
      <c r="F32" s="264"/>
      <c r="G32" s="264"/>
      <c r="H32" s="264"/>
      <c r="I32" s="264"/>
      <c r="K32" t="b">
        <f t="shared" si="0"/>
        <v>1</v>
      </c>
    </row>
    <row r="33" spans="1:11">
      <c r="C33" s="2" t="str">
        <f>DataNameProd2 &amp; " General Expense"</f>
        <v>Breakthrough General Expense</v>
      </c>
      <c r="D33" s="2"/>
      <c r="E33" s="17">
        <f>SUM(E30:E31)</f>
        <v>0</v>
      </c>
      <c r="F33" s="17">
        <f>SUM(F30:F31)</f>
        <v>0</v>
      </c>
      <c r="G33" s="17">
        <f>SUM(G30:G31)</f>
        <v>0</v>
      </c>
      <c r="H33" s="17">
        <f>SUM(H30:H31)</f>
        <v>0</v>
      </c>
      <c r="I33" s="17">
        <f>SUM(I30:I31)</f>
        <v>0</v>
      </c>
      <c r="K33" t="b">
        <f t="shared" si="0"/>
        <v>1</v>
      </c>
    </row>
    <row r="34" spans="1:11">
      <c r="C34" s="3" t="str">
        <f>DataNameProd2 &amp; " Employe Admin Expense"</f>
        <v>Breakthrough Employe Admin Expense</v>
      </c>
      <c r="D34" s="3"/>
      <c r="E34" s="11">
        <v>0</v>
      </c>
      <c r="F34" s="11">
        <v>0</v>
      </c>
      <c r="G34" s="11">
        <v>0</v>
      </c>
      <c r="H34" s="11">
        <v>0</v>
      </c>
      <c r="I34" s="11">
        <v>0</v>
      </c>
      <c r="J34" t="s">
        <v>3036</v>
      </c>
      <c r="K34" t="b">
        <f t="shared" si="0"/>
        <v>1</v>
      </c>
    </row>
    <row r="35" spans="1:11">
      <c r="C35" s="3" t="str">
        <f>DataNameProd2 &amp; " Recruit/ Dismisall Expense"</f>
        <v>Breakthrough Recruit/ Dismisall Expense</v>
      </c>
      <c r="D35" s="3"/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t="s">
        <v>3037</v>
      </c>
      <c r="K35" t="b">
        <f t="shared" si="0"/>
        <v>1</v>
      </c>
    </row>
    <row r="36" spans="1:11">
      <c r="C36" s="3" t="str">
        <f>DataNameProd2 &amp; " Fixed Admin Expense"</f>
        <v>Breakthrough Fixed Admin Expense</v>
      </c>
      <c r="D36" s="3"/>
      <c r="E36" s="23">
        <f>IF(decDisrupt1=0,0,paramProd2FixedAdmin)</f>
        <v>0</v>
      </c>
      <c r="F36" s="23">
        <f>IF(decDisrupt1=0,0,paramProd2FixedAdmin)</f>
        <v>0</v>
      </c>
      <c r="G36" s="23">
        <f>IF(decDisrupt1=0,0,paramProd2FixedAdmin)</f>
        <v>0</v>
      </c>
      <c r="H36" s="23">
        <f>IF(decDisrupt1=0,0,paramProd2FixedAdmin)</f>
        <v>0</v>
      </c>
      <c r="I36" s="23">
        <f>IF(decDisrupt1=0,0,paramProd2FixedAdmin)</f>
        <v>0</v>
      </c>
      <c r="J36" t="s">
        <v>3038</v>
      </c>
      <c r="K36" t="b">
        <f t="shared" si="0"/>
        <v>1</v>
      </c>
    </row>
    <row r="37" spans="1:11">
      <c r="C37" s="264"/>
      <c r="D37" s="264"/>
      <c r="E37" s="264"/>
      <c r="F37" s="264"/>
      <c r="G37" s="264"/>
      <c r="H37" s="264"/>
      <c r="I37" s="264"/>
      <c r="K37" t="b">
        <f t="shared" si="0"/>
        <v>1</v>
      </c>
    </row>
    <row r="38" spans="1:11">
      <c r="C38" s="2" t="str">
        <f>DataNameProd2 &amp; " Administration Expense"</f>
        <v>Breakthrough Administration Expense</v>
      </c>
      <c r="D38" s="2"/>
      <c r="E38" s="17">
        <f>SUM(E34:E36)</f>
        <v>0</v>
      </c>
      <c r="F38" s="17">
        <f>SUM(F34:F36)</f>
        <v>0</v>
      </c>
      <c r="G38" s="17">
        <f>SUM(G34:G36)</f>
        <v>0</v>
      </c>
      <c r="H38" s="17">
        <f>SUM(H34:H36)</f>
        <v>0</v>
      </c>
      <c r="I38" s="17">
        <f>SUM(I34:I36)</f>
        <v>0</v>
      </c>
      <c r="K38" t="b">
        <f t="shared" si="0"/>
        <v>1</v>
      </c>
    </row>
    <row r="39" spans="1:11">
      <c r="C39" s="2" t="str">
        <f>DataNameProd2 &amp; " SGA Expense"</f>
        <v>Breakthrough SGA Expense</v>
      </c>
      <c r="D39" s="2"/>
      <c r="E39" s="17">
        <f>E29+E33+E38</f>
        <v>0</v>
      </c>
      <c r="F39" s="17">
        <f>F29+F33+F38</f>
        <v>0</v>
      </c>
      <c r="G39" s="17">
        <f>G29+G33+G38</f>
        <v>0</v>
      </c>
      <c r="H39" s="17">
        <f>H29+H33+H38</f>
        <v>0</v>
      </c>
      <c r="I39" s="17">
        <f>I29+I33+I38</f>
        <v>0</v>
      </c>
      <c r="J39" t="s">
        <v>3911</v>
      </c>
      <c r="K39" t="b">
        <f t="shared" si="0"/>
        <v>1</v>
      </c>
    </row>
    <row r="40" spans="1:11" ht="12.75">
      <c r="A40" s="22"/>
      <c r="B40" s="2" t="s">
        <v>2966</v>
      </c>
      <c r="C40" s="3"/>
      <c r="D40" s="3"/>
      <c r="E40" s="3"/>
      <c r="F40" s="3"/>
      <c r="G40" s="3"/>
      <c r="H40" s="3"/>
      <c r="I40" s="3"/>
      <c r="K40" t="b">
        <f t="shared" si="0"/>
        <v>1</v>
      </c>
    </row>
    <row r="41" spans="1:11">
      <c r="C41" t="str">
        <f>DataNameProd2 &amp; " Family Brand R&amp;D"</f>
        <v>Breakthrough Family Brand R&amp;D</v>
      </c>
      <c r="E41" s="11">
        <f>IF(capProd2Reg1Units=0,0,(capProd2Reg1Units/(capProd2Reg1Units+capProd2Reg2Units))*paramProd2RDFtr1Cost*MAX(0,cbalProd2Ftr1Level-obalProd2Ftr1Level))</f>
        <v>0</v>
      </c>
      <c r="F41" s="11">
        <f>IF(capProd2Reg1Units=0,0,(capProd2Reg1Units/(capProd2Reg1Units+capProd2Reg2Units))*paramProd2RDFtr1Cost*MAX(0,cbalProd2Ftr1Level-obalProd2Ftr1Level))</f>
        <v>0</v>
      </c>
      <c r="G41" s="11">
        <f>IF(capProd2Reg1Units=0,0,(capProd2Reg1Units/(capProd2Reg1Units+capProd2Reg2Units))*paramProd2RDFtr1Cost*MAX(0,cbalProd2Ftr1Level-obalProd2Ftr1Level))</f>
        <v>0</v>
      </c>
      <c r="H41" s="11">
        <f>IF(capProd2Reg1Units=0,0,(capProd2Reg1Units/(capProd2Reg1Units+capProd2Reg2Units))*paramProd2RDFtr1Cost*MAX(0,cbalProd2Ftr1Level-obalProd2Ftr1Level))</f>
        <v>0</v>
      </c>
      <c r="I41" s="11">
        <f>IF(capProd2Reg1Units=0,0,(capProd2Reg1Units/(capProd2Reg1Units+capProd2Reg2Units))*paramProd2RDFtr1Cost*MAX(0,cbalProd2Ftr1Level-obalProd2Ftr1Level))</f>
        <v>0</v>
      </c>
      <c r="J41" t="s">
        <v>3912</v>
      </c>
      <c r="K41" t="b">
        <f t="shared" si="0"/>
        <v>1</v>
      </c>
    </row>
    <row r="42" spans="1:11">
      <c r="C42" t="str">
        <f>DataNameProd2 &amp; " Partner Brand R&amp;D"</f>
        <v>Breakthrough Partner Brand R&amp;D</v>
      </c>
      <c r="E42" s="11">
        <f>IF(capProd2Reg1Units=0,0,(capProd2Reg1Units/(capProd2Reg1Units+capProd2Reg2Units))*paramProd2RDFtr2Cost*MAX(0,cbalProd2Ftr2Level-obalProd2Ftr2Level))</f>
        <v>0</v>
      </c>
      <c r="F42" s="11">
        <f>IF(capProd2Reg1Units=0,0,(capProd2Reg1Units/(capProd2Reg1Units+capProd2Reg2Units))*paramProd2RDFtr2Cost*MAX(0,cbalProd2Ftr2Level-obalProd2Ftr2Level))</f>
        <v>0</v>
      </c>
      <c r="G42" s="11">
        <f>IF(capProd2Reg1Units=0,0,(capProd2Reg1Units/(capProd2Reg1Units+capProd2Reg2Units))*paramProd2RDFtr2Cost*MAX(0,cbalProd2Ftr2Level-obalProd2Ftr2Level))</f>
        <v>0</v>
      </c>
      <c r="H42" s="11">
        <f>IF(capProd2Reg1Units=0,0,(capProd2Reg1Units/(capProd2Reg1Units+capProd2Reg2Units))*paramProd2RDFtr2Cost*MAX(0,cbalProd2Ftr2Level-obalProd2Ftr2Level))</f>
        <v>0</v>
      </c>
      <c r="I42" s="11">
        <f>IF(capProd2Reg1Units=0,0,(capProd2Reg1Units/(capProd2Reg1Units+capProd2Reg2Units))*paramProd2RDFtr2Cost*MAX(0,cbalProd2Ftr2Level-obalProd2Ftr2Level))</f>
        <v>0</v>
      </c>
      <c r="J42" t="s">
        <v>3913</v>
      </c>
      <c r="K42" t="b">
        <f t="shared" si="0"/>
        <v>1</v>
      </c>
    </row>
    <row r="43" spans="1:11">
      <c r="C43" t="str">
        <f>DataNameProd2 &amp; " Portfolio Development"</f>
        <v>Breakthrough Portfolio Development</v>
      </c>
      <c r="E43" s="11">
        <f>IF(decDisrupt1=0,0,(capProd2Reg1Units/(capProd2Reg1Units+capProd2Reg2Units))*paramProd2RDFtr4Cost*MAX(0.5,cbalProd2Ftr4Level-obalProd2Ftr4Level))</f>
        <v>0</v>
      </c>
      <c r="F43" s="11">
        <f>IF(decDisrupt1=0,0,(capProd2Reg1Units/(capProd2Reg1Units+capProd2Reg2Units))*paramProd2RDFtr4Cost*MAX(0.5,cbalProd2Ftr4Level-obalProd2Ftr4Level))</f>
        <v>0</v>
      </c>
      <c r="G43" s="11">
        <f>IF(decDisrupt1=0,0,(capProd2Reg1Units/(capProd2Reg1Units+capProd2Reg2Units))*paramProd2RDFtr4Cost*MAX(0.5,cbalProd2Ftr4Level-obalProd2Ftr4Level))</f>
        <v>0</v>
      </c>
      <c r="H43" s="11">
        <f>IF(decDisrupt1=0,0,(capProd2Reg1Units/(capProd2Reg1Units+capProd2Reg2Units))*paramProd2RDFtr4Cost*MAX(0.5,cbalProd2Ftr4Level-obalProd2Ftr4Level))</f>
        <v>0</v>
      </c>
      <c r="I43" s="11">
        <f>IF(decDisrupt1=0,0,(capProd2Reg1Units/(capProd2Reg1Units+capProd2Reg2Units))*paramProd2RDFtr4Cost*MAX(0.5,cbalProd2Ftr4Level-obalProd2Ftr4Level))</f>
        <v>0</v>
      </c>
      <c r="J43" t="s">
        <v>3914</v>
      </c>
      <c r="K43" t="b">
        <f t="shared" si="0"/>
        <v>1</v>
      </c>
    </row>
    <row r="44" spans="1:11">
      <c r="C44" t="str">
        <f>DataNameProd2 &amp; " Long Term R&amp;D"</f>
        <v>Breakthrough Long Term R&amp;D</v>
      </c>
      <c r="E44" s="11"/>
      <c r="F44" s="11"/>
      <c r="G44" s="11"/>
      <c r="H44" s="11"/>
      <c r="I44" s="11"/>
      <c r="K44" t="b">
        <f t="shared" si="0"/>
        <v>1</v>
      </c>
    </row>
    <row r="45" spans="1:11" ht="12.75">
      <c r="A45" s="22"/>
      <c r="B45" s="2"/>
      <c r="C45" s="207"/>
      <c r="D45" s="207"/>
      <c r="E45" s="207"/>
      <c r="F45" s="207"/>
      <c r="G45" s="207"/>
      <c r="H45" s="207"/>
      <c r="I45" s="207"/>
      <c r="K45" t="b">
        <f t="shared" si="0"/>
        <v>1</v>
      </c>
    </row>
    <row r="46" spans="1:11">
      <c r="C46" s="2" t="str">
        <f>DataNameProd2 &amp; " R&amp;D Expense"</f>
        <v>Breakthrough R&amp;D Expense</v>
      </c>
      <c r="D46" s="2"/>
      <c r="E46" s="13">
        <f>SUM(E41:E44)</f>
        <v>0</v>
      </c>
      <c r="F46" s="13">
        <f>SUM(F41:F44)</f>
        <v>0</v>
      </c>
      <c r="G46" s="13">
        <f>SUM(G41:G44)</f>
        <v>0</v>
      </c>
      <c r="H46" s="13">
        <f>SUM(H41:H44)</f>
        <v>0</v>
      </c>
      <c r="I46" s="13">
        <f>SUM(I41:I44)</f>
        <v>0</v>
      </c>
      <c r="J46" t="s">
        <v>196</v>
      </c>
      <c r="K46" t="b">
        <f t="shared" si="0"/>
        <v>1</v>
      </c>
    </row>
    <row r="47" spans="1:11">
      <c r="B47" s="2" t="s">
        <v>2465</v>
      </c>
      <c r="K47" t="b">
        <f t="shared" si="0"/>
        <v>1</v>
      </c>
    </row>
    <row r="48" spans="1:11">
      <c r="B48" s="2"/>
      <c r="C48" t="str">
        <f>DataNameProd2 &amp; " Inefficiency Expense"</f>
        <v>Breakthrough Inefficiency Expense</v>
      </c>
      <c r="K48" t="b">
        <f t="shared" si="0"/>
        <v>1</v>
      </c>
    </row>
    <row r="49" spans="1:11">
      <c r="B49" s="2"/>
      <c r="C49" t="str">
        <f>DataNameProd2 &amp; " Excess Capacity Expense"</f>
        <v>Breakthrough Excess Capacity Expense</v>
      </c>
      <c r="K49" t="b">
        <f t="shared" si="0"/>
        <v>1</v>
      </c>
    </row>
    <row r="50" spans="1:11">
      <c r="C50" t="str">
        <f>DataNameProd2 &amp; " Disposal Expense"</f>
        <v>Breakthrough Disposal Expense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t="s">
        <v>3227</v>
      </c>
      <c r="K50" t="b">
        <f t="shared" si="0"/>
        <v>1</v>
      </c>
    </row>
    <row r="51" spans="1:11">
      <c r="C51" t="str">
        <f>DataNameProd2 &amp; " Special Programs Expense"</f>
        <v>Breakthrough Special Programs Expense</v>
      </c>
      <c r="E51" s="11">
        <f>paramSpecProgReg1Prod2Exp</f>
        <v>0</v>
      </c>
      <c r="F51" s="11">
        <f>paramSpecProgReg1Prod2Exp</f>
        <v>0</v>
      </c>
      <c r="G51" s="11">
        <f>paramSpecProgReg1Prod2Exp</f>
        <v>0</v>
      </c>
      <c r="H51" s="11">
        <f>paramSpecProgReg1Prod2Exp</f>
        <v>0</v>
      </c>
      <c r="I51" s="11">
        <f>paramSpecProgReg1Prod2Exp</f>
        <v>0</v>
      </c>
      <c r="J51" t="s">
        <v>3228</v>
      </c>
      <c r="K51" t="b">
        <f t="shared" si="0"/>
        <v>1</v>
      </c>
    </row>
    <row r="52" spans="1:11">
      <c r="C52" s="207"/>
      <c r="D52" s="207"/>
      <c r="E52" s="207"/>
      <c r="F52" s="207"/>
      <c r="G52" s="207"/>
      <c r="H52" s="207"/>
      <c r="I52" s="207"/>
      <c r="K52" t="b">
        <f t="shared" si="0"/>
        <v>1</v>
      </c>
    </row>
    <row r="53" spans="1:11">
      <c r="A53" s="2"/>
      <c r="C53" s="2" t="str">
        <f>DataNameProd2 &amp; " Other Op Expense"</f>
        <v>Breakthrough Other Op Expense</v>
      </c>
      <c r="E53" s="13">
        <f>SUM(E48:E51)</f>
        <v>0</v>
      </c>
      <c r="F53" s="13">
        <f>SUM(F48:F51)</f>
        <v>0</v>
      </c>
      <c r="G53" s="13">
        <f>SUM(G48:G51)</f>
        <v>0</v>
      </c>
      <c r="H53" s="13">
        <f>SUM(H48:H51)</f>
        <v>0</v>
      </c>
      <c r="I53" s="13">
        <f>SUM(I48:I51)</f>
        <v>0</v>
      </c>
      <c r="J53" s="3" t="s">
        <v>3229</v>
      </c>
      <c r="K53" t="b">
        <f t="shared" si="0"/>
        <v>1</v>
      </c>
    </row>
    <row r="54" spans="1:11">
      <c r="C54" t="str">
        <f>DataNameProd2 &amp; " Operating Expense"</f>
        <v>Breakthrough Operating Expense</v>
      </c>
      <c r="E54" s="11">
        <f>E39+E46+E53</f>
        <v>0</v>
      </c>
      <c r="F54" s="11">
        <f>F39+F46+F53</f>
        <v>0</v>
      </c>
      <c r="G54" s="11">
        <f>G39+G46+G53</f>
        <v>0</v>
      </c>
      <c r="H54" s="11">
        <f>H39+H46+H53</f>
        <v>0</v>
      </c>
      <c r="I54" s="11">
        <f>I39+I46+I53</f>
        <v>0</v>
      </c>
      <c r="K54" t="b">
        <f t="shared" si="0"/>
        <v>1</v>
      </c>
    </row>
    <row r="55" spans="1:11">
      <c r="B55" s="2" t="str">
        <f>DataNameProd2 &amp; " Operating Margin"</f>
        <v>Breakthrough Operating Margin</v>
      </c>
      <c r="E55" s="14">
        <f>E24-E54</f>
        <v>0</v>
      </c>
      <c r="F55" s="14">
        <f>F24-F54</f>
        <v>0</v>
      </c>
      <c r="G55" s="14">
        <f>G24-G54</f>
        <v>0</v>
      </c>
      <c r="H55" s="14">
        <f>H24-H54</f>
        <v>0</v>
      </c>
      <c r="I55" s="14">
        <f>I24-I54</f>
        <v>0</v>
      </c>
      <c r="J55" t="s">
        <v>3231</v>
      </c>
      <c r="K55" t="b">
        <f t="shared" si="0"/>
        <v>1</v>
      </c>
    </row>
    <row r="56" spans="1:11">
      <c r="B56" s="2"/>
      <c r="E56" s="15">
        <f>IFERROR(E55/E11,0)</f>
        <v>0</v>
      </c>
      <c r="F56" s="15">
        <f t="shared" ref="F56:I56" si="1">IFERROR(F55/F11,0)</f>
        <v>0</v>
      </c>
      <c r="G56" s="15">
        <f t="shared" si="1"/>
        <v>0</v>
      </c>
      <c r="H56" s="15">
        <f t="shared" si="1"/>
        <v>0</v>
      </c>
      <c r="I56" s="15">
        <f t="shared" si="1"/>
        <v>0</v>
      </c>
      <c r="K56" t="b">
        <f t="shared" si="0"/>
        <v>1</v>
      </c>
    </row>
    <row r="57" spans="1:11" ht="12.75">
      <c r="A57" s="22" t="str">
        <f>DataNameProd2&amp;" Slot 2"</f>
        <v>Breakthrough Slot 2</v>
      </c>
      <c r="K57" t="b">
        <f t="shared" si="0"/>
        <v>1</v>
      </c>
    </row>
    <row r="58" spans="1:11">
      <c r="B58" s="2" t="s">
        <v>3754</v>
      </c>
      <c r="K58" t="b">
        <f t="shared" si="0"/>
        <v>1</v>
      </c>
    </row>
    <row r="59" spans="1:11">
      <c r="C59" s="3" t="str">
        <f>DataNameProd2 &amp; " Revenues"</f>
        <v>Breakthrough Revenues</v>
      </c>
      <c r="D59" s="2"/>
      <c r="E59" s="85">
        <f>capReg2Prod2UnitsSold*capProd2Reg2Price</f>
        <v>0</v>
      </c>
      <c r="F59" s="85">
        <f>capReg2Prod2UnitsSold*capProd2Reg2Price</f>
        <v>0</v>
      </c>
      <c r="G59" s="85">
        <f>capReg2Prod2UnitsSold*capProd2Reg2Price</f>
        <v>0</v>
      </c>
      <c r="H59" s="85">
        <f>capReg2Prod2UnitsSold*capProd2Reg2Price</f>
        <v>0</v>
      </c>
      <c r="I59" s="85">
        <f>capReg2Prod2UnitsSold*capProd2Reg2Price</f>
        <v>0</v>
      </c>
      <c r="J59" t="s">
        <v>418</v>
      </c>
      <c r="K59" t="b">
        <f t="shared" si="0"/>
        <v>1</v>
      </c>
    </row>
    <row r="60" spans="1:11">
      <c r="C60" s="3" t="str">
        <f>DataNameProd2 &amp; " Promotional Expense"</f>
        <v>Breakthrough Promotional Expense</v>
      </c>
      <c r="D60" s="3"/>
      <c r="E60" s="23">
        <f>IF(decDisrupt2=0,0,decProd2Promo2)</f>
        <v>0</v>
      </c>
      <c r="F60" s="23">
        <f>IF(decDisrupt2=0,0,decProd2Promo2)</f>
        <v>0</v>
      </c>
      <c r="G60" s="23">
        <f>IF(decDisrupt2=0,0,decProd2Promo2)</f>
        <v>0</v>
      </c>
      <c r="H60" s="23">
        <f>IF(decDisrupt2=0,0,decProd2Promo2)</f>
        <v>0</v>
      </c>
      <c r="I60" s="23">
        <f>IF(decDisrupt2=0,0,decProd2Promo2)</f>
        <v>0</v>
      </c>
      <c r="J60" t="s">
        <v>3569</v>
      </c>
      <c r="K60" t="b">
        <f t="shared" si="0"/>
        <v>1</v>
      </c>
    </row>
    <row r="61" spans="1:11">
      <c r="C61" s="2" t="str">
        <f>DataNameProd2 &amp; " Net Revenues"</f>
        <v>Breakthrough Net Revenues</v>
      </c>
      <c r="D61" s="2"/>
      <c r="E61" s="13">
        <f>E59-E60</f>
        <v>0</v>
      </c>
      <c r="F61" s="13">
        <f>F59-F60</f>
        <v>0</v>
      </c>
      <c r="G61" s="13">
        <f>G59-G60</f>
        <v>0</v>
      </c>
      <c r="H61" s="13">
        <f>H59-H60</f>
        <v>0</v>
      </c>
      <c r="I61" s="13">
        <f>I59-I60</f>
        <v>0</v>
      </c>
      <c r="J61" t="s">
        <v>2664</v>
      </c>
      <c r="K61" t="b">
        <f t="shared" si="0"/>
        <v>1</v>
      </c>
    </row>
    <row r="62" spans="1:11">
      <c r="B62" s="2" t="s">
        <v>3640</v>
      </c>
      <c r="K62" t="b">
        <f t="shared" si="0"/>
        <v>1</v>
      </c>
    </row>
    <row r="63" spans="1:11">
      <c r="C63" t="str">
        <f>DataNameProd2 &amp; " Material Expense"</f>
        <v>Breakthrough Material Expense</v>
      </c>
      <c r="E63" s="14">
        <f>(capReg2Prod2UnitsSoldNewProd-capReg2Prod2UnitsWiPUsed/2)*capProd22COGSPUnitMat+(capReg2Prod2UnitsSoldFG+capReg2Prod2UnitsWiPUsed/2)*obalProd22COGSPUnitMat</f>
        <v>0</v>
      </c>
      <c r="F63" s="14">
        <f>(capReg2Prod2UnitsSoldNewProd-capReg2Prod2UnitsWiPUsed/2)*capProd22COGSPUnitMat+(capReg2Prod2UnitsSoldFG+capReg2Prod2UnitsWiPUsed/2)*obalProd22COGSPUnitMat</f>
        <v>0</v>
      </c>
      <c r="G63" s="14">
        <f>(capReg2Prod2UnitsSoldNewProd-capReg2Prod2UnitsWiPUsed/2)*capProd22COGSPUnitMat+(capReg2Prod2UnitsSoldFG+capReg2Prod2UnitsWiPUsed/2)*obalProd22COGSPUnitMat</f>
        <v>0</v>
      </c>
      <c r="H63" s="14">
        <f>(capReg2Prod2UnitsSoldNewProd-capReg2Prod2UnitsWiPUsed/2)*capProd22COGSPUnitMat+(capReg2Prod2UnitsSoldFG+capReg2Prod2UnitsWiPUsed/2)*obalProd22COGSPUnitMat</f>
        <v>0</v>
      </c>
      <c r="I63" s="14">
        <f>(capReg2Prod2UnitsSoldNewProd-capReg2Prod2UnitsWiPUsed/2)*capProd22COGSPUnitMat+(capReg2Prod2UnitsSoldFG+capReg2Prod2UnitsWiPUsed/2)*obalProd22COGSPUnitMat</f>
        <v>0</v>
      </c>
      <c r="J63" t="s">
        <v>3356</v>
      </c>
      <c r="K63" t="b">
        <f t="shared" si="0"/>
        <v>1</v>
      </c>
    </row>
    <row r="64" spans="1:11">
      <c r="C64" t="str">
        <f>DataNameProd2 &amp; " Labor Expense"</f>
        <v>Breakthrough Labor Expense</v>
      </c>
      <c r="E64" s="11">
        <f>capReg1Prod22Emp3Exp+capReg2Prod22Emp3Exp</f>
        <v>0</v>
      </c>
      <c r="F64" s="11">
        <f>capReg1Prod22Emp3Exp+capReg2Prod22Emp3Exp</f>
        <v>0</v>
      </c>
      <c r="G64" s="11">
        <f>capReg1Prod22Emp3Exp+capReg2Prod22Emp3Exp</f>
        <v>0</v>
      </c>
      <c r="H64" s="11">
        <f>capReg1Prod22Emp3Exp+capReg2Prod22Emp3Exp</f>
        <v>0</v>
      </c>
      <c r="I64" s="11">
        <f>capReg1Prod22Emp3Exp+capReg2Prod22Emp3Exp</f>
        <v>0</v>
      </c>
      <c r="J64" t="s">
        <v>3357</v>
      </c>
      <c r="K64" t="b">
        <f t="shared" si="0"/>
        <v>1</v>
      </c>
    </row>
    <row r="65" spans="1:11">
      <c r="C65" t="str">
        <f>DataNameProd2 &amp; " Machinery Expense"</f>
        <v>Breakthrough Machinery Expense</v>
      </c>
      <c r="E65" s="14">
        <f>(capReg2Prod2UnitsSoldNewProd-capReg2Prod2UnitsWiPUsed/2)*capProd22COGSPUnitPlant1+(capReg2Prod2UnitsSoldFG+capReg2Prod2UnitsWiPUsed/2)*obalProd2COGSPUnitPlant</f>
        <v>0</v>
      </c>
      <c r="F65" s="14">
        <f>(capReg2Prod2UnitsSoldNewProd-capReg2Prod2UnitsWiPUsed/2)*capProd22COGSPUnitPlant1+(capReg2Prod2UnitsSoldFG+capReg2Prod2UnitsWiPUsed/2)*obalProd2COGSPUnitPlant</f>
        <v>0</v>
      </c>
      <c r="G65" s="14">
        <f>(capReg2Prod2UnitsSoldNewProd-capReg2Prod2UnitsWiPUsed/2)*capProd22COGSPUnitPlant1+(capReg2Prod2UnitsSoldFG+capReg2Prod2UnitsWiPUsed/2)*obalProd2COGSPUnitPlant</f>
        <v>0</v>
      </c>
      <c r="H65" s="14">
        <f>(capReg2Prod2UnitsSoldNewProd-capReg2Prod2UnitsWiPUsed/2)*capProd22COGSPUnitPlant1+(capReg2Prod2UnitsSoldFG+capReg2Prod2UnitsWiPUsed/2)*obalProd2COGSPUnitPlant</f>
        <v>0</v>
      </c>
      <c r="I65" s="14">
        <f>(capReg2Prod2UnitsSoldNewProd-capReg2Prod2UnitsWiPUsed/2)*capProd22COGSPUnitPlant1+(capReg2Prod2UnitsSoldFG+capReg2Prod2UnitsWiPUsed/2)*obalProd2COGSPUnitPlant</f>
        <v>0</v>
      </c>
      <c r="J65" t="s">
        <v>2735</v>
      </c>
      <c r="K65" t="b">
        <f t="shared" si="0"/>
        <v>1</v>
      </c>
    </row>
    <row r="66" spans="1:11">
      <c r="C66" t="str">
        <f>DataNameProd2 &amp; " Depreciation Expense"</f>
        <v>Breakthrough Depreciation Expense</v>
      </c>
      <c r="E66" s="11">
        <f>capProd22COGSPUnitDep*capReg2Prod2UnitsSold</f>
        <v>0</v>
      </c>
      <c r="F66" s="11">
        <f>capProd22COGSPUnitDep*capReg2Prod2UnitsSold</f>
        <v>0</v>
      </c>
      <c r="G66" s="11">
        <f>capProd22COGSPUnitDep*capReg2Prod2UnitsSold</f>
        <v>0</v>
      </c>
      <c r="H66" s="11">
        <f>capProd22COGSPUnitDep*capReg2Prod2UnitsSold</f>
        <v>0</v>
      </c>
      <c r="I66" s="11">
        <f>capProd22COGSPUnitDep*capReg2Prod2UnitsSold</f>
        <v>0</v>
      </c>
      <c r="J66" t="s">
        <v>3890</v>
      </c>
      <c r="K66" t="b">
        <f>MAX(E66:I66)=MIN(E66:I66)</f>
        <v>1</v>
      </c>
    </row>
    <row r="67" spans="1:11">
      <c r="C67" s="207"/>
      <c r="D67" s="207"/>
      <c r="E67" s="256"/>
      <c r="F67" s="256"/>
      <c r="G67" s="256"/>
      <c r="H67" s="256"/>
      <c r="I67" s="256"/>
      <c r="K67" t="b">
        <f t="shared" si="0"/>
        <v>1</v>
      </c>
    </row>
    <row r="68" spans="1:11">
      <c r="C68" s="2" t="str">
        <f>DataNameProd2 &amp; " Manufacturing Expense"</f>
        <v>Breakthrough Manufacturing Expense</v>
      </c>
      <c r="D68" s="2"/>
      <c r="E68" s="17">
        <f>SUM(E63:E66)</f>
        <v>0</v>
      </c>
      <c r="F68" s="17">
        <f>SUM(F63:F66)</f>
        <v>0</v>
      </c>
      <c r="G68" s="17">
        <f>SUM(G63:G66)</f>
        <v>0</v>
      </c>
      <c r="H68" s="17">
        <f>SUM(H63:H66)</f>
        <v>0</v>
      </c>
      <c r="I68" s="17">
        <f>SUM(I63:I66)</f>
        <v>0</v>
      </c>
      <c r="J68" t="s">
        <v>1897</v>
      </c>
      <c r="K68" t="b">
        <f t="shared" si="0"/>
        <v>1</v>
      </c>
    </row>
    <row r="69" spans="1:11">
      <c r="C69" t="str">
        <f>DataNameProd2 &amp; " Royalties Expense"</f>
        <v>Breakthrough Royalties Expense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t="s">
        <v>1899</v>
      </c>
      <c r="K69" t="b">
        <f t="shared" ref="K69:K130" si="2">MAX(E69:I69)=MIN(E69:I69)</f>
        <v>1</v>
      </c>
    </row>
    <row r="70" spans="1:11">
      <c r="C70" t="str">
        <f>DataNameProd2 &amp; " Speciality Brand Expense"</f>
        <v>Breakthrough Speciality Brand Expense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K70" t="b">
        <f t="shared" si="2"/>
        <v>1</v>
      </c>
    </row>
    <row r="71" spans="1:11">
      <c r="C71" s="207"/>
      <c r="D71" s="207"/>
      <c r="E71" s="257"/>
      <c r="F71" s="257"/>
      <c r="G71" s="257"/>
      <c r="H71" s="257"/>
      <c r="I71" s="257"/>
      <c r="K71" t="b">
        <f t="shared" si="2"/>
        <v>1</v>
      </c>
    </row>
    <row r="72" spans="1:11">
      <c r="C72" s="2" t="str">
        <f>DataNameProd2 &amp; " COGS"</f>
        <v>Breakthrough COGS</v>
      </c>
      <c r="D72" s="2"/>
      <c r="E72" s="17">
        <f>SUM(E68:E70)</f>
        <v>0</v>
      </c>
      <c r="F72" s="17">
        <f>SUM(F68:F70)</f>
        <v>0</v>
      </c>
      <c r="G72" s="17">
        <f>SUM(G68:G70)</f>
        <v>0</v>
      </c>
      <c r="H72" s="17">
        <f>SUM(H68:H70)</f>
        <v>0</v>
      </c>
      <c r="I72" s="17">
        <f>SUM(I68:I70)</f>
        <v>0</v>
      </c>
      <c r="J72" t="s">
        <v>2441</v>
      </c>
      <c r="K72" t="b">
        <f t="shared" si="2"/>
        <v>1</v>
      </c>
    </row>
    <row r="73" spans="1:11">
      <c r="B73" s="2" t="s">
        <v>1223</v>
      </c>
      <c r="C73" s="3"/>
      <c r="D73" s="3"/>
      <c r="E73" s="3"/>
      <c r="F73" s="3"/>
      <c r="G73" s="3"/>
      <c r="H73" s="3"/>
      <c r="I73" s="3"/>
      <c r="K73" t="b">
        <f t="shared" si="2"/>
        <v>1</v>
      </c>
    </row>
    <row r="74" spans="1:11">
      <c r="C74" s="2" t="str">
        <f>DataNameProd2 &amp; " Gross Margin"</f>
        <v>Breakthrough Gross Margin</v>
      </c>
      <c r="D74" s="2"/>
      <c r="E74" s="17">
        <f>E61-E72</f>
        <v>0</v>
      </c>
      <c r="F74" s="17">
        <f>F61-F72</f>
        <v>0</v>
      </c>
      <c r="G74" s="17">
        <f>G61-G72</f>
        <v>0</v>
      </c>
      <c r="H74" s="17">
        <f>H61-H72</f>
        <v>0</v>
      </c>
      <c r="I74" s="17">
        <f>I61-I72</f>
        <v>0</v>
      </c>
      <c r="J74" t="s">
        <v>3567</v>
      </c>
      <c r="K74" t="b">
        <f t="shared" si="2"/>
        <v>1</v>
      </c>
    </row>
    <row r="75" spans="1:11" ht="12.75">
      <c r="A75" s="22"/>
      <c r="B75" s="2" t="s">
        <v>1309</v>
      </c>
      <c r="C75" s="3"/>
      <c r="D75" s="3"/>
      <c r="E75" s="3"/>
      <c r="F75" s="3"/>
      <c r="G75" s="3"/>
      <c r="H75" s="3"/>
      <c r="I75" s="3"/>
      <c r="K75" t="b">
        <f t="shared" si="2"/>
        <v>1</v>
      </c>
    </row>
    <row r="76" spans="1:11">
      <c r="C76" s="3" t="str">
        <f>DataNameProd2 &amp; " Advertising Expense"</f>
        <v>Breakthrough Advertising Expense</v>
      </c>
      <c r="D76" s="3"/>
      <c r="E76" s="23">
        <f>IF(decDisrupt2=0,0,capProd2Adv2)</f>
        <v>0</v>
      </c>
      <c r="F76" s="23">
        <f>IF(decDisrupt2=0,0,capProd2Adv2)</f>
        <v>0</v>
      </c>
      <c r="G76" s="23">
        <f>IF(decDisrupt2=0,0,capProd2Adv2)</f>
        <v>0</v>
      </c>
      <c r="H76" s="23">
        <f>IF(decDisrupt2=0,0,capProd2Adv2)</f>
        <v>0</v>
      </c>
      <c r="I76" s="23">
        <f>IF(decDisrupt2=0,0,capProd2Adv2)</f>
        <v>0</v>
      </c>
      <c r="J76" t="s">
        <v>3568</v>
      </c>
      <c r="K76" t="b">
        <f t="shared" si="2"/>
        <v>1</v>
      </c>
    </row>
    <row r="77" spans="1:11">
      <c r="C77" s="3" t="str">
        <f>DataNameProd2 &amp; " Sales Force Expense"</f>
        <v>Breakthrough Sales Force Expense</v>
      </c>
      <c r="D77" s="3"/>
      <c r="E77" s="85">
        <f>capProd2Emp2SalExp</f>
        <v>0</v>
      </c>
      <c r="F77" s="85">
        <f>capProd2Emp2SalExp</f>
        <v>0</v>
      </c>
      <c r="G77" s="85">
        <f>capProd2Emp2SalExp</f>
        <v>0</v>
      </c>
      <c r="H77" s="85">
        <f>capProd2Emp2SalExp</f>
        <v>0</v>
      </c>
      <c r="I77" s="85">
        <f>capProd2Emp2SalExp</f>
        <v>0</v>
      </c>
      <c r="J77" t="s">
        <v>1868</v>
      </c>
      <c r="K77" t="b">
        <f t="shared" si="2"/>
        <v>1</v>
      </c>
    </row>
    <row r="78" spans="1:11" ht="12.75">
      <c r="A78" s="22"/>
      <c r="B78" s="2"/>
      <c r="C78" s="264"/>
      <c r="D78" s="264"/>
      <c r="E78" s="264"/>
      <c r="F78" s="264"/>
      <c r="G78" s="264"/>
      <c r="H78" s="264"/>
      <c r="I78" s="264"/>
      <c r="K78" t="b">
        <f t="shared" si="2"/>
        <v>1</v>
      </c>
    </row>
    <row r="79" spans="1:11">
      <c r="C79" s="2" t="str">
        <f>DataNameProd2 &amp; " Selling Expense"</f>
        <v>Breakthrough Selling Expense</v>
      </c>
      <c r="D79" s="2"/>
      <c r="E79" s="17">
        <f>SUM(E76:E77)</f>
        <v>0</v>
      </c>
      <c r="F79" s="17">
        <f>SUM(F76:F77)</f>
        <v>0</v>
      </c>
      <c r="G79" s="17">
        <f>SUM(G76:G77)</f>
        <v>0</v>
      </c>
      <c r="H79" s="17">
        <f>SUM(H76:H77)</f>
        <v>0</v>
      </c>
      <c r="I79" s="17">
        <f>SUM(I76:I77)</f>
        <v>0</v>
      </c>
      <c r="K79" t="b">
        <f t="shared" si="2"/>
        <v>1</v>
      </c>
    </row>
    <row r="80" spans="1:11">
      <c r="C80" s="3" t="str">
        <f>DataNameProd2 &amp; " Inventory Handling Expense"</f>
        <v>Breakthrough Inventory Handling Expense</v>
      </c>
      <c r="D80" s="3"/>
      <c r="E80" s="23">
        <f>IF(capProd2Reg2Units=0,0,paramProd2InventoryHndlgPct*(cbalReg2Prod2MatValue+cbalReg2Prod2WIPValue+cbalReg2Prod2FGValue))</f>
        <v>0</v>
      </c>
      <c r="F80" s="23">
        <f>IF(capProd2Reg2Units=0,0,paramProd2InventoryHndlgPct*(cbalReg2Prod2MatValue+cbalReg2Prod2WIPValue+cbalReg2Prod2FGValue))</f>
        <v>0</v>
      </c>
      <c r="G80" s="23">
        <f>IF(capProd2Reg2Units=0,0,paramProd2InventoryHndlgPct*(cbalReg2Prod2MatValue+cbalReg2Prod2WIPValue+cbalReg2Prod2FGValue))</f>
        <v>0</v>
      </c>
      <c r="H80" s="23">
        <f>IF(capProd2Reg2Units=0,0,paramProd2InventoryHndlgPct*(cbalReg2Prod2MatValue+cbalReg2Prod2WIPValue+cbalReg2Prod2FGValue))</f>
        <v>0</v>
      </c>
      <c r="I80" s="23">
        <f>IF(capProd2Reg2Units=0,0,paramProd2InventoryHndlgPct*(cbalReg2Prod2MatValue+cbalReg2Prod2WIPValue+cbalReg2Prod2FGValue))</f>
        <v>0</v>
      </c>
      <c r="J80" t="s">
        <v>1869</v>
      </c>
      <c r="K80" t="b">
        <f t="shared" si="2"/>
        <v>1</v>
      </c>
    </row>
    <row r="81" spans="1:16">
      <c r="C81" s="3" t="str">
        <f>DataNameProd2 &amp; " Distribution Expense"</f>
        <v>Breakthrough Distribution Expense</v>
      </c>
      <c r="D81" s="3"/>
      <c r="E81" s="85">
        <f>paramReg2Prod2DistCostPUnit*capReg2Prod2UnitsSold</f>
        <v>0</v>
      </c>
      <c r="F81" s="85">
        <f>paramReg2Prod2DistCostPUnit*capReg2Prod2UnitsSold</f>
        <v>0</v>
      </c>
      <c r="G81" s="85">
        <f>paramReg2Prod2DistCostPUnit*capReg2Prod2UnitsSold</f>
        <v>0</v>
      </c>
      <c r="H81" s="85">
        <f>paramReg2Prod2DistCostPUnit*capReg2Prod2UnitsSold</f>
        <v>0</v>
      </c>
      <c r="I81" s="85">
        <f>paramReg2Prod2DistCostPUnit*capReg2Prod2UnitsSold</f>
        <v>0</v>
      </c>
      <c r="J81" t="s">
        <v>1898</v>
      </c>
      <c r="K81" t="b">
        <f t="shared" si="2"/>
        <v>1</v>
      </c>
    </row>
    <row r="82" spans="1:16">
      <c r="C82" s="264"/>
      <c r="D82" s="264"/>
      <c r="E82" s="264"/>
      <c r="F82" s="264"/>
      <c r="G82" s="264"/>
      <c r="H82" s="264"/>
      <c r="I82" s="264"/>
      <c r="K82" t="b">
        <f t="shared" si="2"/>
        <v>1</v>
      </c>
    </row>
    <row r="83" spans="1:16">
      <c r="C83" s="2" t="str">
        <f>DataNameProd2 &amp; " General Expense"</f>
        <v>Breakthrough General Expense</v>
      </c>
      <c r="D83" s="2"/>
      <c r="E83" s="17">
        <f>SUM(E80:E81)</f>
        <v>0</v>
      </c>
      <c r="F83" s="17">
        <f>SUM(F80:F81)</f>
        <v>0</v>
      </c>
      <c r="G83" s="17">
        <f>SUM(G80:G81)</f>
        <v>0</v>
      </c>
      <c r="H83" s="17">
        <f>SUM(H80:H81)</f>
        <v>0</v>
      </c>
      <c r="I83" s="17">
        <f>SUM(I80:I81)</f>
        <v>0</v>
      </c>
      <c r="K83" t="b">
        <f t="shared" si="2"/>
        <v>1</v>
      </c>
    </row>
    <row r="84" spans="1:16">
      <c r="C84" s="3" t="str">
        <f>DataNameProd2 &amp; " Employe Admin Expense"</f>
        <v>Breakthrough Employe Admin Expense</v>
      </c>
      <c r="D84" s="3"/>
      <c r="E84" s="11">
        <v>0</v>
      </c>
      <c r="F84" s="11">
        <v>0</v>
      </c>
      <c r="G84" s="11">
        <v>0</v>
      </c>
      <c r="H84" s="11">
        <v>0</v>
      </c>
      <c r="I84" s="11">
        <v>0</v>
      </c>
      <c r="J84" t="s">
        <v>1870</v>
      </c>
      <c r="K84" t="b">
        <f t="shared" si="2"/>
        <v>1</v>
      </c>
      <c r="M84" s="11"/>
      <c r="N84" s="11"/>
      <c r="O84" s="11"/>
      <c r="P84" s="11"/>
    </row>
    <row r="85" spans="1:16">
      <c r="C85" s="3" t="str">
        <f>DataNameProd2 &amp; " Recruit/ Dismisall Expense"</f>
        <v>Breakthrough Recruit/ Dismisall Expense</v>
      </c>
      <c r="D85" s="3"/>
      <c r="E85" s="11">
        <v>0</v>
      </c>
      <c r="F85" s="11">
        <v>0</v>
      </c>
      <c r="G85" s="11">
        <v>0</v>
      </c>
      <c r="H85" s="11">
        <v>0</v>
      </c>
      <c r="I85" s="11">
        <v>0</v>
      </c>
      <c r="J85" t="s">
        <v>1871</v>
      </c>
      <c r="K85" t="b">
        <f t="shared" si="2"/>
        <v>1</v>
      </c>
      <c r="M85" s="11"/>
      <c r="N85" s="11"/>
      <c r="O85" s="11"/>
      <c r="P85" s="11"/>
    </row>
    <row r="86" spans="1:16">
      <c r="C86" s="3" t="str">
        <f>DataNameProd2 &amp; " Fixed Admin Expense"</f>
        <v>Breakthrough Fixed Admin Expense</v>
      </c>
      <c r="D86" s="3"/>
      <c r="E86" s="23">
        <f>IF(decDisrupt2=0,0,paramProd2FixedAdmin)</f>
        <v>0</v>
      </c>
      <c r="F86" s="23">
        <f>IF(decDisrupt2=0,0,paramProd2FixedAdmin)</f>
        <v>0</v>
      </c>
      <c r="G86" s="23">
        <f>IF(decDisrupt2=0,0,paramProd2FixedAdmin)</f>
        <v>0</v>
      </c>
      <c r="H86" s="23">
        <f>IF(decDisrupt2=0,0,paramProd2FixedAdmin)</f>
        <v>0</v>
      </c>
      <c r="I86" s="23">
        <f>IF(decDisrupt2=0,0,paramProd2FixedAdmin)</f>
        <v>0</v>
      </c>
      <c r="J86" t="s">
        <v>1872</v>
      </c>
      <c r="K86" t="b">
        <f t="shared" si="2"/>
        <v>1</v>
      </c>
      <c r="M86" s="23"/>
      <c r="N86" s="23"/>
      <c r="O86" s="23"/>
      <c r="P86" s="23"/>
    </row>
    <row r="87" spans="1:16">
      <c r="C87" s="264"/>
      <c r="D87" s="264"/>
      <c r="E87" s="264"/>
      <c r="F87" s="264"/>
      <c r="G87" s="264"/>
      <c r="H87" s="264"/>
      <c r="I87" s="264"/>
      <c r="K87" t="b">
        <f t="shared" si="2"/>
        <v>1</v>
      </c>
    </row>
    <row r="88" spans="1:16">
      <c r="C88" s="2" t="str">
        <f>DataNameProd2 &amp; " Administration Expense"</f>
        <v>Breakthrough Administration Expense</v>
      </c>
      <c r="D88" s="2"/>
      <c r="E88" s="17">
        <f>SUM(E84:E86)</f>
        <v>0</v>
      </c>
      <c r="F88" s="17">
        <f>SUM(F84:F86)</f>
        <v>0</v>
      </c>
      <c r="G88" s="17">
        <f>SUM(G84:G86)</f>
        <v>0</v>
      </c>
      <c r="H88" s="17">
        <f>SUM(H84:H86)</f>
        <v>0</v>
      </c>
      <c r="I88" s="17">
        <f>SUM(I84:I86)</f>
        <v>0</v>
      </c>
      <c r="K88" t="b">
        <f t="shared" si="2"/>
        <v>1</v>
      </c>
    </row>
    <row r="89" spans="1:16">
      <c r="C89" s="2" t="str">
        <f>DataNameProd2 &amp; " SGA Expense"</f>
        <v>Breakthrough SGA Expense</v>
      </c>
      <c r="D89" s="2"/>
      <c r="E89" s="17">
        <f>E79+E83+E88</f>
        <v>0</v>
      </c>
      <c r="F89" s="17">
        <f>F79+F83+F88</f>
        <v>0</v>
      </c>
      <c r="G89" s="17">
        <f>G79+G83+G88</f>
        <v>0</v>
      </c>
      <c r="H89" s="17">
        <f>H79+H83+H88</f>
        <v>0</v>
      </c>
      <c r="I89" s="17">
        <f>I79+I83+I88</f>
        <v>0</v>
      </c>
      <c r="J89" t="s">
        <v>442</v>
      </c>
      <c r="K89" t="b">
        <f t="shared" si="2"/>
        <v>1</v>
      </c>
    </row>
    <row r="90" spans="1:16" ht="12.75">
      <c r="A90" s="22"/>
      <c r="B90" s="2" t="s">
        <v>2966</v>
      </c>
      <c r="C90" s="3"/>
      <c r="D90" s="3"/>
      <c r="E90" s="3"/>
      <c r="F90" s="3"/>
      <c r="G90" s="3"/>
      <c r="H90" s="3"/>
      <c r="I90" s="3"/>
      <c r="K90" t="b">
        <f t="shared" si="2"/>
        <v>1</v>
      </c>
    </row>
    <row r="91" spans="1:16">
      <c r="C91" t="str">
        <f>DataNameProd2 &amp; " Family Brand R&amp;D"</f>
        <v>Breakthrough Family Brand R&amp;D</v>
      </c>
      <c r="E91" s="11">
        <f>IF(capProd2Reg2Units=0,0,(capProd2Reg2Units/(capProd2Reg1Units+capProd2Reg2Units))*paramProd2RDFtr1Cost*MAX(0,cbalProd2Ftr1Level-obalProd2Ftr1Level))</f>
        <v>0</v>
      </c>
      <c r="F91" s="11">
        <f>IF(capProd2Reg2Units=0,0,(capProd2Reg2Units/(capProd2Reg1Units+capProd2Reg2Units))*paramProd2RDFtr1Cost*MAX(0,cbalProd2Ftr1Level-obalProd2Ftr1Level))</f>
        <v>0</v>
      </c>
      <c r="G91" s="11">
        <f>IF(capProd2Reg2Units=0,0,(capProd2Reg2Units/(capProd2Reg1Units+capProd2Reg2Units))*paramProd2RDFtr1Cost*MAX(0,cbalProd2Ftr1Level-obalProd2Ftr1Level))</f>
        <v>0</v>
      </c>
      <c r="H91" s="11">
        <f>IF(capProd2Reg2Units=0,0,(capProd2Reg2Units/(capProd2Reg1Units+capProd2Reg2Units))*paramProd2RDFtr1Cost*MAX(0,cbalProd2Ftr1Level-obalProd2Ftr1Level))</f>
        <v>0</v>
      </c>
      <c r="I91" s="11">
        <f>IF(capProd2Reg2Units=0,0,(capProd2Reg2Units/(capProd2Reg1Units+capProd2Reg2Units))*paramProd2RDFtr1Cost*MAX(0,cbalProd2Ftr1Level-obalProd2Ftr1Level))</f>
        <v>0</v>
      </c>
      <c r="J91" t="s">
        <v>443</v>
      </c>
      <c r="K91" t="b">
        <f t="shared" si="2"/>
        <v>1</v>
      </c>
    </row>
    <row r="92" spans="1:16">
      <c r="C92" t="str">
        <f>DataNameProd2 &amp; " Partner Brand R&amp;D"</f>
        <v>Breakthrough Partner Brand R&amp;D</v>
      </c>
      <c r="E92" s="11">
        <f>IF(capProd2Reg2Units=0,0,(capProd2Reg2Units/(capProd2Reg1Units+capProd2Reg2Units))*paramProd2RDFtr2Cost*MAX(0,cbalProd2Ftr2Level-obalProd2Ftr2Level))</f>
        <v>0</v>
      </c>
      <c r="F92" s="11">
        <f>IF(capProd2Reg2Units=0,0,(capProd2Reg2Units/(capProd2Reg1Units+capProd2Reg2Units))*paramProd2RDFtr2Cost*MAX(0,cbalProd2Ftr2Level-obalProd2Ftr2Level))</f>
        <v>0</v>
      </c>
      <c r="G92" s="11">
        <f>IF(capProd2Reg2Units=0,0,(capProd2Reg2Units/(capProd2Reg1Units+capProd2Reg2Units))*paramProd2RDFtr2Cost*MAX(0,cbalProd2Ftr2Level-obalProd2Ftr2Level))</f>
        <v>0</v>
      </c>
      <c r="H92" s="11">
        <f>IF(capProd2Reg2Units=0,0,(capProd2Reg2Units/(capProd2Reg1Units+capProd2Reg2Units))*paramProd2RDFtr2Cost*MAX(0,cbalProd2Ftr2Level-obalProd2Ftr2Level))</f>
        <v>0</v>
      </c>
      <c r="I92" s="11">
        <f>IF(capProd2Reg2Units=0,0,(capProd2Reg2Units/(capProd2Reg1Units+capProd2Reg2Units))*paramProd2RDFtr2Cost*MAX(0,cbalProd2Ftr2Level-obalProd2Ftr2Level))</f>
        <v>0</v>
      </c>
      <c r="J92" t="s">
        <v>444</v>
      </c>
      <c r="K92" t="b">
        <f t="shared" si="2"/>
        <v>1</v>
      </c>
    </row>
    <row r="93" spans="1:16">
      <c r="C93" t="str">
        <f>DataNameProd2 &amp; " Portfolio Development"</f>
        <v>Breakthrough Portfolio Development</v>
      </c>
      <c r="E93" s="11">
        <f>IF(decDisrupt2=0,0,(capProd2Reg2Units/(capProd2Reg1Units+capProd2Reg2Units))*paramProd2RDFtr4Cost*MAX(0.5,cbalProd2Ftr4Level-obalProd2Ftr4Level))</f>
        <v>0</v>
      </c>
      <c r="F93" s="11">
        <f>IF(decDisrupt2=0,0,(capProd2Reg2Units/(capProd2Reg1Units+capProd2Reg2Units))*paramProd2RDFtr4Cost*MAX(0.5,cbalProd2Ftr4Level-obalProd2Ftr4Level))</f>
        <v>0</v>
      </c>
      <c r="G93" s="11">
        <f>IF(decDisrupt2=0,0,(capProd2Reg2Units/(capProd2Reg1Units+capProd2Reg2Units))*paramProd2RDFtr4Cost*MAX(0.5,cbalProd2Ftr4Level-obalProd2Ftr4Level))</f>
        <v>0</v>
      </c>
      <c r="H93" s="11">
        <f>IF(decDisrupt2=0,0,(capProd2Reg2Units/(capProd2Reg1Units+capProd2Reg2Units))*paramProd2RDFtr4Cost*MAX(0.5,cbalProd2Ftr4Level-obalProd2Ftr4Level))</f>
        <v>0</v>
      </c>
      <c r="I93" s="11">
        <f>IF(decDisrupt2=0,0,(capProd2Reg2Units/(capProd2Reg1Units+capProd2Reg2Units))*paramProd2RDFtr4Cost*MAX(0.5,cbalProd2Ftr4Level-obalProd2Ftr4Level))</f>
        <v>0</v>
      </c>
      <c r="J93" t="s">
        <v>445</v>
      </c>
      <c r="K93" t="b">
        <f t="shared" si="2"/>
        <v>1</v>
      </c>
    </row>
    <row r="94" spans="1:16">
      <c r="C94" t="str">
        <f>DataNameProd2 &amp; " Long Term R&amp;D"</f>
        <v>Breakthrough Long Term R&amp;D</v>
      </c>
      <c r="E94" s="11"/>
      <c r="F94" s="11"/>
      <c r="G94" s="11"/>
      <c r="H94" s="11"/>
      <c r="I94" s="11"/>
      <c r="K94" t="b">
        <f t="shared" si="2"/>
        <v>1</v>
      </c>
    </row>
    <row r="95" spans="1:16" ht="12.75">
      <c r="A95" s="22"/>
      <c r="B95" s="2"/>
      <c r="C95" s="207"/>
      <c r="D95" s="207"/>
      <c r="E95" s="207"/>
      <c r="F95" s="207"/>
      <c r="G95" s="207"/>
      <c r="H95" s="207"/>
      <c r="I95" s="207"/>
      <c r="K95" t="b">
        <f t="shared" si="2"/>
        <v>1</v>
      </c>
    </row>
    <row r="96" spans="1:16">
      <c r="C96" s="2" t="str">
        <f>DataNameProd2 &amp; " R&amp;D Expense"</f>
        <v>Breakthrough R&amp;D Expense</v>
      </c>
      <c r="D96" s="2"/>
      <c r="E96" s="13">
        <f>SUM(E91:E94)</f>
        <v>0</v>
      </c>
      <c r="F96" s="13">
        <f>SUM(F91:F94)</f>
        <v>0</v>
      </c>
      <c r="G96" s="13">
        <f>SUM(G91:G94)</f>
        <v>0</v>
      </c>
      <c r="H96" s="13">
        <f>SUM(H91:H94)</f>
        <v>0</v>
      </c>
      <c r="I96" s="13">
        <f>SUM(I91:I94)</f>
        <v>0</v>
      </c>
      <c r="J96" t="s">
        <v>1875</v>
      </c>
      <c r="K96" t="b">
        <f t="shared" si="2"/>
        <v>1</v>
      </c>
    </row>
    <row r="97" spans="1:11">
      <c r="B97" s="2" t="s">
        <v>2465</v>
      </c>
      <c r="K97" t="b">
        <f t="shared" si="2"/>
        <v>1</v>
      </c>
    </row>
    <row r="98" spans="1:11">
      <c r="B98" s="2"/>
      <c r="C98" t="str">
        <f>DataNameProd2 &amp; " Inefficiency Expense"</f>
        <v>Breakthrough Inefficiency Expense</v>
      </c>
      <c r="K98" t="b">
        <f t="shared" si="2"/>
        <v>1</v>
      </c>
    </row>
    <row r="99" spans="1:11">
      <c r="B99" s="2"/>
      <c r="C99" t="str">
        <f>DataNameProd2 &amp; " Excess Capacity Expense"</f>
        <v>Breakthrough Excess Capacity Expense</v>
      </c>
      <c r="K99" t="b">
        <f t="shared" si="2"/>
        <v>1</v>
      </c>
    </row>
    <row r="100" spans="1:11">
      <c r="C100" t="str">
        <f>DataNameProd2 &amp; " Disposal Expense"</f>
        <v>Breakthrough Disposal Expense</v>
      </c>
      <c r="E100" s="11">
        <v>0</v>
      </c>
      <c r="F100" s="11">
        <v>0</v>
      </c>
      <c r="G100" s="11">
        <v>0</v>
      </c>
      <c r="H100" s="11">
        <v>0</v>
      </c>
      <c r="I100" s="11">
        <v>0</v>
      </c>
      <c r="J100" t="s">
        <v>1876</v>
      </c>
      <c r="K100" t="b">
        <f t="shared" si="2"/>
        <v>1</v>
      </c>
    </row>
    <row r="101" spans="1:11">
      <c r="C101" t="str">
        <f>DataNameProd2 &amp; " Special Programs Expense"</f>
        <v>Breakthrough Special Programs Expense</v>
      </c>
      <c r="E101" s="11">
        <f ca="1">paramSpecProgReg2Prod2Exp</f>
        <v>0</v>
      </c>
      <c r="F101" s="11">
        <f ca="1">paramSpecProgReg2Prod2Exp</f>
        <v>0</v>
      </c>
      <c r="G101" s="11">
        <f ca="1">paramSpecProgReg2Prod2Exp</f>
        <v>0</v>
      </c>
      <c r="H101" s="11">
        <f ca="1">paramSpecProgReg2Prod2Exp</f>
        <v>0</v>
      </c>
      <c r="I101" s="11">
        <f ca="1">paramSpecProgReg2Prod2Exp</f>
        <v>0</v>
      </c>
      <c r="J101" t="s">
        <v>1877</v>
      </c>
      <c r="K101" t="b">
        <f t="shared" ca="1" si="2"/>
        <v>1</v>
      </c>
    </row>
    <row r="102" spans="1:11">
      <c r="C102" s="207"/>
      <c r="D102" s="207"/>
      <c r="E102" s="207"/>
      <c r="F102" s="207"/>
      <c r="G102" s="207"/>
      <c r="H102" s="207"/>
      <c r="I102" s="207"/>
      <c r="K102" t="b">
        <f t="shared" si="2"/>
        <v>1</v>
      </c>
    </row>
    <row r="103" spans="1:11">
      <c r="A103" s="2"/>
      <c r="C103" s="2" t="str">
        <f>DataNameProd2 &amp; " Other Op Expense"</f>
        <v>Breakthrough Other Op Expense</v>
      </c>
      <c r="E103" s="13">
        <f ca="1">SUM(E98:E101)</f>
        <v>0</v>
      </c>
      <c r="F103" s="13">
        <f ca="1">SUM(F98:F101)</f>
        <v>0</v>
      </c>
      <c r="G103" s="13">
        <f ca="1">SUM(G98:G101)</f>
        <v>0</v>
      </c>
      <c r="H103" s="13">
        <f ca="1">SUM(H98:H101)</f>
        <v>0</v>
      </c>
      <c r="I103" s="13">
        <f ca="1">SUM(I98:I101)</f>
        <v>0</v>
      </c>
      <c r="J103" s="3" t="s">
        <v>1878</v>
      </c>
      <c r="K103" t="b">
        <f t="shared" ca="1" si="2"/>
        <v>1</v>
      </c>
    </row>
    <row r="104" spans="1:11">
      <c r="C104" t="str">
        <f>DataNameProd2 &amp; " Operating Expense"</f>
        <v>Breakthrough Operating Expense</v>
      </c>
      <c r="E104" s="11">
        <f ca="1">E89+E96+E103</f>
        <v>0</v>
      </c>
      <c r="F104" s="11">
        <f ca="1">F89+F96+F103</f>
        <v>0</v>
      </c>
      <c r="G104" s="11">
        <f ca="1">G89+G96+G103</f>
        <v>0</v>
      </c>
      <c r="H104" s="11">
        <f ca="1">H89+H96+H103</f>
        <v>0</v>
      </c>
      <c r="I104" s="11">
        <f ca="1">I89+I96+I103</f>
        <v>0</v>
      </c>
      <c r="K104" t="b">
        <f t="shared" ca="1" si="2"/>
        <v>1</v>
      </c>
    </row>
    <row r="105" spans="1:11">
      <c r="C105" s="2" t="str">
        <f>DataNameProd2 &amp; " Operating Margin"</f>
        <v>Breakthrough Operating Margin</v>
      </c>
      <c r="E105" s="14">
        <f ca="1">E74-E104</f>
        <v>0</v>
      </c>
      <c r="F105" s="14">
        <f ca="1">F74-F104</f>
        <v>0</v>
      </c>
      <c r="G105" s="14">
        <f ca="1">G74-G104</f>
        <v>0</v>
      </c>
      <c r="H105" s="14">
        <f ca="1">H74-H104</f>
        <v>0</v>
      </c>
      <c r="I105" s="14">
        <f ca="1">I74-I104</f>
        <v>0</v>
      </c>
      <c r="J105" t="s">
        <v>3891</v>
      </c>
      <c r="K105" t="b">
        <f t="shared" ca="1" si="2"/>
        <v>1</v>
      </c>
    </row>
    <row r="106" spans="1:11">
      <c r="C106" s="2"/>
      <c r="E106" s="15">
        <f ca="1">IFERROR(E105/E61,0)</f>
        <v>0</v>
      </c>
      <c r="F106" s="15">
        <f t="shared" ref="F106:I106" ca="1" si="3">IFERROR(F105/F61,0)</f>
        <v>0</v>
      </c>
      <c r="G106" s="15">
        <f t="shared" ca="1" si="3"/>
        <v>0</v>
      </c>
      <c r="H106" s="15">
        <f t="shared" ca="1" si="3"/>
        <v>0</v>
      </c>
      <c r="I106" s="15">
        <f t="shared" ca="1" si="3"/>
        <v>0</v>
      </c>
      <c r="K106" t="b">
        <f t="shared" ca="1" si="2"/>
        <v>1</v>
      </c>
    </row>
    <row r="107" spans="1:11" ht="15.75">
      <c r="A107" s="24" t="s">
        <v>3791</v>
      </c>
      <c r="B107" s="25"/>
      <c r="C107" s="25"/>
      <c r="D107" s="25"/>
      <c r="E107" s="25"/>
      <c r="F107" s="25"/>
      <c r="G107" s="25"/>
      <c r="H107" s="25"/>
      <c r="I107" s="25"/>
      <c r="K107" t="b">
        <f t="shared" si="2"/>
        <v>1</v>
      </c>
    </row>
    <row r="108" spans="1:11" ht="12.75">
      <c r="A108" s="22" t="str">
        <f>DataNameProd1</f>
        <v>CSD</v>
      </c>
      <c r="K108" t="b">
        <f t="shared" si="2"/>
        <v>1</v>
      </c>
    </row>
    <row r="109" spans="1:11">
      <c r="B109" s="2" t="s">
        <v>3754</v>
      </c>
      <c r="K109" t="b">
        <f t="shared" si="2"/>
        <v>1</v>
      </c>
    </row>
    <row r="110" spans="1:11">
      <c r="C110" s="3" t="str">
        <f>DataNameProd1 &amp; " Revenues"</f>
        <v>CSD Revenues</v>
      </c>
      <c r="D110" s="3"/>
      <c r="E110" s="85">
        <f>capReg1Prod1UnitsSold*capProd1Reg1Price</f>
        <v>7046273699.5</v>
      </c>
      <c r="F110" s="85">
        <f>capReg1Prod1UnitsSold*capProd1Reg1Price</f>
        <v>7046273699.5</v>
      </c>
      <c r="G110" s="85">
        <f>capReg1Prod1UnitsSold*capProd1Reg1Price</f>
        <v>7046273699.5</v>
      </c>
      <c r="H110" s="85">
        <f>capReg1Prod1UnitsSold*capProd1Reg1Price</f>
        <v>7046273699.5</v>
      </c>
      <c r="I110" s="85">
        <f>capReg1Prod1UnitsSold*capProd1Reg1Price</f>
        <v>7046273699.5</v>
      </c>
      <c r="J110" t="s">
        <v>1743</v>
      </c>
      <c r="K110" t="b">
        <f t="shared" si="2"/>
        <v>1</v>
      </c>
    </row>
    <row r="111" spans="1:11">
      <c r="A111" s="15"/>
      <c r="C111" s="3" t="str">
        <f>DataNameProd1 &amp; " Promotional Expense"</f>
        <v>CSD Promotional Expense</v>
      </c>
      <c r="D111" s="3"/>
      <c r="E111" s="23">
        <f>capProd1Promo</f>
        <v>1450000000</v>
      </c>
      <c r="F111" s="23">
        <f>capProd1Promo</f>
        <v>1450000000</v>
      </c>
      <c r="G111" s="23">
        <f>capProd1Promo</f>
        <v>1450000000</v>
      </c>
      <c r="H111" s="23">
        <f>capProd1Promo</f>
        <v>1450000000</v>
      </c>
      <c r="I111" s="23">
        <f>capProd1Promo</f>
        <v>1450000000</v>
      </c>
      <c r="J111" t="s">
        <v>304</v>
      </c>
      <c r="K111" t="b">
        <f t="shared" si="2"/>
        <v>1</v>
      </c>
    </row>
    <row r="112" spans="1:11">
      <c r="A112" s="15"/>
      <c r="C112" s="2" t="str">
        <f>DataNameProd1 &amp; " Net Revenues"</f>
        <v>CSD Net Revenues</v>
      </c>
      <c r="D112" s="2"/>
      <c r="E112" s="13">
        <f>E110-E111</f>
        <v>5596273699.5</v>
      </c>
      <c r="F112" s="13">
        <f>F110-F111</f>
        <v>5596273699.5</v>
      </c>
      <c r="G112" s="13">
        <f>G110-G111</f>
        <v>5596273699.5</v>
      </c>
      <c r="H112" s="13">
        <f>H110-H111</f>
        <v>5596273699.5</v>
      </c>
      <c r="I112" s="13">
        <f>I110-I111</f>
        <v>5596273699.5</v>
      </c>
      <c r="J112" t="s">
        <v>2665</v>
      </c>
      <c r="K112" t="b">
        <f t="shared" si="2"/>
        <v>1</v>
      </c>
    </row>
    <row r="113" spans="1:11">
      <c r="B113" s="2" t="s">
        <v>3640</v>
      </c>
      <c r="K113" t="b">
        <f t="shared" si="2"/>
        <v>1</v>
      </c>
    </row>
    <row r="114" spans="1:11">
      <c r="C114" t="str">
        <f>DataNameProd1 &amp; " Material Expense"</f>
        <v>CSD Material Expense</v>
      </c>
      <c r="E114" s="14">
        <f>(capReg1Prod1UnitsSoldNewProd-capReg1Prod1UnitsWiPUsed/2)*capProd1COGSPUnitMat+(capReg1Prod1UnitsSoldFG+capReg1Prod1UnitsWiPUsed/2)*obalProd1COGSPUnitMat</f>
        <v>1719961682.5657222</v>
      </c>
      <c r="F114" s="14">
        <f>(capReg1Prod1UnitsSoldNewProd-capReg1Prod1UnitsWiPUsed/2)*capProd1COGSPUnitMat+(capReg1Prod1UnitsSoldFG+capReg1Prod1UnitsWiPUsed/2)*obalProd1COGSPUnitMat</f>
        <v>1719961682.5657222</v>
      </c>
      <c r="G114" s="14">
        <f>(capReg1Prod1UnitsSoldNewProd-capReg1Prod1UnitsWiPUsed/2)*capProd1COGSPUnitMat+(capReg1Prod1UnitsSoldFG+capReg1Prod1UnitsWiPUsed/2)*obalProd1COGSPUnitMat</f>
        <v>1719961682.5657222</v>
      </c>
      <c r="H114" s="14">
        <f>(capReg1Prod1UnitsSoldNewProd-capReg1Prod1UnitsWiPUsed/2)*capProd1COGSPUnitMat+(capReg1Prod1UnitsSoldFG+capReg1Prod1UnitsWiPUsed/2)*obalProd1COGSPUnitMat</f>
        <v>1719961682.5657222</v>
      </c>
      <c r="I114" s="14">
        <f>(capReg1Prod1UnitsSoldNewProd-capReg1Prod1UnitsWiPUsed/2)*capProd1COGSPUnitMat+(capReg1Prod1UnitsSoldFG+capReg1Prod1UnitsWiPUsed/2)*obalProd1COGSPUnitMat</f>
        <v>1719961682.5657222</v>
      </c>
      <c r="J114" t="s">
        <v>1742</v>
      </c>
      <c r="K114" t="b">
        <f t="shared" si="2"/>
        <v>1</v>
      </c>
    </row>
    <row r="115" spans="1:11">
      <c r="C115" t="str">
        <f>DataNameProd1 &amp; " Labor Expense"</f>
        <v>CSD Labor Expense</v>
      </c>
      <c r="E115" s="11">
        <f>(capReg1Prod1UnitsSoldNewProd-capReg1Prod1UnitsWiPUsed/2)*capReg1Prod1CostPUnitEmp3+(capReg1Prod1UnitsSoldFG+capReg1Prod1UnitsWiPUsed/2)*obalReg1Prod1COGSPUnitLabor</f>
        <v>1125062918.9920943</v>
      </c>
      <c r="F115" s="11">
        <f>(capReg1Prod1UnitsSoldNewProd-capReg1Prod1UnitsWiPUsed/2)*capReg1Prod1CostPUnitEmp3+(capReg1Prod1UnitsSoldFG+capReg1Prod1UnitsWiPUsed/2)*obalReg1Prod1COGSPUnitLabor</f>
        <v>1125062918.9920943</v>
      </c>
      <c r="G115" s="11">
        <f>(capReg1Prod1UnitsSoldNewProd-capReg1Prod1UnitsWiPUsed/2)*capReg1Prod1CostPUnitEmp3+(capReg1Prod1UnitsSoldFG+capReg1Prod1UnitsWiPUsed/2)*obalReg1Prod1COGSPUnitLabor</f>
        <v>1125062918.9920943</v>
      </c>
      <c r="H115" s="11">
        <f>(capReg1Prod1UnitsSoldNewProd-capReg1Prod1UnitsWiPUsed/2)*capReg1Prod1CostPUnitEmp3+(capReg1Prod1UnitsSoldFG+capReg1Prod1UnitsWiPUsed/2)*obalReg1Prod1COGSPUnitLabor</f>
        <v>1125062918.9920943</v>
      </c>
      <c r="I115" s="11">
        <f>(capReg1Prod1UnitsSoldNewProd-capReg1Prod1UnitsWiPUsed/2)*capReg1Prod1CostPUnitEmp3+(capReg1Prod1UnitsSoldFG+capReg1Prod1UnitsWiPUsed/2)*obalReg1Prod1COGSPUnitLabor</f>
        <v>1125062918.9920943</v>
      </c>
      <c r="J115" t="s">
        <v>752</v>
      </c>
      <c r="K115" t="b">
        <f t="shared" si="2"/>
        <v>1</v>
      </c>
    </row>
    <row r="116" spans="1:11">
      <c r="C116" t="str">
        <f>DataNameProd1 &amp; " Machinery Expense"</f>
        <v>CSD Machinery Expense</v>
      </c>
      <c r="E116" s="14">
        <f ca="1">(capReg1Prod1UnitsSoldNewProd-capReg1Prod1UnitsWiPUsed/2)*capProd1COGSPUnitPlant1+(capReg1Prod1UnitsSoldFG+capReg1Prod1UnitsWiPUsed/2)*obalProd1COGSPUnitPlant</f>
        <v>659960.54444957688</v>
      </c>
      <c r="F116" s="14">
        <f ca="1">(capReg1Prod1UnitsSoldNewProd-capReg1Prod1UnitsWiPUsed/2)*capProd1COGSPUnitPlant1+(capReg1Prod1UnitsSoldFG+capReg1Prod1UnitsWiPUsed/2)*obalProd1COGSPUnitPlant</f>
        <v>659960.54444957688</v>
      </c>
      <c r="G116" s="14">
        <f ca="1">(capReg1Prod1UnitsSoldNewProd-capReg1Prod1UnitsWiPUsed/2)*capProd1COGSPUnitPlant1+(capReg1Prod1UnitsSoldFG+capReg1Prod1UnitsWiPUsed/2)*obalProd1COGSPUnitPlant</f>
        <v>659960.54444957688</v>
      </c>
      <c r="H116" s="14">
        <f ca="1">(capReg1Prod1UnitsSoldNewProd-capReg1Prod1UnitsWiPUsed/2)*capProd1COGSPUnitPlant1+(capReg1Prod1UnitsSoldFG+capReg1Prod1UnitsWiPUsed/2)*obalProd1COGSPUnitPlant</f>
        <v>659960.54444957688</v>
      </c>
      <c r="I116" s="14">
        <f ca="1">(capReg1Prod1UnitsSoldNewProd-capReg1Prod1UnitsWiPUsed/2)*capProd1COGSPUnitPlant1+(capReg1Prod1UnitsSoldFG+capReg1Prod1UnitsWiPUsed/2)*obalProd1COGSPUnitPlant</f>
        <v>659960.54444957688</v>
      </c>
      <c r="J116" t="s">
        <v>1744</v>
      </c>
      <c r="K116" t="b">
        <f t="shared" ca="1" si="2"/>
        <v>1</v>
      </c>
    </row>
    <row r="117" spans="1:11">
      <c r="C117" t="str">
        <f>DataNameProd1 &amp; " Depreciation Expense"</f>
        <v>CSD Depreciation Expense</v>
      </c>
      <c r="E117" s="11">
        <f>capProd1COGSPUnitDep*capReg1Prod1UnitsSold</f>
        <v>165155720.81052986</v>
      </c>
      <c r="F117" s="11">
        <f>capProd1COGSPUnitDep*capReg1Prod1UnitsSold</f>
        <v>165155720.81052986</v>
      </c>
      <c r="G117" s="11">
        <f>capProd1COGSPUnitDep*capReg1Prod1UnitsSold</f>
        <v>165155720.81052986</v>
      </c>
      <c r="H117" s="11">
        <f>capProd1COGSPUnitDep*capReg1Prod1UnitsSold</f>
        <v>165155720.81052986</v>
      </c>
      <c r="I117" s="11">
        <f>capProd1COGSPUnitDep*capReg1Prod1UnitsSold</f>
        <v>165155720.81052986</v>
      </c>
      <c r="J117" t="s">
        <v>1745</v>
      </c>
      <c r="K117" t="b">
        <f>MAX(E117:I117)=MIN(E117:I117)</f>
        <v>1</v>
      </c>
    </row>
    <row r="118" spans="1:11">
      <c r="C118" s="207"/>
      <c r="D118" s="207"/>
      <c r="E118" s="256"/>
      <c r="F118" s="256"/>
      <c r="G118" s="256"/>
      <c r="H118" s="256"/>
      <c r="I118" s="256"/>
      <c r="K118" t="b">
        <f t="shared" si="2"/>
        <v>1</v>
      </c>
    </row>
    <row r="119" spans="1:11">
      <c r="C119" s="2" t="str">
        <f>DataNameProd1 &amp; " Manufacturing Expense"</f>
        <v>CSD Manufacturing Expense</v>
      </c>
      <c r="D119" s="2"/>
      <c r="E119" s="17">
        <f ca="1">SUM(E114:E117)</f>
        <v>3010840282.912796</v>
      </c>
      <c r="F119" s="17">
        <f ca="1">SUM(F114:F117)</f>
        <v>3010840282.912796</v>
      </c>
      <c r="G119" s="17">
        <f ca="1">SUM(G114:G117)</f>
        <v>3010840282.912796</v>
      </c>
      <c r="H119" s="17">
        <f ca="1">SUM(H114:H117)</f>
        <v>3010840282.912796</v>
      </c>
      <c r="I119" s="17">
        <f ca="1">SUM(I114:I117)</f>
        <v>3010840282.912796</v>
      </c>
      <c r="J119" t="s">
        <v>1166</v>
      </c>
      <c r="K119" t="b">
        <f t="shared" ca="1" si="2"/>
        <v>1</v>
      </c>
    </row>
    <row r="120" spans="1:11">
      <c r="C120" t="str">
        <f>DataNameProd1 &amp; " Royalties Expense"</f>
        <v>CSD Royalties Expense</v>
      </c>
      <c r="E120" s="11">
        <v>0</v>
      </c>
      <c r="F120" s="11">
        <v>0</v>
      </c>
      <c r="G120" s="11">
        <v>0</v>
      </c>
      <c r="H120" s="11">
        <v>0</v>
      </c>
      <c r="I120" s="11">
        <v>0</v>
      </c>
      <c r="J120" t="s">
        <v>2389</v>
      </c>
      <c r="K120" t="b">
        <f t="shared" si="2"/>
        <v>1</v>
      </c>
    </row>
    <row r="121" spans="1:11">
      <c r="C121" t="str">
        <f>DataNameProd1 &amp; " Speciality Brand Expense"</f>
        <v>CSD Speciality Brand Expense</v>
      </c>
      <c r="E121" s="11">
        <v>0</v>
      </c>
      <c r="F121" s="11">
        <v>0</v>
      </c>
      <c r="G121" s="11">
        <v>0</v>
      </c>
      <c r="H121" s="11">
        <v>0</v>
      </c>
      <c r="I121" s="11">
        <v>0</v>
      </c>
      <c r="K121" t="b">
        <f t="shared" si="2"/>
        <v>1</v>
      </c>
    </row>
    <row r="122" spans="1:11">
      <c r="C122" s="207"/>
      <c r="D122" s="207"/>
      <c r="E122" s="257"/>
      <c r="F122" s="257"/>
      <c r="G122" s="257"/>
      <c r="H122" s="257"/>
      <c r="I122" s="257"/>
      <c r="K122" t="b">
        <f t="shared" si="2"/>
        <v>1</v>
      </c>
    </row>
    <row r="123" spans="1:11">
      <c r="C123" s="2" t="str">
        <f>DataNameProd1 &amp; " COGS"</f>
        <v>CSD COGS</v>
      </c>
      <c r="D123" s="2"/>
      <c r="E123" s="17">
        <f ca="1">SUM(E119:E121)</f>
        <v>3010840282.912796</v>
      </c>
      <c r="F123" s="17">
        <f ca="1">SUM(F119:F121)</f>
        <v>3010840282.912796</v>
      </c>
      <c r="G123" s="17">
        <f ca="1">SUM(G119:G121)</f>
        <v>3010840282.912796</v>
      </c>
      <c r="H123" s="17">
        <f ca="1">SUM(H119:H121)</f>
        <v>3010840282.912796</v>
      </c>
      <c r="I123" s="17">
        <f ca="1">SUM(I119:I121)</f>
        <v>3010840282.912796</v>
      </c>
      <c r="J123" t="s">
        <v>1746</v>
      </c>
      <c r="K123" t="b">
        <f t="shared" ca="1" si="2"/>
        <v>1</v>
      </c>
    </row>
    <row r="124" spans="1:11">
      <c r="B124" s="2" t="s">
        <v>1223</v>
      </c>
      <c r="C124" s="3"/>
      <c r="D124" s="3"/>
      <c r="E124" s="3"/>
      <c r="F124" s="3"/>
      <c r="G124" s="3"/>
      <c r="H124" s="3"/>
      <c r="I124" s="3"/>
      <c r="K124" t="b">
        <f t="shared" si="2"/>
        <v>1</v>
      </c>
    </row>
    <row r="125" spans="1:11">
      <c r="C125" s="2" t="str">
        <f>DataNameProd1 &amp; " Gross Margin"</f>
        <v>CSD Gross Margin</v>
      </c>
      <c r="D125" s="2"/>
      <c r="E125" s="17">
        <f ca="1">E112-E123</f>
        <v>2585433416.587204</v>
      </c>
      <c r="F125" s="17">
        <f ca="1">F112-F123</f>
        <v>2585433416.587204</v>
      </c>
      <c r="G125" s="17">
        <f ca="1">G112-G123</f>
        <v>2585433416.587204</v>
      </c>
      <c r="H125" s="17">
        <f ca="1">H112-H123</f>
        <v>2585433416.587204</v>
      </c>
      <c r="I125" s="17">
        <f ca="1">I112-I123</f>
        <v>2585433416.587204</v>
      </c>
      <c r="J125" t="s">
        <v>1747</v>
      </c>
      <c r="K125" t="b">
        <f t="shared" ca="1" si="2"/>
        <v>1</v>
      </c>
    </row>
    <row r="126" spans="1:11" ht="12.75">
      <c r="A126" s="22"/>
      <c r="B126" s="2" t="s">
        <v>1309</v>
      </c>
      <c r="C126" s="3"/>
      <c r="D126" s="3"/>
      <c r="E126" s="3"/>
      <c r="F126" s="3"/>
      <c r="G126" s="3"/>
      <c r="H126" s="3"/>
      <c r="I126" s="3"/>
      <c r="K126" t="b">
        <f t="shared" si="2"/>
        <v>1</v>
      </c>
    </row>
    <row r="127" spans="1:11">
      <c r="C127" s="3" t="str">
        <f>DataNameProd1 &amp; " Advertising Expense"</f>
        <v>CSD Advertising Expense</v>
      </c>
      <c r="D127" s="3"/>
      <c r="E127" s="23">
        <f>capProd1Adv</f>
        <v>410000000</v>
      </c>
      <c r="F127" s="23">
        <f>capProd1Adv</f>
        <v>410000000</v>
      </c>
      <c r="G127" s="23">
        <f>capProd1Adv</f>
        <v>410000000</v>
      </c>
      <c r="H127" s="23">
        <f>capProd1Adv</f>
        <v>410000000</v>
      </c>
      <c r="I127" s="23">
        <f>capProd1Adv</f>
        <v>410000000</v>
      </c>
      <c r="J127" t="s">
        <v>303</v>
      </c>
      <c r="K127" t="b">
        <f t="shared" si="2"/>
        <v>1</v>
      </c>
    </row>
    <row r="128" spans="1:11">
      <c r="A128" s="15"/>
      <c r="C128" s="3" t="str">
        <f>DataNameProd1 &amp; " Sales Force Expense"</f>
        <v>CSD Sales Force Expense</v>
      </c>
      <c r="D128" s="3"/>
      <c r="E128" s="85">
        <f>capProd1Emp1SalExp</f>
        <v>106752246.38237321</v>
      </c>
      <c r="F128" s="85">
        <f>capProd1Emp1SalExp</f>
        <v>106752246.38237321</v>
      </c>
      <c r="G128" s="85">
        <f>capProd1Emp1SalExp</f>
        <v>106752246.38237321</v>
      </c>
      <c r="H128" s="85">
        <f>capProd1Emp1SalExp</f>
        <v>106752246.38237321</v>
      </c>
      <c r="I128" s="85">
        <f>capProd1Emp1SalExp</f>
        <v>106752246.38237321</v>
      </c>
      <c r="J128" t="s">
        <v>753</v>
      </c>
      <c r="K128" t="b">
        <f t="shared" si="2"/>
        <v>1</v>
      </c>
    </row>
    <row r="129" spans="1:12" ht="12.75">
      <c r="A129" s="22"/>
      <c r="B129" s="2"/>
      <c r="C129" s="264"/>
      <c r="D129" s="264"/>
      <c r="E129" s="264"/>
      <c r="F129" s="264"/>
      <c r="G129" s="264"/>
      <c r="H129" s="264"/>
      <c r="I129" s="264"/>
      <c r="K129" t="b">
        <f t="shared" si="2"/>
        <v>1</v>
      </c>
    </row>
    <row r="130" spans="1:12">
      <c r="C130" s="2" t="str">
        <f>DataNameProd1 &amp; " Selling Expense"</f>
        <v>CSD Selling Expense</v>
      </c>
      <c r="D130" s="2"/>
      <c r="E130" s="17">
        <f>SUM(E127:E128)</f>
        <v>516752246.38237321</v>
      </c>
      <c r="F130" s="17">
        <f>SUM(F127:F128)</f>
        <v>516752246.38237321</v>
      </c>
      <c r="G130" s="17">
        <f>SUM(G127:G128)</f>
        <v>516752246.38237321</v>
      </c>
      <c r="H130" s="17">
        <f>SUM(H127:H128)</f>
        <v>516752246.38237321</v>
      </c>
      <c r="I130" s="17">
        <f>SUM(I127:I128)</f>
        <v>516752246.38237321</v>
      </c>
      <c r="K130" t="b">
        <f t="shared" si="2"/>
        <v>1</v>
      </c>
    </row>
    <row r="131" spans="1:12">
      <c r="C131" s="3" t="str">
        <f>DataNameProd1 &amp; " Inventory Handling Expense"</f>
        <v>CSD Inventory Handling Expense</v>
      </c>
      <c r="D131" s="3"/>
      <c r="E131" s="23">
        <f ca="1">paramProd1InventoryHndlgPct*(cbalReg1Prod1MatValue+cbalReg1Prod1WIPValue+cbalReg1Prod1FGValue)</f>
        <v>27486018.205468059</v>
      </c>
      <c r="F131" s="23">
        <f ca="1">paramProd1InventoryHndlgPct*(cbalReg1Prod1MatValue+cbalReg1Prod1WIPValue+cbalReg1Prod1FGValue)</f>
        <v>27486018.205468059</v>
      </c>
      <c r="G131" s="23">
        <f ca="1">paramProd1InventoryHndlgPct*(cbalReg1Prod1MatValue+cbalReg1Prod1WIPValue+cbalReg1Prod1FGValue)</f>
        <v>27486018.205468059</v>
      </c>
      <c r="H131" s="23">
        <f ca="1">paramProd1InventoryHndlgPct*(cbalReg1Prod1MatValue+cbalReg1Prod1WIPValue+cbalReg1Prod1FGValue)</f>
        <v>27486018.205468059</v>
      </c>
      <c r="I131" s="23">
        <f ca="1">paramProd1InventoryHndlgPct*(cbalReg1Prod1MatValue+cbalReg1Prod1WIPValue+cbalReg1Prod1FGValue)</f>
        <v>27486018.205468059</v>
      </c>
      <c r="J131" t="s">
        <v>305</v>
      </c>
      <c r="K131" t="b">
        <f t="shared" ref="K131:K192" ca="1" si="4">MAX(E131:I131)=MIN(E131:I131)</f>
        <v>1</v>
      </c>
    </row>
    <row r="132" spans="1:12">
      <c r="C132" s="3" t="str">
        <f>DataNameProd1 &amp; " Distribution Expense"</f>
        <v>CSD Distribution Expense</v>
      </c>
      <c r="D132" s="3"/>
      <c r="E132" s="85">
        <f>paramReg1Prod1DistCostPUnit*capReg1Prod1UnitsSold</f>
        <v>625301776.95914698</v>
      </c>
      <c r="F132" s="85">
        <f>paramReg1Prod1DistCostPUnit*capReg1Prod1UnitsSold</f>
        <v>625301776.95914698</v>
      </c>
      <c r="G132" s="85">
        <f>paramReg1Prod1DistCostPUnit*capReg1Prod1UnitsSold</f>
        <v>625301776.95914698</v>
      </c>
      <c r="H132" s="85">
        <f>paramReg1Prod1DistCostPUnit*capReg1Prod1UnitsSold</f>
        <v>625301776.95914698</v>
      </c>
      <c r="I132" s="85">
        <f>paramReg1Prod1DistCostPUnit*capReg1Prod1UnitsSold</f>
        <v>625301776.95914698</v>
      </c>
      <c r="J132" t="s">
        <v>2390</v>
      </c>
      <c r="K132" t="b">
        <f t="shared" si="4"/>
        <v>1</v>
      </c>
    </row>
    <row r="133" spans="1:12">
      <c r="C133" s="264"/>
      <c r="D133" s="264"/>
      <c r="E133" s="264"/>
      <c r="F133" s="264"/>
      <c r="G133" s="264"/>
      <c r="H133" s="264"/>
      <c r="I133" s="264"/>
      <c r="K133" t="b">
        <f t="shared" si="4"/>
        <v>1</v>
      </c>
    </row>
    <row r="134" spans="1:12">
      <c r="C134" s="2" t="str">
        <f>DataNameProd1 &amp; " General Expense"</f>
        <v>CSD General Expense</v>
      </c>
      <c r="D134" s="2"/>
      <c r="E134" s="17">
        <f ca="1">SUM(E131:E132)</f>
        <v>652787795.16461504</v>
      </c>
      <c r="F134" s="17">
        <f ca="1">SUM(F131:F132)</f>
        <v>652787795.16461504</v>
      </c>
      <c r="G134" s="17">
        <f ca="1">SUM(G131:G132)</f>
        <v>652787795.16461504</v>
      </c>
      <c r="H134" s="17">
        <f ca="1">SUM(H131:H132)</f>
        <v>652787795.16461504</v>
      </c>
      <c r="I134" s="17">
        <f ca="1">SUM(I131:I132)</f>
        <v>652787795.16461504</v>
      </c>
      <c r="K134" t="b">
        <f ca="1">MAX(E134:I134)=MIN(E134:I134)</f>
        <v>1</v>
      </c>
    </row>
    <row r="135" spans="1:12">
      <c r="C135" s="3" t="str">
        <f>DataNameProd1 &amp; " Employe Admin Expense"</f>
        <v>CSD Employe Admin Expense</v>
      </c>
      <c r="D135" s="3"/>
      <c r="E135" s="11">
        <f>capProd1Emp1AdminExp+capReg1Prod1Emp3AdminExp</f>
        <v>212610221.78729534</v>
      </c>
      <c r="F135" s="11">
        <f>capProd1Emp1AdminExp+capReg1Prod1Emp3AdminExp</f>
        <v>212610221.78729534</v>
      </c>
      <c r="G135" s="11">
        <f>capProd1Emp1AdminExp+capReg1Prod1Emp3AdminExp</f>
        <v>212610221.78729534</v>
      </c>
      <c r="H135" s="11">
        <f>capProd1Emp1AdminExp+capReg1Prod1Emp3AdminExp</f>
        <v>212610221.78729534</v>
      </c>
      <c r="I135" s="11">
        <f>capProd1Emp1AdminExp+capReg1Prod1Emp3AdminExp</f>
        <v>212610221.78729534</v>
      </c>
      <c r="J135" t="s">
        <v>306</v>
      </c>
      <c r="K135" t="b">
        <f t="shared" si="4"/>
        <v>1</v>
      </c>
    </row>
    <row r="136" spans="1:12">
      <c r="C136" s="3" t="str">
        <f>DataNameProd1 &amp; " Recruit/ Dismisall Expense"</f>
        <v>CSD Recruit/ Dismisall Expense</v>
      </c>
      <c r="D136" s="3"/>
      <c r="E136" s="11">
        <f>capProd1Emp1RecDismExp+capReg1Prod1Emp3RecDismExp</f>
        <v>9798205.5433864854</v>
      </c>
      <c r="F136" s="11">
        <f>capProd1Emp1RecDismExp+capReg1Prod1Emp3RecDismExp</f>
        <v>9798205.5433864854</v>
      </c>
      <c r="G136" s="11">
        <f>capProd1Emp1RecDismExp+capReg1Prod1Emp3RecDismExp</f>
        <v>9798205.5433864854</v>
      </c>
      <c r="H136" s="11">
        <f>capProd1Emp1RecDismExp+capReg1Prod1Emp3RecDismExp</f>
        <v>9798205.5433864854</v>
      </c>
      <c r="I136" s="11">
        <f>capProd1Emp1RecDismExp+capReg1Prod1Emp3RecDismExp</f>
        <v>9798205.5433864854</v>
      </c>
      <c r="J136" t="s">
        <v>307</v>
      </c>
      <c r="K136" t="b">
        <f t="shared" si="4"/>
        <v>1</v>
      </c>
    </row>
    <row r="137" spans="1:12">
      <c r="C137" s="3" t="str">
        <f>DataNameProd1 &amp; " Fixed Admin Expense"</f>
        <v>CSD Fixed Admin Expense</v>
      </c>
      <c r="D137" s="3"/>
      <c r="E137" s="23">
        <f>paramProd1FixedAdmin</f>
        <v>120232720.6012</v>
      </c>
      <c r="F137" s="23">
        <f>paramProd1FixedAdmin</f>
        <v>120232720.6012</v>
      </c>
      <c r="G137" s="23">
        <f>paramProd1FixedAdmin</f>
        <v>120232720.6012</v>
      </c>
      <c r="H137" s="23">
        <f>paramProd1FixedAdmin</f>
        <v>120232720.6012</v>
      </c>
      <c r="I137" s="23">
        <f>paramProd1FixedAdmin</f>
        <v>120232720.6012</v>
      </c>
      <c r="J137" t="s">
        <v>308</v>
      </c>
      <c r="K137" t="b">
        <f t="shared" si="4"/>
        <v>1</v>
      </c>
    </row>
    <row r="138" spans="1:12">
      <c r="C138" s="264"/>
      <c r="D138" s="264"/>
      <c r="E138" s="264"/>
      <c r="F138" s="264"/>
      <c r="G138" s="264"/>
      <c r="H138" s="264"/>
      <c r="I138" s="264"/>
      <c r="K138" t="b">
        <f t="shared" si="4"/>
        <v>1</v>
      </c>
    </row>
    <row r="139" spans="1:12">
      <c r="A139" s="460"/>
      <c r="C139" s="2" t="str">
        <f>DataNameProd1 &amp; " Administration Expense"</f>
        <v>CSD Administration Expense</v>
      </c>
      <c r="D139" s="2"/>
      <c r="E139" s="17">
        <f>SUM(E135:E137)</f>
        <v>342641147.93188184</v>
      </c>
      <c r="F139" s="17">
        <f>SUM(F135:F137)</f>
        <v>342641147.93188184</v>
      </c>
      <c r="G139" s="17">
        <f>SUM(G135:G137)</f>
        <v>342641147.93188184</v>
      </c>
      <c r="H139" s="17">
        <f>SUM(H135:H137)</f>
        <v>342641147.93188184</v>
      </c>
      <c r="I139" s="17">
        <f>SUM(I135:I137)</f>
        <v>342641147.93188184</v>
      </c>
      <c r="K139" t="b">
        <f t="shared" si="4"/>
        <v>1</v>
      </c>
    </row>
    <row r="140" spans="1:12" ht="12" thickBot="1">
      <c r="C140" s="2" t="str">
        <f>DataNameProd1 &amp; " SGA Expense"</f>
        <v>CSD SGA Expense</v>
      </c>
      <c r="D140" s="2"/>
      <c r="E140" s="17">
        <f ca="1">E130+E134+E139</f>
        <v>1512181189.4788702</v>
      </c>
      <c r="F140" s="17">
        <f ca="1">F130+F134+F139</f>
        <v>1512181189.4788702</v>
      </c>
      <c r="G140" s="17">
        <f ca="1">G130+G134+G139</f>
        <v>1512181189.4788702</v>
      </c>
      <c r="H140" s="17">
        <f ca="1">H130+H134+H139</f>
        <v>1512181189.4788702</v>
      </c>
      <c r="I140" s="17">
        <f ca="1">I130+I134+I139</f>
        <v>1512181189.4788702</v>
      </c>
      <c r="J140" t="s">
        <v>309</v>
      </c>
      <c r="K140" t="b">
        <f t="shared" ca="1" si="4"/>
        <v>1</v>
      </c>
    </row>
    <row r="141" spans="1:12" ht="12.75">
      <c r="A141" s="1345"/>
      <c r="B141" s="1346" t="s">
        <v>2966</v>
      </c>
      <c r="C141" s="1347"/>
      <c r="D141" s="1347"/>
      <c r="E141" s="1347"/>
      <c r="F141" s="1347"/>
      <c r="G141" s="1347"/>
      <c r="H141" s="1347"/>
      <c r="I141" s="1347"/>
      <c r="J141" s="1348"/>
      <c r="K141" s="1348" t="b">
        <f t="shared" si="4"/>
        <v>1</v>
      </c>
      <c r="L141" s="1349"/>
    </row>
    <row r="142" spans="1:12">
      <c r="A142" s="1350"/>
      <c r="B142" s="1351"/>
      <c r="C142" s="1351" t="str">
        <f>DataNameProd1 &amp; " Family Brand R&amp;D"</f>
        <v>CSD Family Brand R&amp;D</v>
      </c>
      <c r="D142" s="1351"/>
      <c r="E142" s="1352">
        <v>0</v>
      </c>
      <c r="F142" s="1352">
        <v>0</v>
      </c>
      <c r="G142" s="1352">
        <v>0</v>
      </c>
      <c r="H142" s="1352">
        <v>0</v>
      </c>
      <c r="I142" s="1352">
        <v>0</v>
      </c>
      <c r="J142" s="1351" t="s">
        <v>621</v>
      </c>
      <c r="K142" s="1351" t="b">
        <f t="shared" si="4"/>
        <v>1</v>
      </c>
      <c r="L142" s="1353"/>
    </row>
    <row r="143" spans="1:12">
      <c r="A143" s="1350"/>
      <c r="B143" s="1351"/>
      <c r="C143" s="1351" t="str">
        <f>DataNameProd1 &amp; " Partner Brand R&amp;D"</f>
        <v>CSD Partner Brand R&amp;D</v>
      </c>
      <c r="D143" s="1351"/>
      <c r="E143" s="1352">
        <v>0</v>
      </c>
      <c r="F143" s="1352">
        <v>0</v>
      </c>
      <c r="G143" s="1352">
        <v>0</v>
      </c>
      <c r="H143" s="1352">
        <v>0</v>
      </c>
      <c r="I143" s="1352">
        <v>0</v>
      </c>
      <c r="J143" s="1351" t="s">
        <v>622</v>
      </c>
      <c r="K143" s="1351" t="b">
        <f t="shared" si="4"/>
        <v>1</v>
      </c>
      <c r="L143" s="1353" t="s">
        <v>172</v>
      </c>
    </row>
    <row r="144" spans="1:12">
      <c r="A144" s="1350"/>
      <c r="B144" s="1351"/>
      <c r="C144" s="1351" t="str">
        <f>DataNameProd1 &amp; " Portfolio Development"</f>
        <v>CSD Portfolio Development</v>
      </c>
      <c r="D144" s="1351"/>
      <c r="E144" s="1352">
        <f>(capProd1Reg1Units/(capProd1Reg1Units+capProd1Reg2Units))*paramProd1RDFtr4Cost*MAX(0.5,cbalProd1Ftr4Level-obalProd1Ftr4Level)</f>
        <v>1678884.4444988014</v>
      </c>
      <c r="F144" s="1352">
        <f>(capProd1Reg1Units/(capProd1Reg1Units+capProd1Reg2Units))*paramProd1RDFtr4Cost*MAX(0.5,cbalProd1Ftr4Level-obalProd1Ftr4Level)</f>
        <v>1678884.4444988014</v>
      </c>
      <c r="G144" s="1352">
        <f>(capProd1Reg1Units/(capProd1Reg1Units+capProd1Reg2Units))*paramProd1RDFtr4Cost*MAX(0.5,cbalProd1Ftr4Level-obalProd1Ftr4Level)</f>
        <v>1678884.4444988014</v>
      </c>
      <c r="H144" s="1352">
        <f>(capProd1Reg1Units/(capProd1Reg1Units+capProd1Reg2Units))*paramProd1RDFtr4Cost*MAX(0.5,cbalProd1Ftr4Level-obalProd1Ftr4Level)</f>
        <v>1678884.4444988014</v>
      </c>
      <c r="I144" s="1352">
        <f>(capProd1Reg1Units/(capProd1Reg1Units+capProd1Reg2Units))*paramProd1RDFtr4Cost*MAX(0.5,cbalProd1Ftr4Level-obalProd1Ftr4Level)</f>
        <v>1678884.4444988014</v>
      </c>
      <c r="J144" s="1351" t="s">
        <v>623</v>
      </c>
      <c r="K144" s="1351" t="b">
        <f t="shared" si="4"/>
        <v>1</v>
      </c>
      <c r="L144" s="1353" t="s">
        <v>1894</v>
      </c>
    </row>
    <row r="145" spans="1:12">
      <c r="A145" s="1350"/>
      <c r="B145" s="1351"/>
      <c r="C145" s="1351" t="str">
        <f>DataNameProd1 &amp; " Long Term R&amp;D"</f>
        <v>CSD Long Term R&amp;D</v>
      </c>
      <c r="D145" s="1351"/>
      <c r="E145" s="1354">
        <v>50000000</v>
      </c>
      <c r="F145" s="1354">
        <v>50000000</v>
      </c>
      <c r="G145" s="1354">
        <v>50000000</v>
      </c>
      <c r="H145" s="1354">
        <v>50000000</v>
      </c>
      <c r="I145" s="1354">
        <v>50000000</v>
      </c>
      <c r="J145" s="1351" t="s">
        <v>3697</v>
      </c>
      <c r="K145" s="1351" t="b">
        <f t="shared" si="4"/>
        <v>1</v>
      </c>
      <c r="L145" s="1353"/>
    </row>
    <row r="146" spans="1:12" ht="12.75">
      <c r="A146" s="1355"/>
      <c r="B146" s="1356"/>
      <c r="C146" s="1357"/>
      <c r="D146" s="1357"/>
      <c r="E146" s="1357"/>
      <c r="F146" s="1357"/>
      <c r="G146" s="1357"/>
      <c r="H146" s="1357"/>
      <c r="I146" s="1357"/>
      <c r="J146" s="1351"/>
      <c r="K146" s="1351" t="b">
        <f t="shared" si="4"/>
        <v>1</v>
      </c>
      <c r="L146" s="1353"/>
    </row>
    <row r="147" spans="1:12" ht="12" thickBot="1">
      <c r="A147" s="1358"/>
      <c r="B147" s="1359"/>
      <c r="C147" s="1360" t="str">
        <f>DataNameProd1 &amp; " R&amp;D Expense"</f>
        <v>CSD R&amp;D Expense</v>
      </c>
      <c r="D147" s="1360"/>
      <c r="E147" s="1361">
        <f>SUM(E142:E145)</f>
        <v>51678884.4444988</v>
      </c>
      <c r="F147" s="1361">
        <f>SUM(F142:F145)</f>
        <v>51678884.4444988</v>
      </c>
      <c r="G147" s="1361">
        <f>SUM(G142:G145)</f>
        <v>51678884.4444988</v>
      </c>
      <c r="H147" s="1361">
        <f>SUM(H142:H145)</f>
        <v>51678884.4444988</v>
      </c>
      <c r="I147" s="1361">
        <f>SUM(I142:I145)</f>
        <v>51678884.4444988</v>
      </c>
      <c r="J147" s="1359" t="s">
        <v>840</v>
      </c>
      <c r="K147" s="1359" t="b">
        <f t="shared" si="4"/>
        <v>1</v>
      </c>
      <c r="L147" s="1362"/>
    </row>
    <row r="148" spans="1:12">
      <c r="B148" s="2" t="s">
        <v>2465</v>
      </c>
      <c r="K148" t="b">
        <f t="shared" si="4"/>
        <v>1</v>
      </c>
    </row>
    <row r="149" spans="1:12">
      <c r="B149" s="2"/>
      <c r="C149" t="str">
        <f>DataNameProd1 &amp; " Inefficiency Expense"</f>
        <v>CSD Inefficiency Expense</v>
      </c>
      <c r="K149" t="b">
        <f t="shared" si="4"/>
        <v>1</v>
      </c>
    </row>
    <row r="150" spans="1:12">
      <c r="B150" s="2"/>
      <c r="C150" t="str">
        <f>DataNameProd1 &amp; " Excess Capacity Expense"</f>
        <v>CSD Excess Capacity Expense</v>
      </c>
      <c r="K150" t="b">
        <f t="shared" si="4"/>
        <v>1</v>
      </c>
    </row>
    <row r="151" spans="1:12">
      <c r="C151" t="str">
        <f>DataNameProd1 &amp; " Disposal Expense"</f>
        <v>CSD Disposal Expense</v>
      </c>
      <c r="E151" s="11">
        <f ca="1">(capReg1Prod1UnitsFGEnd-capReg1Prod1UnitsFGCbal)*capReg1Prod1COGSPUnitUMC*paramReg1Prod1DispCostPct</f>
        <v>0</v>
      </c>
      <c r="F151" s="11">
        <f ca="1">(capReg1Prod1UnitsFGEnd-capReg1Prod1UnitsFGCbal)*capReg1Prod1COGSPUnitUMC*paramReg1Prod1DispCostPct</f>
        <v>0</v>
      </c>
      <c r="G151" s="11">
        <f ca="1">(capReg1Prod1UnitsFGEnd-capReg1Prod1UnitsFGCbal)*capReg1Prod1COGSPUnitUMC*paramReg1Prod1DispCostPct</f>
        <v>0</v>
      </c>
      <c r="H151" s="11">
        <f ca="1">(capReg1Prod1UnitsFGEnd-capReg1Prod1UnitsFGCbal)*capReg1Prod1COGSPUnitUMC*paramReg1Prod1DispCostPct</f>
        <v>0</v>
      </c>
      <c r="I151" s="11">
        <f ca="1">(capReg1Prod1UnitsFGEnd-capReg1Prod1UnitsFGCbal)*capReg1Prod1COGSPUnitUMC*paramReg1Prod1DispCostPct</f>
        <v>0</v>
      </c>
      <c r="J151" t="s">
        <v>397</v>
      </c>
      <c r="K151" t="b">
        <f t="shared" ca="1" si="4"/>
        <v>1</v>
      </c>
    </row>
    <row r="152" spans="1:12">
      <c r="C152" t="str">
        <f>DataNameProd1 &amp; " Special Programs Expense"</f>
        <v>CSD Special Programs Expense</v>
      </c>
      <c r="E152" s="398">
        <f>paramSpecProgReg1Prod1Exp</f>
        <v>0</v>
      </c>
      <c r="F152" s="398">
        <f>paramSpecProgReg1Prod1Exp</f>
        <v>0</v>
      </c>
      <c r="G152" s="398">
        <f>paramSpecProgReg1Prod1Exp</f>
        <v>0</v>
      </c>
      <c r="H152" s="398">
        <f>paramSpecProgReg1Prod1Exp</f>
        <v>0</v>
      </c>
      <c r="I152" s="398">
        <f>paramSpecProgReg1Prod1Exp</f>
        <v>0</v>
      </c>
      <c r="J152" t="s">
        <v>3288</v>
      </c>
      <c r="K152" t="b">
        <f t="shared" si="4"/>
        <v>1</v>
      </c>
    </row>
    <row r="153" spans="1:12">
      <c r="C153" s="207"/>
      <c r="D153" s="207"/>
      <c r="E153" s="207"/>
      <c r="F153" s="207"/>
      <c r="G153" s="207"/>
      <c r="H153" s="207"/>
      <c r="I153" s="207"/>
      <c r="K153" t="b">
        <f t="shared" si="4"/>
        <v>1</v>
      </c>
    </row>
    <row r="154" spans="1:12">
      <c r="A154" s="2"/>
      <c r="C154" s="2" t="str">
        <f>DataNameProd1 &amp; " Other Op Expense"</f>
        <v>CSD Other Op Expense</v>
      </c>
      <c r="E154" s="13">
        <f ca="1">SUM(E149:E152)</f>
        <v>0</v>
      </c>
      <c r="F154" s="13">
        <f ca="1">SUM(F149:F152)</f>
        <v>0</v>
      </c>
      <c r="G154" s="13">
        <f ca="1">SUM(G149:G152)</f>
        <v>0</v>
      </c>
      <c r="H154" s="13">
        <f ca="1">SUM(H149:H152)</f>
        <v>0</v>
      </c>
      <c r="I154" s="13">
        <f ca="1">SUM(I149:I152)</f>
        <v>0</v>
      </c>
      <c r="J154" s="3" t="s">
        <v>841</v>
      </c>
      <c r="K154" t="b">
        <f t="shared" ca="1" si="4"/>
        <v>1</v>
      </c>
    </row>
    <row r="155" spans="1:12">
      <c r="A155" s="2"/>
      <c r="B155" s="2" t="s">
        <v>894</v>
      </c>
      <c r="C155" s="2"/>
      <c r="E155" s="13"/>
      <c r="F155" s="13"/>
      <c r="G155" s="13"/>
      <c r="H155" s="13"/>
      <c r="I155" s="13"/>
      <c r="J155" s="3"/>
      <c r="K155" t="b">
        <f t="shared" si="4"/>
        <v>1</v>
      </c>
    </row>
    <row r="156" spans="1:12">
      <c r="C156" t="str">
        <f>DataNameProd1 &amp; " Operating Expense"</f>
        <v>CSD Operating Expense</v>
      </c>
      <c r="E156" s="11">
        <f ca="1">E140+E154</f>
        <v>1512181189.4788702</v>
      </c>
      <c r="F156" s="11">
        <f ca="1">F140+F154</f>
        <v>1512181189.4788702</v>
      </c>
      <c r="G156" s="11">
        <f ca="1">G140+G154</f>
        <v>1512181189.4788702</v>
      </c>
      <c r="H156" s="11">
        <f ca="1">H140+H154</f>
        <v>1512181189.4788702</v>
      </c>
      <c r="I156" s="11">
        <f ca="1">I140+I154</f>
        <v>1512181189.4788702</v>
      </c>
      <c r="K156" t="b">
        <f t="shared" ca="1" si="4"/>
        <v>1</v>
      </c>
    </row>
    <row r="157" spans="1:12">
      <c r="B157" s="2" t="str">
        <f>DataNameProd1 &amp; " Operating Margin"</f>
        <v>CSD Operating Margin</v>
      </c>
      <c r="E157" s="17">
        <f ca="1">E125-E156</f>
        <v>1073252227.1083338</v>
      </c>
      <c r="F157" s="17">
        <f ca="1">F125-F156</f>
        <v>1073252227.1083338</v>
      </c>
      <c r="G157" s="17">
        <f ca="1">G125-G156</f>
        <v>1073252227.1083338</v>
      </c>
      <c r="H157" s="17">
        <f ca="1">H125-H156</f>
        <v>1073252227.1083338</v>
      </c>
      <c r="I157" s="17">
        <f ca="1">I125-I156</f>
        <v>1073252227.1083338</v>
      </c>
      <c r="J157" t="s">
        <v>2394</v>
      </c>
      <c r="K157" t="b">
        <f t="shared" ca="1" si="4"/>
        <v>1</v>
      </c>
    </row>
    <row r="158" spans="1:12">
      <c r="A158" s="2"/>
      <c r="C158" s="2"/>
      <c r="E158" s="435">
        <f ca="1">finPNLReg1Prod1OpsMargin/finPNLReg1Prod1NetRev</f>
        <v>0.19177979576020804</v>
      </c>
      <c r="F158" s="435">
        <f ca="1">finPNLReg1Prod1OpsMargin/finPNLReg1Prod1NetRev</f>
        <v>0.19177979576020804</v>
      </c>
      <c r="G158" s="435">
        <f ca="1">finPNLReg1Prod1OpsMargin/finPNLReg1Prod1NetRev</f>
        <v>0.19177979576020804</v>
      </c>
      <c r="H158" s="435">
        <f ca="1">finPNLReg1Prod1OpsMargin/finPNLReg1Prod1NetRev</f>
        <v>0.19177979576020804</v>
      </c>
      <c r="I158" s="435">
        <f ca="1">finPNLReg1Prod1OpsMargin/finPNLReg1Prod1NetRev</f>
        <v>0.19177979576020804</v>
      </c>
      <c r="J158" s="3"/>
      <c r="K158" t="b">
        <f t="shared" ca="1" si="4"/>
        <v>1</v>
      </c>
    </row>
    <row r="159" spans="1:12" ht="12.75">
      <c r="A159" s="22" t="str">
        <f>DataNameProd2</f>
        <v>Breakthrough</v>
      </c>
      <c r="K159" t="b">
        <f t="shared" si="4"/>
        <v>1</v>
      </c>
    </row>
    <row r="160" spans="1:12">
      <c r="B160" s="2" t="s">
        <v>3754</v>
      </c>
      <c r="K160" t="b">
        <f t="shared" si="4"/>
        <v>1</v>
      </c>
    </row>
    <row r="161" spans="2:11">
      <c r="C161" s="3" t="str">
        <f>DataNameProd2 &amp; " Gross Revenues"</f>
        <v>Breakthrough Gross Revenues</v>
      </c>
      <c r="D161" s="2"/>
      <c r="E161" s="85">
        <f t="shared" ref="E161:I163" si="5">HLOOKUP(cbalDisrupt1,dataDisruptWeight,2,0)*E9+HLOOKUP(cbalDisrupt2,dataDisruptWeight,2,0)*E59</f>
        <v>0</v>
      </c>
      <c r="F161" s="85">
        <f t="shared" si="5"/>
        <v>0</v>
      </c>
      <c r="G161" s="85">
        <f t="shared" si="5"/>
        <v>0</v>
      </c>
      <c r="H161" s="85">
        <f t="shared" si="5"/>
        <v>0</v>
      </c>
      <c r="I161" s="85">
        <f t="shared" si="5"/>
        <v>0</v>
      </c>
      <c r="J161" t="s">
        <v>2397</v>
      </c>
      <c r="K161" t="b">
        <f t="shared" si="4"/>
        <v>1</v>
      </c>
    </row>
    <row r="162" spans="2:11">
      <c r="C162" s="3" t="str">
        <f>DataNameProd2 &amp; " Promotional Expense"</f>
        <v>Breakthrough Promotional Expense</v>
      </c>
      <c r="D162" s="3"/>
      <c r="E162" s="23">
        <f t="shared" si="5"/>
        <v>0</v>
      </c>
      <c r="F162" s="23">
        <f t="shared" si="5"/>
        <v>0</v>
      </c>
      <c r="G162" s="23">
        <f t="shared" si="5"/>
        <v>0</v>
      </c>
      <c r="H162" s="23">
        <f t="shared" si="5"/>
        <v>0</v>
      </c>
      <c r="I162" s="23">
        <f t="shared" si="5"/>
        <v>0</v>
      </c>
      <c r="J162" t="s">
        <v>923</v>
      </c>
      <c r="K162" t="b">
        <f t="shared" si="4"/>
        <v>1</v>
      </c>
    </row>
    <row r="163" spans="2:11">
      <c r="C163" s="2" t="str">
        <f>DataNameProd2 &amp; " Net Revenues"</f>
        <v>Breakthrough Net Revenues</v>
      </c>
      <c r="D163" s="3"/>
      <c r="E163" s="13">
        <f t="shared" si="5"/>
        <v>0</v>
      </c>
      <c r="F163" s="13">
        <f t="shared" si="5"/>
        <v>0</v>
      </c>
      <c r="G163" s="13">
        <f t="shared" si="5"/>
        <v>0</v>
      </c>
      <c r="H163" s="13">
        <f t="shared" si="5"/>
        <v>0</v>
      </c>
      <c r="I163" s="13">
        <f t="shared" si="5"/>
        <v>0</v>
      </c>
      <c r="J163" t="s">
        <v>817</v>
      </c>
      <c r="K163" t="b">
        <f t="shared" si="4"/>
        <v>1</v>
      </c>
    </row>
    <row r="164" spans="2:11">
      <c r="B164" s="2" t="s">
        <v>3640</v>
      </c>
      <c r="K164" t="b">
        <f t="shared" si="4"/>
        <v>1</v>
      </c>
    </row>
    <row r="165" spans="2:11">
      <c r="C165" t="str">
        <f>DataNameProd2 &amp; " Material Expense"</f>
        <v>Breakthrough Material Expense</v>
      </c>
      <c r="E165" s="14">
        <f t="shared" ref="E165:I168" si="6">HLOOKUP(cbalDisrupt1,dataDisruptWeight,2,0)*E13+HLOOKUP(cbalDisrupt2,dataDisruptWeight,2,0)*E63</f>
        <v>0</v>
      </c>
      <c r="F165" s="14">
        <f t="shared" si="6"/>
        <v>0</v>
      </c>
      <c r="G165" s="14">
        <f t="shared" si="6"/>
        <v>0</v>
      </c>
      <c r="H165" s="14">
        <f t="shared" si="6"/>
        <v>0</v>
      </c>
      <c r="I165" s="14">
        <f t="shared" si="6"/>
        <v>0</v>
      </c>
      <c r="J165" t="s">
        <v>2398</v>
      </c>
      <c r="K165" t="b">
        <f t="shared" si="4"/>
        <v>1</v>
      </c>
    </row>
    <row r="166" spans="2:11">
      <c r="C166" t="str">
        <f>DataNameProd2 &amp; " Labor Expense"</f>
        <v>Breakthrough Labor Expense</v>
      </c>
      <c r="E166" s="11">
        <f t="shared" si="6"/>
        <v>0</v>
      </c>
      <c r="F166" s="11">
        <f t="shared" si="6"/>
        <v>0</v>
      </c>
      <c r="G166" s="11">
        <f t="shared" si="6"/>
        <v>0</v>
      </c>
      <c r="H166" s="11">
        <f t="shared" si="6"/>
        <v>0</v>
      </c>
      <c r="I166" s="11">
        <f t="shared" si="6"/>
        <v>0</v>
      </c>
      <c r="J166" t="s">
        <v>754</v>
      </c>
      <c r="K166" t="b">
        <f t="shared" si="4"/>
        <v>1</v>
      </c>
    </row>
    <row r="167" spans="2:11">
      <c r="C167" t="str">
        <f>DataNameProd2 &amp; " Machinery Expense"</f>
        <v>Breakthrough Machinery Expense</v>
      </c>
      <c r="E167" s="14">
        <f t="shared" si="6"/>
        <v>0</v>
      </c>
      <c r="F167" s="14">
        <f t="shared" si="6"/>
        <v>0</v>
      </c>
      <c r="G167" s="14">
        <f t="shared" si="6"/>
        <v>0</v>
      </c>
      <c r="H167" s="14">
        <f t="shared" si="6"/>
        <v>0</v>
      </c>
      <c r="I167" s="14">
        <f t="shared" si="6"/>
        <v>0</v>
      </c>
      <c r="J167" t="s">
        <v>918</v>
      </c>
      <c r="K167" t="b">
        <f t="shared" si="4"/>
        <v>1</v>
      </c>
    </row>
    <row r="168" spans="2:11">
      <c r="C168" t="str">
        <f>DataNameProd2 &amp; " Depreciation Expense"</f>
        <v>Breakthrough Depreciation Expense</v>
      </c>
      <c r="E168" s="11">
        <f t="shared" si="6"/>
        <v>0</v>
      </c>
      <c r="F168" s="11">
        <f t="shared" si="6"/>
        <v>0</v>
      </c>
      <c r="G168" s="11">
        <f t="shared" si="6"/>
        <v>0</v>
      </c>
      <c r="H168" s="11">
        <f t="shared" si="6"/>
        <v>0</v>
      </c>
      <c r="I168" s="11">
        <f t="shared" si="6"/>
        <v>0</v>
      </c>
      <c r="J168" t="s">
        <v>919</v>
      </c>
      <c r="K168" t="b">
        <f>MAX(E168:I168)=MIN(E168:I168)</f>
        <v>1</v>
      </c>
    </row>
    <row r="169" spans="2:11">
      <c r="C169" s="207"/>
      <c r="D169" s="207"/>
      <c r="E169" s="256"/>
      <c r="F169" s="256"/>
      <c r="G169" s="256"/>
      <c r="H169" s="256"/>
      <c r="I169" s="256"/>
      <c r="K169" t="b">
        <f t="shared" si="4"/>
        <v>1</v>
      </c>
    </row>
    <row r="170" spans="2:11">
      <c r="C170" s="2" t="str">
        <f>DataNameProd2 &amp; " Manufacturing Expense"</f>
        <v>Breakthrough Manufacturing Expense</v>
      </c>
      <c r="D170" s="2"/>
      <c r="E170" s="17">
        <f t="shared" ref="E170:I172" si="7">HLOOKUP(cbalDisrupt1,dataDisruptWeight,2,0)*E18+HLOOKUP(cbalDisrupt2,dataDisruptWeight,2,0)*E68</f>
        <v>0</v>
      </c>
      <c r="F170" s="17">
        <f t="shared" si="7"/>
        <v>0</v>
      </c>
      <c r="G170" s="17">
        <f t="shared" si="7"/>
        <v>0</v>
      </c>
      <c r="H170" s="17">
        <f t="shared" si="7"/>
        <v>0</v>
      </c>
      <c r="I170" s="17">
        <f t="shared" si="7"/>
        <v>0</v>
      </c>
      <c r="J170" t="s">
        <v>3928</v>
      </c>
      <c r="K170" t="b">
        <f t="shared" si="4"/>
        <v>1</v>
      </c>
    </row>
    <row r="171" spans="2:11">
      <c r="C171" t="str">
        <f>DataNameProd2 &amp; " Royalties Expense"</f>
        <v>Breakthrough Royalties Expense</v>
      </c>
      <c r="E171" s="11">
        <f t="shared" si="7"/>
        <v>0</v>
      </c>
      <c r="F171" s="11">
        <f t="shared" si="7"/>
        <v>0</v>
      </c>
      <c r="G171" s="11">
        <f t="shared" si="7"/>
        <v>0</v>
      </c>
      <c r="H171" s="11">
        <f t="shared" si="7"/>
        <v>0</v>
      </c>
      <c r="I171" s="11">
        <f t="shared" si="7"/>
        <v>0</v>
      </c>
      <c r="J171" t="s">
        <v>2253</v>
      </c>
      <c r="K171" t="b">
        <f t="shared" si="4"/>
        <v>1</v>
      </c>
    </row>
    <row r="172" spans="2:11">
      <c r="C172" t="str">
        <f>DataNameProd2 &amp; " Speciality Brand Expense"</f>
        <v>Breakthrough Speciality Brand Expense</v>
      </c>
      <c r="E172" s="11">
        <f t="shared" si="7"/>
        <v>0</v>
      </c>
      <c r="F172" s="11">
        <f t="shared" si="7"/>
        <v>0</v>
      </c>
      <c r="G172" s="11">
        <f t="shared" si="7"/>
        <v>0</v>
      </c>
      <c r="H172" s="11">
        <f t="shared" si="7"/>
        <v>0</v>
      </c>
      <c r="I172" s="11">
        <f t="shared" si="7"/>
        <v>0</v>
      </c>
      <c r="K172" t="b">
        <f t="shared" si="4"/>
        <v>1</v>
      </c>
    </row>
    <row r="173" spans="2:11">
      <c r="C173" s="207"/>
      <c r="D173" s="207"/>
      <c r="E173" s="257"/>
      <c r="F173" s="257"/>
      <c r="G173" s="257"/>
      <c r="H173" s="257"/>
      <c r="I173" s="257"/>
      <c r="K173" t="b">
        <f t="shared" si="4"/>
        <v>1</v>
      </c>
    </row>
    <row r="174" spans="2:11">
      <c r="C174" s="2" t="str">
        <f>DataNameProd2 &amp; " COGS"</f>
        <v>Breakthrough COGS</v>
      </c>
      <c r="D174" s="2"/>
      <c r="E174" s="17">
        <f>HLOOKUP(cbalDisrupt1,dataDisruptWeight,2,0)*E22+HLOOKUP(cbalDisrupt2,dataDisruptWeight,2,0)*E72</f>
        <v>0</v>
      </c>
      <c r="F174" s="17">
        <f>HLOOKUP(cbalDisrupt1,dataDisruptWeight,2,0)*F22+HLOOKUP(cbalDisrupt2,dataDisruptWeight,2,0)*F72</f>
        <v>0</v>
      </c>
      <c r="G174" s="17">
        <f>HLOOKUP(cbalDisrupt1,dataDisruptWeight,2,0)*G22+HLOOKUP(cbalDisrupt2,dataDisruptWeight,2,0)*G72</f>
        <v>0</v>
      </c>
      <c r="H174" s="17">
        <f>HLOOKUP(cbalDisrupt1,dataDisruptWeight,2,0)*H22+HLOOKUP(cbalDisrupt2,dataDisruptWeight,2,0)*H72</f>
        <v>0</v>
      </c>
      <c r="I174" s="17">
        <f>HLOOKUP(cbalDisrupt1,dataDisruptWeight,2,0)*I22+HLOOKUP(cbalDisrupt2,dataDisruptWeight,2,0)*I72</f>
        <v>0</v>
      </c>
      <c r="J174" t="s">
        <v>920</v>
      </c>
      <c r="K174" t="b">
        <f t="shared" si="4"/>
        <v>1</v>
      </c>
    </row>
    <row r="175" spans="2:11">
      <c r="B175" s="2" t="s">
        <v>1223</v>
      </c>
      <c r="C175" s="3"/>
      <c r="D175" s="3"/>
      <c r="E175" s="3"/>
      <c r="F175" s="3"/>
      <c r="G175" s="3"/>
      <c r="H175" s="3"/>
      <c r="I175" s="3"/>
      <c r="K175" t="b">
        <f t="shared" si="4"/>
        <v>1</v>
      </c>
    </row>
    <row r="176" spans="2:11">
      <c r="C176" s="2" t="str">
        <f>DataNameProd2 &amp; " Gross Margin"</f>
        <v>Breakthrough Gross Margin</v>
      </c>
      <c r="D176" s="2"/>
      <c r="E176" s="17">
        <f>HLOOKUP(cbalDisrupt1,dataDisruptWeight,2,0)*E24+HLOOKUP(cbalDisrupt2,dataDisruptWeight,2,0)*E74</f>
        <v>0</v>
      </c>
      <c r="F176" s="17">
        <f>HLOOKUP(cbalDisrupt1,dataDisruptWeight,2,0)*F24+HLOOKUP(cbalDisrupt2,dataDisruptWeight,2,0)*F74</f>
        <v>0</v>
      </c>
      <c r="G176" s="17">
        <f>HLOOKUP(cbalDisrupt1,dataDisruptWeight,2,0)*G24+HLOOKUP(cbalDisrupt2,dataDisruptWeight,2,0)*G74</f>
        <v>0</v>
      </c>
      <c r="H176" s="17">
        <f>HLOOKUP(cbalDisrupt1,dataDisruptWeight,2,0)*H24+HLOOKUP(cbalDisrupt2,dataDisruptWeight,2,0)*H74</f>
        <v>0</v>
      </c>
      <c r="I176" s="17">
        <f>HLOOKUP(cbalDisrupt1,dataDisruptWeight,2,0)*I24+HLOOKUP(cbalDisrupt2,dataDisruptWeight,2,0)*I74</f>
        <v>0</v>
      </c>
      <c r="J176" t="s">
        <v>921</v>
      </c>
      <c r="K176" t="b">
        <f t="shared" si="4"/>
        <v>1</v>
      </c>
    </row>
    <row r="177" spans="1:12" ht="12.75">
      <c r="A177" s="22"/>
      <c r="B177" s="2" t="s">
        <v>1309</v>
      </c>
      <c r="C177" s="3"/>
      <c r="D177" s="3"/>
      <c r="E177" s="3"/>
      <c r="F177" s="3"/>
      <c r="G177" s="3"/>
      <c r="H177" s="3"/>
      <c r="I177" s="3"/>
      <c r="K177" t="b">
        <f t="shared" si="4"/>
        <v>1</v>
      </c>
    </row>
    <row r="178" spans="1:12">
      <c r="C178" s="3" t="str">
        <f>DataNameProd2 &amp; " Advertising Expense"</f>
        <v>Breakthrough Advertising Expense</v>
      </c>
      <c r="D178" s="3"/>
      <c r="E178" s="23">
        <f t="shared" ref="E178:I179" si="8">HLOOKUP(cbalDisrupt1,dataDisruptWeight,2,0)*E26+HLOOKUP(cbalDisrupt2,dataDisruptWeight,2,0)*E76</f>
        <v>0</v>
      </c>
      <c r="F178" s="23">
        <f t="shared" si="8"/>
        <v>0</v>
      </c>
      <c r="G178" s="23">
        <f t="shared" si="8"/>
        <v>0</v>
      </c>
      <c r="H178" s="23">
        <f t="shared" si="8"/>
        <v>0</v>
      </c>
      <c r="I178" s="23">
        <f t="shared" si="8"/>
        <v>0</v>
      </c>
      <c r="J178" t="s">
        <v>922</v>
      </c>
      <c r="K178" t="b">
        <f t="shared" si="4"/>
        <v>1</v>
      </c>
    </row>
    <row r="179" spans="1:12">
      <c r="C179" s="3" t="str">
        <f>DataNameProd2 &amp; " Sales Force Expense"</f>
        <v>Breakthrough Sales Force Expense</v>
      </c>
      <c r="D179" s="3"/>
      <c r="E179" s="85">
        <f t="shared" si="8"/>
        <v>0</v>
      </c>
      <c r="F179" s="85">
        <f t="shared" si="8"/>
        <v>0</v>
      </c>
      <c r="G179" s="85">
        <f t="shared" si="8"/>
        <v>0</v>
      </c>
      <c r="H179" s="85">
        <f t="shared" si="8"/>
        <v>0</v>
      </c>
      <c r="I179" s="85">
        <f t="shared" si="8"/>
        <v>0</v>
      </c>
      <c r="J179" t="s">
        <v>755</v>
      </c>
      <c r="K179" t="b">
        <f t="shared" si="4"/>
        <v>1</v>
      </c>
    </row>
    <row r="180" spans="1:12">
      <c r="B180" s="2"/>
      <c r="C180" s="264"/>
      <c r="D180" s="264"/>
      <c r="E180" s="264"/>
      <c r="F180" s="264"/>
      <c r="G180" s="264"/>
      <c r="H180" s="264"/>
      <c r="I180" s="264"/>
      <c r="K180" t="b">
        <f t="shared" si="4"/>
        <v>1</v>
      </c>
    </row>
    <row r="181" spans="1:12" ht="12.75">
      <c r="A181" s="22"/>
      <c r="C181" s="2" t="str">
        <f>DataNameProd2 &amp; " Selling Expense"</f>
        <v>Breakthrough Selling Expense</v>
      </c>
      <c r="D181" s="2"/>
      <c r="E181" s="17">
        <f t="shared" ref="E181:I183" si="9">HLOOKUP(cbalDisrupt1,dataDisruptWeight,2,0)*E29+HLOOKUP(cbalDisrupt2,dataDisruptWeight,2,0)*E79</f>
        <v>0</v>
      </c>
      <c r="F181" s="17">
        <f t="shared" si="9"/>
        <v>0</v>
      </c>
      <c r="G181" s="17">
        <f t="shared" si="9"/>
        <v>0</v>
      </c>
      <c r="H181" s="17">
        <f t="shared" si="9"/>
        <v>0</v>
      </c>
      <c r="I181" s="17">
        <f t="shared" si="9"/>
        <v>0</v>
      </c>
      <c r="K181" t="b">
        <f t="shared" si="4"/>
        <v>1</v>
      </c>
    </row>
    <row r="182" spans="1:12">
      <c r="C182" s="3" t="str">
        <f>DataNameProd2 &amp; " Inventory Handling Expense"</f>
        <v>Breakthrough Inventory Handling Expense</v>
      </c>
      <c r="D182" s="3"/>
      <c r="E182" s="23">
        <f t="shared" si="9"/>
        <v>0</v>
      </c>
      <c r="F182" s="23">
        <f t="shared" si="9"/>
        <v>0</v>
      </c>
      <c r="G182" s="23">
        <f t="shared" si="9"/>
        <v>0</v>
      </c>
      <c r="H182" s="23">
        <f t="shared" si="9"/>
        <v>0</v>
      </c>
      <c r="I182" s="23">
        <f t="shared" si="9"/>
        <v>0</v>
      </c>
      <c r="J182" t="s">
        <v>924</v>
      </c>
      <c r="K182" t="b">
        <f t="shared" si="4"/>
        <v>1</v>
      </c>
    </row>
    <row r="183" spans="1:12">
      <c r="C183" s="3" t="str">
        <f>DataNameProd2 &amp; " Distribution Expense"</f>
        <v>Breakthrough Distribution Expense</v>
      </c>
      <c r="D183" s="3"/>
      <c r="E183" s="85">
        <f t="shared" si="9"/>
        <v>0</v>
      </c>
      <c r="F183" s="85">
        <f t="shared" si="9"/>
        <v>0</v>
      </c>
      <c r="G183" s="85">
        <f t="shared" si="9"/>
        <v>0</v>
      </c>
      <c r="H183" s="85">
        <f t="shared" si="9"/>
        <v>0</v>
      </c>
      <c r="I183" s="85">
        <f t="shared" si="9"/>
        <v>0</v>
      </c>
      <c r="J183" t="s">
        <v>2391</v>
      </c>
      <c r="K183" t="b">
        <f t="shared" si="4"/>
        <v>1</v>
      </c>
    </row>
    <row r="184" spans="1:12">
      <c r="C184" s="264"/>
      <c r="D184" s="264"/>
      <c r="E184" s="264"/>
      <c r="F184" s="264"/>
      <c r="G184" s="264"/>
      <c r="H184" s="264"/>
      <c r="I184" s="264"/>
      <c r="K184" t="b">
        <f t="shared" si="4"/>
        <v>1</v>
      </c>
    </row>
    <row r="185" spans="1:12">
      <c r="C185" s="2" t="str">
        <f>DataNameProd2 &amp; " General Expense"</f>
        <v>Breakthrough General Expense</v>
      </c>
      <c r="D185" s="2"/>
      <c r="E185" s="17">
        <f t="shared" ref="E185:I188" si="10">HLOOKUP(cbalDisrupt1,dataDisruptWeight,2,0)*E33+HLOOKUP(cbalDisrupt2,dataDisruptWeight,2,0)*E83</f>
        <v>0</v>
      </c>
      <c r="F185" s="17">
        <f t="shared" si="10"/>
        <v>0</v>
      </c>
      <c r="G185" s="17">
        <f t="shared" si="10"/>
        <v>0</v>
      </c>
      <c r="H185" s="17">
        <f t="shared" si="10"/>
        <v>0</v>
      </c>
      <c r="I185" s="17">
        <f t="shared" si="10"/>
        <v>0</v>
      </c>
      <c r="K185" t="b">
        <f t="shared" si="4"/>
        <v>1</v>
      </c>
    </row>
    <row r="186" spans="1:12">
      <c r="C186" s="3" t="str">
        <f>DataNameProd2 &amp; " Employe Admin Expense"</f>
        <v>Breakthrough Employe Admin Expense</v>
      </c>
      <c r="D186" s="3"/>
      <c r="E186" s="11">
        <f t="shared" si="10"/>
        <v>0</v>
      </c>
      <c r="F186" s="11">
        <f t="shared" si="10"/>
        <v>0</v>
      </c>
      <c r="G186" s="11">
        <f t="shared" si="10"/>
        <v>0</v>
      </c>
      <c r="H186" s="11">
        <f t="shared" si="10"/>
        <v>0</v>
      </c>
      <c r="I186" s="11">
        <f t="shared" si="10"/>
        <v>0</v>
      </c>
      <c r="J186" t="s">
        <v>925</v>
      </c>
      <c r="K186" t="b">
        <f t="shared" si="4"/>
        <v>1</v>
      </c>
    </row>
    <row r="187" spans="1:12">
      <c r="C187" s="3" t="str">
        <f>DataNameProd2 &amp; " Recruit/ Dismisall Expense"</f>
        <v>Breakthrough Recruit/ Dismisall Expense</v>
      </c>
      <c r="D187" s="3"/>
      <c r="E187" s="11">
        <f t="shared" si="10"/>
        <v>0</v>
      </c>
      <c r="F187" s="11">
        <f t="shared" si="10"/>
        <v>0</v>
      </c>
      <c r="G187" s="11">
        <f t="shared" si="10"/>
        <v>0</v>
      </c>
      <c r="H187" s="11">
        <f t="shared" si="10"/>
        <v>0</v>
      </c>
      <c r="I187" s="11">
        <f t="shared" si="10"/>
        <v>0</v>
      </c>
      <c r="J187" t="s">
        <v>926</v>
      </c>
      <c r="K187" t="b">
        <f t="shared" si="4"/>
        <v>1</v>
      </c>
    </row>
    <row r="188" spans="1:12">
      <c r="C188" s="3" t="str">
        <f>DataNameProd2 &amp; " Fixed Admin Expense"</f>
        <v>Breakthrough Fixed Admin Expense</v>
      </c>
      <c r="D188" s="3"/>
      <c r="E188" s="23">
        <f t="shared" si="10"/>
        <v>0</v>
      </c>
      <c r="F188" s="23">
        <f t="shared" si="10"/>
        <v>0</v>
      </c>
      <c r="G188" s="23">
        <f t="shared" si="10"/>
        <v>0</v>
      </c>
      <c r="H188" s="23">
        <f t="shared" si="10"/>
        <v>0</v>
      </c>
      <c r="I188" s="23">
        <f t="shared" si="10"/>
        <v>0</v>
      </c>
      <c r="J188" t="s">
        <v>927</v>
      </c>
      <c r="K188" t="b">
        <f t="shared" si="4"/>
        <v>1</v>
      </c>
    </row>
    <row r="189" spans="1:12">
      <c r="C189" s="264"/>
      <c r="D189" s="264"/>
      <c r="E189" s="264"/>
      <c r="F189" s="264"/>
      <c r="G189" s="264"/>
      <c r="H189" s="264"/>
      <c r="I189" s="264"/>
      <c r="K189" t="b">
        <f t="shared" si="4"/>
        <v>1</v>
      </c>
    </row>
    <row r="190" spans="1:12">
      <c r="C190" s="2" t="str">
        <f>DataNameProd2 &amp; " Administration Expense"</f>
        <v>Breakthrough Administration Expense</v>
      </c>
      <c r="D190" s="2"/>
      <c r="E190" s="17">
        <f t="shared" ref="E190:I191" si="11">HLOOKUP(cbalDisrupt1,dataDisruptWeight,2,0)*E38+HLOOKUP(cbalDisrupt2,dataDisruptWeight,2,0)*E88</f>
        <v>0</v>
      </c>
      <c r="F190" s="17">
        <f t="shared" si="11"/>
        <v>0</v>
      </c>
      <c r="G190" s="17">
        <f t="shared" si="11"/>
        <v>0</v>
      </c>
      <c r="H190" s="17">
        <f t="shared" si="11"/>
        <v>0</v>
      </c>
      <c r="I190" s="17">
        <f t="shared" si="11"/>
        <v>0</v>
      </c>
      <c r="K190" t="b">
        <f t="shared" si="4"/>
        <v>1</v>
      </c>
    </row>
    <row r="191" spans="1:12" ht="12" thickBot="1">
      <c r="C191" s="2" t="str">
        <f>DataNameProd2 &amp; " SGA Expense"</f>
        <v>Breakthrough SGA Expense</v>
      </c>
      <c r="D191" s="2"/>
      <c r="E191" s="17">
        <f t="shared" si="11"/>
        <v>0</v>
      </c>
      <c r="F191" s="17">
        <f t="shared" si="11"/>
        <v>0</v>
      </c>
      <c r="G191" s="17">
        <f t="shared" si="11"/>
        <v>0</v>
      </c>
      <c r="H191" s="17">
        <f t="shared" si="11"/>
        <v>0</v>
      </c>
      <c r="I191" s="17">
        <f t="shared" si="11"/>
        <v>0</v>
      </c>
      <c r="J191" t="s">
        <v>928</v>
      </c>
      <c r="K191" t="b">
        <f t="shared" si="4"/>
        <v>1</v>
      </c>
    </row>
    <row r="192" spans="1:12" ht="12.75">
      <c r="A192" s="1345"/>
      <c r="B192" s="1346" t="s">
        <v>2966</v>
      </c>
      <c r="C192" s="1347"/>
      <c r="D192" s="1347"/>
      <c r="E192" s="1347"/>
      <c r="F192" s="1347"/>
      <c r="G192" s="1347"/>
      <c r="H192" s="1347"/>
      <c r="I192" s="1347"/>
      <c r="J192" s="1348"/>
      <c r="K192" s="1348" t="b">
        <f t="shared" si="4"/>
        <v>1</v>
      </c>
      <c r="L192" s="1349"/>
    </row>
    <row r="193" spans="1:12">
      <c r="A193" s="1350"/>
      <c r="B193" s="1351"/>
      <c r="C193" s="1351" t="str">
        <f>DataNameProd2 &amp; " Family Brand R&amp;D"</f>
        <v>Breakthrough Family Brand R&amp;D</v>
      </c>
      <c r="D193" s="1351"/>
      <c r="E193" s="1352">
        <f t="shared" ref="E193:I196" si="12">HLOOKUP(cbalDisrupt1,dataDisruptWeight,2,0)*E41+HLOOKUP(cbalDisrupt2,dataDisruptWeight,2,0)*E91</f>
        <v>0</v>
      </c>
      <c r="F193" s="1352">
        <f t="shared" si="12"/>
        <v>0</v>
      </c>
      <c r="G193" s="1352">
        <f t="shared" si="12"/>
        <v>0</v>
      </c>
      <c r="H193" s="1352">
        <f t="shared" si="12"/>
        <v>0</v>
      </c>
      <c r="I193" s="1352">
        <f t="shared" si="12"/>
        <v>0</v>
      </c>
      <c r="J193" s="1351" t="s">
        <v>624</v>
      </c>
      <c r="K193" s="1351" t="b">
        <f t="shared" ref="K193:K254" si="13">MAX(E193:I193)=MIN(E193:I193)</f>
        <v>1</v>
      </c>
      <c r="L193" s="1353"/>
    </row>
    <row r="194" spans="1:12">
      <c r="A194" s="1350"/>
      <c r="B194" s="1351"/>
      <c r="C194" s="1351" t="str">
        <f>DataNameProd2 &amp; " Partner Brand R&amp;D"</f>
        <v>Breakthrough Partner Brand R&amp;D</v>
      </c>
      <c r="D194" s="1351"/>
      <c r="E194" s="1352">
        <f t="shared" si="12"/>
        <v>0</v>
      </c>
      <c r="F194" s="1352">
        <f t="shared" si="12"/>
        <v>0</v>
      </c>
      <c r="G194" s="1352">
        <f t="shared" si="12"/>
        <v>0</v>
      </c>
      <c r="H194" s="1352">
        <f t="shared" si="12"/>
        <v>0</v>
      </c>
      <c r="I194" s="1352">
        <f t="shared" si="12"/>
        <v>0</v>
      </c>
      <c r="J194" s="1351" t="s">
        <v>625</v>
      </c>
      <c r="K194" s="1351" t="b">
        <f t="shared" si="13"/>
        <v>1</v>
      </c>
      <c r="L194" s="1353" t="s">
        <v>172</v>
      </c>
    </row>
    <row r="195" spans="1:12">
      <c r="A195" s="1350"/>
      <c r="B195" s="1351"/>
      <c r="C195" s="1351" t="str">
        <f>DataNameProd2 &amp; " Portfolio Development"</f>
        <v>Breakthrough Portfolio Development</v>
      </c>
      <c r="D195" s="1351"/>
      <c r="E195" s="1352">
        <f t="shared" si="12"/>
        <v>0</v>
      </c>
      <c r="F195" s="1352">
        <f t="shared" si="12"/>
        <v>0</v>
      </c>
      <c r="G195" s="1352">
        <f t="shared" si="12"/>
        <v>0</v>
      </c>
      <c r="H195" s="1352">
        <f t="shared" si="12"/>
        <v>0</v>
      </c>
      <c r="I195" s="1352">
        <f t="shared" si="12"/>
        <v>0</v>
      </c>
      <c r="J195" s="1351" t="s">
        <v>626</v>
      </c>
      <c r="K195" s="1351" t="b">
        <f t="shared" si="13"/>
        <v>1</v>
      </c>
      <c r="L195" s="1353" t="s">
        <v>1894</v>
      </c>
    </row>
    <row r="196" spans="1:12">
      <c r="A196" s="1350"/>
      <c r="B196" s="1351"/>
      <c r="C196" s="1351" t="str">
        <f>DataNameProd2 &amp; " Long Term R&amp;D"</f>
        <v>Breakthrough Long Term R&amp;D</v>
      </c>
      <c r="D196" s="1351"/>
      <c r="E196" s="1354">
        <f t="shared" si="12"/>
        <v>0</v>
      </c>
      <c r="F196" s="1354">
        <f t="shared" si="12"/>
        <v>0</v>
      </c>
      <c r="G196" s="1354">
        <f t="shared" si="12"/>
        <v>0</v>
      </c>
      <c r="H196" s="1354">
        <f t="shared" si="12"/>
        <v>0</v>
      </c>
      <c r="I196" s="1354">
        <f t="shared" si="12"/>
        <v>0</v>
      </c>
      <c r="J196" s="1351"/>
      <c r="K196" s="1351" t="b">
        <f t="shared" si="13"/>
        <v>1</v>
      </c>
      <c r="L196" s="1353"/>
    </row>
    <row r="197" spans="1:12" ht="12.75">
      <c r="A197" s="1355"/>
      <c r="B197" s="1356"/>
      <c r="C197" s="1357"/>
      <c r="D197" s="1357"/>
      <c r="E197" s="1357"/>
      <c r="F197" s="1357"/>
      <c r="G197" s="1357"/>
      <c r="H197" s="1357"/>
      <c r="I197" s="1357"/>
      <c r="J197" s="1351"/>
      <c r="K197" s="1351" t="b">
        <f t="shared" si="13"/>
        <v>1</v>
      </c>
      <c r="L197" s="1353"/>
    </row>
    <row r="198" spans="1:12" ht="12" thickBot="1">
      <c r="A198" s="1358"/>
      <c r="B198" s="1359"/>
      <c r="C198" s="1360" t="str">
        <f>DataNameProd2 &amp; " R&amp;D Expense"</f>
        <v>Breakthrough R&amp;D Expense</v>
      </c>
      <c r="D198" s="1360"/>
      <c r="E198" s="1361">
        <f>HLOOKUP(cbalDisrupt1,dataDisruptWeight,2,0)*E46+HLOOKUP(cbalDisrupt2,dataDisruptWeight,2,0)*E96</f>
        <v>0</v>
      </c>
      <c r="F198" s="1361">
        <f>HLOOKUP(cbalDisrupt1,dataDisruptWeight,2,0)*F46+HLOOKUP(cbalDisrupt2,dataDisruptWeight,2,0)*F96</f>
        <v>0</v>
      </c>
      <c r="G198" s="1361">
        <f>HLOOKUP(cbalDisrupt1,dataDisruptWeight,2,0)*G46+HLOOKUP(cbalDisrupt2,dataDisruptWeight,2,0)*G96</f>
        <v>0</v>
      </c>
      <c r="H198" s="1361">
        <f>HLOOKUP(cbalDisrupt1,dataDisruptWeight,2,0)*H46+HLOOKUP(cbalDisrupt2,dataDisruptWeight,2,0)*H96</f>
        <v>0</v>
      </c>
      <c r="I198" s="1361">
        <f>HLOOKUP(cbalDisrupt1,dataDisruptWeight,2,0)*I46+HLOOKUP(cbalDisrupt2,dataDisruptWeight,2,0)*I96</f>
        <v>0</v>
      </c>
      <c r="J198" s="1359" t="s">
        <v>929</v>
      </c>
      <c r="K198" s="1359" t="b">
        <f t="shared" si="13"/>
        <v>1</v>
      </c>
      <c r="L198" s="1362"/>
    </row>
    <row r="199" spans="1:12">
      <c r="B199" s="2" t="s">
        <v>2465</v>
      </c>
      <c r="K199" t="b">
        <f t="shared" si="13"/>
        <v>1</v>
      </c>
    </row>
    <row r="200" spans="1:12">
      <c r="B200" s="2"/>
      <c r="C200" t="str">
        <f>DataNameProd2 &amp; " Inefficiency Expense"</f>
        <v>Breakthrough Inefficiency Expense</v>
      </c>
      <c r="E200" s="13">
        <f t="shared" ref="E200:I201" si="14">HLOOKUP(cbalDisrupt1,dataDisruptWeight,2,0)*E48+HLOOKUP(cbalDisrupt2,dataDisruptWeight,2,0)*E98</f>
        <v>0</v>
      </c>
      <c r="F200" s="13">
        <f t="shared" si="14"/>
        <v>0</v>
      </c>
      <c r="G200" s="13">
        <f t="shared" si="14"/>
        <v>0</v>
      </c>
      <c r="H200" s="13">
        <f t="shared" si="14"/>
        <v>0</v>
      </c>
      <c r="I200" s="13">
        <f t="shared" si="14"/>
        <v>0</v>
      </c>
      <c r="K200" t="b">
        <f t="shared" si="13"/>
        <v>1</v>
      </c>
    </row>
    <row r="201" spans="1:12">
      <c r="B201" s="2"/>
      <c r="C201" t="str">
        <f>DataNameProd2 &amp; " Excess Capacity Expense"</f>
        <v>Breakthrough Excess Capacity Expense</v>
      </c>
      <c r="E201" s="11">
        <f t="shared" si="14"/>
        <v>0</v>
      </c>
      <c r="F201" s="11">
        <f t="shared" si="14"/>
        <v>0</v>
      </c>
      <c r="G201" s="11">
        <f t="shared" si="14"/>
        <v>0</v>
      </c>
      <c r="H201" s="11">
        <f t="shared" si="14"/>
        <v>0</v>
      </c>
      <c r="I201" s="11">
        <f t="shared" si="14"/>
        <v>0</v>
      </c>
      <c r="K201" t="b">
        <f t="shared" si="13"/>
        <v>1</v>
      </c>
    </row>
    <row r="202" spans="1:12">
      <c r="C202" t="str">
        <f>DataNameProd2 &amp; " Disposal Expense"</f>
        <v>Breakthrough Disposal Expense</v>
      </c>
      <c r="E202" s="11">
        <f>(HLOOKUP(cbalDisrupt1,dataDisruptWeight,2,0)*E50+HLOOKUP(cbalDisrupt2,dataDisruptWeight,2,0)*E100)*paramReg1Prod2DispCostPct</f>
        <v>0</v>
      </c>
      <c r="F202" s="11">
        <f>(HLOOKUP(cbalDisrupt1,dataDisruptWeight,2,0)*F50+HLOOKUP(cbalDisrupt2,dataDisruptWeight,2,0)*F100)*paramReg1Prod2DispCostPct</f>
        <v>0</v>
      </c>
      <c r="G202" s="11">
        <f>(HLOOKUP(cbalDisrupt1,dataDisruptWeight,2,0)*G50+HLOOKUP(cbalDisrupt2,dataDisruptWeight,2,0)*G100)*paramReg1Prod2DispCostPct</f>
        <v>0</v>
      </c>
      <c r="H202" s="11">
        <f>(HLOOKUP(cbalDisrupt1,dataDisruptWeight,2,0)*H50+HLOOKUP(cbalDisrupt2,dataDisruptWeight,2,0)*H100)*paramReg1Prod2DispCostPct</f>
        <v>0</v>
      </c>
      <c r="I202" s="11">
        <f>(HLOOKUP(cbalDisrupt1,dataDisruptWeight,2,0)*I50+HLOOKUP(cbalDisrupt2,dataDisruptWeight,2,0)*I100)*paramReg1Prod2DispCostPct</f>
        <v>0</v>
      </c>
      <c r="J202" t="s">
        <v>398</v>
      </c>
      <c r="K202" t="b">
        <f t="shared" si="13"/>
        <v>1</v>
      </c>
    </row>
    <row r="203" spans="1:12">
      <c r="C203" t="str">
        <f>DataNameProd2 &amp; " Special Programs Expense"</f>
        <v>Breakthrough Special Programs Expense</v>
      </c>
      <c r="E203" s="11">
        <f ca="1">HLOOKUP(cbalDisrupt1,dataDisruptWeight,2,0)*E51+HLOOKUP(cbalDisrupt2,dataDisruptWeight,2,0)*E101</f>
        <v>0</v>
      </c>
      <c r="F203" s="11">
        <f ca="1">HLOOKUP(cbalDisrupt1,dataDisruptWeight,2,0)*F51+HLOOKUP(cbalDisrupt2,dataDisruptWeight,2,0)*F101</f>
        <v>0</v>
      </c>
      <c r="G203" s="11">
        <f ca="1">HLOOKUP(cbalDisrupt1,dataDisruptWeight,2,0)*G51+HLOOKUP(cbalDisrupt2,dataDisruptWeight,2,0)*G101</f>
        <v>0</v>
      </c>
      <c r="H203" s="11">
        <f ca="1">HLOOKUP(cbalDisrupt1,dataDisruptWeight,2,0)*H51+HLOOKUP(cbalDisrupt2,dataDisruptWeight,2,0)*H101</f>
        <v>0</v>
      </c>
      <c r="I203" s="11">
        <f ca="1">HLOOKUP(cbalDisrupt1,dataDisruptWeight,2,0)*I51+HLOOKUP(cbalDisrupt2,dataDisruptWeight,2,0)*I101</f>
        <v>0</v>
      </c>
      <c r="J203" t="s">
        <v>3291</v>
      </c>
      <c r="K203" t="b">
        <f t="shared" ca="1" si="13"/>
        <v>1</v>
      </c>
    </row>
    <row r="204" spans="1:12">
      <c r="C204" s="207"/>
      <c r="D204" s="207"/>
      <c r="E204" s="207"/>
      <c r="F204" s="207"/>
      <c r="G204" s="207"/>
      <c r="H204" s="207"/>
      <c r="I204" s="207"/>
      <c r="K204" t="b">
        <f t="shared" si="13"/>
        <v>1</v>
      </c>
    </row>
    <row r="205" spans="1:12">
      <c r="A205" s="2"/>
      <c r="C205" s="2" t="str">
        <f>DataNameProd2 &amp; " Other Op Expense"</f>
        <v>Breakthrough Other Op Expense</v>
      </c>
      <c r="E205" s="13">
        <f t="shared" ref="E205:I207" ca="1" si="15">HLOOKUP(cbalDisrupt1,dataDisruptWeight,2,0)*E53+HLOOKUP(cbalDisrupt2,dataDisruptWeight,2,0)*E103</f>
        <v>0</v>
      </c>
      <c r="F205" s="13">
        <f t="shared" ca="1" si="15"/>
        <v>0</v>
      </c>
      <c r="G205" s="13">
        <f t="shared" ca="1" si="15"/>
        <v>0</v>
      </c>
      <c r="H205" s="13">
        <f t="shared" ca="1" si="15"/>
        <v>0</v>
      </c>
      <c r="I205" s="13">
        <f t="shared" ca="1" si="15"/>
        <v>0</v>
      </c>
      <c r="J205" t="s">
        <v>930</v>
      </c>
      <c r="K205" t="b">
        <f t="shared" ca="1" si="13"/>
        <v>1</v>
      </c>
    </row>
    <row r="206" spans="1:12">
      <c r="C206" t="str">
        <f>DataNameProd2 &amp; " Operating Expense"</f>
        <v>Breakthrough Operating Expense</v>
      </c>
      <c r="E206" s="11">
        <f t="shared" ca="1" si="15"/>
        <v>0</v>
      </c>
      <c r="F206" s="11">
        <f t="shared" ca="1" si="15"/>
        <v>0</v>
      </c>
      <c r="G206" s="11">
        <f t="shared" ca="1" si="15"/>
        <v>0</v>
      </c>
      <c r="H206" s="11">
        <f t="shared" ca="1" si="15"/>
        <v>0</v>
      </c>
      <c r="I206" s="11">
        <f t="shared" ca="1" si="15"/>
        <v>0</v>
      </c>
      <c r="K206" t="b">
        <f t="shared" ca="1" si="13"/>
        <v>1</v>
      </c>
    </row>
    <row r="207" spans="1:12">
      <c r="B207" s="2" t="str">
        <f>DataNameProd2 &amp; " Operating Margin"</f>
        <v>Breakthrough Operating Margin</v>
      </c>
      <c r="E207" s="14">
        <f t="shared" ca="1" si="15"/>
        <v>0</v>
      </c>
      <c r="F207" s="14">
        <f t="shared" ca="1" si="15"/>
        <v>0</v>
      </c>
      <c r="G207" s="14">
        <f t="shared" ca="1" si="15"/>
        <v>0</v>
      </c>
      <c r="H207" s="14">
        <f t="shared" ca="1" si="15"/>
        <v>0</v>
      </c>
      <c r="I207" s="14">
        <f t="shared" ca="1" si="15"/>
        <v>0</v>
      </c>
      <c r="J207" t="s">
        <v>931</v>
      </c>
      <c r="K207" t="b">
        <f t="shared" ca="1" si="13"/>
        <v>1</v>
      </c>
    </row>
    <row r="208" spans="1:12">
      <c r="B208" s="2"/>
      <c r="E208" s="14"/>
      <c r="F208" s="14"/>
      <c r="G208" s="14"/>
      <c r="H208" s="14"/>
      <c r="I208" s="14"/>
      <c r="K208" t="b">
        <f t="shared" si="13"/>
        <v>1</v>
      </c>
    </row>
    <row r="209" spans="1:11" ht="12.75">
      <c r="A209" s="22" t="str">
        <f>DataNameProd3</f>
        <v>NCB</v>
      </c>
      <c r="K209" t="b">
        <f t="shared" si="13"/>
        <v>1</v>
      </c>
    </row>
    <row r="210" spans="1:11">
      <c r="B210" s="2" t="s">
        <v>3754</v>
      </c>
      <c r="K210" t="b">
        <f t="shared" si="13"/>
        <v>1</v>
      </c>
    </row>
    <row r="211" spans="1:11">
      <c r="C211" s="3" t="str">
        <f>DataNameProd3 &amp; " Revenues"</f>
        <v>NCB Revenues</v>
      </c>
      <c r="D211" s="3"/>
      <c r="E211" s="85">
        <f>capReg1Prod3UnitsSold*capProd3Reg1Price</f>
        <v>5352000000</v>
      </c>
      <c r="F211" s="85">
        <f>capReg1Prod3UnitsSold*capProd3Reg1Price</f>
        <v>5352000000</v>
      </c>
      <c r="G211" s="85">
        <f>capReg1Prod3UnitsSold*capProd3Reg1Price</f>
        <v>5352000000</v>
      </c>
      <c r="H211" s="85">
        <f>capReg1Prod3UnitsSold*capProd3Reg1Price</f>
        <v>5352000000</v>
      </c>
      <c r="I211" s="85">
        <f>capReg1Prod3UnitsSold*capProd3Reg1Price</f>
        <v>5352000000</v>
      </c>
      <c r="J211" t="s">
        <v>932</v>
      </c>
      <c r="K211" t="b">
        <f t="shared" si="13"/>
        <v>1</v>
      </c>
    </row>
    <row r="212" spans="1:11">
      <c r="C212" s="3" t="str">
        <f>DataNameProd3 &amp; " Promotional Expense"</f>
        <v>NCB Promotional Expense</v>
      </c>
      <c r="D212" s="3"/>
      <c r="E212" s="23">
        <f>capProd3Promo</f>
        <v>855000000</v>
      </c>
      <c r="F212" s="23">
        <f>capProd3Promo</f>
        <v>855000000</v>
      </c>
      <c r="G212" s="23">
        <f>capProd3Promo</f>
        <v>855000000</v>
      </c>
      <c r="H212" s="23">
        <f>capProd3Promo</f>
        <v>855000000</v>
      </c>
      <c r="I212" s="23">
        <f>capProd3Promo</f>
        <v>855000000</v>
      </c>
      <c r="J212" t="s">
        <v>2946</v>
      </c>
      <c r="K212" t="b">
        <f t="shared" si="13"/>
        <v>1</v>
      </c>
    </row>
    <row r="213" spans="1:11">
      <c r="C213" s="2" t="str">
        <f>DataNameProd3 &amp; " Net Revenues"</f>
        <v>NCB Net Revenues</v>
      </c>
      <c r="D213" s="2"/>
      <c r="E213" s="13">
        <f>E211-E212</f>
        <v>4497000000</v>
      </c>
      <c r="F213" s="13">
        <f>F211-F212</f>
        <v>4497000000</v>
      </c>
      <c r="G213" s="13">
        <f>G211-G212</f>
        <v>4497000000</v>
      </c>
      <c r="H213" s="13">
        <f>H211-H212</f>
        <v>4497000000</v>
      </c>
      <c r="I213" s="13">
        <f>I211-I212</f>
        <v>4497000000</v>
      </c>
      <c r="J213" t="s">
        <v>818</v>
      </c>
      <c r="K213" t="b">
        <f t="shared" si="13"/>
        <v>1</v>
      </c>
    </row>
    <row r="214" spans="1:11">
      <c r="B214" s="2" t="s">
        <v>3640</v>
      </c>
      <c r="K214" t="b">
        <f t="shared" si="13"/>
        <v>1</v>
      </c>
    </row>
    <row r="215" spans="1:11">
      <c r="C215" t="str">
        <f>DataNameProd3 &amp; " Material Expense"</f>
        <v>NCB Material Expense</v>
      </c>
      <c r="E215" s="14">
        <f>(capReg1Prod3UnitsSoldNewProd-capReg1Prod3UnitsWiPUsed/2)*capProd3COGSPUnitMat+(capReg1Prod3UnitsSoldFG+capReg1Prod3UnitsWiPUsed/2)*obalProd3COGSPUnitMat</f>
        <v>1428972973.4528</v>
      </c>
      <c r="F215" s="14">
        <f>(capReg1Prod3UnitsSoldNewProd-capReg1Prod3UnitsWiPUsed/2)*capProd3COGSPUnitMat+(capReg1Prod3UnitsSoldFG+capReg1Prod3UnitsWiPUsed/2)*obalProd3COGSPUnitMat</f>
        <v>1428972973.4528</v>
      </c>
      <c r="G215" s="14">
        <f>(capReg1Prod3UnitsSoldNewProd-capReg1Prod3UnitsWiPUsed/2)*capProd3COGSPUnitMat+(capReg1Prod3UnitsSoldFG+capReg1Prod3UnitsWiPUsed/2)*obalProd3COGSPUnitMat</f>
        <v>1428972973.4528</v>
      </c>
      <c r="H215" s="14">
        <f>(capReg1Prod3UnitsSoldNewProd-capReg1Prod3UnitsWiPUsed/2)*capProd3COGSPUnitMat+(capReg1Prod3UnitsSoldFG+capReg1Prod3UnitsWiPUsed/2)*obalProd3COGSPUnitMat</f>
        <v>1428972973.4528</v>
      </c>
      <c r="I215" s="14">
        <f>(capReg1Prod3UnitsSoldNewProd-capReg1Prod3UnitsWiPUsed/2)*capProd3COGSPUnitMat+(capReg1Prod3UnitsSoldFG+capReg1Prod3UnitsWiPUsed/2)*obalProd3COGSPUnitMat</f>
        <v>1428972973.4528</v>
      </c>
      <c r="J215" t="s">
        <v>2338</v>
      </c>
      <c r="K215" t="b">
        <f t="shared" si="13"/>
        <v>1</v>
      </c>
    </row>
    <row r="216" spans="1:11">
      <c r="C216" t="str">
        <f>DataNameProd3 &amp; " Labor Expense"</f>
        <v>NCB Labor Expense</v>
      </c>
      <c r="E216" s="11">
        <f>(capReg1Prod3UnitsSoldNewProd-capReg1Prod3UnitsWiPUsed/2)*capReg1Prod3CostPUnitEmp3+(capReg1Prod3UnitsSoldFG+capReg1Prod3UnitsWiPUsed/2)*obalReg1Prod3COGSPUnitLabor</f>
        <v>605816752.95284975</v>
      </c>
      <c r="F216" s="11">
        <f>(capReg1Prod3UnitsSoldNewProd-capReg1Prod3UnitsWiPUsed/2)*capReg1Prod3CostPUnitEmp3+(capReg1Prod3UnitsSoldFG+capReg1Prod3UnitsWiPUsed/2)*obalReg1Prod3COGSPUnitLabor</f>
        <v>605816752.95284975</v>
      </c>
      <c r="G216" s="11">
        <f>(capReg1Prod3UnitsSoldNewProd-capReg1Prod3UnitsWiPUsed/2)*capReg1Prod3CostPUnitEmp3+(capReg1Prod3UnitsSoldFG+capReg1Prod3UnitsWiPUsed/2)*obalReg1Prod3COGSPUnitLabor</f>
        <v>605816752.95284975</v>
      </c>
      <c r="H216" s="11">
        <f>(capReg1Prod3UnitsSoldNewProd-capReg1Prod3UnitsWiPUsed/2)*capReg1Prod3CostPUnitEmp3+(capReg1Prod3UnitsSoldFG+capReg1Prod3UnitsWiPUsed/2)*obalReg1Prod3COGSPUnitLabor</f>
        <v>605816752.95284975</v>
      </c>
      <c r="I216" s="11">
        <f>(capReg1Prod3UnitsSoldNewProd-capReg1Prod3UnitsWiPUsed/2)*capReg1Prod3CostPUnitEmp3+(capReg1Prod3UnitsSoldFG+capReg1Prod3UnitsWiPUsed/2)*obalReg1Prod3COGSPUnitLabor</f>
        <v>605816752.95284975</v>
      </c>
      <c r="J216" t="s">
        <v>2042</v>
      </c>
      <c r="K216" t="b">
        <f t="shared" si="13"/>
        <v>1</v>
      </c>
    </row>
    <row r="217" spans="1:11">
      <c r="C217" t="str">
        <f>DataNameProd3 &amp; " Machinery Expense"</f>
        <v>NCB Machinery Expense</v>
      </c>
      <c r="E217" s="14">
        <f ca="1">(capReg1Prod3UnitsSoldNewProd-capReg1Prod3UnitsWiPUsed/2)*capProd3COGSPUnitPlant1+(capReg1Prod3UnitsSoldFG+capReg1Prod3UnitsWiPUsed/2)*obalProd3COGSPUnitPlant</f>
        <v>646768.78396239085</v>
      </c>
      <c r="F217" s="14">
        <f ca="1">(capReg1Prod3UnitsSoldNewProd-capReg1Prod3UnitsWiPUsed/2)*capProd3COGSPUnitPlant1+(capReg1Prod3UnitsSoldFG+capReg1Prod3UnitsWiPUsed/2)*obalProd3COGSPUnitPlant</f>
        <v>646768.78396239085</v>
      </c>
      <c r="G217" s="14">
        <f ca="1">(capReg1Prod3UnitsSoldNewProd-capReg1Prod3UnitsWiPUsed/2)*capProd3COGSPUnitPlant1+(capReg1Prod3UnitsSoldFG+capReg1Prod3UnitsWiPUsed/2)*obalProd3COGSPUnitPlant</f>
        <v>646768.78396239085</v>
      </c>
      <c r="H217" s="14">
        <f ca="1">(capReg1Prod3UnitsSoldNewProd-capReg1Prod3UnitsWiPUsed/2)*capProd3COGSPUnitPlant1+(capReg1Prod3UnitsSoldFG+capReg1Prod3UnitsWiPUsed/2)*obalProd3COGSPUnitPlant</f>
        <v>646768.78396239085</v>
      </c>
      <c r="I217" s="14">
        <f ca="1">(capReg1Prod3UnitsSoldNewProd-capReg1Prod3UnitsWiPUsed/2)*capProd3COGSPUnitPlant1+(capReg1Prod3UnitsSoldFG+capReg1Prod3UnitsWiPUsed/2)*obalProd3COGSPUnitPlant</f>
        <v>646768.78396239085</v>
      </c>
      <c r="J217" t="s">
        <v>2941</v>
      </c>
      <c r="K217" t="b">
        <f t="shared" ca="1" si="13"/>
        <v>1</v>
      </c>
    </row>
    <row r="218" spans="1:11">
      <c r="C218" t="str">
        <f>DataNameProd3 &amp; " Depreciation Expense"</f>
        <v>NCB Depreciation Expense</v>
      </c>
      <c r="E218" s="11">
        <f>capProd3COGSPUnitDep*capReg1Prod3UnitsSold</f>
        <v>161856014.39019099</v>
      </c>
      <c r="F218" s="11">
        <f>capProd3COGSPUnitDep*capReg1Prod3UnitsSold</f>
        <v>161856014.39019099</v>
      </c>
      <c r="G218" s="11">
        <f>capProd3COGSPUnitDep*capReg1Prod3UnitsSold</f>
        <v>161856014.39019099</v>
      </c>
      <c r="H218" s="11">
        <f>capProd3COGSPUnitDep*capReg1Prod3UnitsSold</f>
        <v>161856014.39019099</v>
      </c>
      <c r="I218" s="11">
        <f>capProd3COGSPUnitDep*capReg1Prod3UnitsSold</f>
        <v>161856014.39019099</v>
      </c>
      <c r="J218" t="s">
        <v>2942</v>
      </c>
      <c r="K218" t="b">
        <f>MAX(E218:I218)=MIN(E218:I218)</f>
        <v>1</v>
      </c>
    </row>
    <row r="219" spans="1:11">
      <c r="C219" s="207"/>
      <c r="D219" s="207"/>
      <c r="E219" s="256"/>
      <c r="F219" s="256"/>
      <c r="G219" s="256"/>
      <c r="H219" s="256"/>
      <c r="I219" s="256"/>
      <c r="K219" t="b">
        <f t="shared" si="13"/>
        <v>1</v>
      </c>
    </row>
    <row r="220" spans="1:11">
      <c r="C220" s="2" t="str">
        <f>DataNameProd3 &amp; " Manufacturing Expense"</f>
        <v>NCB Manufacturing Expense</v>
      </c>
      <c r="D220" s="2"/>
      <c r="E220" s="17">
        <f ca="1">SUM(E215:E218)</f>
        <v>2197292509.579803</v>
      </c>
      <c r="F220" s="17">
        <f ca="1">SUM(F215:F218)</f>
        <v>2197292509.579803</v>
      </c>
      <c r="G220" s="17">
        <f ca="1">SUM(G215:G218)</f>
        <v>2197292509.579803</v>
      </c>
      <c r="H220" s="17">
        <f ca="1">SUM(H215:H218)</f>
        <v>2197292509.579803</v>
      </c>
      <c r="I220" s="17">
        <f ca="1">SUM(I215:I218)</f>
        <v>2197292509.579803</v>
      </c>
      <c r="J220" t="s">
        <v>3929</v>
      </c>
      <c r="K220" t="b">
        <f t="shared" ca="1" si="13"/>
        <v>1</v>
      </c>
    </row>
    <row r="221" spans="1:11">
      <c r="C221" t="str">
        <f>DataNameProd3 &amp; " Royalties Expense"</f>
        <v>NCB Royalties Expense</v>
      </c>
      <c r="E221" s="11">
        <v>0</v>
      </c>
      <c r="F221" s="11">
        <v>0</v>
      </c>
      <c r="G221" s="11">
        <v>0</v>
      </c>
      <c r="H221" s="11">
        <v>0</v>
      </c>
      <c r="I221" s="11">
        <v>0</v>
      </c>
      <c r="J221" t="s">
        <v>2254</v>
      </c>
      <c r="K221" t="b">
        <f t="shared" si="13"/>
        <v>1</v>
      </c>
    </row>
    <row r="222" spans="1:11">
      <c r="C222" t="str">
        <f>DataNameProd3 &amp; " Speciality Brand Expense"</f>
        <v>NCB Speciality Brand Expense</v>
      </c>
      <c r="E222" s="11">
        <v>0</v>
      </c>
      <c r="F222" s="11">
        <v>0</v>
      </c>
      <c r="G222" s="11">
        <v>0</v>
      </c>
      <c r="H222" s="11">
        <v>0</v>
      </c>
      <c r="I222" s="11">
        <v>0</v>
      </c>
      <c r="K222" t="b">
        <f t="shared" si="13"/>
        <v>1</v>
      </c>
    </row>
    <row r="223" spans="1:11">
      <c r="C223" s="207"/>
      <c r="D223" s="207"/>
      <c r="E223" s="257"/>
      <c r="F223" s="257"/>
      <c r="G223" s="257"/>
      <c r="H223" s="257"/>
      <c r="I223" s="257"/>
      <c r="K223" t="b">
        <f t="shared" si="13"/>
        <v>1</v>
      </c>
    </row>
    <row r="224" spans="1:11">
      <c r="C224" s="2" t="str">
        <f>DataNameProd3 &amp; " COGS"</f>
        <v>NCB COGS</v>
      </c>
      <c r="D224" s="2"/>
      <c r="E224" s="17">
        <f ca="1">SUM(E220:E222)</f>
        <v>2197292509.579803</v>
      </c>
      <c r="F224" s="17">
        <f ca="1">SUM(F220:F222)</f>
        <v>2197292509.579803</v>
      </c>
      <c r="G224" s="17">
        <f ca="1">SUM(G220:G222)</f>
        <v>2197292509.579803</v>
      </c>
      <c r="H224" s="17">
        <f ca="1">SUM(H220:H222)</f>
        <v>2197292509.579803</v>
      </c>
      <c r="I224" s="17">
        <f ca="1">SUM(I220:I222)</f>
        <v>2197292509.579803</v>
      </c>
      <c r="J224" t="s">
        <v>2943</v>
      </c>
      <c r="K224" t="b">
        <f t="shared" ca="1" si="13"/>
        <v>1</v>
      </c>
    </row>
    <row r="225" spans="1:11">
      <c r="B225" s="2" t="s">
        <v>1223</v>
      </c>
      <c r="C225" s="3"/>
      <c r="D225" s="3"/>
      <c r="E225" s="3"/>
      <c r="F225" s="3"/>
      <c r="G225" s="3"/>
      <c r="H225" s="3"/>
      <c r="I225" s="3"/>
      <c r="K225" t="b">
        <f t="shared" si="13"/>
        <v>1</v>
      </c>
    </row>
    <row r="226" spans="1:11">
      <c r="C226" s="2" t="str">
        <f>DataNameProd3 &amp; " Gross Margin"</f>
        <v>NCB Gross Margin</v>
      </c>
      <c r="D226" s="2"/>
      <c r="E226" s="17">
        <f ca="1">E213-E224</f>
        <v>2299707490.420197</v>
      </c>
      <c r="F226" s="17">
        <f ca="1">F213-F224</f>
        <v>2299707490.420197</v>
      </c>
      <c r="G226" s="17">
        <f ca="1">G213-G224</f>
        <v>2299707490.420197</v>
      </c>
      <c r="H226" s="17">
        <f ca="1">H213-H224</f>
        <v>2299707490.420197</v>
      </c>
      <c r="I226" s="17">
        <f ca="1">I213-I224</f>
        <v>2299707490.420197</v>
      </c>
      <c r="J226" t="s">
        <v>2944</v>
      </c>
      <c r="K226" t="b">
        <f t="shared" ca="1" si="13"/>
        <v>1</v>
      </c>
    </row>
    <row r="227" spans="1:11" ht="12.75">
      <c r="A227" s="22"/>
      <c r="B227" s="2" t="s">
        <v>1309</v>
      </c>
      <c r="C227" s="3"/>
      <c r="D227" s="3"/>
      <c r="E227" s="3"/>
      <c r="F227" s="3"/>
      <c r="G227" s="3"/>
      <c r="H227" s="3"/>
      <c r="I227" s="3"/>
      <c r="K227" t="b">
        <f t="shared" si="13"/>
        <v>1</v>
      </c>
    </row>
    <row r="228" spans="1:11">
      <c r="C228" s="3" t="str">
        <f>DataNameProd3 &amp; " Advertising Expense"</f>
        <v>NCB Advertising Expense</v>
      </c>
      <c r="D228" s="3"/>
      <c r="E228" s="23">
        <f>capProd3Adv</f>
        <v>495000000</v>
      </c>
      <c r="F228" s="23">
        <f>capProd3Adv</f>
        <v>495000000</v>
      </c>
      <c r="G228" s="23">
        <f>capProd3Adv</f>
        <v>495000000</v>
      </c>
      <c r="H228" s="23">
        <f>capProd3Adv</f>
        <v>495000000</v>
      </c>
      <c r="I228" s="23">
        <f>capProd3Adv</f>
        <v>495000000</v>
      </c>
      <c r="J228" t="s">
        <v>2945</v>
      </c>
      <c r="K228" t="b">
        <f t="shared" si="13"/>
        <v>1</v>
      </c>
    </row>
    <row r="229" spans="1:11">
      <c r="C229" s="3" t="str">
        <f>DataNameProd3 &amp; " Sales Force Expense"</f>
        <v>NCB Sales Force Expense</v>
      </c>
      <c r="D229" s="3"/>
      <c r="E229" s="85">
        <f>capProd3Emp1SalExp</f>
        <v>83306005.645779744</v>
      </c>
      <c r="F229" s="85">
        <f>capProd3Emp1SalExp</f>
        <v>83306005.645779744</v>
      </c>
      <c r="G229" s="85">
        <f>capProd3Emp1SalExp</f>
        <v>83306005.645779744</v>
      </c>
      <c r="H229" s="85">
        <f>capProd3Emp1SalExp</f>
        <v>83306005.645779744</v>
      </c>
      <c r="I229" s="85">
        <f>capProd3Emp1SalExp</f>
        <v>83306005.645779744</v>
      </c>
      <c r="J229" t="s">
        <v>2269</v>
      </c>
      <c r="K229" t="b">
        <f t="shared" si="13"/>
        <v>1</v>
      </c>
    </row>
    <row r="230" spans="1:11">
      <c r="A230" s="15"/>
      <c r="B230" s="2"/>
      <c r="C230" s="264"/>
      <c r="D230" s="264"/>
      <c r="E230" s="264"/>
      <c r="F230" s="264"/>
      <c r="G230" s="264"/>
      <c r="H230" s="264"/>
      <c r="I230" s="264"/>
      <c r="K230" t="b">
        <f t="shared" si="13"/>
        <v>1</v>
      </c>
    </row>
    <row r="231" spans="1:11" ht="12.75">
      <c r="A231" s="22"/>
      <c r="C231" s="2" t="str">
        <f>DataNameProd3 &amp; " Selling Expense"</f>
        <v>NCB Selling Expense</v>
      </c>
      <c r="D231" s="2"/>
      <c r="E231" s="17">
        <f>SUM(E228:E229)</f>
        <v>578306005.64577973</v>
      </c>
      <c r="F231" s="17">
        <f>SUM(F228:F229)</f>
        <v>578306005.64577973</v>
      </c>
      <c r="G231" s="17">
        <f>SUM(G228:G229)</f>
        <v>578306005.64577973</v>
      </c>
      <c r="H231" s="17">
        <f>SUM(H228:H229)</f>
        <v>578306005.64577973</v>
      </c>
      <c r="I231" s="17">
        <f>SUM(I228:I229)</f>
        <v>578306005.64577973</v>
      </c>
      <c r="K231" t="b">
        <f t="shared" si="13"/>
        <v>1</v>
      </c>
    </row>
    <row r="232" spans="1:11">
      <c r="C232" s="3" t="str">
        <f>DataNameProd3 &amp; " Inventory Handling Expense"</f>
        <v>NCB Inventory Handling Expense</v>
      </c>
      <c r="D232" s="3"/>
      <c r="E232" s="23">
        <f ca="1">paramProd3InventoryHndlgPct*(cbalReg1Prod3MatValue+cbalReg1Prod3WIPValue+cbalReg1Prod3FGValue)</f>
        <v>26348719.300598618</v>
      </c>
      <c r="F232" s="23">
        <f ca="1">paramProd3InventoryHndlgPct*(cbalReg1Prod3MatValue+cbalReg1Prod3WIPValue+cbalReg1Prod3FGValue)</f>
        <v>26348719.300598618</v>
      </c>
      <c r="G232" s="23">
        <f ca="1">paramProd3InventoryHndlgPct*(cbalReg1Prod3MatValue+cbalReg1Prod3WIPValue+cbalReg1Prod3FGValue)</f>
        <v>26348719.300598618</v>
      </c>
      <c r="H232" s="23">
        <f ca="1">paramProd3InventoryHndlgPct*(cbalReg1Prod3MatValue+cbalReg1Prod3WIPValue+cbalReg1Prod3FGValue)</f>
        <v>26348719.300598618</v>
      </c>
      <c r="I232" s="23">
        <f ca="1">paramProd3InventoryHndlgPct*(cbalReg1Prod3MatValue+cbalReg1Prod3WIPValue+cbalReg1Prod3FGValue)</f>
        <v>26348719.300598618</v>
      </c>
      <c r="J232" t="s">
        <v>2947</v>
      </c>
      <c r="K232" t="b">
        <f t="shared" ca="1" si="13"/>
        <v>1</v>
      </c>
    </row>
    <row r="233" spans="1:11">
      <c r="A233" s="435"/>
      <c r="C233" s="3" t="str">
        <f>DataNameProd3 &amp; " Distribution Expense"</f>
        <v>NCB Distribution Expense</v>
      </c>
      <c r="D233" s="3"/>
      <c r="E233" s="85">
        <f>paramReg1Prod3DistCostPUnit*capReg1Prod3UnitsSold</f>
        <v>333802431.45216</v>
      </c>
      <c r="F233" s="85">
        <f>paramReg1Prod3DistCostPUnit*capReg1Prod3UnitsSold</f>
        <v>333802431.45216</v>
      </c>
      <c r="G233" s="85">
        <f>paramReg1Prod3DistCostPUnit*capReg1Prod3UnitsSold</f>
        <v>333802431.45216</v>
      </c>
      <c r="H233" s="85">
        <f>paramReg1Prod3DistCostPUnit*capReg1Prod3UnitsSold</f>
        <v>333802431.45216</v>
      </c>
      <c r="I233" s="85">
        <f>paramReg1Prod3DistCostPUnit*capReg1Prod3UnitsSold</f>
        <v>333802431.45216</v>
      </c>
      <c r="J233" t="s">
        <v>2057</v>
      </c>
      <c r="K233" t="b">
        <f t="shared" si="13"/>
        <v>1</v>
      </c>
    </row>
    <row r="234" spans="1:11">
      <c r="C234" s="264"/>
      <c r="D234" s="264"/>
      <c r="E234" s="264"/>
      <c r="F234" s="264"/>
      <c r="G234" s="264"/>
      <c r="H234" s="264"/>
      <c r="I234" s="264"/>
      <c r="K234" t="b">
        <f t="shared" si="13"/>
        <v>1</v>
      </c>
    </row>
    <row r="235" spans="1:11">
      <c r="C235" s="2" t="str">
        <f>DataNameProd3 &amp; " General Expense"</f>
        <v>NCB General Expense</v>
      </c>
      <c r="D235" s="2"/>
      <c r="E235" s="17">
        <f ca="1">SUM(E232:E233)</f>
        <v>360151150.75275862</v>
      </c>
      <c r="F235" s="17">
        <f ca="1">SUM(F232:F233)</f>
        <v>360151150.75275862</v>
      </c>
      <c r="G235" s="17">
        <f ca="1">SUM(G232:G233)</f>
        <v>360151150.75275862</v>
      </c>
      <c r="H235" s="17">
        <f ca="1">SUM(H232:H233)</f>
        <v>360151150.75275862</v>
      </c>
      <c r="I235" s="17">
        <f ca="1">SUM(I232:I233)</f>
        <v>360151150.75275862</v>
      </c>
      <c r="K235" t="b">
        <f t="shared" ca="1" si="13"/>
        <v>1</v>
      </c>
    </row>
    <row r="236" spans="1:11">
      <c r="C236" s="3" t="str">
        <f>DataNameProd3 &amp; " Employe Admin Expense"</f>
        <v>NCB Employe Admin Expense</v>
      </c>
      <c r="D236" s="3"/>
      <c r="E236" s="11">
        <f>capProd3Emp1AdminExp+capReg1Prod3Emp3AdminExp</f>
        <v>119649159.62972438</v>
      </c>
      <c r="F236" s="11">
        <f>capProd3Emp1AdminExp+capReg1Prod3Emp3AdminExp</f>
        <v>119649159.62972438</v>
      </c>
      <c r="G236" s="11">
        <f>capProd3Emp1AdminExp+capReg1Prod3Emp3AdminExp</f>
        <v>119649159.62972438</v>
      </c>
      <c r="H236" s="11">
        <f>capProd3Emp1AdminExp+capReg1Prod3Emp3AdminExp</f>
        <v>119649159.62972438</v>
      </c>
      <c r="I236" s="11">
        <f>capProd3Emp1AdminExp+capReg1Prod3Emp3AdminExp</f>
        <v>119649159.62972438</v>
      </c>
      <c r="J236" t="s">
        <v>2948</v>
      </c>
      <c r="K236" t="b">
        <f t="shared" si="13"/>
        <v>1</v>
      </c>
    </row>
    <row r="237" spans="1:11">
      <c r="C237" s="3" t="str">
        <f>DataNameProd3 &amp; " Recruit/ Dismisall Expense"</f>
        <v>NCB Recruit/ Dismisall Expense</v>
      </c>
      <c r="D237" s="3"/>
      <c r="E237" s="11">
        <f>capProd3Emp1RecDismExp+capReg1Prod3Emp3RecDismExp</f>
        <v>6257327.7034041844</v>
      </c>
      <c r="F237" s="11">
        <f>capProd3Emp1RecDismExp+capReg1Prod3Emp3RecDismExp</f>
        <v>6257327.7034041844</v>
      </c>
      <c r="G237" s="11">
        <f>capProd3Emp1RecDismExp+capReg1Prod3Emp3RecDismExp</f>
        <v>6257327.7034041844</v>
      </c>
      <c r="H237" s="11">
        <f>capProd3Emp1RecDismExp+capReg1Prod3Emp3RecDismExp</f>
        <v>6257327.7034041844</v>
      </c>
      <c r="I237" s="11">
        <f>capProd3Emp1RecDismExp+capReg1Prod3Emp3RecDismExp</f>
        <v>6257327.7034041844</v>
      </c>
      <c r="J237" t="s">
        <v>2949</v>
      </c>
      <c r="K237" t="b">
        <f t="shared" si="13"/>
        <v>1</v>
      </c>
    </row>
    <row r="238" spans="1:11">
      <c r="C238" s="3" t="str">
        <f>DataNameProd3 &amp; " Fixed Admin Expense"</f>
        <v>NCB Fixed Admin Expense</v>
      </c>
      <c r="D238" s="3"/>
      <c r="E238" s="23">
        <f>paramProd3FixedAdmin</f>
        <v>120363008</v>
      </c>
      <c r="F238" s="23">
        <f>paramProd3FixedAdmin</f>
        <v>120363008</v>
      </c>
      <c r="G238" s="23">
        <f>paramProd3FixedAdmin</f>
        <v>120363008</v>
      </c>
      <c r="H238" s="23">
        <f>paramProd3FixedAdmin</f>
        <v>120363008</v>
      </c>
      <c r="I238" s="23">
        <f>paramProd3FixedAdmin</f>
        <v>120363008</v>
      </c>
      <c r="J238" t="s">
        <v>2950</v>
      </c>
      <c r="K238" t="b">
        <f t="shared" si="13"/>
        <v>1</v>
      </c>
    </row>
    <row r="239" spans="1:11">
      <c r="C239" s="264"/>
      <c r="D239" s="264"/>
      <c r="E239" s="264"/>
      <c r="F239" s="264"/>
      <c r="G239" s="264"/>
      <c r="H239" s="264"/>
      <c r="I239" s="264"/>
      <c r="K239" t="b">
        <f t="shared" si="13"/>
        <v>1</v>
      </c>
    </row>
    <row r="240" spans="1:11">
      <c r="C240" s="2" t="str">
        <f>DataNameProd3 &amp; " Administration Expense"</f>
        <v>NCB Administration Expense</v>
      </c>
      <c r="D240" s="2"/>
      <c r="E240" s="17">
        <f>SUM(E236:E238)</f>
        <v>246269495.33312857</v>
      </c>
      <c r="F240" s="17">
        <f>SUM(F236:F238)</f>
        <v>246269495.33312857</v>
      </c>
      <c r="G240" s="17">
        <f>SUM(G236:G238)</f>
        <v>246269495.33312857</v>
      </c>
      <c r="H240" s="17">
        <f>SUM(H236:H238)</f>
        <v>246269495.33312857</v>
      </c>
      <c r="I240" s="17">
        <f>SUM(I236:I238)</f>
        <v>246269495.33312857</v>
      </c>
      <c r="K240" t="b">
        <f t="shared" si="13"/>
        <v>1</v>
      </c>
    </row>
    <row r="241" spans="1:12" ht="12" thickBot="1">
      <c r="C241" s="2" t="str">
        <f>DataNameProd3 &amp; " SGA Expense"</f>
        <v>NCB SGA Expense</v>
      </c>
      <c r="D241" s="2"/>
      <c r="E241" s="17">
        <f ca="1">E231+E235+E240</f>
        <v>1184726651.731667</v>
      </c>
      <c r="F241" s="17">
        <f ca="1">F231+F235+F240</f>
        <v>1184726651.731667</v>
      </c>
      <c r="G241" s="17">
        <f ca="1">G231+G235+G240</f>
        <v>1184726651.731667</v>
      </c>
      <c r="H241" s="17">
        <f ca="1">H231+H235+H240</f>
        <v>1184726651.731667</v>
      </c>
      <c r="I241" s="17">
        <f ca="1">I231+I235+I240</f>
        <v>1184726651.731667</v>
      </c>
      <c r="J241" t="s">
        <v>2258</v>
      </c>
      <c r="K241" t="b">
        <f t="shared" ca="1" si="13"/>
        <v>1</v>
      </c>
    </row>
    <row r="242" spans="1:12" ht="12.75">
      <c r="A242" s="1345"/>
      <c r="B242" s="1346" t="s">
        <v>2966</v>
      </c>
      <c r="C242" s="1347"/>
      <c r="D242" s="1347"/>
      <c r="E242" s="1347"/>
      <c r="F242" s="1347"/>
      <c r="G242" s="1347"/>
      <c r="H242" s="1347"/>
      <c r="I242" s="1347"/>
      <c r="J242" s="1348"/>
      <c r="K242" s="1348" t="b">
        <f t="shared" si="13"/>
        <v>1</v>
      </c>
      <c r="L242" s="1349"/>
    </row>
    <row r="243" spans="1:12">
      <c r="A243" s="1350"/>
      <c r="B243" s="1351"/>
      <c r="C243" s="1351" t="str">
        <f>DataNameProd3 &amp; " Family Brand R&amp;D"</f>
        <v>NCB Family Brand R&amp;D</v>
      </c>
      <c r="D243" s="1351"/>
      <c r="E243" s="1352">
        <v>0</v>
      </c>
      <c r="F243" s="1352">
        <v>0</v>
      </c>
      <c r="G243" s="1352">
        <v>0</v>
      </c>
      <c r="H243" s="1352">
        <v>0</v>
      </c>
      <c r="I243" s="1352">
        <v>0</v>
      </c>
      <c r="J243" s="1351" t="s">
        <v>627</v>
      </c>
      <c r="K243" s="1351" t="b">
        <f t="shared" si="13"/>
        <v>1</v>
      </c>
      <c r="L243" s="1353"/>
    </row>
    <row r="244" spans="1:12">
      <c r="A244" s="1350"/>
      <c r="B244" s="1351"/>
      <c r="C244" s="1351" t="str">
        <f>DataNameProd3 &amp; " Partner Brand R&amp;D"</f>
        <v>NCB Partner Brand R&amp;D</v>
      </c>
      <c r="D244" s="1351"/>
      <c r="E244" s="1352">
        <v>0</v>
      </c>
      <c r="F244" s="1352">
        <v>0</v>
      </c>
      <c r="G244" s="1352">
        <v>0</v>
      </c>
      <c r="H244" s="1352">
        <v>0</v>
      </c>
      <c r="I244" s="1352">
        <v>0</v>
      </c>
      <c r="J244" s="1351" t="s">
        <v>1391</v>
      </c>
      <c r="K244" s="1351" t="b">
        <f t="shared" si="13"/>
        <v>1</v>
      </c>
      <c r="L244" s="1353" t="s">
        <v>172</v>
      </c>
    </row>
    <row r="245" spans="1:12">
      <c r="A245" s="1350"/>
      <c r="B245" s="1351"/>
      <c r="C245" s="1351" t="str">
        <f>DataNameProd3 &amp; " Portfolio Development"</f>
        <v>NCB Portfolio Development</v>
      </c>
      <c r="D245" s="1351"/>
      <c r="E245" s="1352">
        <f>(capProd3Reg1Units/(capProd3Reg1Units+capProd3Reg2Units))*paramProd3RDFtr4Cost*MAX(0.5,cbalProd3Ftr4Level-obalProd3Ftr4Level)</f>
        <v>588899.35601439315</v>
      </c>
      <c r="F245" s="1352">
        <f>(capProd3Reg1Units/(capProd3Reg1Units+capProd3Reg2Units))*paramProd3RDFtr4Cost*MAX(0.5,cbalProd3Ftr4Level-obalProd3Ftr4Level)</f>
        <v>588899.35601439315</v>
      </c>
      <c r="G245" s="1352">
        <f>(capProd3Reg1Units/(capProd3Reg1Units+capProd3Reg2Units))*paramProd3RDFtr4Cost*MAX(0.5,cbalProd3Ftr4Level-obalProd3Ftr4Level)</f>
        <v>588899.35601439315</v>
      </c>
      <c r="H245" s="1352">
        <f>(capProd3Reg1Units/(capProd3Reg1Units+capProd3Reg2Units))*paramProd3RDFtr4Cost*MAX(0.5,cbalProd3Ftr4Level-obalProd3Ftr4Level)</f>
        <v>588899.35601439315</v>
      </c>
      <c r="I245" s="1352">
        <f>(capProd3Reg1Units/(capProd3Reg1Units+capProd3Reg2Units))*paramProd3RDFtr4Cost*MAX(0.5,cbalProd3Ftr4Level-obalProd3Ftr4Level)</f>
        <v>588899.35601439315</v>
      </c>
      <c r="J245" s="1351" t="s">
        <v>1940</v>
      </c>
      <c r="K245" s="1351" t="b">
        <f t="shared" si="13"/>
        <v>1</v>
      </c>
      <c r="L245" s="1353" t="s">
        <v>1894</v>
      </c>
    </row>
    <row r="246" spans="1:12">
      <c r="A246" s="1350"/>
      <c r="B246" s="1351"/>
      <c r="C246" s="1351" t="str">
        <f>DataNameProd3 &amp; " Long Term R&amp;D"</f>
        <v>NCB Long Term R&amp;D</v>
      </c>
      <c r="D246" s="1351"/>
      <c r="E246" s="1354">
        <v>30000000</v>
      </c>
      <c r="F246" s="1354">
        <v>30000000</v>
      </c>
      <c r="G246" s="1354">
        <v>30000000</v>
      </c>
      <c r="H246" s="1354">
        <v>30000000</v>
      </c>
      <c r="I246" s="1354">
        <v>30000000</v>
      </c>
      <c r="J246" s="1351" t="s">
        <v>3698</v>
      </c>
      <c r="K246" s="1351" t="b">
        <f t="shared" si="13"/>
        <v>1</v>
      </c>
      <c r="L246" s="1353"/>
    </row>
    <row r="247" spans="1:12" ht="12.75">
      <c r="A247" s="1355"/>
      <c r="B247" s="1356"/>
      <c r="C247" s="1357"/>
      <c r="D247" s="1357"/>
      <c r="E247" s="1357"/>
      <c r="F247" s="1357"/>
      <c r="G247" s="1357"/>
      <c r="H247" s="1357"/>
      <c r="I247" s="1357"/>
      <c r="J247" s="1351"/>
      <c r="K247" s="1351" t="b">
        <f t="shared" si="13"/>
        <v>1</v>
      </c>
      <c r="L247" s="1353"/>
    </row>
    <row r="248" spans="1:12" ht="12" thickBot="1">
      <c r="A248" s="1358"/>
      <c r="B248" s="1359"/>
      <c r="C248" s="1360" t="str">
        <f>DataNameProd3 &amp; " R&amp;D Expense"</f>
        <v>NCB R&amp;D Expense</v>
      </c>
      <c r="D248" s="1360"/>
      <c r="E248" s="1361">
        <f>SUM(E243:E246)</f>
        <v>30588899.356014393</v>
      </c>
      <c r="F248" s="1361">
        <f>SUM(F243:F246)</f>
        <v>30588899.356014393</v>
      </c>
      <c r="G248" s="1361">
        <f>SUM(G243:G246)</f>
        <v>30588899.356014393</v>
      </c>
      <c r="H248" s="1361">
        <f>SUM(H243:H246)</f>
        <v>30588899.356014393</v>
      </c>
      <c r="I248" s="1361">
        <f>SUM(I243:I246)</f>
        <v>30588899.356014393</v>
      </c>
      <c r="J248" s="1359" t="s">
        <v>2259</v>
      </c>
      <c r="K248" s="1359" t="b">
        <f t="shared" si="13"/>
        <v>1</v>
      </c>
      <c r="L248" s="1362"/>
    </row>
    <row r="249" spans="1:12">
      <c r="B249" s="2" t="s">
        <v>2465</v>
      </c>
      <c r="K249" t="b">
        <f t="shared" si="13"/>
        <v>1</v>
      </c>
    </row>
    <row r="250" spans="1:12">
      <c r="B250" s="2"/>
      <c r="C250" t="str">
        <f>DataNameProd3 &amp; " Inefficiency Expense"</f>
        <v>NCB Inefficiency Expense</v>
      </c>
      <c r="K250" t="b">
        <f t="shared" si="13"/>
        <v>1</v>
      </c>
    </row>
    <row r="251" spans="1:12">
      <c r="B251" s="2"/>
      <c r="C251" t="str">
        <f>DataNameProd3 &amp; " Excess Capacity Expense"</f>
        <v>NCB Excess Capacity Expense</v>
      </c>
      <c r="K251" t="b">
        <f t="shared" si="13"/>
        <v>1</v>
      </c>
    </row>
    <row r="252" spans="1:12">
      <c r="C252" t="str">
        <f>DataNameProd3 &amp; " Disposal Expense"</f>
        <v>NCB Disposal Expense</v>
      </c>
      <c r="E252" s="11">
        <f ca="1">(capReg1Prod3UnitsFGEnd-capReg1Prod3UnitsFGCbal)*capReg1Prod3COGSPUnitUMC*paramReg1Prod3DispCostPct</f>
        <v>72321404.896117449</v>
      </c>
      <c r="F252" s="11">
        <f ca="1">(capReg1Prod3UnitsFGEnd-capReg1Prod3UnitsFGCbal)*capReg1Prod3COGSPUnitUMC*paramReg1Prod3DispCostPct</f>
        <v>72321404.896117449</v>
      </c>
      <c r="G252" s="11">
        <f ca="1">(capReg1Prod3UnitsFGEnd-capReg1Prod3UnitsFGCbal)*capReg1Prod3COGSPUnitUMC*paramReg1Prod3DispCostPct</f>
        <v>72321404.896117449</v>
      </c>
      <c r="H252" s="11">
        <f ca="1">(capReg1Prod3UnitsFGEnd-capReg1Prod3UnitsFGCbal)*capReg1Prod3COGSPUnitUMC*paramReg1Prod3DispCostPct</f>
        <v>72321404.896117449</v>
      </c>
      <c r="I252" s="11">
        <f ca="1">(capReg1Prod3UnitsFGEnd-capReg1Prod3UnitsFGCbal)*capReg1Prod3COGSPUnitUMC*paramReg1Prod3DispCostPct</f>
        <v>72321404.896117449</v>
      </c>
      <c r="J252" t="s">
        <v>399</v>
      </c>
      <c r="K252" t="b">
        <f t="shared" ca="1" si="13"/>
        <v>1</v>
      </c>
    </row>
    <row r="253" spans="1:12">
      <c r="C253" t="str">
        <f>DataNameProd3 &amp; " Special Programs Expense"</f>
        <v>NCB Special Programs Expense</v>
      </c>
      <c r="E253" s="398">
        <f>paramSpecProgReg1Prod3Exp</f>
        <v>0</v>
      </c>
      <c r="F253" s="398">
        <f>paramSpecProgReg1Prod3Exp</f>
        <v>0</v>
      </c>
      <c r="G253" s="398">
        <f>paramSpecProgReg1Prod3Exp</f>
        <v>0</v>
      </c>
      <c r="H253" s="398">
        <f>paramSpecProgReg1Prod3Exp</f>
        <v>0</v>
      </c>
      <c r="I253" s="398">
        <f>paramSpecProgReg1Prod3Exp</f>
        <v>0</v>
      </c>
      <c r="J253" t="s">
        <v>3290</v>
      </c>
      <c r="K253" t="b">
        <f t="shared" si="13"/>
        <v>1</v>
      </c>
    </row>
    <row r="254" spans="1:12">
      <c r="C254" s="207"/>
      <c r="D254" s="207"/>
      <c r="E254" s="207"/>
      <c r="F254" s="207"/>
      <c r="G254" s="207"/>
      <c r="H254" s="207"/>
      <c r="I254" s="207"/>
      <c r="K254" t="b">
        <f t="shared" si="13"/>
        <v>1</v>
      </c>
    </row>
    <row r="255" spans="1:12">
      <c r="A255" s="2"/>
      <c r="C255" s="2" t="str">
        <f>DataNameProd3 &amp; " Other Op Expense"</f>
        <v>NCB Other Op Expense</v>
      </c>
      <c r="E255" s="13">
        <f ca="1">SUM(E250:E253)</f>
        <v>72321404.896117449</v>
      </c>
      <c r="F255" s="13">
        <f ca="1">SUM(F250:F253)</f>
        <v>72321404.896117449</v>
      </c>
      <c r="G255" s="13">
        <f ca="1">SUM(G250:G253)</f>
        <v>72321404.896117449</v>
      </c>
      <c r="H255" s="13">
        <f ca="1">SUM(H250:H253)</f>
        <v>72321404.896117449</v>
      </c>
      <c r="I255" s="13">
        <f ca="1">SUM(I250:I253)</f>
        <v>72321404.896117449</v>
      </c>
      <c r="J255" s="3" t="s">
        <v>769</v>
      </c>
      <c r="K255" t="b">
        <f t="shared" ref="K255:K313" ca="1" si="16">MAX(E255:I255)=MIN(E255:I255)</f>
        <v>1</v>
      </c>
    </row>
    <row r="256" spans="1:12">
      <c r="B256" s="2" t="s">
        <v>894</v>
      </c>
      <c r="C256" s="2"/>
      <c r="E256" s="13"/>
      <c r="F256" s="13"/>
      <c r="G256" s="13"/>
      <c r="H256" s="13"/>
      <c r="I256" s="13"/>
      <c r="J256" s="3"/>
      <c r="K256" t="b">
        <f t="shared" si="16"/>
        <v>1</v>
      </c>
    </row>
    <row r="257" spans="1:11">
      <c r="A257" s="2"/>
      <c r="C257" t="str">
        <f>DataNameProd3 &amp; " Operating Expense"</f>
        <v>NCB Operating Expense</v>
      </c>
      <c r="E257" s="11">
        <f ca="1">E241+E255</f>
        <v>1257048056.6277845</v>
      </c>
      <c r="F257" s="11">
        <f ca="1">F241+F255</f>
        <v>1257048056.6277845</v>
      </c>
      <c r="G257" s="11">
        <f ca="1">G241+G255</f>
        <v>1257048056.6277845</v>
      </c>
      <c r="H257" s="11">
        <f ca="1">H241+H255</f>
        <v>1257048056.6277845</v>
      </c>
      <c r="I257" s="11">
        <f ca="1">I241+I255</f>
        <v>1257048056.6277845</v>
      </c>
      <c r="K257" t="b">
        <f t="shared" ca="1" si="16"/>
        <v>1</v>
      </c>
    </row>
    <row r="258" spans="1:11">
      <c r="A258" s="2"/>
      <c r="B258" s="2" t="str">
        <f>DataNameProd3 &amp; " Operating Margin"</f>
        <v>NCB Operating Margin</v>
      </c>
      <c r="E258" s="17">
        <f ca="1">E226-E257</f>
        <v>1042659433.7924125</v>
      </c>
      <c r="F258" s="17">
        <f ca="1">F226-F257</f>
        <v>1042659433.7924125</v>
      </c>
      <c r="G258" s="17">
        <f ca="1">G226-G257</f>
        <v>1042659433.7924125</v>
      </c>
      <c r="H258" s="17">
        <f ca="1">H226-H257</f>
        <v>1042659433.7924125</v>
      </c>
      <c r="I258" s="17">
        <f ca="1">I226-I257</f>
        <v>1042659433.7924125</v>
      </c>
      <c r="J258" t="s">
        <v>770</v>
      </c>
      <c r="K258" t="b">
        <f t="shared" ca="1" si="16"/>
        <v>1</v>
      </c>
    </row>
    <row r="259" spans="1:11">
      <c r="A259" s="2"/>
      <c r="B259" s="2"/>
      <c r="E259" s="15">
        <f ca="1">finPNLReg1Prod3OpsMargin/finPNLReg1Prod3NetRev</f>
        <v>0.23185666750998721</v>
      </c>
      <c r="F259" s="15">
        <f ca="1">finPNLReg1Prod3OpsMargin/finPNLReg1Prod3NetRev</f>
        <v>0.23185666750998721</v>
      </c>
      <c r="G259" s="15">
        <f ca="1">finPNLReg1Prod3OpsMargin/finPNLReg1Prod3NetRev</f>
        <v>0.23185666750998721</v>
      </c>
      <c r="H259" s="15">
        <f ca="1">finPNLReg1Prod3OpsMargin/finPNLReg1Prod3NetRev</f>
        <v>0.23185666750998721</v>
      </c>
      <c r="I259" s="15">
        <f ca="1">finPNLReg1Prod3OpsMargin/finPNLReg1Prod3NetRev</f>
        <v>0.23185666750998721</v>
      </c>
      <c r="K259" t="b">
        <f t="shared" ca="1" si="16"/>
        <v>1</v>
      </c>
    </row>
    <row r="260" spans="1:11" ht="12.75">
      <c r="A260" s="22" t="str">
        <f>DataNameProd4</f>
        <v>F&amp;S</v>
      </c>
      <c r="K260" t="b">
        <f t="shared" si="16"/>
        <v>1</v>
      </c>
    </row>
    <row r="261" spans="1:11">
      <c r="B261" s="2" t="s">
        <v>3754</v>
      </c>
      <c r="K261" t="b">
        <f t="shared" si="16"/>
        <v>1</v>
      </c>
    </row>
    <row r="262" spans="1:11">
      <c r="C262" s="3" t="str">
        <f>DataNameProd4 &amp; " Revenues"</f>
        <v>F&amp;S Revenues</v>
      </c>
      <c r="D262" s="3"/>
      <c r="E262" s="85">
        <f>capReg1Prod4UnitsSold*capProd4Reg1Price</f>
        <v>6771250000</v>
      </c>
      <c r="F262" s="85">
        <f>capReg1Prod4UnitsSold*capProd4Reg1Price</f>
        <v>6771250000</v>
      </c>
      <c r="G262" s="85">
        <f>capReg1Prod4UnitsSold*capProd4Reg1Price</f>
        <v>6771250000</v>
      </c>
      <c r="H262" s="85">
        <f>capReg1Prod4UnitsSold*capProd4Reg1Price</f>
        <v>6771250000</v>
      </c>
      <c r="I262" s="85">
        <f>capReg1Prod4UnitsSold*capProd4Reg1Price</f>
        <v>6771250000</v>
      </c>
      <c r="J262" t="s">
        <v>1901</v>
      </c>
      <c r="K262" t="b">
        <f t="shared" si="16"/>
        <v>1</v>
      </c>
    </row>
    <row r="263" spans="1:11">
      <c r="C263" s="3" t="str">
        <f>DataNameProd4 &amp; " Promotional Expense"</f>
        <v>F&amp;S Promotional Expense</v>
      </c>
      <c r="D263" s="3"/>
      <c r="E263" s="23">
        <f>capProd4Promo</f>
        <v>760000000</v>
      </c>
      <c r="F263" s="23">
        <f>capProd4Promo</f>
        <v>760000000</v>
      </c>
      <c r="G263" s="23">
        <f>capProd4Promo</f>
        <v>760000000</v>
      </c>
      <c r="H263" s="23">
        <f>capProd4Promo</f>
        <v>760000000</v>
      </c>
      <c r="I263" s="23">
        <f>capProd4Promo</f>
        <v>760000000</v>
      </c>
      <c r="J263" t="s">
        <v>1787</v>
      </c>
      <c r="K263" t="b">
        <f t="shared" si="16"/>
        <v>1</v>
      </c>
    </row>
    <row r="264" spans="1:11">
      <c r="C264" s="2" t="str">
        <f>DataNameProd4 &amp; " Net Revenues"</f>
        <v>F&amp;S Net Revenues</v>
      </c>
      <c r="D264" s="2"/>
      <c r="E264" s="13">
        <f>E262-E263</f>
        <v>6011250000</v>
      </c>
      <c r="F264" s="13">
        <f>F262-F263</f>
        <v>6011250000</v>
      </c>
      <c r="G264" s="13">
        <f>G262-G263</f>
        <v>6011250000</v>
      </c>
      <c r="H264" s="13">
        <f>H262-H263</f>
        <v>6011250000</v>
      </c>
      <c r="I264" s="13">
        <f>I262-I263</f>
        <v>6011250000</v>
      </c>
      <c r="J264" t="s">
        <v>819</v>
      </c>
      <c r="K264" t="b">
        <f t="shared" si="16"/>
        <v>1</v>
      </c>
    </row>
    <row r="265" spans="1:11">
      <c r="B265" s="2" t="s">
        <v>3640</v>
      </c>
      <c r="K265" t="b">
        <f t="shared" si="16"/>
        <v>1</v>
      </c>
    </row>
    <row r="266" spans="1:11">
      <c r="C266" t="str">
        <f>DataNameProd4 &amp; " Material Expense"</f>
        <v>F&amp;S Material Expense</v>
      </c>
      <c r="E266" s="14">
        <f>(capReg1Prod4UnitsSoldNewProd-capReg1Prod4UnitsWiPUsed/2)*capProd4COGSPUnitMat+(capReg1Prod4UnitsSoldFG+capReg1Prod4UnitsWiPUsed/2)*obalProd4COGSPUnitMat</f>
        <v>1795587374.3018003</v>
      </c>
      <c r="F266" s="14">
        <f>(capReg1Prod4UnitsSoldNewProd-capReg1Prod4UnitsWiPUsed/2)*capProd4COGSPUnitMat+(capReg1Prod4UnitsSoldFG+capReg1Prod4UnitsWiPUsed/2)*obalProd4COGSPUnitMat</f>
        <v>1795587374.3018003</v>
      </c>
      <c r="G266" s="14">
        <f>(capReg1Prod4UnitsSoldNewProd-capReg1Prod4UnitsWiPUsed/2)*capProd4COGSPUnitMat+(capReg1Prod4UnitsSoldFG+capReg1Prod4UnitsWiPUsed/2)*obalProd4COGSPUnitMat</f>
        <v>1795587374.3018003</v>
      </c>
      <c r="H266" s="14">
        <f>(capReg1Prod4UnitsSoldNewProd-capReg1Prod4UnitsWiPUsed/2)*capProd4COGSPUnitMat+(capReg1Prod4UnitsSoldFG+capReg1Prod4UnitsWiPUsed/2)*obalProd4COGSPUnitMat</f>
        <v>1795587374.3018003</v>
      </c>
      <c r="I266" s="14">
        <f>(capReg1Prod4UnitsSoldNewProd-capReg1Prod4UnitsWiPUsed/2)*capProd4COGSPUnitMat+(capReg1Prod4UnitsSoldFG+capReg1Prod4UnitsWiPUsed/2)*obalProd4COGSPUnitMat</f>
        <v>1795587374.3018003</v>
      </c>
      <c r="J266" t="s">
        <v>1902</v>
      </c>
      <c r="K266" t="b">
        <f t="shared" si="16"/>
        <v>1</v>
      </c>
    </row>
    <row r="267" spans="1:11">
      <c r="C267" t="str">
        <f>DataNameProd4 &amp; " Labor Expense"</f>
        <v>F&amp;S Labor Expense</v>
      </c>
      <c r="E267" s="11">
        <f>(capReg1Prod4UnitsSoldNewProd-capReg1Prod4UnitsWiPUsed/2)*capReg1Prod4CostPUnitEmp3+(capReg1Prod4UnitsSoldFG+capReg1Prod4UnitsWiPUsed/2)*obalReg1Prod4COGSPUnitLabor</f>
        <v>846658223.48294163</v>
      </c>
      <c r="F267" s="11">
        <f>(capReg1Prod4UnitsSoldNewProd-capReg1Prod4UnitsWiPUsed/2)*capReg1Prod4CostPUnitEmp3+(capReg1Prod4UnitsSoldFG+capReg1Prod4UnitsWiPUsed/2)*obalReg1Prod4COGSPUnitLabor</f>
        <v>846658223.48294163</v>
      </c>
      <c r="G267" s="11">
        <f>(capReg1Prod4UnitsSoldNewProd-capReg1Prod4UnitsWiPUsed/2)*capReg1Prod4CostPUnitEmp3+(capReg1Prod4UnitsSoldFG+capReg1Prod4UnitsWiPUsed/2)*obalReg1Prod4COGSPUnitLabor</f>
        <v>846658223.48294163</v>
      </c>
      <c r="H267" s="11">
        <f>(capReg1Prod4UnitsSoldNewProd-capReg1Prod4UnitsWiPUsed/2)*capReg1Prod4CostPUnitEmp3+(capReg1Prod4UnitsSoldFG+capReg1Prod4UnitsWiPUsed/2)*obalReg1Prod4COGSPUnitLabor</f>
        <v>846658223.48294163</v>
      </c>
      <c r="I267" s="11">
        <f>(capReg1Prod4UnitsSoldNewProd-capReg1Prod4UnitsWiPUsed/2)*capReg1Prod4CostPUnitEmp3+(capReg1Prod4UnitsSoldFG+capReg1Prod4UnitsWiPUsed/2)*obalReg1Prod4COGSPUnitLabor</f>
        <v>846658223.48294163</v>
      </c>
      <c r="J267" t="s">
        <v>2270</v>
      </c>
      <c r="K267" t="b">
        <f t="shared" si="16"/>
        <v>1</v>
      </c>
    </row>
    <row r="268" spans="1:11">
      <c r="C268" t="str">
        <f>DataNameProd4 &amp; " Machinery Expense"</f>
        <v>F&amp;S Machinery Expense</v>
      </c>
      <c r="E268" s="14">
        <f ca="1">(capReg1Prod4UnitsSoldNewProd-capReg1Prod4UnitsWiPUsed/2)*capProd4COGSPUnitPlant1+(capReg1Prod4UnitsSoldFG+capReg1Prod4UnitsWiPUsed/2)*obalProd4COGSPUnitPlant</f>
        <v>849693.8948442</v>
      </c>
      <c r="F268" s="14">
        <f ca="1">(capReg1Prod4UnitsSoldNewProd-capReg1Prod4UnitsWiPUsed/2)*capProd4COGSPUnitPlant1+(capReg1Prod4UnitsSoldFG+capReg1Prod4UnitsWiPUsed/2)*obalProd4COGSPUnitPlant</f>
        <v>849693.8948442</v>
      </c>
      <c r="G268" s="14">
        <f ca="1">(capReg1Prod4UnitsSoldNewProd-capReg1Prod4UnitsWiPUsed/2)*capProd4COGSPUnitPlant1+(capReg1Prod4UnitsSoldFG+capReg1Prod4UnitsWiPUsed/2)*obalProd4COGSPUnitPlant</f>
        <v>849693.8948442</v>
      </c>
      <c r="H268" s="14">
        <f ca="1">(capReg1Prod4UnitsSoldNewProd-capReg1Prod4UnitsWiPUsed/2)*capProd4COGSPUnitPlant1+(capReg1Prod4UnitsSoldFG+capReg1Prod4UnitsWiPUsed/2)*obalProd4COGSPUnitPlant</f>
        <v>849693.8948442</v>
      </c>
      <c r="I268" s="14">
        <f ca="1">(capReg1Prod4UnitsSoldNewProd-capReg1Prod4UnitsWiPUsed/2)*capProd4COGSPUnitPlant1+(capReg1Prod4UnitsSoldFG+capReg1Prod4UnitsWiPUsed/2)*obalProd4COGSPUnitPlant</f>
        <v>849693.8948442</v>
      </c>
      <c r="J268" t="s">
        <v>1903</v>
      </c>
      <c r="K268" t="b">
        <f t="shared" ca="1" si="16"/>
        <v>1</v>
      </c>
    </row>
    <row r="269" spans="1:11">
      <c r="C269" t="str">
        <f>DataNameProd4 &amp; " Depreciation Expense"</f>
        <v>F&amp;S Depreciation Expense</v>
      </c>
      <c r="E269" s="11">
        <f>capProd4COGSPUnitDep*capReg1Prod4UnitsSold</f>
        <v>212302608.02509454</v>
      </c>
      <c r="F269" s="11">
        <f>capProd4COGSPUnitDep*capReg1Prod4UnitsSold</f>
        <v>212302608.02509454</v>
      </c>
      <c r="G269" s="11">
        <f>capProd4COGSPUnitDep*capReg1Prod4UnitsSold</f>
        <v>212302608.02509454</v>
      </c>
      <c r="H269" s="11">
        <f>capProd4COGSPUnitDep*capReg1Prod4UnitsSold</f>
        <v>212302608.02509454</v>
      </c>
      <c r="I269" s="11">
        <f>capProd4COGSPUnitDep*capReg1Prod4UnitsSold</f>
        <v>212302608.02509454</v>
      </c>
      <c r="J269" t="s">
        <v>3572</v>
      </c>
      <c r="K269" t="b">
        <f>MAX(E269:I269)=MIN(E269:I269)</f>
        <v>1</v>
      </c>
    </row>
    <row r="270" spans="1:11">
      <c r="C270" s="207"/>
      <c r="D270" s="207"/>
      <c r="E270" s="256"/>
      <c r="F270" s="256"/>
      <c r="G270" s="256"/>
      <c r="H270" s="256"/>
      <c r="I270" s="256"/>
      <c r="K270" t="b">
        <f t="shared" si="16"/>
        <v>1</v>
      </c>
    </row>
    <row r="271" spans="1:11">
      <c r="C271" s="2" t="str">
        <f>DataNameProd4 &amp; " Manufacturing Expense"</f>
        <v>F&amp;S Manufacturing Expense</v>
      </c>
      <c r="D271" s="2"/>
      <c r="E271" s="17">
        <f ca="1">SUM(E266:E269)</f>
        <v>2855397899.7046804</v>
      </c>
      <c r="F271" s="17">
        <f ca="1">SUM(F266:F269)</f>
        <v>2855397899.7046804</v>
      </c>
      <c r="G271" s="17">
        <f ca="1">SUM(G266:G269)</f>
        <v>2855397899.7046804</v>
      </c>
      <c r="H271" s="17">
        <f ca="1">SUM(H266:H269)</f>
        <v>2855397899.7046804</v>
      </c>
      <c r="I271" s="17">
        <f ca="1">SUM(I266:I269)</f>
        <v>2855397899.7046804</v>
      </c>
      <c r="J271" t="s">
        <v>3930</v>
      </c>
      <c r="K271" t="b">
        <f t="shared" ca="1" si="16"/>
        <v>1</v>
      </c>
    </row>
    <row r="272" spans="1:11">
      <c r="C272" t="str">
        <f>DataNameProd4 &amp; " Royalties Expense"</f>
        <v>F&amp;S Royalties Expense</v>
      </c>
      <c r="E272" s="11">
        <v>0</v>
      </c>
      <c r="F272" s="11">
        <v>0</v>
      </c>
      <c r="G272" s="11">
        <v>0</v>
      </c>
      <c r="H272" s="11">
        <v>0</v>
      </c>
      <c r="I272" s="11">
        <v>0</v>
      </c>
      <c r="J272" t="s">
        <v>2255</v>
      </c>
      <c r="K272" t="b">
        <f t="shared" si="16"/>
        <v>1</v>
      </c>
    </row>
    <row r="273" spans="1:11">
      <c r="C273" t="str">
        <f>DataNameProd4 &amp; " Speciality Brand Expense"</f>
        <v>F&amp;S Speciality Brand Expense</v>
      </c>
      <c r="E273" s="11">
        <v>0</v>
      </c>
      <c r="F273" s="11">
        <v>0</v>
      </c>
      <c r="G273" s="11">
        <v>0</v>
      </c>
      <c r="H273" s="11">
        <v>0</v>
      </c>
      <c r="I273" s="11">
        <v>0</v>
      </c>
      <c r="K273" t="b">
        <f t="shared" si="16"/>
        <v>1</v>
      </c>
    </row>
    <row r="274" spans="1:11">
      <c r="C274" s="207"/>
      <c r="D274" s="207"/>
      <c r="E274" s="257"/>
      <c r="F274" s="257"/>
      <c r="G274" s="257"/>
      <c r="H274" s="257"/>
      <c r="I274" s="257"/>
      <c r="K274" t="b">
        <f t="shared" si="16"/>
        <v>1</v>
      </c>
    </row>
    <row r="275" spans="1:11">
      <c r="C275" s="2" t="str">
        <f>DataNameProd4 &amp; " COGS"</f>
        <v>F&amp;S COGS</v>
      </c>
      <c r="D275" s="2"/>
      <c r="E275" s="17">
        <f ca="1">SUM(E271:E273)</f>
        <v>2855397899.7046804</v>
      </c>
      <c r="F275" s="17">
        <f ca="1">SUM(F271:F273)</f>
        <v>2855397899.7046804</v>
      </c>
      <c r="G275" s="17">
        <f ca="1">SUM(G271:G273)</f>
        <v>2855397899.7046804</v>
      </c>
      <c r="H275" s="17">
        <f ca="1">SUM(H271:H273)</f>
        <v>2855397899.7046804</v>
      </c>
      <c r="I275" s="17">
        <f ca="1">SUM(I271:I273)</f>
        <v>2855397899.7046804</v>
      </c>
      <c r="J275" t="s">
        <v>1784</v>
      </c>
      <c r="K275" t="b">
        <f t="shared" ca="1" si="16"/>
        <v>1</v>
      </c>
    </row>
    <row r="276" spans="1:11">
      <c r="B276" s="2" t="s">
        <v>1223</v>
      </c>
      <c r="C276" s="3"/>
      <c r="D276" s="3"/>
      <c r="E276" s="3"/>
      <c r="F276" s="3"/>
      <c r="G276" s="3"/>
      <c r="H276" s="3"/>
      <c r="I276" s="3"/>
      <c r="K276" t="b">
        <f t="shared" si="16"/>
        <v>1</v>
      </c>
    </row>
    <row r="277" spans="1:11">
      <c r="C277" s="2" t="str">
        <f>DataNameProd4 &amp; " Gross Margin"</f>
        <v>F&amp;S Gross Margin</v>
      </c>
      <c r="D277" s="2"/>
      <c r="E277" s="17">
        <f ca="1">E264-E275</f>
        <v>3155852100.2953196</v>
      </c>
      <c r="F277" s="17">
        <f ca="1">F264-F275</f>
        <v>3155852100.2953196</v>
      </c>
      <c r="G277" s="17">
        <f ca="1">G264-G275</f>
        <v>3155852100.2953196</v>
      </c>
      <c r="H277" s="17">
        <f ca="1">H264-H275</f>
        <v>3155852100.2953196</v>
      </c>
      <c r="I277" s="17">
        <f ca="1">I264-I275</f>
        <v>3155852100.2953196</v>
      </c>
      <c r="J277" t="s">
        <v>1785</v>
      </c>
      <c r="K277" t="b">
        <f t="shared" ca="1" si="16"/>
        <v>1</v>
      </c>
    </row>
    <row r="278" spans="1:11">
      <c r="B278" s="2" t="s">
        <v>1309</v>
      </c>
      <c r="C278" s="3"/>
      <c r="D278" s="3"/>
      <c r="E278" s="3"/>
      <c r="F278" s="3"/>
      <c r="G278" s="3"/>
      <c r="H278" s="3"/>
      <c r="I278" s="3"/>
      <c r="K278" t="b">
        <f t="shared" si="16"/>
        <v>1</v>
      </c>
    </row>
    <row r="279" spans="1:11" ht="12.75">
      <c r="A279" s="22"/>
      <c r="C279" s="3" t="str">
        <f>DataNameProd4 &amp; " Advertising Expense"</f>
        <v>F&amp;S Advertising Expense</v>
      </c>
      <c r="D279" s="3"/>
      <c r="E279" s="23">
        <f>capProd4Adv</f>
        <v>325000000</v>
      </c>
      <c r="F279" s="23">
        <f>capProd4Adv</f>
        <v>325000000</v>
      </c>
      <c r="G279" s="23">
        <f>capProd4Adv</f>
        <v>325000000</v>
      </c>
      <c r="H279" s="23">
        <f>capProd4Adv</f>
        <v>325000000</v>
      </c>
      <c r="I279" s="23">
        <f>capProd4Adv</f>
        <v>325000000</v>
      </c>
      <c r="J279" t="s">
        <v>1786</v>
      </c>
      <c r="K279" t="b">
        <f t="shared" si="16"/>
        <v>1</v>
      </c>
    </row>
    <row r="280" spans="1:11">
      <c r="C280" s="3" t="str">
        <f>DataNameProd4 &amp; " Sales Force Expense"</f>
        <v>F&amp;S Sales Force Expense</v>
      </c>
      <c r="D280" s="3"/>
      <c r="E280" s="85">
        <f>capProd4Emp1SalExp</f>
        <v>129941747.97184703</v>
      </c>
      <c r="F280" s="85">
        <f>capProd4Emp1SalExp</f>
        <v>129941747.97184703</v>
      </c>
      <c r="G280" s="85">
        <f>capProd4Emp1SalExp</f>
        <v>129941747.97184703</v>
      </c>
      <c r="H280" s="85">
        <f>capProd4Emp1SalExp</f>
        <v>129941747.97184703</v>
      </c>
      <c r="I280" s="85">
        <f>capProd4Emp1SalExp</f>
        <v>129941747.97184703</v>
      </c>
      <c r="J280" t="s">
        <v>2271</v>
      </c>
      <c r="K280" t="b">
        <f t="shared" si="16"/>
        <v>1</v>
      </c>
    </row>
    <row r="281" spans="1:11">
      <c r="B281" s="2"/>
      <c r="C281" s="264"/>
      <c r="D281" s="264"/>
      <c r="E281" s="264"/>
      <c r="F281" s="264"/>
      <c r="G281" s="264"/>
      <c r="H281" s="264"/>
      <c r="I281" s="264"/>
      <c r="K281" t="b">
        <f t="shared" si="16"/>
        <v>1</v>
      </c>
    </row>
    <row r="282" spans="1:11">
      <c r="C282" s="2" t="str">
        <f>DataNameProd4 &amp; " Selling Expense"</f>
        <v>F&amp;S Selling Expense</v>
      </c>
      <c r="D282" s="2"/>
      <c r="E282" s="17">
        <f>SUM(E279:E280)</f>
        <v>454941747.97184706</v>
      </c>
      <c r="F282" s="17">
        <f>SUM(F279:F280)</f>
        <v>454941747.97184706</v>
      </c>
      <c r="G282" s="17">
        <f>SUM(G279:G280)</f>
        <v>454941747.97184706</v>
      </c>
      <c r="H282" s="17">
        <f>SUM(H279:H280)</f>
        <v>454941747.97184706</v>
      </c>
      <c r="I282" s="17">
        <f>SUM(I279:I280)</f>
        <v>454941747.97184706</v>
      </c>
      <c r="K282" t="b">
        <f t="shared" si="16"/>
        <v>1</v>
      </c>
    </row>
    <row r="283" spans="1:11" ht="12.75">
      <c r="A283" s="22"/>
      <c r="C283" s="3" t="str">
        <f>DataNameProd4 &amp; " Inventory Handling Expense"</f>
        <v>F&amp;S Inventory Handling Expense</v>
      </c>
      <c r="D283" s="3"/>
      <c r="E283" s="23">
        <f ca="1">paramProd4InventoryHndlgPct*(cbalReg1Prod4MatValue+cbalReg1Prod4WIPValue+cbalReg1Prod4FGValue)</f>
        <v>35618612.684410341</v>
      </c>
      <c r="F283" s="23">
        <f ca="1">paramProd4InventoryHndlgPct*(cbalReg1Prod4MatValue+cbalReg1Prod4WIPValue+cbalReg1Prod4FGValue)</f>
        <v>35618612.684410341</v>
      </c>
      <c r="G283" s="23">
        <f ca="1">paramProd4InventoryHndlgPct*(cbalReg1Prod4MatValue+cbalReg1Prod4WIPValue+cbalReg1Prod4FGValue)</f>
        <v>35618612.684410341</v>
      </c>
      <c r="H283" s="23">
        <f ca="1">paramProd4InventoryHndlgPct*(cbalReg1Prod4MatValue+cbalReg1Prod4WIPValue+cbalReg1Prod4FGValue)</f>
        <v>35618612.684410341</v>
      </c>
      <c r="I283" s="23">
        <f ca="1">paramProd4InventoryHndlgPct*(cbalReg1Prod4MatValue+cbalReg1Prod4WIPValue+cbalReg1Prod4FGValue)</f>
        <v>35618612.684410341</v>
      </c>
      <c r="J283" t="s">
        <v>1788</v>
      </c>
      <c r="K283" t="b">
        <f t="shared" ca="1" si="16"/>
        <v>1</v>
      </c>
    </row>
    <row r="284" spans="1:11">
      <c r="C284" s="3" t="str">
        <f>DataNameProd4 &amp; " Distribution Expense"</f>
        <v>F&amp;S Distribution Expense</v>
      </c>
      <c r="D284" s="3"/>
      <c r="E284" s="85">
        <f>paramReg1Prod4DistCostPUnit*capReg1Prod4UnitsSold</f>
        <v>477857058.11200237</v>
      </c>
      <c r="F284" s="85">
        <f>paramReg1Prod4DistCostPUnit*capReg1Prod4UnitsSold</f>
        <v>477857058.11200237</v>
      </c>
      <c r="G284" s="85">
        <f>paramReg1Prod4DistCostPUnit*capReg1Prod4UnitsSold</f>
        <v>477857058.11200237</v>
      </c>
      <c r="H284" s="85">
        <f>paramReg1Prod4DistCostPUnit*capReg1Prod4UnitsSold</f>
        <v>477857058.11200237</v>
      </c>
      <c r="I284" s="85">
        <f>paramReg1Prod4DistCostPUnit*capReg1Prod4UnitsSold</f>
        <v>477857058.11200237</v>
      </c>
      <c r="J284" t="s">
        <v>2058</v>
      </c>
      <c r="K284" t="b">
        <f t="shared" si="16"/>
        <v>1</v>
      </c>
    </row>
    <row r="285" spans="1:11">
      <c r="C285" s="264"/>
      <c r="D285" s="264"/>
      <c r="E285" s="264"/>
      <c r="F285" s="264"/>
      <c r="G285" s="264"/>
      <c r="H285" s="264"/>
      <c r="I285" s="264"/>
      <c r="K285" t="b">
        <f t="shared" si="16"/>
        <v>1</v>
      </c>
    </row>
    <row r="286" spans="1:11">
      <c r="C286" s="2" t="str">
        <f>DataNameProd4 &amp; " General Expense"</f>
        <v>F&amp;S General Expense</v>
      </c>
      <c r="D286" s="2"/>
      <c r="E286" s="17">
        <f ca="1">SUM(E283:E284)</f>
        <v>513475670.79641271</v>
      </c>
      <c r="F286" s="17">
        <f ca="1">SUM(F283:F284)</f>
        <v>513475670.79641271</v>
      </c>
      <c r="G286" s="17">
        <f ca="1">SUM(G283:G284)</f>
        <v>513475670.79641271</v>
      </c>
      <c r="H286" s="17">
        <f ca="1">SUM(H283:H284)</f>
        <v>513475670.79641271</v>
      </c>
      <c r="I286" s="17">
        <f ca="1">SUM(I283:I284)</f>
        <v>513475670.79641271</v>
      </c>
      <c r="K286" t="b">
        <f t="shared" ca="1" si="16"/>
        <v>1</v>
      </c>
    </row>
    <row r="287" spans="1:11">
      <c r="C287" s="3" t="str">
        <f>DataNameProd4 &amp; " Employe Admin Expense"</f>
        <v>F&amp;S Employe Admin Expense</v>
      </c>
      <c r="D287" s="3"/>
      <c r="E287" s="11">
        <f>capProd4Emp1AdminExp+capReg1Prod4Emp3AdminExp</f>
        <v>169626458.61446869</v>
      </c>
      <c r="F287" s="11">
        <f>capProd4Emp1AdminExp+capReg1Prod4Emp3AdminExp</f>
        <v>169626458.61446869</v>
      </c>
      <c r="G287" s="11">
        <f>capProd4Emp1AdminExp+capReg1Prod4Emp3AdminExp</f>
        <v>169626458.61446869</v>
      </c>
      <c r="H287" s="11">
        <f>capProd4Emp1AdminExp+capReg1Prod4Emp3AdminExp</f>
        <v>169626458.61446869</v>
      </c>
      <c r="I287" s="11">
        <f>capProd4Emp1AdminExp+capReg1Prod4Emp3AdminExp</f>
        <v>169626458.61446869</v>
      </c>
      <c r="J287" t="s">
        <v>189</v>
      </c>
      <c r="K287" t="b">
        <f t="shared" si="16"/>
        <v>1</v>
      </c>
    </row>
    <row r="288" spans="1:11">
      <c r="C288" s="3" t="str">
        <f>DataNameProd4 &amp; " Recruit/ Dismisall Expense"</f>
        <v>F&amp;S Recruit/ Dismisall Expense</v>
      </c>
      <c r="D288" s="3"/>
      <c r="E288" s="11">
        <f>capProd4Emp1RecDismExp+capReg1Prod4Emp3RecDismExp</f>
        <v>9249803.8151038662</v>
      </c>
      <c r="F288" s="11">
        <f>capProd4Emp1RecDismExp+capReg1Prod4Emp3RecDismExp</f>
        <v>9249803.8151038662</v>
      </c>
      <c r="G288" s="11">
        <f>capProd4Emp1RecDismExp+capReg1Prod4Emp3RecDismExp</f>
        <v>9249803.8151038662</v>
      </c>
      <c r="H288" s="11">
        <f>capProd4Emp1RecDismExp+capReg1Prod4Emp3RecDismExp</f>
        <v>9249803.8151038662</v>
      </c>
      <c r="I288" s="11">
        <f>capProd4Emp1RecDismExp+capReg1Prod4Emp3RecDismExp</f>
        <v>9249803.8151038662</v>
      </c>
      <c r="J288" t="s">
        <v>1988</v>
      </c>
      <c r="K288" t="b">
        <f t="shared" si="16"/>
        <v>1</v>
      </c>
    </row>
    <row r="289" spans="1:12">
      <c r="C289" s="3" t="str">
        <f>DataNameProd4 &amp; " Fixed Admin Expense"</f>
        <v>F&amp;S Fixed Admin Expense</v>
      </c>
      <c r="D289" s="3"/>
      <c r="E289" s="23">
        <f>paramProd4FixedAdmin</f>
        <v>88328625.920000002</v>
      </c>
      <c r="F289" s="23">
        <f>paramProd4FixedAdmin</f>
        <v>88328625.920000002</v>
      </c>
      <c r="G289" s="23">
        <f>paramProd4FixedAdmin</f>
        <v>88328625.920000002</v>
      </c>
      <c r="H289" s="23">
        <f>paramProd4FixedAdmin</f>
        <v>88328625.920000002</v>
      </c>
      <c r="I289" s="23">
        <f>paramProd4FixedAdmin</f>
        <v>88328625.920000002</v>
      </c>
      <c r="J289" t="s">
        <v>1989</v>
      </c>
      <c r="K289" t="b">
        <f t="shared" si="16"/>
        <v>1</v>
      </c>
    </row>
    <row r="290" spans="1:12">
      <c r="C290" s="264"/>
      <c r="D290" s="264"/>
      <c r="E290" s="264"/>
      <c r="F290" s="264"/>
      <c r="G290" s="264"/>
      <c r="H290" s="264"/>
      <c r="I290" s="264"/>
      <c r="K290" t="b">
        <f t="shared" si="16"/>
        <v>1</v>
      </c>
    </row>
    <row r="291" spans="1:12">
      <c r="C291" s="2" t="str">
        <f>DataNameProd4 &amp; " Administration Expense"</f>
        <v>F&amp;S Administration Expense</v>
      </c>
      <c r="D291" s="2"/>
      <c r="E291" s="17">
        <f>SUM(E287:E289)</f>
        <v>267204888.34957254</v>
      </c>
      <c r="F291" s="17">
        <f>SUM(F287:F289)</f>
        <v>267204888.34957254</v>
      </c>
      <c r="G291" s="17">
        <f>SUM(G287:G289)</f>
        <v>267204888.34957254</v>
      </c>
      <c r="H291" s="17">
        <f>SUM(H287:H289)</f>
        <v>267204888.34957254</v>
      </c>
      <c r="I291" s="17">
        <f>SUM(I287:I289)</f>
        <v>267204888.34957254</v>
      </c>
      <c r="K291" t="b">
        <f t="shared" si="16"/>
        <v>1</v>
      </c>
    </row>
    <row r="292" spans="1:12" ht="12" thickBot="1">
      <c r="C292" s="2" t="str">
        <f>DataNameProd4 &amp; " SGA Expense"</f>
        <v>F&amp;S SGA Expense</v>
      </c>
      <c r="D292" s="2"/>
      <c r="E292" s="17">
        <f ca="1">E282+E286+E291</f>
        <v>1235622307.1178322</v>
      </c>
      <c r="F292" s="17">
        <f ca="1">F282+F286+F291</f>
        <v>1235622307.1178322</v>
      </c>
      <c r="G292" s="17">
        <f ca="1">G282+G286+G291</f>
        <v>1235622307.1178322</v>
      </c>
      <c r="H292" s="17">
        <f ca="1">H282+H286+H291</f>
        <v>1235622307.1178322</v>
      </c>
      <c r="I292" s="17">
        <f ca="1">I282+I286+I291</f>
        <v>1235622307.1178322</v>
      </c>
      <c r="J292" t="s">
        <v>1990</v>
      </c>
      <c r="K292" t="b">
        <f t="shared" ca="1" si="16"/>
        <v>1</v>
      </c>
    </row>
    <row r="293" spans="1:12" ht="12.75">
      <c r="A293" s="1345"/>
      <c r="B293" s="1346" t="s">
        <v>2966</v>
      </c>
      <c r="C293" s="1347"/>
      <c r="D293" s="1347"/>
      <c r="E293" s="1347"/>
      <c r="F293" s="1347"/>
      <c r="G293" s="1347"/>
      <c r="H293" s="1347"/>
      <c r="I293" s="1347"/>
      <c r="J293" s="1348"/>
      <c r="K293" s="1348" t="b">
        <f t="shared" si="16"/>
        <v>1</v>
      </c>
      <c r="L293" s="1349"/>
    </row>
    <row r="294" spans="1:12">
      <c r="A294" s="1350"/>
      <c r="B294" s="1351"/>
      <c r="C294" s="1351" t="str">
        <f>DataNameProd4 &amp; " Family Brand R&amp;D"</f>
        <v>F&amp;S Family Brand R&amp;D</v>
      </c>
      <c r="D294" s="1351"/>
      <c r="E294" s="1352">
        <v>0</v>
      </c>
      <c r="F294" s="1352">
        <v>0</v>
      </c>
      <c r="G294" s="1352">
        <v>0</v>
      </c>
      <c r="H294" s="1352">
        <v>0</v>
      </c>
      <c r="I294" s="1352">
        <v>0</v>
      </c>
      <c r="J294" s="1351" t="s">
        <v>1941</v>
      </c>
      <c r="K294" s="1351" t="b">
        <f t="shared" si="16"/>
        <v>1</v>
      </c>
      <c r="L294" s="1353"/>
    </row>
    <row r="295" spans="1:12">
      <c r="A295" s="1350"/>
      <c r="B295" s="1351"/>
      <c r="C295" s="1351" t="str">
        <f>DataNameProd4 &amp; " Partner Brand R&amp;D"</f>
        <v>F&amp;S Partner Brand R&amp;D</v>
      </c>
      <c r="D295" s="1351"/>
      <c r="E295" s="1352">
        <v>0</v>
      </c>
      <c r="F295" s="1352">
        <v>0</v>
      </c>
      <c r="G295" s="1352">
        <v>0</v>
      </c>
      <c r="H295" s="1352">
        <v>0</v>
      </c>
      <c r="I295" s="1352">
        <v>0</v>
      </c>
      <c r="J295" s="1351" t="s">
        <v>2237</v>
      </c>
      <c r="K295" s="1351" t="b">
        <f t="shared" si="16"/>
        <v>1</v>
      </c>
      <c r="L295" s="1353" t="s">
        <v>172</v>
      </c>
    </row>
    <row r="296" spans="1:12">
      <c r="A296" s="1350"/>
      <c r="B296" s="1351"/>
      <c r="C296" s="1351" t="str">
        <f>DataNameProd4 &amp; " Portfolio Development"</f>
        <v>F&amp;S Portfolio Development</v>
      </c>
      <c r="D296" s="1351"/>
      <c r="E296" s="1352">
        <f>(capProd4Reg1Units/(capProd4Reg1Units+capProd4Reg2Units))*paramProd4RDFtr4Cost*MAX(0.5,cbalProd4Ftr4Level-obalProd4Ftr4Level)</f>
        <v>2604542.9862205763</v>
      </c>
      <c r="F296" s="1352">
        <f>(capProd4Reg1Units/(capProd4Reg1Units+capProd4Reg2Units))*paramProd4RDFtr4Cost*MAX(0.5,cbalProd4Ftr4Level-obalProd4Ftr4Level)</f>
        <v>2604542.9862205763</v>
      </c>
      <c r="G296" s="1352">
        <f>(capProd4Reg1Units/(capProd4Reg1Units+capProd4Reg2Units))*paramProd4RDFtr4Cost*MAX(0.5,cbalProd4Ftr4Level-obalProd4Ftr4Level)</f>
        <v>2604542.9862205763</v>
      </c>
      <c r="H296" s="1352">
        <f>(capProd4Reg1Units/(capProd4Reg1Units+capProd4Reg2Units))*paramProd4RDFtr4Cost*MAX(0.5,cbalProd4Ftr4Level-obalProd4Ftr4Level)</f>
        <v>2604542.9862205763</v>
      </c>
      <c r="I296" s="1352">
        <f>(capProd4Reg1Units/(capProd4Reg1Units+capProd4Reg2Units))*paramProd4RDFtr4Cost*MAX(0.5,cbalProd4Ftr4Level-obalProd4Ftr4Level)</f>
        <v>2604542.9862205763</v>
      </c>
      <c r="J296" s="1351" t="s">
        <v>2238</v>
      </c>
      <c r="K296" s="1351" t="b">
        <f t="shared" si="16"/>
        <v>1</v>
      </c>
      <c r="L296" s="1353" t="s">
        <v>1894</v>
      </c>
    </row>
    <row r="297" spans="1:12">
      <c r="A297" s="1350"/>
      <c r="B297" s="1351"/>
      <c r="C297" s="1351" t="str">
        <f>DataNameProd4 &amp; " Long Term R&amp;D"</f>
        <v>F&amp;S Long Term R&amp;D</v>
      </c>
      <c r="D297" s="1351"/>
      <c r="E297" s="1354">
        <v>30000000</v>
      </c>
      <c r="F297" s="1354">
        <v>30000000</v>
      </c>
      <c r="G297" s="1354">
        <v>30000000</v>
      </c>
      <c r="H297" s="1354">
        <v>30000000</v>
      </c>
      <c r="I297" s="1354">
        <v>30000000</v>
      </c>
      <c r="J297" s="1351" t="s">
        <v>3699</v>
      </c>
      <c r="K297" s="1351" t="b">
        <f t="shared" si="16"/>
        <v>1</v>
      </c>
      <c r="L297" s="1353"/>
    </row>
    <row r="298" spans="1:12" ht="12.75">
      <c r="A298" s="1355"/>
      <c r="B298" s="1356"/>
      <c r="C298" s="1357"/>
      <c r="D298" s="1357"/>
      <c r="E298" s="1357"/>
      <c r="F298" s="1357"/>
      <c r="G298" s="1357"/>
      <c r="H298" s="1357"/>
      <c r="I298" s="1357"/>
      <c r="J298" s="1351"/>
      <c r="K298" s="1351" t="b">
        <f t="shared" si="16"/>
        <v>1</v>
      </c>
      <c r="L298" s="1353"/>
    </row>
    <row r="299" spans="1:12" ht="12" thickBot="1">
      <c r="A299" s="1358"/>
      <c r="B299" s="1359"/>
      <c r="C299" s="1360" t="str">
        <f>DataNameProd4 &amp; " R&amp;D Expense"</f>
        <v>F&amp;S R&amp;D Expense</v>
      </c>
      <c r="D299" s="1360"/>
      <c r="E299" s="1361">
        <f>SUM(E294:E297)</f>
        <v>32604542.986220576</v>
      </c>
      <c r="F299" s="1361">
        <f>SUM(F294:F297)</f>
        <v>32604542.986220576</v>
      </c>
      <c r="G299" s="1361">
        <f>SUM(G294:G297)</f>
        <v>32604542.986220576</v>
      </c>
      <c r="H299" s="1361">
        <f>SUM(H294:H297)</f>
        <v>32604542.986220576</v>
      </c>
      <c r="I299" s="1361">
        <f>SUM(I294:I297)</f>
        <v>32604542.986220576</v>
      </c>
      <c r="J299" s="1359" t="s">
        <v>1991</v>
      </c>
      <c r="K299" s="1359" t="b">
        <f t="shared" si="16"/>
        <v>1</v>
      </c>
      <c r="L299" s="1362"/>
    </row>
    <row r="300" spans="1:12">
      <c r="B300" s="2" t="s">
        <v>2465</v>
      </c>
      <c r="K300" t="b">
        <f t="shared" si="16"/>
        <v>1</v>
      </c>
    </row>
    <row r="301" spans="1:12">
      <c r="B301" s="2"/>
      <c r="C301" t="str">
        <f>DataNameProd4 &amp; " Inefficiency Expense"</f>
        <v>F&amp;S Inefficiency Expense</v>
      </c>
      <c r="K301" t="b">
        <f t="shared" si="16"/>
        <v>1</v>
      </c>
    </row>
    <row r="302" spans="1:12">
      <c r="B302" s="2"/>
      <c r="C302" t="str">
        <f>DataNameProd4 &amp; " Excess Capacity Expense"</f>
        <v>F&amp;S Excess Capacity Expense</v>
      </c>
      <c r="K302" t="b">
        <f t="shared" si="16"/>
        <v>1</v>
      </c>
    </row>
    <row r="303" spans="1:12">
      <c r="C303" t="str">
        <f>DataNameProd4 &amp; " Disposal Expense"</f>
        <v>F&amp;S Disposal Expense</v>
      </c>
      <c r="E303" s="11">
        <f ca="1">(capReg1Prod4UnitsFGEnd-capReg1Prod4UnitsFGCbal)*capReg1Prod4COGSPUnitUMC*paramReg1Prod4DispCostPct</f>
        <v>42288449.139453106</v>
      </c>
      <c r="F303" s="11">
        <f ca="1">(capReg1Prod4UnitsFGEnd-capReg1Prod4UnitsFGCbal)*capReg1Prod4COGSPUnitUMC*paramReg1Prod4DispCostPct</f>
        <v>42288449.139453106</v>
      </c>
      <c r="G303" s="11">
        <f ca="1">(capReg1Prod4UnitsFGEnd-capReg1Prod4UnitsFGCbal)*capReg1Prod4COGSPUnitUMC*paramReg1Prod4DispCostPct</f>
        <v>42288449.139453106</v>
      </c>
      <c r="H303" s="11">
        <f ca="1">(capReg1Prod4UnitsFGEnd-capReg1Prod4UnitsFGCbal)*capReg1Prod4COGSPUnitUMC*paramReg1Prod4DispCostPct</f>
        <v>42288449.139453106</v>
      </c>
      <c r="I303" s="11">
        <f ca="1">(capReg1Prod4UnitsFGEnd-capReg1Prod4UnitsFGCbal)*capReg1Prod4COGSPUnitUMC*paramReg1Prod4DispCostPct</f>
        <v>42288449.139453106</v>
      </c>
      <c r="J303" t="s">
        <v>400</v>
      </c>
      <c r="K303" t="b">
        <f t="shared" ca="1" si="16"/>
        <v>1</v>
      </c>
    </row>
    <row r="304" spans="1:12">
      <c r="C304" t="str">
        <f>DataNameProd4 &amp; " Special Programs Expense"</f>
        <v>F&amp;S Special Programs Expense</v>
      </c>
      <c r="E304" s="398">
        <f>paramSpecProgReg1Prod4Exp</f>
        <v>0</v>
      </c>
      <c r="F304" s="398">
        <f>paramSpecProgReg1Prod4Exp</f>
        <v>0</v>
      </c>
      <c r="G304" s="398">
        <f>paramSpecProgReg1Prod4Exp</f>
        <v>0</v>
      </c>
      <c r="H304" s="398">
        <f>paramSpecProgReg1Prod4Exp</f>
        <v>0</v>
      </c>
      <c r="I304" s="398">
        <f>paramSpecProgReg1Prod4Exp</f>
        <v>0</v>
      </c>
      <c r="J304" t="s">
        <v>3289</v>
      </c>
      <c r="K304" t="b">
        <f t="shared" si="16"/>
        <v>1</v>
      </c>
    </row>
    <row r="305" spans="1:11">
      <c r="C305" s="207"/>
      <c r="D305" s="207"/>
      <c r="E305" s="207"/>
      <c r="F305" s="207"/>
      <c r="G305" s="207"/>
      <c r="H305" s="207"/>
      <c r="I305" s="207"/>
      <c r="K305" t="b">
        <f t="shared" si="16"/>
        <v>1</v>
      </c>
    </row>
    <row r="306" spans="1:11">
      <c r="C306" s="2" t="str">
        <f>DataNameProd4 &amp; " Other Op Expense"</f>
        <v>F&amp;S Other Op Expense</v>
      </c>
      <c r="E306" s="13">
        <f ca="1">SUM(E301:E304)</f>
        <v>42288449.139453106</v>
      </c>
      <c r="F306" s="13">
        <f ca="1">SUM(F301:F304)</f>
        <v>42288449.139453106</v>
      </c>
      <c r="G306" s="13">
        <f ca="1">SUM(G301:G304)</f>
        <v>42288449.139453106</v>
      </c>
      <c r="H306" s="13">
        <f ca="1">SUM(H301:H304)</f>
        <v>42288449.139453106</v>
      </c>
      <c r="I306" s="13">
        <f ca="1">SUM(I301:I304)</f>
        <v>42288449.139453106</v>
      </c>
      <c r="J306" s="3" t="s">
        <v>699</v>
      </c>
      <c r="K306" t="b">
        <f t="shared" ca="1" si="16"/>
        <v>1</v>
      </c>
    </row>
    <row r="307" spans="1:11">
      <c r="A307" s="2"/>
      <c r="B307" s="2" t="s">
        <v>894</v>
      </c>
      <c r="C307" s="2"/>
      <c r="E307" s="13"/>
      <c r="F307" s="13"/>
      <c r="G307" s="13"/>
      <c r="H307" s="13"/>
      <c r="I307" s="13"/>
      <c r="J307" s="3"/>
      <c r="K307" t="b">
        <f t="shared" si="16"/>
        <v>1</v>
      </c>
    </row>
    <row r="308" spans="1:11">
      <c r="C308" t="str">
        <f>DataNameProd4 &amp; " Operating Expense"</f>
        <v>F&amp;S Operating Expense</v>
      </c>
      <c r="E308" s="11">
        <f ca="1">E292+E306</f>
        <v>1277910756.2572854</v>
      </c>
      <c r="F308" s="11">
        <f ca="1">F292+F306</f>
        <v>1277910756.2572854</v>
      </c>
      <c r="G308" s="11">
        <f ca="1">G292+G306</f>
        <v>1277910756.2572854</v>
      </c>
      <c r="H308" s="11">
        <f ca="1">H292+H306</f>
        <v>1277910756.2572854</v>
      </c>
      <c r="I308" s="11">
        <f ca="1">I292+I306</f>
        <v>1277910756.2572854</v>
      </c>
      <c r="K308" t="b">
        <f t="shared" ca="1" si="16"/>
        <v>1</v>
      </c>
    </row>
    <row r="309" spans="1:11">
      <c r="B309" s="2" t="str">
        <f>DataNameProd4 &amp; " Operating Margin"</f>
        <v>F&amp;S Operating Margin</v>
      </c>
      <c r="E309" s="17">
        <f ca="1">E277-E308</f>
        <v>1877941344.0380342</v>
      </c>
      <c r="F309" s="17">
        <f ca="1">F277-F308</f>
        <v>1877941344.0380342</v>
      </c>
      <c r="G309" s="17">
        <f ca="1">G277-G308</f>
        <v>1877941344.0380342</v>
      </c>
      <c r="H309" s="17">
        <f ca="1">H277-H308</f>
        <v>1877941344.0380342</v>
      </c>
      <c r="I309" s="17">
        <f ca="1">I277-I308</f>
        <v>1877941344.0380342</v>
      </c>
      <c r="J309" t="s">
        <v>700</v>
      </c>
      <c r="K309" t="b">
        <f t="shared" ca="1" si="16"/>
        <v>1</v>
      </c>
    </row>
    <row r="310" spans="1:11">
      <c r="A310" s="2"/>
      <c r="C310" s="2"/>
      <c r="E310" s="435">
        <f ca="1">finPNLReg1Prod4OpsMargin/finPNLReg1Prod4NetRev</f>
        <v>0.31240446563327662</v>
      </c>
      <c r="F310" s="435">
        <f ca="1">finPNLReg1Prod4OpsMargin/finPNLReg1Prod4NetRev</f>
        <v>0.31240446563327662</v>
      </c>
      <c r="G310" s="435">
        <f ca="1">finPNLReg1Prod4OpsMargin/finPNLReg1Prod4NetRev</f>
        <v>0.31240446563327662</v>
      </c>
      <c r="H310" s="435">
        <f ca="1">finPNLReg1Prod4OpsMargin/finPNLReg1Prod4NetRev</f>
        <v>0.31240446563327662</v>
      </c>
      <c r="I310" s="435">
        <f ca="1">finPNLReg1Prod4OpsMargin/finPNLReg1Prod4NetRev</f>
        <v>0.31240446563327662</v>
      </c>
      <c r="J310" s="3"/>
      <c r="K310" t="b">
        <f t="shared" ca="1" si="16"/>
        <v>1</v>
      </c>
    </row>
    <row r="311" spans="1:11" ht="12.75">
      <c r="A311" s="22" t="s">
        <v>2497</v>
      </c>
      <c r="K311" t="b">
        <f t="shared" si="16"/>
        <v>1</v>
      </c>
    </row>
    <row r="312" spans="1:11">
      <c r="B312" s="2" t="s">
        <v>3754</v>
      </c>
      <c r="K312" t="b">
        <f t="shared" si="16"/>
        <v>1</v>
      </c>
    </row>
    <row r="313" spans="1:11">
      <c r="C313" s="3" t="s">
        <v>1476</v>
      </c>
      <c r="D313" s="3"/>
      <c r="E313" s="85">
        <f>finPNLReg1Prod1Rev+finPNLReg1Prod2Rev+finPNLReg1Prod3Rev+finPNLReg1Prod4Rev</f>
        <v>19169523699.5</v>
      </c>
      <c r="F313" s="85">
        <f>finPNLReg1Prod1Rev+finPNLReg1Prod2Rev+finPNLReg1Prod3Rev+finPNLReg1Prod4Rev</f>
        <v>19169523699.5</v>
      </c>
      <c r="G313" s="85">
        <f>finPNLReg1Prod1Rev+finPNLReg1Prod2Rev+finPNLReg1Prod3Rev+finPNLReg1Prod4Rev</f>
        <v>19169523699.5</v>
      </c>
      <c r="H313" s="85">
        <f>finPNLReg1Prod1Rev+finPNLReg1Prod2Rev+finPNLReg1Prod3Rev+finPNLReg1Prod4Rev</f>
        <v>19169523699.5</v>
      </c>
      <c r="I313" s="85">
        <f>finPNLReg1Prod1Rev+finPNLReg1Prod2Rev+finPNLReg1Prod3Rev+finPNLReg1Prod4Rev</f>
        <v>19169523699.5</v>
      </c>
      <c r="J313" t="s">
        <v>898</v>
      </c>
      <c r="K313" t="b">
        <f t="shared" si="16"/>
        <v>1</v>
      </c>
    </row>
    <row r="314" spans="1:11">
      <c r="C314" s="3" t="s">
        <v>3265</v>
      </c>
      <c r="D314" s="3"/>
      <c r="E314" s="23">
        <f>finPNLReg1Prod1PromoExp+finPNLReg1Prod2PromoExp+finPNLReg1Prod3PromoExp+finPNLReg1Prod4PromoExp</f>
        <v>3065000000</v>
      </c>
      <c r="F314" s="23">
        <f>finPNLReg1Prod1PromoExp+finPNLReg1Prod2PromoExp+finPNLReg1Prod3PromoExp+finPNLReg1Prod4PromoExp</f>
        <v>3065000000</v>
      </c>
      <c r="G314" s="23">
        <f>finPNLReg1Prod1PromoExp+finPNLReg1Prod2PromoExp+finPNLReg1Prod3PromoExp+finPNLReg1Prod4PromoExp</f>
        <v>3065000000</v>
      </c>
      <c r="H314" s="23">
        <f>finPNLReg1Prod1PromoExp+finPNLReg1Prod2PromoExp+finPNLReg1Prod3PromoExp+finPNLReg1Prod4PromoExp</f>
        <v>3065000000</v>
      </c>
      <c r="I314" s="23">
        <f>finPNLReg1Prod1PromoExp+finPNLReg1Prod2PromoExp+finPNLReg1Prod3PromoExp+finPNLReg1Prod4PromoExp</f>
        <v>3065000000</v>
      </c>
      <c r="J314" t="s">
        <v>643</v>
      </c>
      <c r="K314" t="b">
        <f t="shared" ref="K314:K376" si="17">MAX(E314:I314)=MIN(E314:I314)</f>
        <v>1</v>
      </c>
    </row>
    <row r="315" spans="1:11">
      <c r="C315" s="2" t="s">
        <v>1475</v>
      </c>
      <c r="D315" s="2"/>
      <c r="E315" s="13">
        <f>E313-E314</f>
        <v>16104523699.5</v>
      </c>
      <c r="F315" s="13">
        <f>F313-F314</f>
        <v>16104523699.5</v>
      </c>
      <c r="G315" s="13">
        <f>G313-G314</f>
        <v>16104523699.5</v>
      </c>
      <c r="H315" s="13">
        <f>H313-H314</f>
        <v>16104523699.5</v>
      </c>
      <c r="I315" s="13">
        <f>I313-I314</f>
        <v>16104523699.5</v>
      </c>
      <c r="J315" t="s">
        <v>1751</v>
      </c>
      <c r="K315" t="b">
        <f t="shared" si="17"/>
        <v>1</v>
      </c>
    </row>
    <row r="316" spans="1:11">
      <c r="B316" s="2" t="s">
        <v>3640</v>
      </c>
      <c r="K316" t="b">
        <f t="shared" si="17"/>
        <v>1</v>
      </c>
    </row>
    <row r="317" spans="1:11">
      <c r="C317" t="s">
        <v>3259</v>
      </c>
      <c r="E317" s="14">
        <f>finPNLReg1Prod1COGSMatExp+finPNLReg1Prod2COGSMatExp+finPNLReg1Prod3COGSMatExp+finPNLReg1Prod4COGSMatExp</f>
        <v>4944522030.320322</v>
      </c>
      <c r="F317" s="14">
        <f>finPNLReg1Prod1COGSMatExp+finPNLReg1Prod2COGSMatExp+finPNLReg1Prod3COGSMatExp+finPNLReg1Prod4COGSMatExp</f>
        <v>4944522030.320322</v>
      </c>
      <c r="G317" s="14">
        <f>finPNLReg1Prod1COGSMatExp+finPNLReg1Prod2COGSMatExp+finPNLReg1Prod3COGSMatExp+finPNLReg1Prod4COGSMatExp</f>
        <v>4944522030.320322</v>
      </c>
      <c r="H317" s="14">
        <f>finPNLReg1Prod1COGSMatExp+finPNLReg1Prod2COGSMatExp+finPNLReg1Prod3COGSMatExp+finPNLReg1Prod4COGSMatExp</f>
        <v>4944522030.320322</v>
      </c>
      <c r="I317" s="14">
        <f>finPNLReg1Prod1COGSMatExp+finPNLReg1Prod2COGSMatExp+finPNLReg1Prod3COGSMatExp+finPNLReg1Prod4COGSMatExp</f>
        <v>4944522030.320322</v>
      </c>
      <c r="J317" t="s">
        <v>899</v>
      </c>
      <c r="K317" t="b">
        <f t="shared" si="17"/>
        <v>1</v>
      </c>
    </row>
    <row r="318" spans="1:11">
      <c r="C318" t="s">
        <v>3260</v>
      </c>
      <c r="E318" s="11">
        <f>finPNLReg1Prod1COGSEmp3Exp+finPNLReg1Prod2COGSEmp3Exp+finPNLReg1Prod3COGSEmp3Exp+finPNLReg1Prod4COGSEmp3Exp</f>
        <v>2577537895.4278855</v>
      </c>
      <c r="F318" s="11">
        <f>finPNLReg1Prod1COGSEmp3Exp+finPNLReg1Prod2COGSEmp3Exp+finPNLReg1Prod3COGSEmp3Exp+finPNLReg1Prod4COGSEmp3Exp</f>
        <v>2577537895.4278855</v>
      </c>
      <c r="G318" s="11">
        <f>finPNLReg1Prod1COGSEmp3Exp+finPNLReg1Prod2COGSEmp3Exp+finPNLReg1Prod3COGSEmp3Exp+finPNLReg1Prod4COGSEmp3Exp</f>
        <v>2577537895.4278855</v>
      </c>
      <c r="H318" s="11">
        <f>finPNLReg1Prod1COGSEmp3Exp+finPNLReg1Prod2COGSEmp3Exp+finPNLReg1Prod3COGSEmp3Exp+finPNLReg1Prod4COGSEmp3Exp</f>
        <v>2577537895.4278855</v>
      </c>
      <c r="I318" s="11">
        <f>finPNLReg1Prod1COGSEmp3Exp+finPNLReg1Prod2COGSEmp3Exp+finPNLReg1Prod3COGSEmp3Exp+finPNLReg1Prod4COGSEmp3Exp</f>
        <v>2577537895.4278855</v>
      </c>
      <c r="J318" t="s">
        <v>3233</v>
      </c>
      <c r="K318" t="b">
        <f t="shared" si="17"/>
        <v>1</v>
      </c>
    </row>
    <row r="319" spans="1:11">
      <c r="C319" t="s">
        <v>3261</v>
      </c>
      <c r="E319" s="14">
        <f ca="1">finPNLReg1Prod1COGSPlant1Exp+finPNLReg1Prod2COGSPlant1Exp+finPNLReg1Prod3COGSPlant1Exp+finPNLReg1Prod4COGSPlant1Exp</f>
        <v>2156423.223256168</v>
      </c>
      <c r="F319" s="14">
        <f ca="1">finPNLReg1Prod1COGSPlant1Exp+finPNLReg1Prod2COGSPlant1Exp+finPNLReg1Prod3COGSPlant1Exp+finPNLReg1Prod4COGSPlant1Exp</f>
        <v>2156423.223256168</v>
      </c>
      <c r="G319" s="14">
        <f ca="1">finPNLReg1Prod1COGSPlant1Exp+finPNLReg1Prod2COGSPlant1Exp+finPNLReg1Prod3COGSPlant1Exp+finPNLReg1Prod4COGSPlant1Exp</f>
        <v>2156423.223256168</v>
      </c>
      <c r="H319" s="14">
        <f ca="1">finPNLReg1Prod1COGSPlant1Exp+finPNLReg1Prod2COGSPlant1Exp+finPNLReg1Prod3COGSPlant1Exp+finPNLReg1Prod4COGSPlant1Exp</f>
        <v>2156423.223256168</v>
      </c>
      <c r="I319" s="14">
        <f ca="1">finPNLReg1Prod1COGSPlant1Exp+finPNLReg1Prod2COGSPlant1Exp+finPNLReg1Prod3COGSPlant1Exp+finPNLReg1Prod4COGSPlant1Exp</f>
        <v>2156423.223256168</v>
      </c>
      <c r="J319" t="s">
        <v>900</v>
      </c>
      <c r="K319" t="b">
        <f t="shared" ca="1" si="17"/>
        <v>1</v>
      </c>
    </row>
    <row r="320" spans="1:11">
      <c r="C320" t="s">
        <v>3262</v>
      </c>
      <c r="E320" s="11">
        <f>finPNLReg1Prod1COGSDepExp+finPNLReg1Prod2COGSDepExp+finPNLReg1Prod3COGSDepExp+finPNLReg1Prod4COGSDepExp</f>
        <v>539314343.22581542</v>
      </c>
      <c r="F320" s="11">
        <f>finPNLReg1Prod1COGSDepExp+finPNLReg1Prod2COGSDepExp+finPNLReg1Prod3COGSDepExp+finPNLReg1Prod4COGSDepExp</f>
        <v>539314343.22581542</v>
      </c>
      <c r="G320" s="11">
        <f>finPNLReg1Prod1COGSDepExp+finPNLReg1Prod2COGSDepExp+finPNLReg1Prod3COGSDepExp+finPNLReg1Prod4COGSDepExp</f>
        <v>539314343.22581542</v>
      </c>
      <c r="H320" s="11">
        <f>finPNLReg1Prod1COGSDepExp+finPNLReg1Prod2COGSDepExp+finPNLReg1Prod3COGSDepExp+finPNLReg1Prod4COGSDepExp</f>
        <v>539314343.22581542</v>
      </c>
      <c r="I320" s="11">
        <f>finPNLReg1Prod1COGSDepExp+finPNLReg1Prod2COGSDepExp+finPNLReg1Prod3COGSDepExp+finPNLReg1Prod4COGSDepExp</f>
        <v>539314343.22581542</v>
      </c>
      <c r="J320" t="s">
        <v>2442</v>
      </c>
      <c r="K320" t="b">
        <f>MAX(E320:I320)=MIN(E320:I320)</f>
        <v>1</v>
      </c>
    </row>
    <row r="321" spans="1:11">
      <c r="C321" s="207"/>
      <c r="D321" s="207"/>
      <c r="E321" s="256"/>
      <c r="F321" s="256"/>
      <c r="G321" s="256"/>
      <c r="H321" s="256"/>
      <c r="I321" s="256"/>
      <c r="K321" t="b">
        <f t="shared" si="17"/>
        <v>1</v>
      </c>
    </row>
    <row r="322" spans="1:11">
      <c r="C322" s="2" t="s">
        <v>3263</v>
      </c>
      <c r="D322" s="2"/>
      <c r="E322" s="17">
        <f ca="1">SUM(E317:E320)</f>
        <v>8063530692.197279</v>
      </c>
      <c r="F322" s="17">
        <f ca="1">SUM(F317:F320)</f>
        <v>8063530692.197279</v>
      </c>
      <c r="G322" s="17">
        <f ca="1">SUM(G317:G320)</f>
        <v>8063530692.197279</v>
      </c>
      <c r="H322" s="17">
        <f ca="1">SUM(H317:H320)</f>
        <v>8063530692.197279</v>
      </c>
      <c r="I322" s="17">
        <f ca="1">SUM(I317:I320)</f>
        <v>8063530692.197279</v>
      </c>
      <c r="J322" t="s">
        <v>1635</v>
      </c>
      <c r="K322" t="b">
        <f t="shared" ca="1" si="17"/>
        <v>1</v>
      </c>
    </row>
    <row r="323" spans="1:11">
      <c r="C323" t="s">
        <v>2991</v>
      </c>
      <c r="E323" s="11">
        <v>0</v>
      </c>
      <c r="F323" s="11">
        <v>0</v>
      </c>
      <c r="G323" s="11">
        <v>0</v>
      </c>
      <c r="H323" s="11">
        <v>0</v>
      </c>
      <c r="I323" s="11">
        <v>0</v>
      </c>
      <c r="J323" t="s">
        <v>2256</v>
      </c>
      <c r="K323" t="b">
        <f t="shared" si="17"/>
        <v>1</v>
      </c>
    </row>
    <row r="324" spans="1:11">
      <c r="C324" t="s">
        <v>2992</v>
      </c>
      <c r="E324" s="11">
        <v>0</v>
      </c>
      <c r="F324" s="11">
        <v>0</v>
      </c>
      <c r="G324" s="11">
        <v>0</v>
      </c>
      <c r="H324" s="11">
        <v>0</v>
      </c>
      <c r="I324" s="11">
        <v>0</v>
      </c>
      <c r="J324" t="s">
        <v>2062</v>
      </c>
      <c r="K324" t="b">
        <f t="shared" si="17"/>
        <v>1</v>
      </c>
    </row>
    <row r="325" spans="1:11">
      <c r="C325" s="207"/>
      <c r="D325" s="207"/>
      <c r="E325" s="257"/>
      <c r="F325" s="257"/>
      <c r="G325" s="257"/>
      <c r="H325" s="257"/>
      <c r="I325" s="257"/>
      <c r="K325" t="b">
        <f t="shared" si="17"/>
        <v>1</v>
      </c>
    </row>
    <row r="326" spans="1:11">
      <c r="C326" s="2" t="s">
        <v>3640</v>
      </c>
      <c r="D326" s="2"/>
      <c r="E326" s="17">
        <f ca="1">SUM(E322:E324)</f>
        <v>8063530692.197279</v>
      </c>
      <c r="F326" s="17">
        <f ca="1">SUM(F322:F324)</f>
        <v>8063530692.197279</v>
      </c>
      <c r="G326" s="17">
        <f ca="1">SUM(G322:G324)</f>
        <v>8063530692.197279</v>
      </c>
      <c r="H326" s="17">
        <f ca="1">SUM(H322:H324)</f>
        <v>8063530692.197279</v>
      </c>
      <c r="I326" s="17">
        <f ca="1">SUM(I322:I324)</f>
        <v>8063530692.197279</v>
      </c>
      <c r="J326" t="s">
        <v>2443</v>
      </c>
      <c r="K326" t="b">
        <f t="shared" ca="1" si="17"/>
        <v>1</v>
      </c>
    </row>
    <row r="327" spans="1:11">
      <c r="B327" s="2" t="s">
        <v>1223</v>
      </c>
      <c r="C327" s="3"/>
      <c r="D327" s="3"/>
      <c r="E327" s="3"/>
      <c r="F327" s="3"/>
      <c r="G327" s="3"/>
      <c r="H327" s="3"/>
      <c r="I327" s="3"/>
      <c r="K327" t="b">
        <f t="shared" si="17"/>
        <v>1</v>
      </c>
    </row>
    <row r="328" spans="1:11">
      <c r="C328" s="2" t="s">
        <v>1223</v>
      </c>
      <c r="D328" s="2"/>
      <c r="E328" s="17">
        <f ca="1">finPNLReg1NetRev-finPNLReg1COGSExp</f>
        <v>8040993007.302721</v>
      </c>
      <c r="F328" s="17">
        <f ca="1">finPNLReg1NetRev-finPNLReg1COGSExp</f>
        <v>8040993007.302721</v>
      </c>
      <c r="G328" s="17">
        <f ca="1">finPNLReg1NetRev-finPNLReg1COGSExp</f>
        <v>8040993007.302721</v>
      </c>
      <c r="H328" s="17">
        <f ca="1">finPNLReg1NetRev-finPNLReg1COGSExp</f>
        <v>8040993007.302721</v>
      </c>
      <c r="I328" s="17">
        <f ca="1">finPNLReg1NetRev-finPNLReg1COGSExp</f>
        <v>8040993007.302721</v>
      </c>
      <c r="J328" t="s">
        <v>1233</v>
      </c>
      <c r="K328" t="b">
        <f t="shared" ca="1" si="17"/>
        <v>1</v>
      </c>
    </row>
    <row r="329" spans="1:11" ht="12.75">
      <c r="A329" s="22"/>
      <c r="B329" s="2" t="s">
        <v>1309</v>
      </c>
      <c r="C329" s="3"/>
      <c r="D329" s="3"/>
      <c r="E329" s="3"/>
      <c r="F329" s="3"/>
      <c r="G329" s="3"/>
      <c r="H329" s="3"/>
      <c r="I329" s="3"/>
      <c r="K329" t="b">
        <f t="shared" si="17"/>
        <v>1</v>
      </c>
    </row>
    <row r="330" spans="1:11">
      <c r="C330" s="3" t="s">
        <v>3264</v>
      </c>
      <c r="D330" s="3"/>
      <c r="E330" s="23">
        <f>finPNLReg1Prod1AdvExp+finPNLReg1Prod3AdvExp+finPNLReg1Prod2AdvExp+finPNLReg1Prod4AdvExp</f>
        <v>1230000000</v>
      </c>
      <c r="F330" s="23">
        <f>finPNLReg1Prod1AdvExp+finPNLReg1Prod3AdvExp+finPNLReg1Prod2AdvExp+finPNLReg1Prod4AdvExp</f>
        <v>1230000000</v>
      </c>
      <c r="G330" s="23">
        <f>finPNLReg1Prod1AdvExp+finPNLReg1Prod3AdvExp+finPNLReg1Prod2AdvExp+finPNLReg1Prod4AdvExp</f>
        <v>1230000000</v>
      </c>
      <c r="H330" s="23">
        <f>finPNLReg1Prod1AdvExp+finPNLReg1Prod3AdvExp+finPNLReg1Prod2AdvExp+finPNLReg1Prod4AdvExp</f>
        <v>1230000000</v>
      </c>
      <c r="I330" s="23">
        <f>finPNLReg1Prod1AdvExp+finPNLReg1Prod3AdvExp+finPNLReg1Prod2AdvExp+finPNLReg1Prod4AdvExp</f>
        <v>1230000000</v>
      </c>
      <c r="J330" t="s">
        <v>1234</v>
      </c>
      <c r="K330" t="b">
        <f t="shared" si="17"/>
        <v>1</v>
      </c>
    </row>
    <row r="331" spans="1:11">
      <c r="C331" s="3" t="s">
        <v>3266</v>
      </c>
      <c r="D331" s="3"/>
      <c r="E331" s="85">
        <f>finPNLReg1Prod1Emp1Exp+finPNLReg1Prod2Emp1Exp+finPNLReg1Prod3Emp1Exp+finPNLReg1Prod4Emp1Exp</f>
        <v>320000000</v>
      </c>
      <c r="F331" s="85">
        <f>finPNLReg1Prod1Emp1Exp+finPNLReg1Prod2Emp1Exp+finPNLReg1Prod3Emp1Exp+finPNLReg1Prod4Emp1Exp</f>
        <v>320000000</v>
      </c>
      <c r="G331" s="85">
        <f>finPNLReg1Prod1Emp1Exp+finPNLReg1Prod2Emp1Exp+finPNLReg1Prod3Emp1Exp+finPNLReg1Prod4Emp1Exp</f>
        <v>320000000</v>
      </c>
      <c r="H331" s="85">
        <f>finPNLReg1Prod1Emp1Exp+finPNLReg1Prod2Emp1Exp+finPNLReg1Prod3Emp1Exp+finPNLReg1Prod4Emp1Exp</f>
        <v>320000000</v>
      </c>
      <c r="I331" s="85">
        <f>finPNLReg1Prod1Emp1Exp+finPNLReg1Prod2Emp1Exp+finPNLReg1Prod3Emp1Exp+finPNLReg1Prod4Emp1Exp</f>
        <v>320000000</v>
      </c>
      <c r="J331" t="s">
        <v>3234</v>
      </c>
      <c r="K331" t="b">
        <f t="shared" si="17"/>
        <v>1</v>
      </c>
    </row>
    <row r="332" spans="1:11" ht="12.75">
      <c r="A332" s="22"/>
      <c r="B332" s="2"/>
      <c r="C332" s="264"/>
      <c r="D332" s="264"/>
      <c r="E332" s="264"/>
      <c r="F332" s="264"/>
      <c r="G332" s="264"/>
      <c r="H332" s="264"/>
      <c r="I332" s="264"/>
      <c r="K332" t="b">
        <f t="shared" si="17"/>
        <v>1</v>
      </c>
    </row>
    <row r="333" spans="1:11">
      <c r="C333" s="2" t="s">
        <v>897</v>
      </c>
      <c r="D333" s="2"/>
      <c r="E333" s="17">
        <f>SUM(E330:E331)</f>
        <v>1550000000</v>
      </c>
      <c r="F333" s="17">
        <f>SUM(F330:F331)</f>
        <v>1550000000</v>
      </c>
      <c r="G333" s="17">
        <f>SUM(G330:G331)</f>
        <v>1550000000</v>
      </c>
      <c r="H333" s="17">
        <f>SUM(H330:H331)</f>
        <v>1550000000</v>
      </c>
      <c r="I333" s="17">
        <f>SUM(I330:I331)</f>
        <v>1550000000</v>
      </c>
      <c r="K333" t="b">
        <f t="shared" si="17"/>
        <v>1</v>
      </c>
    </row>
    <row r="334" spans="1:11">
      <c r="C334" s="3" t="s">
        <v>3267</v>
      </c>
      <c r="D334" s="3"/>
      <c r="E334" s="23">
        <f ca="1">finPNLReg1Prod1InventoryHndlgExp+finPNLReg1Prod2InventoryHndlgExp+finPNLReg1Prod3InventoryHndlgExp+finPNLReg1Prod4InventoryHndlgExp</f>
        <v>89453350.190477014</v>
      </c>
      <c r="F334" s="23">
        <f ca="1">finPNLReg1Prod1InventoryHndlgExp+finPNLReg1Prod2InventoryHndlgExp+finPNLReg1Prod3InventoryHndlgExp+finPNLReg1Prod4InventoryHndlgExp</f>
        <v>89453350.190477014</v>
      </c>
      <c r="G334" s="23">
        <f ca="1">finPNLReg1Prod1InventoryHndlgExp+finPNLReg1Prod2InventoryHndlgExp+finPNLReg1Prod3InventoryHndlgExp+finPNLReg1Prod4InventoryHndlgExp</f>
        <v>89453350.190477014</v>
      </c>
      <c r="H334" s="23">
        <f ca="1">finPNLReg1Prod1InventoryHndlgExp+finPNLReg1Prod2InventoryHndlgExp+finPNLReg1Prod3InventoryHndlgExp+finPNLReg1Prod4InventoryHndlgExp</f>
        <v>89453350.190477014</v>
      </c>
      <c r="I334" s="23">
        <f ca="1">finPNLReg1Prod1InventoryHndlgExp+finPNLReg1Prod2InventoryHndlgExp+finPNLReg1Prod3InventoryHndlgExp+finPNLReg1Prod4InventoryHndlgExp</f>
        <v>89453350.190477014</v>
      </c>
      <c r="J334" t="s">
        <v>634</v>
      </c>
      <c r="K334" t="b">
        <f t="shared" ca="1" si="17"/>
        <v>1</v>
      </c>
    </row>
    <row r="335" spans="1:11">
      <c r="C335" s="3" t="s">
        <v>3268</v>
      </c>
      <c r="D335" s="3"/>
      <c r="E335" s="85">
        <f>finPNLReg1Prod1COGSDistExp+finPNLReg1Prod2COGSDistExp+finPNLReg1Prod3COGSDistExp+finPNLReg1Prod4COGSDistExp</f>
        <v>1436961266.5233092</v>
      </c>
      <c r="F335" s="85">
        <f>finPNLReg1Prod1COGSDistExp+finPNLReg1Prod2COGSDistExp+finPNLReg1Prod3COGSDistExp+finPNLReg1Prod4COGSDistExp</f>
        <v>1436961266.5233092</v>
      </c>
      <c r="G335" s="85">
        <f>finPNLReg1Prod1COGSDistExp+finPNLReg1Prod2COGSDistExp+finPNLReg1Prod3COGSDistExp+finPNLReg1Prod4COGSDistExp</f>
        <v>1436961266.5233092</v>
      </c>
      <c r="H335" s="85">
        <f>finPNLReg1Prod1COGSDistExp+finPNLReg1Prod2COGSDistExp+finPNLReg1Prod3COGSDistExp+finPNLReg1Prod4COGSDistExp</f>
        <v>1436961266.5233092</v>
      </c>
      <c r="I335" s="85">
        <f>finPNLReg1Prod1COGSDistExp+finPNLReg1Prod2COGSDistExp+finPNLReg1Prod3COGSDistExp+finPNLReg1Prod4COGSDistExp</f>
        <v>1436961266.5233092</v>
      </c>
      <c r="J335" t="s">
        <v>2500</v>
      </c>
      <c r="K335" t="b">
        <f t="shared" si="17"/>
        <v>1</v>
      </c>
    </row>
    <row r="336" spans="1:11">
      <c r="C336" s="264"/>
      <c r="D336" s="264"/>
      <c r="E336" s="264"/>
      <c r="F336" s="264"/>
      <c r="G336" s="264"/>
      <c r="H336" s="264"/>
      <c r="I336" s="264"/>
      <c r="K336" t="b">
        <f t="shared" si="17"/>
        <v>1</v>
      </c>
    </row>
    <row r="337" spans="1:12">
      <c r="C337" s="2" t="s">
        <v>896</v>
      </c>
      <c r="D337" s="2"/>
      <c r="E337" s="17">
        <f ca="1">SUM(E334:E335)</f>
        <v>1526414616.7137861</v>
      </c>
      <c r="F337" s="17">
        <f ca="1">SUM(F334:F335)</f>
        <v>1526414616.7137861</v>
      </c>
      <c r="G337" s="17">
        <f ca="1">SUM(G334:G335)</f>
        <v>1526414616.7137861</v>
      </c>
      <c r="H337" s="17">
        <f ca="1">SUM(H334:H335)</f>
        <v>1526414616.7137861</v>
      </c>
      <c r="I337" s="17">
        <f ca="1">SUM(I334:I335)</f>
        <v>1526414616.7137861</v>
      </c>
      <c r="K337" t="b">
        <f t="shared" ca="1" si="17"/>
        <v>1</v>
      </c>
    </row>
    <row r="338" spans="1:12">
      <c r="C338" s="3" t="s">
        <v>3269</v>
      </c>
      <c r="D338" s="3"/>
      <c r="E338" s="11">
        <f>finPNLReg1Prod1EmpAdminExp+finPNLReg1Prod2EmpAdminExp+finPNLReg1Prod3EmpAdminExp+finPNLReg1Prod4EmpAdminExp</f>
        <v>501885840.03148842</v>
      </c>
      <c r="F338" s="11">
        <f>finPNLReg1Prod1EmpAdminExp+finPNLReg1Prod2EmpAdminExp+finPNLReg1Prod3EmpAdminExp+finPNLReg1Prod4EmpAdminExp</f>
        <v>501885840.03148842</v>
      </c>
      <c r="G338" s="11">
        <f>finPNLReg1Prod1EmpAdminExp+finPNLReg1Prod2EmpAdminExp+finPNLReg1Prod3EmpAdminExp+finPNLReg1Prod4EmpAdminExp</f>
        <v>501885840.03148842</v>
      </c>
      <c r="H338" s="11">
        <f>finPNLReg1Prod1EmpAdminExp+finPNLReg1Prod2EmpAdminExp+finPNLReg1Prod3EmpAdminExp+finPNLReg1Prod4EmpAdminExp</f>
        <v>501885840.03148842</v>
      </c>
      <c r="I338" s="11">
        <f>finPNLReg1Prod1EmpAdminExp+finPNLReg1Prod2EmpAdminExp+finPNLReg1Prod3EmpAdminExp+finPNLReg1Prod4EmpAdminExp</f>
        <v>501885840.03148842</v>
      </c>
      <c r="J338" t="s">
        <v>635</v>
      </c>
      <c r="K338" t="b">
        <f t="shared" si="17"/>
        <v>1</v>
      </c>
    </row>
    <row r="339" spans="1:12">
      <c r="C339" s="3" t="s">
        <v>891</v>
      </c>
      <c r="D339" s="3"/>
      <c r="E339" s="11">
        <f>finPNLReg1Prod1EmpRecDismExp+finPNLReg1Prod2EmpRecDismExp+finPNLReg1Prod3EmpRecDismExp+finPNLReg1Prod4EmpRecDismExp</f>
        <v>25305337.061894536</v>
      </c>
      <c r="F339" s="11">
        <f>finPNLReg1Prod1EmpRecDismExp+finPNLReg1Prod2EmpRecDismExp+finPNLReg1Prod3EmpRecDismExp+finPNLReg1Prod4EmpRecDismExp</f>
        <v>25305337.061894536</v>
      </c>
      <c r="G339" s="11">
        <f>finPNLReg1Prod1EmpRecDismExp+finPNLReg1Prod2EmpRecDismExp+finPNLReg1Prod3EmpRecDismExp+finPNLReg1Prod4EmpRecDismExp</f>
        <v>25305337.061894536</v>
      </c>
      <c r="H339" s="11">
        <f>finPNLReg1Prod1EmpRecDismExp+finPNLReg1Prod2EmpRecDismExp+finPNLReg1Prod3EmpRecDismExp+finPNLReg1Prod4EmpRecDismExp</f>
        <v>25305337.061894536</v>
      </c>
      <c r="I339" s="11">
        <f>finPNLReg1Prod1EmpRecDismExp+finPNLReg1Prod2EmpRecDismExp+finPNLReg1Prod3EmpRecDismExp+finPNLReg1Prod4EmpRecDismExp</f>
        <v>25305337.061894536</v>
      </c>
      <c r="J339" t="s">
        <v>636</v>
      </c>
      <c r="K339" t="b">
        <f t="shared" si="17"/>
        <v>1</v>
      </c>
    </row>
    <row r="340" spans="1:12">
      <c r="C340" s="3" t="s">
        <v>892</v>
      </c>
      <c r="D340" s="3"/>
      <c r="E340" s="23">
        <f>finPNLReg1Prod1FixedAdminExp+finPNLReg1Prod2FixedAdminExp+finPNLReg1Prod3FixedAdminExp+finPNLReg1Prod4FixedAdminExp</f>
        <v>328924354.5212</v>
      </c>
      <c r="F340" s="23">
        <f>finPNLReg1Prod1FixedAdminExp+finPNLReg1Prod2FixedAdminExp+finPNLReg1Prod3FixedAdminExp+finPNLReg1Prod4FixedAdminExp</f>
        <v>328924354.5212</v>
      </c>
      <c r="G340" s="23">
        <f>finPNLReg1Prod1FixedAdminExp+finPNLReg1Prod2FixedAdminExp+finPNLReg1Prod3FixedAdminExp+finPNLReg1Prod4FixedAdminExp</f>
        <v>328924354.5212</v>
      </c>
      <c r="H340" s="23">
        <f>finPNLReg1Prod1FixedAdminExp+finPNLReg1Prod2FixedAdminExp+finPNLReg1Prod3FixedAdminExp+finPNLReg1Prod4FixedAdminExp</f>
        <v>328924354.5212</v>
      </c>
      <c r="I340" s="23">
        <f>finPNLReg1Prod1FixedAdminExp+finPNLReg1Prod2FixedAdminExp+finPNLReg1Prod3FixedAdminExp+finPNLReg1Prod4FixedAdminExp</f>
        <v>328924354.5212</v>
      </c>
      <c r="J340" t="s">
        <v>637</v>
      </c>
      <c r="K340" t="b">
        <f t="shared" si="17"/>
        <v>1</v>
      </c>
    </row>
    <row r="341" spans="1:12">
      <c r="C341" s="264"/>
      <c r="D341" s="264"/>
      <c r="E341" s="264"/>
      <c r="F341" s="264"/>
      <c r="G341" s="264"/>
      <c r="H341" s="264"/>
      <c r="I341" s="264"/>
      <c r="K341" t="b">
        <f t="shared" si="17"/>
        <v>1</v>
      </c>
    </row>
    <row r="342" spans="1:12">
      <c r="C342" s="2" t="s">
        <v>895</v>
      </c>
      <c r="D342" s="2"/>
      <c r="E342" s="17">
        <f>SUM(E338:E340)</f>
        <v>856115531.61458302</v>
      </c>
      <c r="F342" s="17">
        <f>SUM(F338:F340)</f>
        <v>856115531.61458302</v>
      </c>
      <c r="G342" s="17">
        <f>SUM(G338:G340)</f>
        <v>856115531.61458302</v>
      </c>
      <c r="H342" s="17">
        <f>SUM(H338:H340)</f>
        <v>856115531.61458302</v>
      </c>
      <c r="I342" s="17">
        <f>SUM(I338:I340)</f>
        <v>856115531.61458302</v>
      </c>
      <c r="K342" t="b">
        <f t="shared" si="17"/>
        <v>1</v>
      </c>
    </row>
    <row r="343" spans="1:12" ht="12" thickBot="1">
      <c r="C343" s="2" t="s">
        <v>893</v>
      </c>
      <c r="D343" s="2"/>
      <c r="E343" s="17">
        <f ca="1">E342+E337+E333</f>
        <v>3932530148.3283691</v>
      </c>
      <c r="F343" s="17">
        <f ca="1">F342+F337+F333</f>
        <v>3932530148.3283691</v>
      </c>
      <c r="G343" s="17">
        <f ca="1">G342+G337+G333</f>
        <v>3932530148.3283691</v>
      </c>
      <c r="H343" s="17">
        <f ca="1">H342+H337+H333</f>
        <v>3932530148.3283691</v>
      </c>
      <c r="I343" s="17">
        <f ca="1">I342+I337+I333</f>
        <v>3932530148.3283691</v>
      </c>
      <c r="J343" t="s">
        <v>638</v>
      </c>
      <c r="K343" t="b">
        <f t="shared" ca="1" si="17"/>
        <v>1</v>
      </c>
    </row>
    <row r="344" spans="1:12" ht="12.75">
      <c r="A344" s="1345"/>
      <c r="B344" s="1346" t="s">
        <v>2966</v>
      </c>
      <c r="C344" s="1347"/>
      <c r="D344" s="1347"/>
      <c r="E344" s="1347"/>
      <c r="F344" s="1347"/>
      <c r="G344" s="1347"/>
      <c r="H344" s="1347"/>
      <c r="I344" s="1347"/>
      <c r="J344" s="1348"/>
      <c r="K344" s="1348" t="b">
        <f t="shared" si="17"/>
        <v>1</v>
      </c>
      <c r="L344" s="1349"/>
    </row>
    <row r="345" spans="1:12">
      <c r="A345" s="1350"/>
      <c r="B345" s="1351"/>
      <c r="C345" s="1351" t="s">
        <v>2239</v>
      </c>
      <c r="D345" s="1351"/>
      <c r="E345" s="1352">
        <f>finPNLReg1Prod1RDFtr1Exp+finPNLReg1Prod2RDFtr1Exp+finPNLReg1Prod3RDFtr1Exp+finPNLReg1Prod4RDFtr1Exp</f>
        <v>0</v>
      </c>
      <c r="F345" s="1352">
        <f>finPNLReg1Prod1RDFtr1Exp+finPNLReg1Prod2RDFtr1Exp+finPNLReg1Prod3RDFtr1Exp+finPNLReg1Prod4RDFtr1Exp</f>
        <v>0</v>
      </c>
      <c r="G345" s="1352">
        <f>finPNLReg1Prod1RDFtr1Exp+finPNLReg1Prod2RDFtr1Exp+finPNLReg1Prod3RDFtr1Exp+finPNLReg1Prod4RDFtr1Exp</f>
        <v>0</v>
      </c>
      <c r="H345" s="1352">
        <f>finPNLReg1Prod1RDFtr1Exp+finPNLReg1Prod2RDFtr1Exp+finPNLReg1Prod3RDFtr1Exp+finPNLReg1Prod4RDFtr1Exp</f>
        <v>0</v>
      </c>
      <c r="I345" s="1352">
        <f>finPNLReg1Prod1RDFtr1Exp+finPNLReg1Prod2RDFtr1Exp+finPNLReg1Prod3RDFtr1Exp+finPNLReg1Prod4RDFtr1Exp</f>
        <v>0</v>
      </c>
      <c r="J345" s="1351" t="s">
        <v>39</v>
      </c>
      <c r="K345" s="1351" t="b">
        <f t="shared" si="17"/>
        <v>1</v>
      </c>
      <c r="L345" s="1353"/>
    </row>
    <row r="346" spans="1:12">
      <c r="A346" s="1350"/>
      <c r="B346" s="1351"/>
      <c r="C346" s="1351" t="s">
        <v>2240</v>
      </c>
      <c r="D346" s="1351"/>
      <c r="E346" s="1352">
        <f>finPNLReg1Prod1RDFtr2Exp+finPNLReg1Prod2RDFtr2Exp+finPNLReg1Prod3RDFtr2Exp+finPNLReg1Prod4RDFtr2Exp</f>
        <v>0</v>
      </c>
      <c r="F346" s="1352">
        <f>finPNLReg1Prod1RDFtr2Exp+finPNLReg1Prod2RDFtr2Exp+finPNLReg1Prod3RDFtr2Exp+finPNLReg1Prod4RDFtr2Exp</f>
        <v>0</v>
      </c>
      <c r="G346" s="1352">
        <f>finPNLReg1Prod1RDFtr2Exp+finPNLReg1Prod2RDFtr2Exp+finPNLReg1Prod3RDFtr2Exp+finPNLReg1Prod4RDFtr2Exp</f>
        <v>0</v>
      </c>
      <c r="H346" s="1352">
        <f>finPNLReg1Prod1RDFtr2Exp+finPNLReg1Prod2RDFtr2Exp+finPNLReg1Prod3RDFtr2Exp+finPNLReg1Prod4RDFtr2Exp</f>
        <v>0</v>
      </c>
      <c r="I346" s="1352">
        <f>finPNLReg1Prod1RDFtr2Exp+finPNLReg1Prod2RDFtr2Exp+finPNLReg1Prod3RDFtr2Exp+finPNLReg1Prod4RDFtr2Exp</f>
        <v>0</v>
      </c>
      <c r="J346" s="1351" t="s">
        <v>43</v>
      </c>
      <c r="K346" s="1351" t="b">
        <f t="shared" si="17"/>
        <v>1</v>
      </c>
      <c r="L346" s="1353" t="s">
        <v>172</v>
      </c>
    </row>
    <row r="347" spans="1:12">
      <c r="A347" s="1350"/>
      <c r="B347" s="1351"/>
      <c r="C347" s="1351" t="s">
        <v>538</v>
      </c>
      <c r="D347" s="1351"/>
      <c r="E347" s="1352">
        <f>finPNLReg1Prod1RDFtr4Exp+finPNLReg1Prod2RDFtr4Exp+finPNLReg1Prod3RDFtr4Exp+finPNLReg1Prod4RDFtr4Exp</f>
        <v>4872326.7867337707</v>
      </c>
      <c r="F347" s="1352">
        <f>finPNLReg1Prod1RDFtr4Exp+finPNLReg1Prod2RDFtr4Exp+finPNLReg1Prod3RDFtr4Exp+finPNLReg1Prod4RDFtr4Exp</f>
        <v>4872326.7867337707</v>
      </c>
      <c r="G347" s="1352">
        <f>finPNLReg1Prod1RDFtr4Exp+finPNLReg1Prod2RDFtr4Exp+finPNLReg1Prod3RDFtr4Exp+finPNLReg1Prod4RDFtr4Exp</f>
        <v>4872326.7867337707</v>
      </c>
      <c r="H347" s="1352">
        <f>finPNLReg1Prod1RDFtr4Exp+finPNLReg1Prod2RDFtr4Exp+finPNLReg1Prod3RDFtr4Exp+finPNLReg1Prod4RDFtr4Exp</f>
        <v>4872326.7867337707</v>
      </c>
      <c r="I347" s="1352">
        <f>finPNLReg1Prod1RDFtr4Exp+finPNLReg1Prod2RDFtr4Exp+finPNLReg1Prod3RDFtr4Exp+finPNLReg1Prod4RDFtr4Exp</f>
        <v>4872326.7867337707</v>
      </c>
      <c r="J347" s="1351" t="s">
        <v>40</v>
      </c>
      <c r="K347" s="1351" t="b">
        <f t="shared" si="17"/>
        <v>1</v>
      </c>
      <c r="L347" s="1353" t="s">
        <v>1894</v>
      </c>
    </row>
    <row r="348" spans="1:12">
      <c r="A348" s="1350"/>
      <c r="B348" s="1351"/>
      <c r="C348" s="1351" t="s">
        <v>3181</v>
      </c>
      <c r="D348" s="1351"/>
      <c r="E348" s="1354">
        <f>finPNLReg1Prod1RDlt+finPNLReg1Prod2RDlt+finPNLReg1Prod3RDlt+finPNLReg1Prod4RDlt</f>
        <v>110000000</v>
      </c>
      <c r="F348" s="1354">
        <f>finPNLReg1Prod1RDlt+finPNLReg1Prod2RDlt+finPNLReg1Prod3RDlt+finPNLReg1Prod4RDlt</f>
        <v>110000000</v>
      </c>
      <c r="G348" s="1354">
        <f>finPNLReg1Prod1RDlt+finPNLReg1Prod2RDlt+finPNLReg1Prod3RDlt+finPNLReg1Prod4RDlt</f>
        <v>110000000</v>
      </c>
      <c r="H348" s="1354">
        <f>finPNLReg1Prod1RDlt+finPNLReg1Prod2RDlt+finPNLReg1Prod3RDlt+finPNLReg1Prod4RDlt</f>
        <v>110000000</v>
      </c>
      <c r="I348" s="1354">
        <f>finPNLReg1Prod1RDlt+finPNLReg1Prod2RDlt+finPNLReg1Prod3RDlt+finPNLReg1Prod4RDlt</f>
        <v>110000000</v>
      </c>
      <c r="J348" s="1351" t="s">
        <v>1939</v>
      </c>
      <c r="K348" s="1351" t="b">
        <f t="shared" si="17"/>
        <v>1</v>
      </c>
      <c r="L348" s="1353"/>
    </row>
    <row r="349" spans="1:12" ht="12.75">
      <c r="A349" s="1355"/>
      <c r="B349" s="1356"/>
      <c r="C349" s="1357"/>
      <c r="D349" s="1357"/>
      <c r="E349" s="1357"/>
      <c r="F349" s="1357"/>
      <c r="G349" s="1357"/>
      <c r="H349" s="1357"/>
      <c r="I349" s="1357"/>
      <c r="J349" s="1351"/>
      <c r="K349" s="1351" t="b">
        <f t="shared" si="17"/>
        <v>1</v>
      </c>
      <c r="L349" s="1353"/>
    </row>
    <row r="350" spans="1:12" ht="12" thickBot="1">
      <c r="A350" s="1358"/>
      <c r="B350" s="1359"/>
      <c r="C350" s="1360" t="s">
        <v>2241</v>
      </c>
      <c r="D350" s="1360"/>
      <c r="E350" s="1361">
        <f>SUM(E345:E348)</f>
        <v>114872326.78673378</v>
      </c>
      <c r="F350" s="1361">
        <f>SUM(F345:F348)</f>
        <v>114872326.78673378</v>
      </c>
      <c r="G350" s="1361">
        <f>SUM(G345:G348)</f>
        <v>114872326.78673378</v>
      </c>
      <c r="H350" s="1361">
        <f>SUM(H345:H348)</f>
        <v>114872326.78673378</v>
      </c>
      <c r="I350" s="1361">
        <f>SUM(I345:I348)</f>
        <v>114872326.78673378</v>
      </c>
      <c r="J350" s="1359" t="s">
        <v>639</v>
      </c>
      <c r="K350" s="1359" t="b">
        <f t="shared" si="17"/>
        <v>1</v>
      </c>
      <c r="L350" s="1362"/>
    </row>
    <row r="351" spans="1:12">
      <c r="B351" s="2" t="s">
        <v>2465</v>
      </c>
      <c r="K351" t="b">
        <f t="shared" si="17"/>
        <v>1</v>
      </c>
    </row>
    <row r="352" spans="1:12">
      <c r="B352" s="2"/>
      <c r="C352" t="s">
        <v>2415</v>
      </c>
      <c r="E352" s="398">
        <f ca="1">(capPlant1MachInEffCost+capPlant1InEffDepreciation)*capPlant1Reg1Alloc</f>
        <v>127384779.67890136</v>
      </c>
      <c r="F352" s="398">
        <f ca="1">(capPlant1MachInEffCost+capPlant1InEffDepreciation)*capPlant1Reg1Alloc</f>
        <v>127384779.67890136</v>
      </c>
      <c r="G352" s="398">
        <f ca="1">(capPlant1MachInEffCost+capPlant1InEffDepreciation)*capPlant1Reg1Alloc</f>
        <v>127384779.67890136</v>
      </c>
      <c r="H352" s="398">
        <f ca="1">(capPlant1MachInEffCost+capPlant1InEffDepreciation)*capPlant1Reg1Alloc</f>
        <v>127384779.67890136</v>
      </c>
      <c r="I352" s="398">
        <f ca="1">(capPlant1MachInEffCost+capPlant1InEffDepreciation)*capPlant1Reg1Alloc</f>
        <v>127384779.67890136</v>
      </c>
      <c r="J352" t="s">
        <v>3322</v>
      </c>
      <c r="K352" t="b">
        <f t="shared" ca="1" si="17"/>
        <v>1</v>
      </c>
    </row>
    <row r="353" spans="1:11">
      <c r="C353" t="s">
        <v>2874</v>
      </c>
      <c r="E353" s="398">
        <f ca="1">((capPlant1MachExCapCost+capPlant1ExCapDepreciation)*capPlant1Reg1Alloc)</f>
        <v>0</v>
      </c>
      <c r="F353" s="398">
        <f ca="1">((capPlant1MachExCapCost+capPlant1ExCapDepreciation)*capPlant1Reg1Alloc)</f>
        <v>0</v>
      </c>
      <c r="G353" s="398">
        <f ca="1">((capPlant1MachExCapCost+capPlant1ExCapDepreciation)*capPlant1Reg1Alloc)</f>
        <v>0</v>
      </c>
      <c r="H353" s="398">
        <f ca="1">((capPlant1MachExCapCost+capPlant1ExCapDepreciation)*capPlant1Reg1Alloc)</f>
        <v>0</v>
      </c>
      <c r="I353" s="398">
        <f ca="1">((capPlant1MachExCapCost+capPlant1ExCapDepreciation)*capPlant1Reg1Alloc)</f>
        <v>0</v>
      </c>
      <c r="J353" t="s">
        <v>3161</v>
      </c>
      <c r="K353" t="b">
        <f t="shared" ca="1" si="17"/>
        <v>1</v>
      </c>
    </row>
    <row r="354" spans="1:11">
      <c r="C354" t="s">
        <v>396</v>
      </c>
      <c r="E354" s="398">
        <f ca="1">E303+E252+E202+E151</f>
        <v>114609854.03557056</v>
      </c>
      <c r="F354" s="398">
        <f ca="1">F303+F252+F202+F151</f>
        <v>114609854.03557056</v>
      </c>
      <c r="G354" s="398">
        <f ca="1">G303+G252+G202+G151</f>
        <v>114609854.03557056</v>
      </c>
      <c r="H354" s="398">
        <f ca="1">H303+H252+H202+H151</f>
        <v>114609854.03557056</v>
      </c>
      <c r="I354" s="398">
        <f ca="1">I303+I252+I202+I151</f>
        <v>114609854.03557056</v>
      </c>
      <c r="J354" t="s">
        <v>72</v>
      </c>
      <c r="K354" t="b">
        <f t="shared" ca="1" si="17"/>
        <v>1</v>
      </c>
    </row>
    <row r="355" spans="1:11">
      <c r="C355" t="s">
        <v>3411</v>
      </c>
      <c r="E355" s="399">
        <f>finPNLReg1Prod1SpecProgExp+finPNLReg1Prod3SpecProgExp+finPNLReg1Prod4SpecProgExp</f>
        <v>0</v>
      </c>
      <c r="F355" s="399">
        <f>finPNLReg1Prod1SpecProgExp+finPNLReg1Prod3SpecProgExp+finPNLReg1Prod4SpecProgExp</f>
        <v>0</v>
      </c>
      <c r="G355" s="399">
        <f>finPNLReg1Prod1SpecProgExp+finPNLReg1Prod3SpecProgExp+finPNLReg1Prod4SpecProgExp</f>
        <v>0</v>
      </c>
      <c r="H355" s="399">
        <f>finPNLReg1Prod1SpecProgExp+finPNLReg1Prod3SpecProgExp+finPNLReg1Prod4SpecProgExp</f>
        <v>0</v>
      </c>
      <c r="I355" s="399">
        <f>finPNLReg1Prod1SpecProgExp+finPNLReg1Prod3SpecProgExp+finPNLReg1Prod4SpecProgExp</f>
        <v>0</v>
      </c>
      <c r="J355" t="s">
        <v>3850</v>
      </c>
      <c r="K355" t="b">
        <f t="shared" si="17"/>
        <v>1</v>
      </c>
    </row>
    <row r="356" spans="1:11">
      <c r="C356" s="207"/>
      <c r="D356" s="207"/>
      <c r="E356" s="207"/>
      <c r="F356" s="207"/>
      <c r="G356" s="207"/>
      <c r="H356" s="207"/>
      <c r="I356" s="207"/>
      <c r="K356" t="b">
        <f t="shared" si="17"/>
        <v>1</v>
      </c>
    </row>
    <row r="357" spans="1:11">
      <c r="A357" s="2"/>
      <c r="C357" s="2" t="s">
        <v>2465</v>
      </c>
      <c r="E357" s="13">
        <f ca="1">SUM(E352:E355)</f>
        <v>241994633.71447194</v>
      </c>
      <c r="F357" s="13">
        <f ca="1">SUM(F352:F355)</f>
        <v>241994633.71447194</v>
      </c>
      <c r="G357" s="13">
        <f ca="1">SUM(G352:G355)</f>
        <v>241994633.71447194</v>
      </c>
      <c r="H357" s="13">
        <f ca="1">SUM(H352:H355)</f>
        <v>241994633.71447194</v>
      </c>
      <c r="I357" s="13">
        <f ca="1">SUM(I352:I355)</f>
        <v>241994633.71447194</v>
      </c>
      <c r="J357" s="3" t="s">
        <v>640</v>
      </c>
      <c r="K357" t="b">
        <f t="shared" ca="1" si="17"/>
        <v>1</v>
      </c>
    </row>
    <row r="358" spans="1:11">
      <c r="C358" t="s">
        <v>894</v>
      </c>
      <c r="E358" s="11">
        <f ca="1">E343+E357</f>
        <v>4174524782.042841</v>
      </c>
      <c r="F358" s="11">
        <f ca="1">F343+F357</f>
        <v>4174524782.042841</v>
      </c>
      <c r="G358" s="11">
        <f ca="1">G343+G357</f>
        <v>4174524782.042841</v>
      </c>
      <c r="H358" s="11">
        <f ca="1">H343+H357</f>
        <v>4174524782.042841</v>
      </c>
      <c r="I358" s="11">
        <f ca="1">I343+I357</f>
        <v>4174524782.042841</v>
      </c>
      <c r="K358" t="b">
        <f t="shared" ca="1" si="17"/>
        <v>1</v>
      </c>
    </row>
    <row r="359" spans="1:11">
      <c r="B359" s="2" t="s">
        <v>174</v>
      </c>
      <c r="E359" s="852">
        <f ca="1">E328-E358</f>
        <v>3866468225.2598801</v>
      </c>
      <c r="F359" s="852">
        <f ca="1">F328-F358</f>
        <v>3866468225.2598801</v>
      </c>
      <c r="G359" s="852">
        <f ca="1">G328-G358</f>
        <v>3866468225.2598801</v>
      </c>
      <c r="H359" s="852">
        <f ca="1">H328-H358</f>
        <v>3866468225.2598801</v>
      </c>
      <c r="I359" s="852">
        <f ca="1">I328-I358</f>
        <v>3866468225.2598801</v>
      </c>
      <c r="J359" t="s">
        <v>104</v>
      </c>
      <c r="K359" t="b">
        <f t="shared" ca="1" si="17"/>
        <v>1</v>
      </c>
    </row>
    <row r="360" spans="1:11">
      <c r="B360" s="2"/>
      <c r="C360" t="s">
        <v>1428</v>
      </c>
      <c r="E360" s="1310">
        <f ca="1">finPNLReg1OpsMargin/finPNLReg1NetRev</f>
        <v>0.24008584776586239</v>
      </c>
      <c r="F360" s="1310">
        <f ca="1">finPNLReg1OpsMargin/finPNLReg1NetRev</f>
        <v>0.24008584776586239</v>
      </c>
      <c r="G360" s="1310">
        <f ca="1">finPNLReg1OpsMargin/finPNLReg1NetRev</f>
        <v>0.24008584776586239</v>
      </c>
      <c r="H360" s="1310">
        <f ca="1">finPNLReg1OpsMargin/finPNLReg1NetRev</f>
        <v>0.24008584776586239</v>
      </c>
      <c r="I360" s="1310">
        <f ca="1">finPNLReg1OpsMargin/finPNLReg1NetRev</f>
        <v>0.24008584776586239</v>
      </c>
      <c r="J360" t="s">
        <v>1266</v>
      </c>
      <c r="K360" t="b">
        <f t="shared" ca="1" si="17"/>
        <v>1</v>
      </c>
    </row>
    <row r="361" spans="1:11">
      <c r="E361" s="14"/>
      <c r="F361" s="14"/>
      <c r="G361" s="14"/>
      <c r="H361" s="14"/>
      <c r="I361" s="14"/>
      <c r="K361" t="b">
        <f t="shared" si="17"/>
        <v>1</v>
      </c>
    </row>
    <row r="362" spans="1:11" ht="15.75">
      <c r="A362" s="24" t="s">
        <v>3792</v>
      </c>
      <c r="B362" s="131"/>
      <c r="C362" s="424"/>
      <c r="D362" s="131"/>
      <c r="E362" s="427"/>
      <c r="F362" s="428"/>
      <c r="G362" s="428"/>
      <c r="H362" s="428"/>
      <c r="I362" s="428"/>
      <c r="J362" s="3"/>
      <c r="K362" t="b">
        <f t="shared" si="17"/>
        <v>1</v>
      </c>
    </row>
    <row r="363" spans="1:11" ht="12.75">
      <c r="A363" s="22" t="str">
        <f>DataNameProd1</f>
        <v>CSD</v>
      </c>
      <c r="K363" t="b">
        <f t="shared" si="17"/>
        <v>1</v>
      </c>
    </row>
    <row r="364" spans="1:11">
      <c r="B364" s="2" t="s">
        <v>3754</v>
      </c>
      <c r="K364" t="b">
        <f t="shared" si="17"/>
        <v>1</v>
      </c>
    </row>
    <row r="365" spans="1:11">
      <c r="C365" s="3" t="str">
        <f>DataNameProd1 &amp; " Revenues"</f>
        <v>CSD Revenues</v>
      </c>
      <c r="D365" s="3"/>
      <c r="E365" s="85">
        <f>capReg2Prod1UnitsSold*capProd1Reg2Price</f>
        <v>2497600000</v>
      </c>
      <c r="F365" s="85">
        <f>capReg2Prod1UnitsSold*capProd1Reg2Price</f>
        <v>2497600000</v>
      </c>
      <c r="G365" s="85">
        <f>capReg2Prod1UnitsSold*capProd1Reg2Price</f>
        <v>2497600000</v>
      </c>
      <c r="H365" s="85">
        <f>capReg2Prod1UnitsSold*capProd1Reg2Price</f>
        <v>2497600000</v>
      </c>
      <c r="I365" s="85">
        <f>capReg2Prod1UnitsSold*capProd1Reg2Price</f>
        <v>2497600000</v>
      </c>
      <c r="J365" t="s">
        <v>701</v>
      </c>
      <c r="K365" t="b">
        <f t="shared" si="17"/>
        <v>1</v>
      </c>
    </row>
    <row r="366" spans="1:11">
      <c r="C366" s="3" t="str">
        <f>DataNameProd1 &amp; " Promotional Expense"</f>
        <v>CSD Promotional Expense</v>
      </c>
      <c r="D366" s="3"/>
      <c r="E366" s="23">
        <f>capProd1PromoR2</f>
        <v>195000000</v>
      </c>
      <c r="F366" s="23">
        <f>capProd1PromoR2</f>
        <v>195000000</v>
      </c>
      <c r="G366" s="23">
        <f>capProd1PromoR2</f>
        <v>195000000</v>
      </c>
      <c r="H366" s="23">
        <f>capProd1PromoR2</f>
        <v>195000000</v>
      </c>
      <c r="I366" s="23">
        <f>capProd1PromoR2</f>
        <v>195000000</v>
      </c>
      <c r="J366" t="s">
        <v>2214</v>
      </c>
      <c r="K366" t="b">
        <f t="shared" si="17"/>
        <v>1</v>
      </c>
    </row>
    <row r="367" spans="1:11">
      <c r="C367" s="2" t="str">
        <f>DataNameProd1 &amp; " Net Revenues"</f>
        <v>CSD Net Revenues</v>
      </c>
      <c r="D367" s="2"/>
      <c r="E367" s="13">
        <f>E365-E366</f>
        <v>2302600000</v>
      </c>
      <c r="F367" s="13">
        <f>F365-F366</f>
        <v>2302600000</v>
      </c>
      <c r="G367" s="13">
        <f>G365-G366</f>
        <v>2302600000</v>
      </c>
      <c r="H367" s="13">
        <f>H365-H366</f>
        <v>2302600000</v>
      </c>
      <c r="I367" s="13">
        <f>I365-I366</f>
        <v>2302600000</v>
      </c>
      <c r="J367" t="s">
        <v>820</v>
      </c>
      <c r="K367" t="b">
        <f t="shared" si="17"/>
        <v>1</v>
      </c>
    </row>
    <row r="368" spans="1:11">
      <c r="B368" s="2" t="s">
        <v>3640</v>
      </c>
      <c r="K368" t="b">
        <f t="shared" si="17"/>
        <v>1</v>
      </c>
    </row>
    <row r="369" spans="1:11">
      <c r="C369" t="str">
        <f>DataNameProd1 &amp; " Material Expense"</f>
        <v>CSD Material Expense</v>
      </c>
      <c r="E369" s="14">
        <f>(capReg2Prod1UnitsSoldNewProd-capReg2Prod1UnitsWiPUsed/2)*capProd1COGSPUnitMat+(capReg2Prod1UnitsSoldFG+capReg2Prod1UnitsWiPUsed/2)*obalProd1COGSPUnitMat</f>
        <v>827385135.44236362</v>
      </c>
      <c r="F369" s="14">
        <f>(capReg2Prod1UnitsSoldNewProd-capReg2Prod1UnitsWiPUsed/2)*capProd1COGSPUnitMat+(capReg2Prod1UnitsSoldFG+capReg2Prod1UnitsWiPUsed/2)*obalProd1COGSPUnitMat</f>
        <v>827385135.44236362</v>
      </c>
      <c r="G369" s="14">
        <f>(capReg2Prod1UnitsSoldNewProd-capReg2Prod1UnitsWiPUsed/2)*capProd1COGSPUnitMat+(capReg2Prod1UnitsSoldFG+capReg2Prod1UnitsWiPUsed/2)*obalProd1COGSPUnitMat</f>
        <v>827385135.44236362</v>
      </c>
      <c r="H369" s="14">
        <f>(capReg2Prod1UnitsSoldNewProd-capReg2Prod1UnitsWiPUsed/2)*capProd1COGSPUnitMat+(capReg2Prod1UnitsSoldFG+capReg2Prod1UnitsWiPUsed/2)*obalProd1COGSPUnitMat</f>
        <v>827385135.44236362</v>
      </c>
      <c r="I369" s="14">
        <f>(capReg2Prod1UnitsSoldNewProd-capReg2Prod1UnitsWiPUsed/2)*capProd1COGSPUnitMat+(capReg2Prod1UnitsSoldFG+capReg2Prod1UnitsWiPUsed/2)*obalProd1COGSPUnitMat</f>
        <v>827385135.44236362</v>
      </c>
      <c r="J369" t="s">
        <v>702</v>
      </c>
      <c r="K369" t="b">
        <f t="shared" si="17"/>
        <v>1</v>
      </c>
    </row>
    <row r="370" spans="1:11">
      <c r="C370" t="str">
        <f>DataNameProd1 &amp; " Labor Expense"</f>
        <v>CSD Labor Expense</v>
      </c>
      <c r="E370" s="11">
        <f>(capReg2Prod1UnitsSoldNewProd-capReg2Prod1UnitsWiPUsed/2)*capReg2Prod1CostPUnitEmp3+(capReg2Prod1UnitsSoldFG+capReg2Prod1UnitsWiPUsed/2)*obalReg2Prod1COGSPUnitLabor</f>
        <v>145169343.41487217</v>
      </c>
      <c r="F370" s="11">
        <f>(capReg2Prod1UnitsSoldNewProd-capReg2Prod1UnitsWiPUsed/2)*capReg2Prod1CostPUnitEmp3+(capReg2Prod1UnitsSoldFG+capReg2Prod1UnitsWiPUsed/2)*obalReg2Prod1COGSPUnitLabor</f>
        <v>145169343.41487217</v>
      </c>
      <c r="G370" s="11">
        <f>(capReg2Prod1UnitsSoldNewProd-capReg2Prod1UnitsWiPUsed/2)*capReg2Prod1CostPUnitEmp3+(capReg2Prod1UnitsSoldFG+capReg2Prod1UnitsWiPUsed/2)*obalReg2Prod1COGSPUnitLabor</f>
        <v>145169343.41487217</v>
      </c>
      <c r="H370" s="11">
        <f>(capReg2Prod1UnitsSoldNewProd-capReg2Prod1UnitsWiPUsed/2)*capReg2Prod1CostPUnitEmp3+(capReg2Prod1UnitsSoldFG+capReg2Prod1UnitsWiPUsed/2)*obalReg2Prod1COGSPUnitLabor</f>
        <v>145169343.41487217</v>
      </c>
      <c r="I370" s="11">
        <f>(capReg2Prod1UnitsSoldNewProd-capReg2Prod1UnitsWiPUsed/2)*capReg2Prod1CostPUnitEmp3+(capReg2Prod1UnitsSoldFG+capReg2Prod1UnitsWiPUsed/2)*obalReg2Prod1COGSPUnitLabor</f>
        <v>145169343.41487217</v>
      </c>
      <c r="J370" t="s">
        <v>2272</v>
      </c>
      <c r="K370" t="b">
        <f t="shared" si="17"/>
        <v>1</v>
      </c>
    </row>
    <row r="371" spans="1:11">
      <c r="C371" t="str">
        <f>DataNameProd1 &amp; " Machinery Expense"</f>
        <v>CSD Machinery Expense</v>
      </c>
      <c r="E371" s="14">
        <f ca="1">(capReg2Prod1UnitsSoldNewProd-capReg2Prod1UnitsWiPUsed/2)*capProd1COGSPUnitPlant1+(capReg2Prod1UnitsSoldFG+capReg2Prod1UnitsWiPUsed/2)*obalProd1COGSPUnitPlant</f>
        <v>317473.12301145337</v>
      </c>
      <c r="F371" s="14">
        <f ca="1">(capReg2Prod1UnitsSoldNewProd-capReg2Prod1UnitsWiPUsed/2)*capProd1COGSPUnitPlant1+(capReg2Prod1UnitsSoldFG+capReg2Prod1UnitsWiPUsed/2)*obalProd1COGSPUnitPlant</f>
        <v>317473.12301145337</v>
      </c>
      <c r="G371" s="14">
        <f ca="1">(capReg2Prod1UnitsSoldNewProd-capReg2Prod1UnitsWiPUsed/2)*capProd1COGSPUnitPlant1+(capReg2Prod1UnitsSoldFG+capReg2Prod1UnitsWiPUsed/2)*obalProd1COGSPUnitPlant</f>
        <v>317473.12301145337</v>
      </c>
      <c r="H371" s="14">
        <f ca="1">(capReg2Prod1UnitsSoldNewProd-capReg2Prod1UnitsWiPUsed/2)*capProd1COGSPUnitPlant1+(capReg2Prod1UnitsSoldFG+capReg2Prod1UnitsWiPUsed/2)*obalProd1COGSPUnitPlant</f>
        <v>317473.12301145337</v>
      </c>
      <c r="I371" s="14">
        <f ca="1">(capReg2Prod1UnitsSoldNewProd-capReg2Prod1UnitsWiPUsed/2)*capProd1COGSPUnitPlant1+(capReg2Prod1UnitsSoldFG+capReg2Prod1UnitsWiPUsed/2)*obalProd1COGSPUnitPlant</f>
        <v>317473.12301145337</v>
      </c>
      <c r="J371" t="s">
        <v>703</v>
      </c>
      <c r="K371" t="b">
        <f t="shared" ca="1" si="17"/>
        <v>1</v>
      </c>
    </row>
    <row r="372" spans="1:11">
      <c r="C372" t="str">
        <f>DataNameProd1 &amp; " Depreciation Expense"</f>
        <v>CSD Depreciation Expense</v>
      </c>
      <c r="E372" s="11">
        <f>capProd1COGSPUnitDep*capReg2Prod1UnitsSold</f>
        <v>79447925.972432211</v>
      </c>
      <c r="F372" s="11">
        <f>capProd1COGSPUnitDep*capReg2Prod1UnitsSold</f>
        <v>79447925.972432211</v>
      </c>
      <c r="G372" s="11">
        <f>capProd1COGSPUnitDep*capReg2Prod1UnitsSold</f>
        <v>79447925.972432211</v>
      </c>
      <c r="H372" s="11">
        <f>capProd1COGSPUnitDep*capReg2Prod1UnitsSold</f>
        <v>79447925.972432211</v>
      </c>
      <c r="I372" s="11">
        <f>capProd1COGSPUnitDep*capReg2Prod1UnitsSold</f>
        <v>79447925.972432211</v>
      </c>
      <c r="J372" t="s">
        <v>704</v>
      </c>
      <c r="K372" t="b">
        <f>MAX(E372:I372)=MIN(E372:I372)</f>
        <v>1</v>
      </c>
    </row>
    <row r="373" spans="1:11">
      <c r="C373" s="207"/>
      <c r="D373" s="207"/>
      <c r="E373" s="256"/>
      <c r="F373" s="256"/>
      <c r="G373" s="256"/>
      <c r="H373" s="256"/>
      <c r="I373" s="256"/>
      <c r="K373" t="b">
        <f t="shared" si="17"/>
        <v>1</v>
      </c>
    </row>
    <row r="374" spans="1:11">
      <c r="C374" s="2" t="str">
        <f>DataNameProd1 &amp; " Manufacturing Expense"</f>
        <v>CSD Manufacturing Expense</v>
      </c>
      <c r="D374" s="2"/>
      <c r="E374" s="17">
        <f ca="1">SUM(E369:E372)</f>
        <v>1052319877.9526795</v>
      </c>
      <c r="F374" s="17">
        <f ca="1">SUM(F369:F372)</f>
        <v>1052319877.9526795</v>
      </c>
      <c r="G374" s="17">
        <f ca="1">SUM(G369:G372)</f>
        <v>1052319877.9526795</v>
      </c>
      <c r="H374" s="17">
        <f ca="1">SUM(H369:H372)</f>
        <v>1052319877.9526795</v>
      </c>
      <c r="I374" s="17">
        <f ca="1">SUM(I369:I372)</f>
        <v>1052319877.9526795</v>
      </c>
      <c r="J374" t="s">
        <v>3927</v>
      </c>
      <c r="K374" t="b">
        <f t="shared" ca="1" si="17"/>
        <v>1</v>
      </c>
    </row>
    <row r="375" spans="1:11">
      <c r="C375" t="str">
        <f>DataNameProd1 &amp; " Royalties Expense"</f>
        <v>CSD Royalties Expense</v>
      </c>
      <c r="E375" s="11">
        <v>0</v>
      </c>
      <c r="F375" s="11">
        <v>0</v>
      </c>
      <c r="G375" s="11">
        <v>0</v>
      </c>
      <c r="H375" s="11">
        <v>0</v>
      </c>
      <c r="I375" s="11">
        <v>0</v>
      </c>
      <c r="J375" t="s">
        <v>2257</v>
      </c>
      <c r="K375" t="b">
        <f t="shared" si="17"/>
        <v>1</v>
      </c>
    </row>
    <row r="376" spans="1:11">
      <c r="C376" t="str">
        <f>DataNameProd1 &amp; " Speciality Brand Expense"</f>
        <v>CSD Speciality Brand Expense</v>
      </c>
      <c r="E376" s="11">
        <v>0</v>
      </c>
      <c r="F376" s="11">
        <v>0</v>
      </c>
      <c r="G376" s="11">
        <v>0</v>
      </c>
      <c r="H376" s="11">
        <v>0</v>
      </c>
      <c r="I376" s="11">
        <v>0</v>
      </c>
      <c r="K376" t="b">
        <f t="shared" si="17"/>
        <v>1</v>
      </c>
    </row>
    <row r="377" spans="1:11">
      <c r="C377" s="207"/>
      <c r="D377" s="207"/>
      <c r="E377" s="257"/>
      <c r="F377" s="257"/>
      <c r="G377" s="257"/>
      <c r="H377" s="257"/>
      <c r="I377" s="257"/>
      <c r="K377" t="b">
        <f t="shared" ref="K377:K438" si="18">MAX(E377:I377)=MIN(E377:I377)</f>
        <v>1</v>
      </c>
    </row>
    <row r="378" spans="1:11">
      <c r="C378" s="2" t="str">
        <f>DataNameProd1 &amp; " COGS"</f>
        <v>CSD COGS</v>
      </c>
      <c r="D378" s="2"/>
      <c r="E378" s="17">
        <f ca="1">SUM(E374:E376)</f>
        <v>1052319877.9526795</v>
      </c>
      <c r="F378" s="17">
        <f ca="1">SUM(F374:F376)</f>
        <v>1052319877.9526795</v>
      </c>
      <c r="G378" s="17">
        <f ca="1">SUM(G374:G376)</f>
        <v>1052319877.9526795</v>
      </c>
      <c r="H378" s="17">
        <f ca="1">SUM(H374:H376)</f>
        <v>1052319877.9526795</v>
      </c>
      <c r="I378" s="17">
        <f ca="1">SUM(I374:I376)</f>
        <v>1052319877.9526795</v>
      </c>
      <c r="J378" t="s">
        <v>3486</v>
      </c>
      <c r="K378" t="b">
        <f t="shared" ca="1" si="18"/>
        <v>1</v>
      </c>
    </row>
    <row r="379" spans="1:11">
      <c r="B379" s="2" t="s">
        <v>1223</v>
      </c>
      <c r="C379" s="3"/>
      <c r="D379" s="3"/>
      <c r="E379" s="3"/>
      <c r="F379" s="3"/>
      <c r="G379" s="3"/>
      <c r="H379" s="3"/>
      <c r="I379" s="3"/>
      <c r="K379" t="b">
        <f t="shared" si="18"/>
        <v>1</v>
      </c>
    </row>
    <row r="380" spans="1:11">
      <c r="C380" s="2" t="str">
        <f>DataNameProd1 &amp; " Gross Margin"</f>
        <v>CSD Gross Margin</v>
      </c>
      <c r="D380" s="2"/>
      <c r="E380" s="17">
        <f ca="1">E367-E378</f>
        <v>1250280122.0473204</v>
      </c>
      <c r="F380" s="17">
        <f ca="1">F367-F378</f>
        <v>1250280122.0473204</v>
      </c>
      <c r="G380" s="17">
        <f ca="1">G367-G378</f>
        <v>1250280122.0473204</v>
      </c>
      <c r="H380" s="17">
        <f ca="1">H367-H378</f>
        <v>1250280122.0473204</v>
      </c>
      <c r="I380" s="17">
        <f ca="1">I367-I378</f>
        <v>1250280122.0473204</v>
      </c>
      <c r="J380" t="s">
        <v>3487</v>
      </c>
      <c r="K380" t="b">
        <f t="shared" ca="1" si="18"/>
        <v>1</v>
      </c>
    </row>
    <row r="381" spans="1:11">
      <c r="B381" s="2" t="s">
        <v>1309</v>
      </c>
      <c r="C381" s="3"/>
      <c r="D381" s="3"/>
      <c r="E381" s="3"/>
      <c r="F381" s="3"/>
      <c r="G381" s="3"/>
      <c r="H381" s="3"/>
      <c r="I381" s="3"/>
      <c r="K381" t="b">
        <f t="shared" si="18"/>
        <v>1</v>
      </c>
    </row>
    <row r="382" spans="1:11" ht="12.75">
      <c r="A382" s="22"/>
      <c r="C382" s="3" t="str">
        <f>DataNameProd1 &amp; " Advertising Expense"</f>
        <v>CSD Advertising Expense</v>
      </c>
      <c r="D382" s="3"/>
      <c r="E382" s="23">
        <f>capProd1AdvR2</f>
        <v>80000000</v>
      </c>
      <c r="F382" s="23">
        <f>capProd1AdvR2</f>
        <v>80000000</v>
      </c>
      <c r="G382" s="23">
        <f>capProd1AdvR2</f>
        <v>80000000</v>
      </c>
      <c r="H382" s="23">
        <f>capProd1AdvR2</f>
        <v>80000000</v>
      </c>
      <c r="I382" s="23">
        <f>capProd1AdvR2</f>
        <v>80000000</v>
      </c>
      <c r="J382" t="s">
        <v>3488</v>
      </c>
      <c r="K382" t="b">
        <f t="shared" si="18"/>
        <v>1</v>
      </c>
    </row>
    <row r="383" spans="1:11">
      <c r="C383" s="3" t="str">
        <f>DataNameProd1 &amp; " Sales Force Expense"</f>
        <v>CSD Sales Force Expense</v>
      </c>
      <c r="D383" s="3"/>
      <c r="E383" s="85">
        <f>capProd1Emp2SalExp</f>
        <v>38150712.830957234</v>
      </c>
      <c r="F383" s="85">
        <f>capProd1Emp2SalExp</f>
        <v>38150712.830957234</v>
      </c>
      <c r="G383" s="85">
        <f>capProd1Emp2SalExp</f>
        <v>38150712.830957234</v>
      </c>
      <c r="H383" s="85">
        <f>capProd1Emp2SalExp</f>
        <v>38150712.830957234</v>
      </c>
      <c r="I383" s="85">
        <f>capProd1Emp2SalExp</f>
        <v>38150712.830957234</v>
      </c>
      <c r="J383" t="s">
        <v>1477</v>
      </c>
      <c r="K383" t="b">
        <f t="shared" si="18"/>
        <v>1</v>
      </c>
    </row>
    <row r="384" spans="1:11">
      <c r="A384" s="15"/>
      <c r="B384" s="2"/>
      <c r="C384" s="264"/>
      <c r="D384" s="264"/>
      <c r="E384" s="264"/>
      <c r="F384" s="264"/>
      <c r="G384" s="264"/>
      <c r="H384" s="264"/>
      <c r="I384" s="264"/>
      <c r="K384" t="b">
        <f t="shared" si="18"/>
        <v>1</v>
      </c>
    </row>
    <row r="385" spans="1:12">
      <c r="A385" s="15"/>
      <c r="C385" s="2" t="str">
        <f>DataNameProd1 &amp; " Selling Expense"</f>
        <v>CSD Selling Expense</v>
      </c>
      <c r="D385" s="2"/>
      <c r="E385" s="17">
        <f>SUM(E382:E383)</f>
        <v>118150712.83095723</v>
      </c>
      <c r="F385" s="17">
        <f>SUM(F382:F383)</f>
        <v>118150712.83095723</v>
      </c>
      <c r="G385" s="17">
        <f>SUM(G382:G383)</f>
        <v>118150712.83095723</v>
      </c>
      <c r="H385" s="17">
        <f>SUM(H382:H383)</f>
        <v>118150712.83095723</v>
      </c>
      <c r="I385" s="17">
        <f>SUM(I382:I383)</f>
        <v>118150712.83095723</v>
      </c>
      <c r="J385" s="905" t="s">
        <v>4166</v>
      </c>
      <c r="K385" t="b">
        <f t="shared" si="18"/>
        <v>1</v>
      </c>
    </row>
    <row r="386" spans="1:12" ht="12.75">
      <c r="A386" s="22"/>
      <c r="C386" s="3" t="str">
        <f>DataNameProd1 &amp; " Inventory Handling Expense"</f>
        <v>CSD Inventory Handling Expense</v>
      </c>
      <c r="D386" s="3"/>
      <c r="E386" s="23">
        <f ca="1">paramProd1InventoryHndlgPct*(cbalReg2Prod1MatValue+cbalReg2Prod1WIPValue+cbalReg2Prod1FGValue)</f>
        <v>14276836.192247644</v>
      </c>
      <c r="F386" s="23">
        <f ca="1">paramProd1InventoryHndlgPct*(cbalReg2Prod1MatValue+cbalReg2Prod1WIPValue+cbalReg2Prod1FGValue)</f>
        <v>14276836.192247644</v>
      </c>
      <c r="G386" s="23">
        <f ca="1">paramProd1InventoryHndlgPct*(cbalReg2Prod1MatValue+cbalReg2Prod1WIPValue+cbalReg2Prod1FGValue)</f>
        <v>14276836.192247644</v>
      </c>
      <c r="H386" s="23">
        <f ca="1">paramProd1InventoryHndlgPct*(cbalReg2Prod1MatValue+cbalReg2Prod1WIPValue+cbalReg2Prod1FGValue)</f>
        <v>14276836.192247644</v>
      </c>
      <c r="I386" s="23">
        <f ca="1">paramProd1InventoryHndlgPct*(cbalReg2Prod1MatValue+cbalReg2Prod1WIPValue+cbalReg2Prod1FGValue)</f>
        <v>14276836.192247644</v>
      </c>
      <c r="J386" t="s">
        <v>2215</v>
      </c>
      <c r="K386" t="b">
        <f t="shared" ca="1" si="18"/>
        <v>1</v>
      </c>
    </row>
    <row r="387" spans="1:12">
      <c r="C387" s="3" t="str">
        <f>DataNameProd1 &amp; " Distribution Expense"</f>
        <v>CSD Distribution Expense</v>
      </c>
      <c r="D387" s="3"/>
      <c r="E387" s="85">
        <f>paramReg2Prod1DistCostPUnit*capReg2Prod1UnitsSold</f>
        <v>337596374.32957047</v>
      </c>
      <c r="F387" s="85">
        <f>paramReg2Prod1DistCostPUnit*capReg2Prod1UnitsSold</f>
        <v>337596374.32957047</v>
      </c>
      <c r="G387" s="85">
        <f>paramReg2Prod1DistCostPUnit*capReg2Prod1UnitsSold</f>
        <v>337596374.32957047</v>
      </c>
      <c r="H387" s="85">
        <f>paramReg2Prod1DistCostPUnit*capReg2Prod1UnitsSold</f>
        <v>337596374.32957047</v>
      </c>
      <c r="I387" s="85">
        <f>paramReg2Prod1DistCostPUnit*capReg2Prod1UnitsSold</f>
        <v>337596374.32957047</v>
      </c>
      <c r="J387" t="s">
        <v>3046</v>
      </c>
      <c r="K387" t="b">
        <f t="shared" si="18"/>
        <v>1</v>
      </c>
    </row>
    <row r="388" spans="1:12">
      <c r="C388" s="264"/>
      <c r="D388" s="264"/>
      <c r="E388" s="264"/>
      <c r="F388" s="264"/>
      <c r="G388" s="264"/>
      <c r="H388" s="264"/>
      <c r="I388" s="264"/>
      <c r="K388" t="b">
        <f t="shared" si="18"/>
        <v>1</v>
      </c>
    </row>
    <row r="389" spans="1:12">
      <c r="C389" s="2" t="str">
        <f>DataNameProd1 &amp; " General Expense"</f>
        <v>CSD General Expense</v>
      </c>
      <c r="D389" s="2"/>
      <c r="E389" s="17">
        <f ca="1">SUM(E386:E387)</f>
        <v>351873210.5218181</v>
      </c>
      <c r="F389" s="17">
        <f ca="1">SUM(F386:F387)</f>
        <v>351873210.5218181</v>
      </c>
      <c r="G389" s="17">
        <f ca="1">SUM(G386:G387)</f>
        <v>351873210.5218181</v>
      </c>
      <c r="H389" s="17">
        <f ca="1">SUM(H386:H387)</f>
        <v>351873210.5218181</v>
      </c>
      <c r="I389" s="17">
        <f ca="1">SUM(I386:I387)</f>
        <v>351873210.5218181</v>
      </c>
      <c r="K389" t="b">
        <f t="shared" ca="1" si="18"/>
        <v>1</v>
      </c>
    </row>
    <row r="390" spans="1:12">
      <c r="C390" s="3" t="str">
        <f>DataNameProd1 &amp; " Employe Admin Expense"</f>
        <v>CSD Employe Admin Expense</v>
      </c>
      <c r="D390" s="3"/>
      <c r="E390" s="11">
        <f>capProd1Emp2AdminExp+capReg2Prod1Emp3AdminExp</f>
        <v>31164305.072329596</v>
      </c>
      <c r="F390" s="11">
        <f>capProd1Emp2AdminExp+capReg2Prod1Emp3AdminExp</f>
        <v>31164305.072329596</v>
      </c>
      <c r="G390" s="11">
        <f>capProd1Emp2AdminExp+capReg2Prod1Emp3AdminExp</f>
        <v>31164305.072329596</v>
      </c>
      <c r="H390" s="11">
        <f>capProd1Emp2AdminExp+capReg2Prod1Emp3AdminExp</f>
        <v>31164305.072329596</v>
      </c>
      <c r="I390" s="11">
        <f>capProd1Emp2AdminExp+capReg2Prod1Emp3AdminExp</f>
        <v>31164305.072329596</v>
      </c>
      <c r="J390" t="s">
        <v>681</v>
      </c>
      <c r="K390" t="b">
        <f t="shared" si="18"/>
        <v>1</v>
      </c>
    </row>
    <row r="391" spans="1:12">
      <c r="C391" s="3" t="str">
        <f>DataNameProd1 &amp; " Recruit/ Dismisall Expense"</f>
        <v>CSD Recruit/ Dismisall Expense</v>
      </c>
      <c r="D391" s="3"/>
      <c r="E391" s="11">
        <f>capProd1Emp2RecDismExp+capReg2Prod1Emp3RecDismExp</f>
        <v>2451824.4129451467</v>
      </c>
      <c r="F391" s="11">
        <f>capProd1Emp2RecDismExp+capReg2Prod1Emp3RecDismExp</f>
        <v>2451824.4129451467</v>
      </c>
      <c r="G391" s="11">
        <f>capProd1Emp2RecDismExp+capReg2Prod1Emp3RecDismExp</f>
        <v>2451824.4129451467</v>
      </c>
      <c r="H391" s="11">
        <f>capProd1Emp2RecDismExp+capReg2Prod1Emp3RecDismExp</f>
        <v>2451824.4129451467</v>
      </c>
      <c r="I391" s="11">
        <f>capProd1Emp2RecDismExp+capReg2Prod1Emp3RecDismExp</f>
        <v>2451824.4129451467</v>
      </c>
      <c r="J391" t="s">
        <v>682</v>
      </c>
      <c r="K391" t="b">
        <f t="shared" si="18"/>
        <v>1</v>
      </c>
    </row>
    <row r="392" spans="1:12">
      <c r="C392" s="3" t="str">
        <f>DataNameProd1 &amp; " Fixed Admin Expense"</f>
        <v>CSD Fixed Admin Expense</v>
      </c>
      <c r="D392" s="3"/>
      <c r="E392" s="23">
        <f>paramProd1FixedAdmin</f>
        <v>120232720.6012</v>
      </c>
      <c r="F392" s="23">
        <f>paramProd1FixedAdmin</f>
        <v>120232720.6012</v>
      </c>
      <c r="G392" s="23">
        <f>paramProd1FixedAdmin</f>
        <v>120232720.6012</v>
      </c>
      <c r="H392" s="23">
        <f>paramProd1FixedAdmin</f>
        <v>120232720.6012</v>
      </c>
      <c r="I392" s="23">
        <f>paramProd1FixedAdmin</f>
        <v>120232720.6012</v>
      </c>
      <c r="J392" t="s">
        <v>683</v>
      </c>
      <c r="K392" t="b">
        <f t="shared" si="18"/>
        <v>1</v>
      </c>
    </row>
    <row r="393" spans="1:12">
      <c r="C393" s="264"/>
      <c r="D393" s="264"/>
      <c r="E393" s="264"/>
      <c r="F393" s="264"/>
      <c r="G393" s="264"/>
      <c r="H393" s="264"/>
      <c r="I393" s="264"/>
      <c r="K393" t="b">
        <f t="shared" si="18"/>
        <v>1</v>
      </c>
    </row>
    <row r="394" spans="1:12">
      <c r="C394" s="2" t="str">
        <f>DataNameProd1 &amp; " Administration Expense"</f>
        <v>CSD Administration Expense</v>
      </c>
      <c r="D394" s="2"/>
      <c r="E394" s="17">
        <f>SUM(E390:E392)</f>
        <v>153848850.08647475</v>
      </c>
      <c r="F394" s="17">
        <f>SUM(F390:F392)</f>
        <v>153848850.08647475</v>
      </c>
      <c r="G394" s="17">
        <f>SUM(G390:G392)</f>
        <v>153848850.08647475</v>
      </c>
      <c r="H394" s="17">
        <f>SUM(H390:H392)</f>
        <v>153848850.08647475</v>
      </c>
      <c r="I394" s="17">
        <f>SUM(I390:I392)</f>
        <v>153848850.08647475</v>
      </c>
      <c r="K394" t="b">
        <f t="shared" si="18"/>
        <v>1</v>
      </c>
    </row>
    <row r="395" spans="1:12" ht="12" thickBot="1">
      <c r="A395" s="15"/>
      <c r="C395" s="2" t="str">
        <f>DataNameProd1 &amp; " SGA Expense"</f>
        <v>CSD SGA Expense</v>
      </c>
      <c r="D395" s="2"/>
      <c r="E395" s="17">
        <f ca="1">E385+E389+E394</f>
        <v>623872773.43925011</v>
      </c>
      <c r="F395" s="17">
        <f ca="1">F385+F389+F394</f>
        <v>623872773.43925011</v>
      </c>
      <c r="G395" s="17">
        <f ca="1">G385+G389+G394</f>
        <v>623872773.43925011</v>
      </c>
      <c r="H395" s="17">
        <f ca="1">H385+H389+H394</f>
        <v>623872773.43925011</v>
      </c>
      <c r="I395" s="17">
        <f ca="1">I385+I389+I394</f>
        <v>623872773.43925011</v>
      </c>
      <c r="J395" t="s">
        <v>3108</v>
      </c>
      <c r="K395" t="b">
        <f t="shared" ca="1" si="18"/>
        <v>1</v>
      </c>
    </row>
    <row r="396" spans="1:12" ht="12.75">
      <c r="A396" s="1345"/>
      <c r="B396" s="1346" t="s">
        <v>2966</v>
      </c>
      <c r="C396" s="1347"/>
      <c r="D396" s="1347"/>
      <c r="E396" s="1347"/>
      <c r="F396" s="1347"/>
      <c r="G396" s="1347"/>
      <c r="H396" s="1347"/>
      <c r="I396" s="1347"/>
      <c r="J396" s="1348"/>
      <c r="K396" s="1348" t="b">
        <f t="shared" si="18"/>
        <v>1</v>
      </c>
      <c r="L396" s="1349"/>
    </row>
    <row r="397" spans="1:12">
      <c r="A397" s="1350"/>
      <c r="B397" s="1351"/>
      <c r="C397" s="1351" t="str">
        <f>DataNameProd1 &amp; " Family Brand R&amp;D"</f>
        <v>CSD Family Brand R&amp;D</v>
      </c>
      <c r="D397" s="1351"/>
      <c r="E397" s="1352">
        <v>0</v>
      </c>
      <c r="F397" s="1352">
        <v>0</v>
      </c>
      <c r="G397" s="1352">
        <v>0</v>
      </c>
      <c r="H397" s="1352">
        <v>0</v>
      </c>
      <c r="I397" s="1352">
        <v>0</v>
      </c>
      <c r="J397" s="1351" t="s">
        <v>1908</v>
      </c>
      <c r="K397" s="1351" t="b">
        <f t="shared" si="18"/>
        <v>1</v>
      </c>
      <c r="L397" s="1353"/>
    </row>
    <row r="398" spans="1:12">
      <c r="A398" s="1350"/>
      <c r="B398" s="1351"/>
      <c r="C398" s="1351" t="str">
        <f>DataNameProd1 &amp; " Partner Brand R&amp;D"</f>
        <v>CSD Partner Brand R&amp;D</v>
      </c>
      <c r="D398" s="1351"/>
      <c r="E398" s="1352">
        <v>0</v>
      </c>
      <c r="F398" s="1352">
        <v>0</v>
      </c>
      <c r="G398" s="1352">
        <v>0</v>
      </c>
      <c r="H398" s="1352">
        <v>0</v>
      </c>
      <c r="I398" s="1352">
        <v>0</v>
      </c>
      <c r="J398" s="1351" t="s">
        <v>1909</v>
      </c>
      <c r="K398" s="1351" t="b">
        <f t="shared" si="18"/>
        <v>1</v>
      </c>
      <c r="L398" s="1353" t="s">
        <v>172</v>
      </c>
    </row>
    <row r="399" spans="1:12">
      <c r="A399" s="1350"/>
      <c r="B399" s="1351"/>
      <c r="C399" s="1351" t="str">
        <f>DataNameProd1 &amp; " Portfolio Development"</f>
        <v>CSD Portfolio Development</v>
      </c>
      <c r="D399" s="1351"/>
      <c r="E399" s="1352">
        <f>(capProd1Reg2Units/(capProd1Reg2Units+capProd1Reg2Units))*paramProd1RDFtr4Cost*MAX(0.5,cbalProd1Ftr4Level-obalProd1Ftr4Level)</f>
        <v>1250000</v>
      </c>
      <c r="F399" s="1352">
        <f>(capProd1Reg2Units/(capProd1Reg2Units+capProd1Reg2Units))*paramProd1RDFtr4Cost*MAX(0.5,cbalProd1Ftr4Level-obalProd1Ftr4Level)</f>
        <v>1250000</v>
      </c>
      <c r="G399" s="1352">
        <f>(capProd1Reg2Units/(capProd1Reg2Units+capProd1Reg2Units))*paramProd1RDFtr4Cost*MAX(0.5,cbalProd1Ftr4Level-obalProd1Ftr4Level)</f>
        <v>1250000</v>
      </c>
      <c r="H399" s="1352">
        <f>(capProd1Reg2Units/(capProd1Reg2Units+capProd1Reg2Units))*paramProd1RDFtr4Cost*MAX(0.5,cbalProd1Ftr4Level-obalProd1Ftr4Level)</f>
        <v>1250000</v>
      </c>
      <c r="I399" s="1352">
        <f>(capProd1Reg2Units/(capProd1Reg2Units+capProd1Reg2Units))*paramProd1RDFtr4Cost*MAX(0.5,cbalProd1Ftr4Level-obalProd1Ftr4Level)</f>
        <v>1250000</v>
      </c>
      <c r="J399" s="1351" t="s">
        <v>1910</v>
      </c>
      <c r="K399" s="1351" t="b">
        <f t="shared" si="18"/>
        <v>1</v>
      </c>
      <c r="L399" s="1353" t="s">
        <v>1894</v>
      </c>
    </row>
    <row r="400" spans="1:12">
      <c r="A400" s="1350"/>
      <c r="B400" s="1351"/>
      <c r="C400" s="1351" t="str">
        <f>DataNameProd1 &amp; " Long Term R&amp;D"</f>
        <v>CSD Long Term R&amp;D</v>
      </c>
      <c r="D400" s="1351"/>
      <c r="E400" s="1354">
        <v>10000000</v>
      </c>
      <c r="F400" s="1354">
        <v>10000000</v>
      </c>
      <c r="G400" s="1354">
        <v>10000000</v>
      </c>
      <c r="H400" s="1354">
        <v>10000000</v>
      </c>
      <c r="I400" s="1354">
        <v>10000000</v>
      </c>
      <c r="J400" s="1351" t="s">
        <v>3700</v>
      </c>
      <c r="K400" s="1351" t="b">
        <f t="shared" si="18"/>
        <v>1</v>
      </c>
      <c r="L400" s="1353"/>
    </row>
    <row r="401" spans="1:12" ht="12.75">
      <c r="A401" s="1355"/>
      <c r="B401" s="1356"/>
      <c r="C401" s="1357"/>
      <c r="D401" s="1357"/>
      <c r="E401" s="1357"/>
      <c r="F401" s="1357"/>
      <c r="G401" s="1357"/>
      <c r="H401" s="1357"/>
      <c r="I401" s="1357"/>
      <c r="J401" s="1351"/>
      <c r="K401" s="1351" t="b">
        <f t="shared" si="18"/>
        <v>1</v>
      </c>
      <c r="L401" s="1353"/>
    </row>
    <row r="402" spans="1:12" ht="12" thickBot="1">
      <c r="A402" s="1358"/>
      <c r="B402" s="1359"/>
      <c r="C402" s="1360" t="str">
        <f>DataNameProd1 &amp; " R&amp;D Expense"</f>
        <v>CSD R&amp;D Expense</v>
      </c>
      <c r="D402" s="1360"/>
      <c r="E402" s="1361">
        <f>SUM(E397:E400)</f>
        <v>11250000</v>
      </c>
      <c r="F402" s="1361">
        <f>SUM(F397:F400)</f>
        <v>11250000</v>
      </c>
      <c r="G402" s="1361">
        <f>SUM(G397:G400)</f>
        <v>11250000</v>
      </c>
      <c r="H402" s="1361">
        <f>SUM(H397:H400)</f>
        <v>11250000</v>
      </c>
      <c r="I402" s="1361">
        <f>SUM(I397:I400)</f>
        <v>11250000</v>
      </c>
      <c r="J402" s="1359" t="s">
        <v>3109</v>
      </c>
      <c r="K402" s="1359" t="b">
        <f t="shared" si="18"/>
        <v>1</v>
      </c>
      <c r="L402" s="1362"/>
    </row>
    <row r="403" spans="1:12">
      <c r="B403" s="2" t="s">
        <v>2465</v>
      </c>
      <c r="K403" t="b">
        <f t="shared" si="18"/>
        <v>1</v>
      </c>
    </row>
    <row r="404" spans="1:12">
      <c r="B404" s="2"/>
      <c r="C404" t="str">
        <f>DataNameProd1 &amp; " Inefficiency Expense"</f>
        <v>CSD Inefficiency Expense</v>
      </c>
      <c r="K404" t="b">
        <f t="shared" si="18"/>
        <v>1</v>
      </c>
    </row>
    <row r="405" spans="1:12">
      <c r="B405" s="2"/>
      <c r="C405" t="str">
        <f>DataNameProd1 &amp; " Excess Capacity Expense"</f>
        <v>CSD Excess Capacity Expense</v>
      </c>
      <c r="K405" t="b">
        <f t="shared" si="18"/>
        <v>1</v>
      </c>
    </row>
    <row r="406" spans="1:12">
      <c r="C406" t="str">
        <f>DataNameProd1 &amp; " Disposal Expense"</f>
        <v>CSD Disposal Expense</v>
      </c>
      <c r="E406" s="11">
        <f ca="1">(capReg2Prod1UnitsFGEnd-capReg2Prod1UnitsFGCbal)*capReg2Prod1COGSPUnitUMC*paramReg2Prod1DispCostPct</f>
        <v>4875250.8117562346</v>
      </c>
      <c r="F406" s="11">
        <f ca="1">(capReg2Prod1UnitsFGEnd-capReg2Prod1UnitsFGCbal)*capReg2Prod1COGSPUnitUMC*paramReg2Prod1DispCostPct</f>
        <v>4875250.8117562346</v>
      </c>
      <c r="G406" s="11">
        <f ca="1">(capReg2Prod1UnitsFGEnd-capReg2Prod1UnitsFGCbal)*capReg2Prod1COGSPUnitUMC*paramReg2Prod1DispCostPct</f>
        <v>4875250.8117562346</v>
      </c>
      <c r="H406" s="11">
        <f ca="1">(capReg2Prod1UnitsFGEnd-capReg2Prod1UnitsFGCbal)*capReg2Prod1COGSPUnitUMC*paramReg2Prod1DispCostPct</f>
        <v>4875250.8117562346</v>
      </c>
      <c r="I406" s="11">
        <f ca="1">(capReg2Prod1UnitsFGEnd-capReg2Prod1UnitsFGCbal)*capReg2Prod1COGSPUnitUMC*paramReg2Prod1DispCostPct</f>
        <v>4875250.8117562346</v>
      </c>
      <c r="J406" t="s">
        <v>401</v>
      </c>
      <c r="K406" t="b">
        <f t="shared" ca="1" si="18"/>
        <v>1</v>
      </c>
    </row>
    <row r="407" spans="1:12">
      <c r="C407" t="str">
        <f>DataNameProd1 &amp; " Special Programs Expense"</f>
        <v>CSD Special Programs Expense</v>
      </c>
      <c r="E407" s="398">
        <f ca="1">paramSpecProgReg2Prod1Exp</f>
        <v>0</v>
      </c>
      <c r="F407" s="398">
        <f ca="1">paramSpecProgReg2Prod1Exp</f>
        <v>0</v>
      </c>
      <c r="G407" s="398">
        <f ca="1">paramSpecProgReg2Prod1Exp</f>
        <v>0</v>
      </c>
      <c r="H407" s="398">
        <f ca="1">paramSpecProgReg2Prod1Exp</f>
        <v>0</v>
      </c>
      <c r="I407" s="398">
        <f ca="1">paramSpecProgReg2Prod1Exp</f>
        <v>0</v>
      </c>
      <c r="J407" t="s">
        <v>3292</v>
      </c>
      <c r="K407" t="b">
        <f t="shared" ca="1" si="18"/>
        <v>1</v>
      </c>
    </row>
    <row r="408" spans="1:12">
      <c r="C408" s="207"/>
      <c r="D408" s="207"/>
      <c r="E408" s="207"/>
      <c r="F408" s="207"/>
      <c r="G408" s="207"/>
      <c r="H408" s="207"/>
      <c r="I408" s="207"/>
      <c r="K408" t="b">
        <f t="shared" si="18"/>
        <v>1</v>
      </c>
    </row>
    <row r="409" spans="1:12">
      <c r="C409" s="2" t="str">
        <f>DataNameProd1 &amp; " Other Op Expense"</f>
        <v>CSD Other Op Expense</v>
      </c>
      <c r="E409" s="13">
        <f ca="1">SUM(E404:E407)</f>
        <v>4875250.8117562346</v>
      </c>
      <c r="F409" s="13">
        <f ca="1">SUM(F404:F407)</f>
        <v>4875250.8117562346</v>
      </c>
      <c r="G409" s="13">
        <f ca="1">SUM(G404:G407)</f>
        <v>4875250.8117562346</v>
      </c>
      <c r="H409" s="13">
        <f ca="1">SUM(H404:H407)</f>
        <v>4875250.8117562346</v>
      </c>
      <c r="I409" s="13">
        <f ca="1">SUM(I404:I407)</f>
        <v>4875250.8117562346</v>
      </c>
      <c r="J409" s="3" t="s">
        <v>3110</v>
      </c>
      <c r="K409" t="b">
        <f t="shared" ca="1" si="18"/>
        <v>1</v>
      </c>
    </row>
    <row r="410" spans="1:12">
      <c r="A410" s="2"/>
      <c r="B410" s="2" t="s">
        <v>894</v>
      </c>
      <c r="C410" s="2"/>
      <c r="E410" s="13"/>
      <c r="F410" s="13"/>
      <c r="G410" s="13"/>
      <c r="H410" s="13"/>
      <c r="I410" s="13"/>
      <c r="J410" s="3"/>
      <c r="K410" t="b">
        <f t="shared" si="18"/>
        <v>1</v>
      </c>
    </row>
    <row r="411" spans="1:12">
      <c r="C411" t="str">
        <f>DataNameProd1 &amp; " Operating Expense"</f>
        <v>CSD Operating Expense</v>
      </c>
      <c r="E411" s="11">
        <f ca="1">E395+E409</f>
        <v>628748024.25100636</v>
      </c>
      <c r="F411" s="11">
        <f ca="1">F395+F409</f>
        <v>628748024.25100636</v>
      </c>
      <c r="G411" s="11">
        <f ca="1">G395+G409</f>
        <v>628748024.25100636</v>
      </c>
      <c r="H411" s="11">
        <f ca="1">H395+H409</f>
        <v>628748024.25100636</v>
      </c>
      <c r="I411" s="11">
        <f ca="1">I395+I409</f>
        <v>628748024.25100636</v>
      </c>
      <c r="K411" t="b">
        <f t="shared" ca="1" si="18"/>
        <v>1</v>
      </c>
    </row>
    <row r="412" spans="1:12">
      <c r="B412" s="2" t="str">
        <f>DataNameProd1 &amp; " Operating Margin"</f>
        <v>CSD Operating Margin</v>
      </c>
      <c r="E412" s="17">
        <f ca="1">E380-E411</f>
        <v>621532097.796314</v>
      </c>
      <c r="F412" s="17">
        <f ca="1">F380-F411</f>
        <v>621532097.796314</v>
      </c>
      <c r="G412" s="17">
        <f ca="1">G380-G411</f>
        <v>621532097.796314</v>
      </c>
      <c r="H412" s="17">
        <f ca="1">H380-H411</f>
        <v>621532097.796314</v>
      </c>
      <c r="I412" s="17">
        <f ca="1">I380-I411</f>
        <v>621532097.796314</v>
      </c>
      <c r="J412" t="s">
        <v>3475</v>
      </c>
      <c r="K412" t="b">
        <f t="shared" ca="1" si="18"/>
        <v>1</v>
      </c>
    </row>
    <row r="413" spans="1:12">
      <c r="A413" s="2"/>
      <c r="C413" s="2"/>
      <c r="E413" s="13"/>
      <c r="F413" s="13"/>
      <c r="G413" s="13"/>
      <c r="H413" s="13"/>
      <c r="I413" s="13"/>
      <c r="J413" s="3"/>
      <c r="K413" t="b">
        <f t="shared" si="18"/>
        <v>1</v>
      </c>
    </row>
    <row r="414" spans="1:12" ht="12.75">
      <c r="A414" s="22" t="str">
        <f>DataNameProd2</f>
        <v>Breakthrough</v>
      </c>
      <c r="K414" t="b">
        <f t="shared" si="18"/>
        <v>1</v>
      </c>
    </row>
    <row r="415" spans="1:12">
      <c r="B415" s="2" t="s">
        <v>3754</v>
      </c>
      <c r="K415" t="b">
        <f t="shared" si="18"/>
        <v>1</v>
      </c>
    </row>
    <row r="416" spans="1:12">
      <c r="C416" s="3" t="str">
        <f>DataNameProd2 &amp; " Revenues"</f>
        <v>Breakthrough Revenues</v>
      </c>
      <c r="D416" s="2"/>
      <c r="E416" s="23">
        <f t="shared" ref="E416:I418" si="19">HLOOKUP(cbalDisrupt1,dataDisruptWeight,3,0)*E9+HLOOKUP(cbalDisrupt2,dataDisruptWeight,3,0)*E59</f>
        <v>0</v>
      </c>
      <c r="F416" s="23">
        <f t="shared" si="19"/>
        <v>0</v>
      </c>
      <c r="G416" s="23">
        <f t="shared" si="19"/>
        <v>0</v>
      </c>
      <c r="H416" s="23">
        <f t="shared" si="19"/>
        <v>0</v>
      </c>
      <c r="I416" s="23">
        <f t="shared" si="19"/>
        <v>0</v>
      </c>
      <c r="J416" t="s">
        <v>3476</v>
      </c>
      <c r="K416" t="b">
        <f t="shared" si="18"/>
        <v>1</v>
      </c>
    </row>
    <row r="417" spans="1:11">
      <c r="C417" s="3" t="str">
        <f>DataNameProd2 &amp; " Promotional Expense"</f>
        <v>Breakthrough Promotional Expense</v>
      </c>
      <c r="D417" s="3"/>
      <c r="E417" s="23">
        <f t="shared" si="19"/>
        <v>0</v>
      </c>
      <c r="F417" s="23">
        <f t="shared" si="19"/>
        <v>0</v>
      </c>
      <c r="G417" s="23">
        <f t="shared" si="19"/>
        <v>0</v>
      </c>
      <c r="H417" s="23">
        <f t="shared" si="19"/>
        <v>0</v>
      </c>
      <c r="I417" s="23">
        <f t="shared" si="19"/>
        <v>0</v>
      </c>
      <c r="J417" t="s">
        <v>3483</v>
      </c>
      <c r="K417" t="b">
        <f t="shared" si="18"/>
        <v>1</v>
      </c>
    </row>
    <row r="418" spans="1:11">
      <c r="C418" s="2" t="str">
        <f>DataNameProd2 &amp; " Net Revenues"</f>
        <v>Breakthrough Net Revenues</v>
      </c>
      <c r="D418" s="3"/>
      <c r="E418" s="13">
        <f t="shared" si="19"/>
        <v>0</v>
      </c>
      <c r="F418" s="13">
        <f t="shared" si="19"/>
        <v>0</v>
      </c>
      <c r="G418" s="13">
        <f t="shared" si="19"/>
        <v>0</v>
      </c>
      <c r="H418" s="13">
        <f t="shared" si="19"/>
        <v>0</v>
      </c>
      <c r="I418" s="13">
        <f t="shared" si="19"/>
        <v>0</v>
      </c>
      <c r="J418" t="s">
        <v>821</v>
      </c>
      <c r="K418" t="b">
        <f t="shared" si="18"/>
        <v>1</v>
      </c>
    </row>
    <row r="419" spans="1:11">
      <c r="B419" s="2" t="s">
        <v>3640</v>
      </c>
      <c r="K419" t="b">
        <f t="shared" si="18"/>
        <v>1</v>
      </c>
    </row>
    <row r="420" spans="1:11">
      <c r="C420" t="str">
        <f>DataNameProd2 &amp; " Material Expense"</f>
        <v>Breakthrough Material Expense</v>
      </c>
      <c r="E420" s="14">
        <f t="shared" ref="E420:I423" si="20">HLOOKUP(cbalDisrupt1,dataDisruptWeight,3,0)*E13+HLOOKUP(cbalDisrupt2,dataDisruptWeight,3,0)*E63</f>
        <v>0</v>
      </c>
      <c r="F420" s="14">
        <f t="shared" si="20"/>
        <v>0</v>
      </c>
      <c r="G420" s="14">
        <f t="shared" si="20"/>
        <v>0</v>
      </c>
      <c r="H420" s="14">
        <f t="shared" si="20"/>
        <v>0</v>
      </c>
      <c r="I420" s="14">
        <f t="shared" si="20"/>
        <v>0</v>
      </c>
      <c r="J420" t="s">
        <v>3477</v>
      </c>
      <c r="K420" t="b">
        <f t="shared" si="18"/>
        <v>1</v>
      </c>
    </row>
    <row r="421" spans="1:11">
      <c r="C421" t="str">
        <f>DataNameProd2 &amp; " Labor Expense"</f>
        <v>Breakthrough Labor Expense</v>
      </c>
      <c r="E421" s="11">
        <f t="shared" si="20"/>
        <v>0</v>
      </c>
      <c r="F421" s="11">
        <f t="shared" si="20"/>
        <v>0</v>
      </c>
      <c r="G421" s="11">
        <f t="shared" si="20"/>
        <v>0</v>
      </c>
      <c r="H421" s="11">
        <f t="shared" si="20"/>
        <v>0</v>
      </c>
      <c r="I421" s="11">
        <f t="shared" si="20"/>
        <v>0</v>
      </c>
      <c r="J421" t="s">
        <v>2273</v>
      </c>
      <c r="K421" t="b">
        <f t="shared" si="18"/>
        <v>1</v>
      </c>
    </row>
    <row r="422" spans="1:11">
      <c r="C422" t="str">
        <f>DataNameProd2 &amp; " Machinery Expense"</f>
        <v>Breakthrough Machinery Expense</v>
      </c>
      <c r="E422" s="14">
        <f t="shared" si="20"/>
        <v>0</v>
      </c>
      <c r="F422" s="14">
        <f t="shared" si="20"/>
        <v>0</v>
      </c>
      <c r="G422" s="14">
        <f t="shared" si="20"/>
        <v>0</v>
      </c>
      <c r="H422" s="14">
        <f t="shared" si="20"/>
        <v>0</v>
      </c>
      <c r="I422" s="14">
        <f t="shared" si="20"/>
        <v>0</v>
      </c>
      <c r="J422" t="s">
        <v>3478</v>
      </c>
      <c r="K422" t="b">
        <f t="shared" si="18"/>
        <v>1</v>
      </c>
    </row>
    <row r="423" spans="1:11">
      <c r="C423" t="str">
        <f>DataNameProd2 &amp; " Depreciation Expense"</f>
        <v>Breakthrough Depreciation Expense</v>
      </c>
      <c r="E423" s="11">
        <f t="shared" si="20"/>
        <v>0</v>
      </c>
      <c r="F423" s="11">
        <f t="shared" si="20"/>
        <v>0</v>
      </c>
      <c r="G423" s="11">
        <f t="shared" si="20"/>
        <v>0</v>
      </c>
      <c r="H423" s="11">
        <f t="shared" si="20"/>
        <v>0</v>
      </c>
      <c r="I423" s="11">
        <f t="shared" si="20"/>
        <v>0</v>
      </c>
      <c r="J423" t="s">
        <v>3479</v>
      </c>
      <c r="K423" t="b">
        <f>MAX(E423:I423)=MIN(E423:I423)</f>
        <v>1</v>
      </c>
    </row>
    <row r="424" spans="1:11">
      <c r="C424" s="207"/>
      <c r="D424" s="207"/>
      <c r="E424" s="256"/>
      <c r="F424" s="256"/>
      <c r="G424" s="256"/>
      <c r="H424" s="256"/>
      <c r="I424" s="256"/>
      <c r="K424" t="b">
        <f t="shared" si="18"/>
        <v>1</v>
      </c>
    </row>
    <row r="425" spans="1:11">
      <c r="C425" s="2" t="str">
        <f>DataNameProd2 &amp; " Manufacturing Expense"</f>
        <v>Breakthrough Manufacturing Expense</v>
      </c>
      <c r="D425" s="2"/>
      <c r="E425" s="17">
        <f t="shared" ref="E425:I427" si="21">HLOOKUP(cbalDisrupt1,dataDisruptWeight,3,0)*E18+HLOOKUP(cbalDisrupt2,dataDisruptWeight,3,0)*E68</f>
        <v>0</v>
      </c>
      <c r="F425" s="17">
        <f t="shared" si="21"/>
        <v>0</v>
      </c>
      <c r="G425" s="17">
        <f t="shared" si="21"/>
        <v>0</v>
      </c>
      <c r="H425" s="17">
        <f t="shared" si="21"/>
        <v>0</v>
      </c>
      <c r="I425" s="17">
        <f t="shared" si="21"/>
        <v>0</v>
      </c>
      <c r="J425" t="s">
        <v>1636</v>
      </c>
      <c r="K425" t="b">
        <f t="shared" si="18"/>
        <v>1</v>
      </c>
    </row>
    <row r="426" spans="1:11">
      <c r="C426" t="str">
        <f>DataNameProd2 &amp; " Royalties Expense"</f>
        <v>Breakthrough Royalties Expense</v>
      </c>
      <c r="E426" s="11">
        <f t="shared" si="21"/>
        <v>0</v>
      </c>
      <c r="F426" s="11">
        <f t="shared" si="21"/>
        <v>0</v>
      </c>
      <c r="G426" s="11">
        <f t="shared" si="21"/>
        <v>0</v>
      </c>
      <c r="H426" s="11">
        <f t="shared" si="21"/>
        <v>0</v>
      </c>
      <c r="I426" s="11">
        <f t="shared" si="21"/>
        <v>0</v>
      </c>
      <c r="J426" t="s">
        <v>2294</v>
      </c>
      <c r="K426" t="b">
        <f t="shared" si="18"/>
        <v>1</v>
      </c>
    </row>
    <row r="427" spans="1:11">
      <c r="C427" t="str">
        <f>DataNameProd2 &amp; " Speciality Brand Expense"</f>
        <v>Breakthrough Speciality Brand Expense</v>
      </c>
      <c r="E427" s="11">
        <f t="shared" si="21"/>
        <v>0</v>
      </c>
      <c r="F427" s="11">
        <f t="shared" si="21"/>
        <v>0</v>
      </c>
      <c r="G427" s="11">
        <f t="shared" si="21"/>
        <v>0</v>
      </c>
      <c r="H427" s="11">
        <f t="shared" si="21"/>
        <v>0</v>
      </c>
      <c r="I427" s="11">
        <f t="shared" si="21"/>
        <v>0</v>
      </c>
      <c r="K427" t="b">
        <f t="shared" si="18"/>
        <v>1</v>
      </c>
    </row>
    <row r="428" spans="1:11">
      <c r="C428" s="207"/>
      <c r="D428" s="207"/>
      <c r="E428" s="257"/>
      <c r="F428" s="257"/>
      <c r="G428" s="257"/>
      <c r="H428" s="257"/>
      <c r="I428" s="257"/>
      <c r="K428" t="b">
        <f t="shared" si="18"/>
        <v>1</v>
      </c>
    </row>
    <row r="429" spans="1:11">
      <c r="C429" s="2" t="str">
        <f>DataNameProd2 &amp; " COGS"</f>
        <v>Breakthrough COGS</v>
      </c>
      <c r="D429" s="2"/>
      <c r="E429" s="17">
        <f>HLOOKUP(cbalDisrupt1,dataDisruptWeight,3,0)*E22+HLOOKUP(cbalDisrupt2,dataDisruptWeight,3,0)*E72</f>
        <v>0</v>
      </c>
      <c r="F429" s="17">
        <f>HLOOKUP(cbalDisrupt1,dataDisruptWeight,3,0)*F22+HLOOKUP(cbalDisrupt2,dataDisruptWeight,3,0)*F72</f>
        <v>0</v>
      </c>
      <c r="G429" s="17">
        <f>HLOOKUP(cbalDisrupt1,dataDisruptWeight,3,0)*G22+HLOOKUP(cbalDisrupt2,dataDisruptWeight,3,0)*G72</f>
        <v>0</v>
      </c>
      <c r="H429" s="17">
        <f>HLOOKUP(cbalDisrupt1,dataDisruptWeight,3,0)*H22+HLOOKUP(cbalDisrupt2,dataDisruptWeight,3,0)*H72</f>
        <v>0</v>
      </c>
      <c r="I429" s="17">
        <f>HLOOKUP(cbalDisrupt1,dataDisruptWeight,3,0)*I22+HLOOKUP(cbalDisrupt2,dataDisruptWeight,3,0)*I72</f>
        <v>0</v>
      </c>
      <c r="J429" t="s">
        <v>3480</v>
      </c>
      <c r="K429" t="b">
        <f t="shared" si="18"/>
        <v>1</v>
      </c>
    </row>
    <row r="430" spans="1:11">
      <c r="B430" s="2" t="s">
        <v>1223</v>
      </c>
      <c r="C430" s="3"/>
      <c r="D430" s="3"/>
      <c r="E430" s="3"/>
      <c r="F430" s="3"/>
      <c r="G430" s="3"/>
      <c r="H430" s="3"/>
      <c r="I430" s="3"/>
      <c r="K430" t="b">
        <f t="shared" si="18"/>
        <v>1</v>
      </c>
    </row>
    <row r="431" spans="1:11">
      <c r="C431" s="2" t="str">
        <f>DataNameProd2 &amp; " Gross Margin"</f>
        <v>Breakthrough Gross Margin</v>
      </c>
      <c r="D431" s="2"/>
      <c r="E431" s="17">
        <f>HLOOKUP(cbalDisrupt1,dataDisruptWeight,3,0)*E24+HLOOKUP(cbalDisrupt2,dataDisruptWeight,3,0)*E74</f>
        <v>0</v>
      </c>
      <c r="F431" s="17">
        <f>HLOOKUP(cbalDisrupt1,dataDisruptWeight,3,0)*F24+HLOOKUP(cbalDisrupt2,dataDisruptWeight,3,0)*F74</f>
        <v>0</v>
      </c>
      <c r="G431" s="17">
        <f>HLOOKUP(cbalDisrupt1,dataDisruptWeight,3,0)*G24+HLOOKUP(cbalDisrupt2,dataDisruptWeight,3,0)*G74</f>
        <v>0</v>
      </c>
      <c r="H431" s="17">
        <f>HLOOKUP(cbalDisrupt1,dataDisruptWeight,3,0)*H24+HLOOKUP(cbalDisrupt2,dataDisruptWeight,3,0)*H74</f>
        <v>0</v>
      </c>
      <c r="I431" s="17">
        <f>HLOOKUP(cbalDisrupt1,dataDisruptWeight,3,0)*I24+HLOOKUP(cbalDisrupt2,dataDisruptWeight,3,0)*I74</f>
        <v>0</v>
      </c>
      <c r="J431" t="s">
        <v>3481</v>
      </c>
      <c r="K431" t="b">
        <f t="shared" si="18"/>
        <v>1</v>
      </c>
    </row>
    <row r="432" spans="1:11" ht="12.75">
      <c r="A432" s="22"/>
      <c r="B432" s="2" t="s">
        <v>1309</v>
      </c>
      <c r="C432" s="3"/>
      <c r="D432" s="3"/>
      <c r="E432" s="3"/>
      <c r="F432" s="3"/>
      <c r="G432" s="3"/>
      <c r="H432" s="3"/>
      <c r="I432" s="3"/>
      <c r="K432" t="b">
        <f t="shared" si="18"/>
        <v>1</v>
      </c>
    </row>
    <row r="433" spans="1:12">
      <c r="C433" s="3" t="str">
        <f>DataNameProd2 &amp; " Advertising Expense"</f>
        <v>Breakthrough Advertising Expense</v>
      </c>
      <c r="D433" s="3"/>
      <c r="E433" s="23">
        <f t="shared" ref="E433:I434" si="22">HLOOKUP(cbalDisrupt1,dataDisruptWeight,3,0)*E26+HLOOKUP(cbalDisrupt2,dataDisruptWeight,3,0)*E76</f>
        <v>0</v>
      </c>
      <c r="F433" s="23">
        <f t="shared" si="22"/>
        <v>0</v>
      </c>
      <c r="G433" s="23">
        <f t="shared" si="22"/>
        <v>0</v>
      </c>
      <c r="H433" s="23">
        <f t="shared" si="22"/>
        <v>0</v>
      </c>
      <c r="I433" s="23">
        <f t="shared" si="22"/>
        <v>0</v>
      </c>
      <c r="J433" t="s">
        <v>3482</v>
      </c>
      <c r="K433" t="b">
        <f t="shared" si="18"/>
        <v>1</v>
      </c>
    </row>
    <row r="434" spans="1:12">
      <c r="C434" s="3" t="str">
        <f>DataNameProd2 &amp; " Sales Force Expense"</f>
        <v>Breakthrough Sales Force Expense</v>
      </c>
      <c r="D434" s="3"/>
      <c r="E434" s="85">
        <f t="shared" si="22"/>
        <v>0</v>
      </c>
      <c r="F434" s="85">
        <f t="shared" si="22"/>
        <v>0</v>
      </c>
      <c r="G434" s="85">
        <f t="shared" si="22"/>
        <v>0</v>
      </c>
      <c r="H434" s="85">
        <f t="shared" si="22"/>
        <v>0</v>
      </c>
      <c r="I434" s="85">
        <f t="shared" si="22"/>
        <v>0</v>
      </c>
      <c r="J434" t="s">
        <v>2274</v>
      </c>
      <c r="K434" t="b">
        <f t="shared" si="18"/>
        <v>1</v>
      </c>
    </row>
    <row r="435" spans="1:12">
      <c r="B435" s="2"/>
      <c r="C435" s="264"/>
      <c r="D435" s="264"/>
      <c r="E435" s="264"/>
      <c r="F435" s="264"/>
      <c r="G435" s="264"/>
      <c r="H435" s="264"/>
      <c r="I435" s="264"/>
      <c r="K435" t="b">
        <f t="shared" si="18"/>
        <v>1</v>
      </c>
    </row>
    <row r="436" spans="1:12" ht="12.75">
      <c r="A436" s="22"/>
      <c r="C436" s="2" t="str">
        <f>DataNameProd2 &amp; " Selling Expense"</f>
        <v>Breakthrough Selling Expense</v>
      </c>
      <c r="D436" s="2"/>
      <c r="E436" s="17">
        <f t="shared" ref="E436:I438" si="23">HLOOKUP(cbalDisrupt1,dataDisruptWeight,3,0)*E29+HLOOKUP(cbalDisrupt2,dataDisruptWeight,3,0)*E79</f>
        <v>0</v>
      </c>
      <c r="F436" s="17">
        <f t="shared" si="23"/>
        <v>0</v>
      </c>
      <c r="G436" s="17">
        <f t="shared" si="23"/>
        <v>0</v>
      </c>
      <c r="H436" s="17">
        <f t="shared" si="23"/>
        <v>0</v>
      </c>
      <c r="I436" s="17">
        <f t="shared" si="23"/>
        <v>0</v>
      </c>
      <c r="K436" t="b">
        <f t="shared" si="18"/>
        <v>1</v>
      </c>
    </row>
    <row r="437" spans="1:12">
      <c r="C437" s="3" t="str">
        <f>DataNameProd2 &amp; " Inventory Handling Expense"</f>
        <v>Breakthrough Inventory Handling Expense</v>
      </c>
      <c r="D437" s="3"/>
      <c r="E437" s="23">
        <f t="shared" si="23"/>
        <v>0</v>
      </c>
      <c r="F437" s="23">
        <f t="shared" si="23"/>
        <v>0</v>
      </c>
      <c r="G437" s="23">
        <f t="shared" si="23"/>
        <v>0</v>
      </c>
      <c r="H437" s="23">
        <f t="shared" si="23"/>
        <v>0</v>
      </c>
      <c r="I437" s="23">
        <f t="shared" si="23"/>
        <v>0</v>
      </c>
      <c r="J437" t="s">
        <v>3484</v>
      </c>
      <c r="K437" t="b">
        <f t="shared" si="18"/>
        <v>1</v>
      </c>
    </row>
    <row r="438" spans="1:12">
      <c r="C438" s="3" t="str">
        <f>DataNameProd2 &amp; " Distribution Expense"</f>
        <v>Breakthrough Distribution Expense</v>
      </c>
      <c r="D438" s="3"/>
      <c r="E438" s="85">
        <f t="shared" si="23"/>
        <v>0</v>
      </c>
      <c r="F438" s="85">
        <f t="shared" si="23"/>
        <v>0</v>
      </c>
      <c r="G438" s="85">
        <f t="shared" si="23"/>
        <v>0</v>
      </c>
      <c r="H438" s="85">
        <f t="shared" si="23"/>
        <v>0</v>
      </c>
      <c r="I438" s="85">
        <f t="shared" si="23"/>
        <v>0</v>
      </c>
      <c r="J438" t="s">
        <v>583</v>
      </c>
      <c r="K438" t="b">
        <f t="shared" si="18"/>
        <v>1</v>
      </c>
    </row>
    <row r="439" spans="1:12">
      <c r="C439" s="264"/>
      <c r="D439" s="264"/>
      <c r="E439" s="264"/>
      <c r="F439" s="264"/>
      <c r="G439" s="264"/>
      <c r="H439" s="264"/>
      <c r="I439" s="264"/>
      <c r="K439" t="b">
        <f t="shared" ref="K439:K500" si="24">MAX(E439:I439)=MIN(E439:I439)</f>
        <v>1</v>
      </c>
    </row>
    <row r="440" spans="1:12">
      <c r="C440" s="2" t="str">
        <f>DataNameProd2 &amp; " General Expense"</f>
        <v>Breakthrough General Expense</v>
      </c>
      <c r="D440" s="2"/>
      <c r="E440" s="17">
        <f t="shared" ref="E440:I443" si="25">HLOOKUP(cbalDisrupt1,dataDisruptWeight,3,0)*E33+HLOOKUP(cbalDisrupt2,dataDisruptWeight,3,0)*E83</f>
        <v>0</v>
      </c>
      <c r="F440" s="17">
        <f t="shared" si="25"/>
        <v>0</v>
      </c>
      <c r="G440" s="17">
        <f t="shared" si="25"/>
        <v>0</v>
      </c>
      <c r="H440" s="17">
        <f t="shared" si="25"/>
        <v>0</v>
      </c>
      <c r="I440" s="17">
        <f t="shared" si="25"/>
        <v>0</v>
      </c>
      <c r="K440" t="b">
        <f t="shared" si="24"/>
        <v>1</v>
      </c>
    </row>
    <row r="441" spans="1:12">
      <c r="C441" s="3" t="str">
        <f>DataNameProd2 &amp; " Employe Admin Expense"</f>
        <v>Breakthrough Employe Admin Expense</v>
      </c>
      <c r="D441" s="3"/>
      <c r="E441" s="11">
        <f t="shared" si="25"/>
        <v>0</v>
      </c>
      <c r="F441" s="11">
        <f t="shared" si="25"/>
        <v>0</v>
      </c>
      <c r="G441" s="11">
        <f t="shared" si="25"/>
        <v>0</v>
      </c>
      <c r="H441" s="11">
        <f t="shared" si="25"/>
        <v>0</v>
      </c>
      <c r="I441" s="11">
        <f t="shared" si="25"/>
        <v>0</v>
      </c>
      <c r="J441" t="s">
        <v>3485</v>
      </c>
      <c r="K441" t="b">
        <f t="shared" si="24"/>
        <v>1</v>
      </c>
    </row>
    <row r="442" spans="1:12">
      <c r="C442" s="3" t="str">
        <f>DataNameProd2 &amp; " Recruit/ Dismisall Expense"</f>
        <v>Breakthrough Recruit/ Dismisall Expense</v>
      </c>
      <c r="D442" s="3"/>
      <c r="E442" s="11">
        <f t="shared" si="25"/>
        <v>0</v>
      </c>
      <c r="F442" s="11">
        <f t="shared" si="25"/>
        <v>0</v>
      </c>
      <c r="G442" s="11">
        <f t="shared" si="25"/>
        <v>0</v>
      </c>
      <c r="H442" s="11">
        <f t="shared" si="25"/>
        <v>0</v>
      </c>
      <c r="I442" s="11">
        <f t="shared" si="25"/>
        <v>0</v>
      </c>
      <c r="J442" t="s">
        <v>756</v>
      </c>
      <c r="K442" t="b">
        <f t="shared" si="24"/>
        <v>1</v>
      </c>
    </row>
    <row r="443" spans="1:12">
      <c r="C443" s="3" t="str">
        <f>DataNameProd2 &amp; " Fixed Admin Expense"</f>
        <v>Breakthrough Fixed Admin Expense</v>
      </c>
      <c r="D443" s="3"/>
      <c r="E443" s="23">
        <f t="shared" si="25"/>
        <v>0</v>
      </c>
      <c r="F443" s="23">
        <f t="shared" si="25"/>
        <v>0</v>
      </c>
      <c r="G443" s="23">
        <f t="shared" si="25"/>
        <v>0</v>
      </c>
      <c r="H443" s="23">
        <f t="shared" si="25"/>
        <v>0</v>
      </c>
      <c r="I443" s="23">
        <f t="shared" si="25"/>
        <v>0</v>
      </c>
      <c r="J443" t="s">
        <v>3686</v>
      </c>
      <c r="K443" t="b">
        <f t="shared" si="24"/>
        <v>1</v>
      </c>
    </row>
    <row r="444" spans="1:12">
      <c r="C444" s="264"/>
      <c r="D444" s="264"/>
      <c r="E444" s="264"/>
      <c r="F444" s="264"/>
      <c r="G444" s="264"/>
      <c r="H444" s="264"/>
      <c r="I444" s="264"/>
      <c r="K444" t="b">
        <f t="shared" si="24"/>
        <v>1</v>
      </c>
    </row>
    <row r="445" spans="1:12">
      <c r="C445" s="2" t="str">
        <f>DataNameProd2 &amp; " Administration Expense"</f>
        <v>Breakthrough Administration Expense</v>
      </c>
      <c r="D445" s="2"/>
      <c r="E445" s="17">
        <f t="shared" ref="E445:I446" si="26">HLOOKUP(cbalDisrupt1,dataDisruptWeight,3,0)*E38+HLOOKUP(cbalDisrupt2,dataDisruptWeight,3,0)*E88</f>
        <v>0</v>
      </c>
      <c r="F445" s="17">
        <f t="shared" si="26"/>
        <v>0</v>
      </c>
      <c r="G445" s="17">
        <f t="shared" si="26"/>
        <v>0</v>
      </c>
      <c r="H445" s="17">
        <f t="shared" si="26"/>
        <v>0</v>
      </c>
      <c r="I445" s="17">
        <f t="shared" si="26"/>
        <v>0</v>
      </c>
      <c r="K445" t="b">
        <f t="shared" si="24"/>
        <v>1</v>
      </c>
    </row>
    <row r="446" spans="1:12" ht="12" thickBot="1">
      <c r="C446" s="2" t="str">
        <f>DataNameProd2 &amp; " SGA Expense"</f>
        <v>Breakthrough SGA Expense</v>
      </c>
      <c r="D446" s="2"/>
      <c r="E446" s="17">
        <f t="shared" si="26"/>
        <v>0</v>
      </c>
      <c r="F446" s="17">
        <f t="shared" si="26"/>
        <v>0</v>
      </c>
      <c r="G446" s="17">
        <f t="shared" si="26"/>
        <v>0</v>
      </c>
      <c r="H446" s="17">
        <f t="shared" si="26"/>
        <v>0</v>
      </c>
      <c r="I446" s="17">
        <f t="shared" si="26"/>
        <v>0</v>
      </c>
      <c r="J446" t="s">
        <v>757</v>
      </c>
      <c r="K446" t="b">
        <f t="shared" si="24"/>
        <v>1</v>
      </c>
    </row>
    <row r="447" spans="1:12" ht="12.75">
      <c r="A447" s="1345"/>
      <c r="B447" s="1346" t="s">
        <v>2966</v>
      </c>
      <c r="C447" s="1347"/>
      <c r="D447" s="1347"/>
      <c r="E447" s="1347"/>
      <c r="F447" s="1347"/>
      <c r="G447" s="1347"/>
      <c r="H447" s="1347"/>
      <c r="I447" s="1347"/>
      <c r="J447" s="1348"/>
      <c r="K447" s="1348" t="b">
        <f t="shared" si="24"/>
        <v>1</v>
      </c>
      <c r="L447" s="1349"/>
    </row>
    <row r="448" spans="1:12">
      <c r="A448" s="1350"/>
      <c r="B448" s="1351"/>
      <c r="C448" s="1351" t="str">
        <f>DataNameProd2 &amp; " Family Brand R&amp;D"</f>
        <v>Breakthrough Family Brand R&amp;D</v>
      </c>
      <c r="D448" s="1351"/>
      <c r="E448" s="1352">
        <f t="shared" ref="E448:I451" si="27">HLOOKUP(cbalDisrupt1,dataDisruptWeight,3,0)*E41+HLOOKUP(cbalDisrupt2,dataDisruptWeight,3,0)*E91</f>
        <v>0</v>
      </c>
      <c r="F448" s="1352">
        <f t="shared" si="27"/>
        <v>0</v>
      </c>
      <c r="G448" s="1352">
        <f t="shared" si="27"/>
        <v>0</v>
      </c>
      <c r="H448" s="1352">
        <f t="shared" si="27"/>
        <v>0</v>
      </c>
      <c r="I448" s="1352">
        <f t="shared" si="27"/>
        <v>0</v>
      </c>
      <c r="J448" s="1351" t="s">
        <v>742</v>
      </c>
      <c r="K448" s="1351" t="b">
        <f t="shared" si="24"/>
        <v>1</v>
      </c>
      <c r="L448" s="1353"/>
    </row>
    <row r="449" spans="1:12">
      <c r="A449" s="1350"/>
      <c r="B449" s="1351"/>
      <c r="C449" s="1351" t="str">
        <f>DataNameProd2 &amp; " Partner Brand R&amp;D"</f>
        <v>Breakthrough Partner Brand R&amp;D</v>
      </c>
      <c r="D449" s="1351"/>
      <c r="E449" s="1352">
        <f t="shared" si="27"/>
        <v>0</v>
      </c>
      <c r="F449" s="1352">
        <f t="shared" si="27"/>
        <v>0</v>
      </c>
      <c r="G449" s="1352">
        <f t="shared" si="27"/>
        <v>0</v>
      </c>
      <c r="H449" s="1352">
        <f t="shared" si="27"/>
        <v>0</v>
      </c>
      <c r="I449" s="1352">
        <f t="shared" si="27"/>
        <v>0</v>
      </c>
      <c r="J449" s="1351" t="s">
        <v>743</v>
      </c>
      <c r="K449" s="1351" t="b">
        <f t="shared" si="24"/>
        <v>1</v>
      </c>
      <c r="L449" s="1353" t="s">
        <v>172</v>
      </c>
    </row>
    <row r="450" spans="1:12">
      <c r="A450" s="1350"/>
      <c r="B450" s="1351"/>
      <c r="C450" s="1351" t="str">
        <f>DataNameProd2 &amp; " Portfolio Development"</f>
        <v>Breakthrough Portfolio Development</v>
      </c>
      <c r="D450" s="1351"/>
      <c r="E450" s="1352">
        <f t="shared" si="27"/>
        <v>0</v>
      </c>
      <c r="F450" s="1352">
        <f t="shared" si="27"/>
        <v>0</v>
      </c>
      <c r="G450" s="1352">
        <f t="shared" si="27"/>
        <v>0</v>
      </c>
      <c r="H450" s="1352">
        <f t="shared" si="27"/>
        <v>0</v>
      </c>
      <c r="I450" s="1352">
        <f t="shared" si="27"/>
        <v>0</v>
      </c>
      <c r="J450" s="1351" t="s">
        <v>744</v>
      </c>
      <c r="K450" s="1351" t="b">
        <f t="shared" si="24"/>
        <v>1</v>
      </c>
      <c r="L450" s="1353" t="s">
        <v>1894</v>
      </c>
    </row>
    <row r="451" spans="1:12">
      <c r="A451" s="1350"/>
      <c r="B451" s="1351"/>
      <c r="C451" s="1351" t="str">
        <f>DataNameProd2 &amp; " Long Term R&amp;D"</f>
        <v>Breakthrough Long Term R&amp;D</v>
      </c>
      <c r="D451" s="1351"/>
      <c r="E451" s="1354">
        <f t="shared" si="27"/>
        <v>0</v>
      </c>
      <c r="F451" s="1354">
        <f t="shared" si="27"/>
        <v>0</v>
      </c>
      <c r="G451" s="1354">
        <f t="shared" si="27"/>
        <v>0</v>
      </c>
      <c r="H451" s="1354">
        <f t="shared" si="27"/>
        <v>0</v>
      </c>
      <c r="I451" s="1354">
        <f t="shared" si="27"/>
        <v>0</v>
      </c>
      <c r="J451" s="1351"/>
      <c r="K451" s="1351" t="b">
        <f t="shared" si="24"/>
        <v>1</v>
      </c>
      <c r="L451" s="1353"/>
    </row>
    <row r="452" spans="1:12" ht="12.75">
      <c r="A452" s="1355"/>
      <c r="B452" s="1356"/>
      <c r="C452" s="1357"/>
      <c r="D452" s="1357"/>
      <c r="E452" s="1357"/>
      <c r="F452" s="1357"/>
      <c r="G452" s="1357"/>
      <c r="H452" s="1357"/>
      <c r="I452" s="1357"/>
      <c r="J452" s="1351"/>
      <c r="K452" s="1351" t="b">
        <f t="shared" si="24"/>
        <v>1</v>
      </c>
      <c r="L452" s="1353"/>
    </row>
    <row r="453" spans="1:12" ht="12" thickBot="1">
      <c r="A453" s="1358"/>
      <c r="B453" s="1359"/>
      <c r="C453" s="1360" t="str">
        <f>DataNameProd2 &amp; " R&amp;D Expense"</f>
        <v>Breakthrough R&amp;D Expense</v>
      </c>
      <c r="D453" s="1360"/>
      <c r="E453" s="1361">
        <f>HLOOKUP(cbalDisrupt1,dataDisruptWeight,3,0)*E46+HLOOKUP(cbalDisrupt2,dataDisruptWeight,3,0)*E96</f>
        <v>0</v>
      </c>
      <c r="F453" s="1361">
        <f>HLOOKUP(cbalDisrupt1,dataDisruptWeight,3,0)*F46+HLOOKUP(cbalDisrupt2,dataDisruptWeight,3,0)*F96</f>
        <v>0</v>
      </c>
      <c r="G453" s="1361">
        <f>HLOOKUP(cbalDisrupt1,dataDisruptWeight,3,0)*G46+HLOOKUP(cbalDisrupt2,dataDisruptWeight,3,0)*G96</f>
        <v>0</v>
      </c>
      <c r="H453" s="1361">
        <f>HLOOKUP(cbalDisrupt1,dataDisruptWeight,3,0)*H46+HLOOKUP(cbalDisrupt2,dataDisruptWeight,3,0)*H96</f>
        <v>0</v>
      </c>
      <c r="I453" s="1361">
        <f>HLOOKUP(cbalDisrupt1,dataDisruptWeight,3,0)*I46+HLOOKUP(cbalDisrupt2,dataDisruptWeight,3,0)*I96</f>
        <v>0</v>
      </c>
      <c r="J453" s="1359" t="s">
        <v>758</v>
      </c>
      <c r="K453" s="1359" t="b">
        <f t="shared" si="24"/>
        <v>1</v>
      </c>
      <c r="L453" s="1362"/>
    </row>
    <row r="454" spans="1:12">
      <c r="B454" s="2" t="s">
        <v>2465</v>
      </c>
      <c r="K454" t="b">
        <f t="shared" si="24"/>
        <v>1</v>
      </c>
    </row>
    <row r="455" spans="1:12">
      <c r="B455" s="2"/>
      <c r="C455" t="str">
        <f>DataNameProd2 &amp; " Inefficiency Expense"</f>
        <v>Breakthrough Inefficiency Expense</v>
      </c>
      <c r="E455" s="11">
        <f t="shared" ref="E455:I456" si="28">HLOOKUP(cbalDisrupt1,dataDisruptWeight,3,0)*E48+HLOOKUP(cbalDisrupt2,dataDisruptWeight,3,0)*E98</f>
        <v>0</v>
      </c>
      <c r="F455" s="11">
        <f t="shared" si="28"/>
        <v>0</v>
      </c>
      <c r="G455" s="11">
        <f t="shared" si="28"/>
        <v>0</v>
      </c>
      <c r="H455" s="11">
        <f t="shared" si="28"/>
        <v>0</v>
      </c>
      <c r="I455" s="11">
        <f t="shared" si="28"/>
        <v>0</v>
      </c>
      <c r="K455" t="b">
        <f t="shared" si="24"/>
        <v>1</v>
      </c>
    </row>
    <row r="456" spans="1:12">
      <c r="B456" s="2"/>
      <c r="C456" t="str">
        <f>DataNameProd2 &amp; " Excess Capacity Expense"</f>
        <v>Breakthrough Excess Capacity Expense</v>
      </c>
      <c r="E456" s="11">
        <f t="shared" si="28"/>
        <v>0</v>
      </c>
      <c r="F456" s="11">
        <f t="shared" si="28"/>
        <v>0</v>
      </c>
      <c r="G456" s="11">
        <f t="shared" si="28"/>
        <v>0</v>
      </c>
      <c r="H456" s="11">
        <f t="shared" si="28"/>
        <v>0</v>
      </c>
      <c r="I456" s="11">
        <f t="shared" si="28"/>
        <v>0</v>
      </c>
      <c r="K456" t="b">
        <f t="shared" si="24"/>
        <v>1</v>
      </c>
    </row>
    <row r="457" spans="1:12">
      <c r="C457" t="str">
        <f>DataNameProd2 &amp; " Disposal Expense"</f>
        <v>Breakthrough Disposal Expense</v>
      </c>
      <c r="E457" s="11">
        <f>(HLOOKUP(cbalDisrupt1,dataDisruptWeight,3,0)*E50+HLOOKUP(cbalDisrupt2,dataDisruptWeight,3,0)*E100)*paramReg2Prod2DispCostPct</f>
        <v>0</v>
      </c>
      <c r="F457" s="11">
        <f>(HLOOKUP(cbalDisrupt1,dataDisruptWeight,3,0)*F50+HLOOKUP(cbalDisrupt2,dataDisruptWeight,3,0)*F100)*paramReg2Prod2DispCostPct</f>
        <v>0</v>
      </c>
      <c r="G457" s="11">
        <f>(HLOOKUP(cbalDisrupt1,dataDisruptWeight,3,0)*G50+HLOOKUP(cbalDisrupt2,dataDisruptWeight,3,0)*G100)*paramReg2Prod2DispCostPct</f>
        <v>0</v>
      </c>
      <c r="H457" s="11">
        <f>(HLOOKUP(cbalDisrupt1,dataDisruptWeight,3,0)*H50+HLOOKUP(cbalDisrupt2,dataDisruptWeight,3,0)*H100)*paramReg2Prod2DispCostPct</f>
        <v>0</v>
      </c>
      <c r="I457" s="11">
        <f>(HLOOKUP(cbalDisrupt1,dataDisruptWeight,3,0)*I50+HLOOKUP(cbalDisrupt2,dataDisruptWeight,3,0)*I100)*paramReg2Prod2DispCostPct</f>
        <v>0</v>
      </c>
      <c r="J457" t="s">
        <v>69</v>
      </c>
      <c r="K457" t="b">
        <f t="shared" si="24"/>
        <v>1</v>
      </c>
    </row>
    <row r="458" spans="1:12">
      <c r="C458" t="str">
        <f>DataNameProd2 &amp; " Special Programs Expense"</f>
        <v>Breakthrough Special Programs Expense</v>
      </c>
      <c r="E458" s="11">
        <f ca="1">HLOOKUP(cbalDisrupt1,dataDisruptWeight,3,0)*E51+HLOOKUP(cbalDisrupt2,dataDisruptWeight,3,0)*E101</f>
        <v>0</v>
      </c>
      <c r="F458" s="11">
        <f ca="1">HLOOKUP(cbalDisrupt1,dataDisruptWeight,3,0)*F51+HLOOKUP(cbalDisrupt2,dataDisruptWeight,3,0)*F101</f>
        <v>0</v>
      </c>
      <c r="G458" s="11">
        <f ca="1">HLOOKUP(cbalDisrupt1,dataDisruptWeight,3,0)*G51+HLOOKUP(cbalDisrupt2,dataDisruptWeight,3,0)*G101</f>
        <v>0</v>
      </c>
      <c r="H458" s="11">
        <f ca="1">HLOOKUP(cbalDisrupt1,dataDisruptWeight,3,0)*H51+HLOOKUP(cbalDisrupt2,dataDisruptWeight,3,0)*H101</f>
        <v>0</v>
      </c>
      <c r="I458" s="11">
        <f ca="1">HLOOKUP(cbalDisrupt1,dataDisruptWeight,3,0)*I51+HLOOKUP(cbalDisrupt2,dataDisruptWeight,3,0)*I101</f>
        <v>0</v>
      </c>
      <c r="J458" t="s">
        <v>2111</v>
      </c>
      <c r="K458" t="b">
        <f t="shared" ca="1" si="24"/>
        <v>1</v>
      </c>
    </row>
    <row r="459" spans="1:12">
      <c r="C459" s="207"/>
      <c r="D459" s="207"/>
      <c r="E459" s="207"/>
      <c r="F459" s="207"/>
      <c r="G459" s="207"/>
      <c r="H459" s="207"/>
      <c r="I459" s="207"/>
      <c r="K459" t="b">
        <f t="shared" si="24"/>
        <v>1</v>
      </c>
    </row>
    <row r="460" spans="1:12">
      <c r="A460" s="2"/>
      <c r="C460" s="2" t="str">
        <f>DataNameProd2 &amp; " Other Op Expense"</f>
        <v>Breakthrough Other Op Expense</v>
      </c>
      <c r="E460" s="13">
        <f t="shared" ref="E460:I462" ca="1" si="29">HLOOKUP(cbalDisrupt1,dataDisruptWeight,3,0)*E53+HLOOKUP(cbalDisrupt2,dataDisruptWeight,3,0)*E103</f>
        <v>0</v>
      </c>
      <c r="F460" s="13">
        <f t="shared" ca="1" si="29"/>
        <v>0</v>
      </c>
      <c r="G460" s="13">
        <f t="shared" ca="1" si="29"/>
        <v>0</v>
      </c>
      <c r="H460" s="13">
        <f t="shared" ca="1" si="29"/>
        <v>0</v>
      </c>
      <c r="I460" s="13">
        <f t="shared" ca="1" si="29"/>
        <v>0</v>
      </c>
      <c r="J460" s="3" t="s">
        <v>759</v>
      </c>
      <c r="K460" t="b">
        <f t="shared" ca="1" si="24"/>
        <v>1</v>
      </c>
    </row>
    <row r="461" spans="1:12">
      <c r="C461" t="str">
        <f>DataNameProd2 &amp; " Operating Expense"</f>
        <v>Breakthrough Operating Expense</v>
      </c>
      <c r="E461" s="11">
        <f t="shared" ca="1" si="29"/>
        <v>0</v>
      </c>
      <c r="F461" s="11">
        <f t="shared" ca="1" si="29"/>
        <v>0</v>
      </c>
      <c r="G461" s="11">
        <f t="shared" ca="1" si="29"/>
        <v>0</v>
      </c>
      <c r="H461" s="11">
        <f t="shared" ca="1" si="29"/>
        <v>0</v>
      </c>
      <c r="I461" s="11">
        <f t="shared" ca="1" si="29"/>
        <v>0</v>
      </c>
      <c r="K461" t="b">
        <f t="shared" ca="1" si="24"/>
        <v>1</v>
      </c>
    </row>
    <row r="462" spans="1:12">
      <c r="B462" s="2"/>
      <c r="C462" t="str">
        <f>DataNameProd2 &amp; " Operating Margin"</f>
        <v>Breakthrough Operating Margin</v>
      </c>
      <c r="E462" s="14">
        <f t="shared" ca="1" si="29"/>
        <v>0</v>
      </c>
      <c r="F462" s="14">
        <f t="shared" ca="1" si="29"/>
        <v>0</v>
      </c>
      <c r="G462" s="14">
        <f t="shared" ca="1" si="29"/>
        <v>0</v>
      </c>
      <c r="H462" s="14">
        <f t="shared" ca="1" si="29"/>
        <v>0</v>
      </c>
      <c r="I462" s="14">
        <f t="shared" ca="1" si="29"/>
        <v>0</v>
      </c>
      <c r="J462" t="s">
        <v>760</v>
      </c>
      <c r="K462" t="b">
        <f t="shared" ca="1" si="24"/>
        <v>1</v>
      </c>
    </row>
    <row r="463" spans="1:12">
      <c r="C463" s="2"/>
      <c r="E463" s="14"/>
      <c r="F463" s="14"/>
      <c r="G463" s="14"/>
      <c r="H463" s="14"/>
      <c r="I463" s="14"/>
      <c r="K463" t="b">
        <f t="shared" si="24"/>
        <v>1</v>
      </c>
    </row>
    <row r="464" spans="1:12" ht="12.75">
      <c r="A464" s="22" t="str">
        <f>DataNameProd3</f>
        <v>NCB</v>
      </c>
      <c r="K464" t="b">
        <f t="shared" si="24"/>
        <v>1</v>
      </c>
    </row>
    <row r="465" spans="2:11">
      <c r="B465" s="2" t="s">
        <v>3754</v>
      </c>
      <c r="K465" t="b">
        <f t="shared" si="24"/>
        <v>1</v>
      </c>
    </row>
    <row r="466" spans="2:11">
      <c r="C466" s="3" t="str">
        <f>DataNameProd3 &amp; " Revenues"</f>
        <v>NCB Revenues</v>
      </c>
      <c r="D466" s="3"/>
      <c r="E466" s="85">
        <f>capReg2Prod3UnitsSold*capProd3Reg2Price</f>
        <v>2450000000</v>
      </c>
      <c r="F466" s="85">
        <f>capReg2Prod3UnitsSold*capProd3Reg2Price</f>
        <v>2450000000</v>
      </c>
      <c r="G466" s="85">
        <f>capReg2Prod3UnitsSold*capProd3Reg2Price</f>
        <v>2450000000</v>
      </c>
      <c r="H466" s="85">
        <f>capReg2Prod3UnitsSold*capProd3Reg2Price</f>
        <v>2450000000</v>
      </c>
      <c r="I466" s="85">
        <f>capReg2Prod3UnitsSold*capProd3Reg2Price</f>
        <v>2450000000</v>
      </c>
      <c r="J466" t="s">
        <v>761</v>
      </c>
      <c r="K466" t="b">
        <f t="shared" si="24"/>
        <v>1</v>
      </c>
    </row>
    <row r="467" spans="2:11">
      <c r="C467" s="3" t="str">
        <f>DataNameProd3 &amp; " Promotional Expense"</f>
        <v>NCB Promotional Expense</v>
      </c>
      <c r="D467" s="3"/>
      <c r="E467" s="23">
        <f>capProd3PromoR2</f>
        <v>165000000</v>
      </c>
      <c r="F467" s="23">
        <f>capProd3PromoR2</f>
        <v>165000000</v>
      </c>
      <c r="G467" s="23">
        <f>capProd3PromoR2</f>
        <v>165000000</v>
      </c>
      <c r="H467" s="23">
        <f>capProd3PromoR2</f>
        <v>165000000</v>
      </c>
      <c r="I467" s="23">
        <f>capProd3PromoR2</f>
        <v>165000000</v>
      </c>
      <c r="J467" t="s">
        <v>527</v>
      </c>
      <c r="K467" t="b">
        <f t="shared" si="24"/>
        <v>1</v>
      </c>
    </row>
    <row r="468" spans="2:11">
      <c r="C468" s="2" t="str">
        <f>DataNameProd3 &amp; " Net Revenues"</f>
        <v>NCB Net Revenues</v>
      </c>
      <c r="D468" s="2"/>
      <c r="E468" s="13">
        <f>E466-E467</f>
        <v>2285000000</v>
      </c>
      <c r="F468" s="13">
        <f>F466-F467</f>
        <v>2285000000</v>
      </c>
      <c r="G468" s="13">
        <f>G466-G467</f>
        <v>2285000000</v>
      </c>
      <c r="H468" s="13">
        <f>H466-H467</f>
        <v>2285000000</v>
      </c>
      <c r="I468" s="13">
        <f>I466-I467</f>
        <v>2285000000</v>
      </c>
      <c r="J468" t="s">
        <v>822</v>
      </c>
      <c r="K468" t="b">
        <f t="shared" si="24"/>
        <v>1</v>
      </c>
    </row>
    <row r="469" spans="2:11">
      <c r="B469" s="2" t="s">
        <v>3640</v>
      </c>
      <c r="K469" t="b">
        <f t="shared" si="24"/>
        <v>1</v>
      </c>
    </row>
    <row r="470" spans="2:11">
      <c r="C470" t="str">
        <f>DataNameProd3 &amp; " Material Expense"</f>
        <v>NCB Material Expense</v>
      </c>
      <c r="E470" s="14">
        <f>(capReg2Prod3UnitsSoldNewProd-capReg2Prod3UnitsWiPUsed/2)*capProd3COGSPUnitMat+(capReg2Prod3UnitsSoldFG+capReg2Prod3UnitsWiPUsed/2)*obalProd3COGSPUnitMat</f>
        <v>981217428.51999998</v>
      </c>
      <c r="F470" s="14">
        <f>(capReg2Prod3UnitsSoldNewProd-capReg2Prod3UnitsWiPUsed/2)*capProd3COGSPUnitMat+(capReg2Prod3UnitsSoldFG+capReg2Prod3UnitsWiPUsed/2)*obalProd3COGSPUnitMat</f>
        <v>981217428.51999998</v>
      </c>
      <c r="G470" s="14">
        <f>(capReg2Prod3UnitsSoldNewProd-capReg2Prod3UnitsWiPUsed/2)*capProd3COGSPUnitMat+(capReg2Prod3UnitsSoldFG+capReg2Prod3UnitsWiPUsed/2)*obalProd3COGSPUnitMat</f>
        <v>981217428.51999998</v>
      </c>
      <c r="H470" s="14">
        <f>(capReg2Prod3UnitsSoldNewProd-capReg2Prod3UnitsWiPUsed/2)*capProd3COGSPUnitMat+(capReg2Prod3UnitsSoldFG+capReg2Prod3UnitsWiPUsed/2)*obalProd3COGSPUnitMat</f>
        <v>981217428.51999998</v>
      </c>
      <c r="I470" s="14">
        <f>(capReg2Prod3UnitsSoldNewProd-capReg2Prod3UnitsWiPUsed/2)*capProd3COGSPUnitMat+(capReg2Prod3UnitsSoldFG+capReg2Prod3UnitsWiPUsed/2)*obalProd3COGSPUnitMat</f>
        <v>981217428.51999998</v>
      </c>
      <c r="J470" t="s">
        <v>762</v>
      </c>
      <c r="K470" t="b">
        <f t="shared" si="24"/>
        <v>1</v>
      </c>
    </row>
    <row r="471" spans="2:11">
      <c r="C471" t="str">
        <f>DataNameProd3 &amp; " Labor Expense"</f>
        <v>NCB Labor Expense</v>
      </c>
      <c r="E471" s="11">
        <f>(capReg2Prod3UnitsSoldNewProd-capReg2Prod3UnitsWiPUsed/2)*capReg2Prod3CostPUnitEmp3+(capReg2Prod3UnitsSoldFG+capReg2Prod3UnitsWiPUsed/2)*obalReg2Prod3COGSPUnitLabor</f>
        <v>111581914.74752869</v>
      </c>
      <c r="F471" s="11">
        <f>(capReg2Prod3UnitsSoldNewProd-capReg2Prod3UnitsWiPUsed/2)*capReg2Prod3CostPUnitEmp3+(capReg2Prod3UnitsSoldFG+capReg2Prod3UnitsWiPUsed/2)*obalReg2Prod3COGSPUnitLabor</f>
        <v>111581914.74752869</v>
      </c>
      <c r="G471" s="11">
        <f>(capReg2Prod3UnitsSoldNewProd-capReg2Prod3UnitsWiPUsed/2)*capReg2Prod3CostPUnitEmp3+(capReg2Prod3UnitsSoldFG+capReg2Prod3UnitsWiPUsed/2)*obalReg2Prod3COGSPUnitLabor</f>
        <v>111581914.74752869</v>
      </c>
      <c r="H471" s="11">
        <f>(capReg2Prod3UnitsSoldNewProd-capReg2Prod3UnitsWiPUsed/2)*capReg2Prod3CostPUnitEmp3+(capReg2Prod3UnitsSoldFG+capReg2Prod3UnitsWiPUsed/2)*obalReg2Prod3COGSPUnitLabor</f>
        <v>111581914.74752869</v>
      </c>
      <c r="I471" s="11">
        <f>(capReg2Prod3UnitsSoldNewProd-capReg2Prod3UnitsWiPUsed/2)*capReg2Prod3CostPUnitEmp3+(capReg2Prod3UnitsSoldFG+capReg2Prod3UnitsWiPUsed/2)*obalReg2Prod3COGSPUnitLabor</f>
        <v>111581914.74752869</v>
      </c>
      <c r="J471" t="s">
        <v>2275</v>
      </c>
      <c r="K471" t="b">
        <f t="shared" si="24"/>
        <v>1</v>
      </c>
    </row>
    <row r="472" spans="2:11">
      <c r="C472" t="str">
        <f>DataNameProd3 &amp; " Machinery Expense"</f>
        <v>NCB Machinery Expense</v>
      </c>
      <c r="E472" s="14">
        <f ca="1">(capReg2Prod3UnitsSoldNewProd-capReg2Prod3UnitsWiPUsed/2)*capProd3COGSPUnitPlant1+(capReg2Prod3UnitsSoldFG+capReg2Prod3UnitsWiPUsed/2)*obalProd3COGSPUnitPlant</f>
        <v>444109.84903063171</v>
      </c>
      <c r="F472" s="14">
        <f ca="1">(capReg2Prod3UnitsSoldNewProd-capReg2Prod3UnitsWiPUsed/2)*capProd3COGSPUnitPlant1+(capReg2Prod3UnitsSoldFG+capReg2Prod3UnitsWiPUsed/2)*obalProd3COGSPUnitPlant</f>
        <v>444109.84903063171</v>
      </c>
      <c r="G472" s="14">
        <f ca="1">(capReg2Prod3UnitsSoldNewProd-capReg2Prod3UnitsWiPUsed/2)*capProd3COGSPUnitPlant1+(capReg2Prod3UnitsSoldFG+capReg2Prod3UnitsWiPUsed/2)*obalProd3COGSPUnitPlant</f>
        <v>444109.84903063171</v>
      </c>
      <c r="H472" s="14">
        <f ca="1">(capReg2Prod3UnitsSoldNewProd-capReg2Prod3UnitsWiPUsed/2)*capProd3COGSPUnitPlant1+(capReg2Prod3UnitsSoldFG+capReg2Prod3UnitsWiPUsed/2)*obalProd3COGSPUnitPlant</f>
        <v>444109.84903063171</v>
      </c>
      <c r="I472" s="14">
        <f ca="1">(capReg2Prod3UnitsSoldNewProd-capReg2Prod3UnitsWiPUsed/2)*capProd3COGSPUnitPlant1+(capReg2Prod3UnitsSoldFG+capReg2Prod3UnitsWiPUsed/2)*obalProd3COGSPUnitPlant</f>
        <v>444109.84903063171</v>
      </c>
      <c r="J472" t="s">
        <v>763</v>
      </c>
      <c r="K472" t="b">
        <f t="shared" ca="1" si="24"/>
        <v>1</v>
      </c>
    </row>
    <row r="473" spans="2:11">
      <c r="C473" t="str">
        <f>DataNameProd3 &amp; " Depreciation Expense"</f>
        <v>NCB Depreciation Expense</v>
      </c>
      <c r="E473" s="11">
        <f>capProd3COGSPUnitDep*capReg2Prod3UnitsSold</f>
        <v>111139920.19505827</v>
      </c>
      <c r="F473" s="11">
        <f>capProd3COGSPUnitDep*capReg2Prod3UnitsSold</f>
        <v>111139920.19505827</v>
      </c>
      <c r="G473" s="11">
        <f>capProd3COGSPUnitDep*capReg2Prod3UnitsSold</f>
        <v>111139920.19505827</v>
      </c>
      <c r="H473" s="11">
        <f>capProd3COGSPUnitDep*capReg2Prod3UnitsSold</f>
        <v>111139920.19505827</v>
      </c>
      <c r="I473" s="11">
        <f>capProd3COGSPUnitDep*capReg2Prod3UnitsSold</f>
        <v>111139920.19505827</v>
      </c>
      <c r="J473" t="s">
        <v>523</v>
      </c>
      <c r="K473" t="b">
        <f>MAX(E473:I473)=MIN(E473:I473)</f>
        <v>1</v>
      </c>
    </row>
    <row r="474" spans="2:11">
      <c r="C474" s="207"/>
      <c r="D474" s="207"/>
      <c r="E474" s="256"/>
      <c r="F474" s="256"/>
      <c r="G474" s="256"/>
      <c r="H474" s="256"/>
      <c r="I474" s="256"/>
      <c r="K474" t="b">
        <f t="shared" si="24"/>
        <v>1</v>
      </c>
    </row>
    <row r="475" spans="2:11">
      <c r="C475" s="2" t="str">
        <f>DataNameProd3 &amp; " Manufacturing Expense"</f>
        <v>NCB Manufacturing Expense</v>
      </c>
      <c r="D475" s="2"/>
      <c r="E475" s="17">
        <f ca="1">SUM(E470:E473)</f>
        <v>1204383373.3116179</v>
      </c>
      <c r="F475" s="17">
        <f ca="1">SUM(F470:F473)</f>
        <v>1204383373.3116179</v>
      </c>
      <c r="G475" s="17">
        <f ca="1">SUM(G470:G473)</f>
        <v>1204383373.3116179</v>
      </c>
      <c r="H475" s="17">
        <f ca="1">SUM(H470:H473)</f>
        <v>1204383373.3116179</v>
      </c>
      <c r="I475" s="17">
        <f ca="1">SUM(I470:I473)</f>
        <v>1204383373.3116179</v>
      </c>
      <c r="J475" t="s">
        <v>1637</v>
      </c>
      <c r="K475" t="b">
        <f t="shared" ca="1" si="24"/>
        <v>1</v>
      </c>
    </row>
    <row r="476" spans="2:11">
      <c r="C476" t="str">
        <f>DataNameProd3 &amp; " Royalties Expense"</f>
        <v>NCB Royalties Expense</v>
      </c>
      <c r="E476" s="11">
        <v>0</v>
      </c>
      <c r="F476" s="11">
        <v>0</v>
      </c>
      <c r="G476" s="11">
        <v>0</v>
      </c>
      <c r="H476" s="11">
        <v>0</v>
      </c>
      <c r="I476" s="11">
        <v>0</v>
      </c>
      <c r="J476" t="s">
        <v>2295</v>
      </c>
      <c r="K476" t="b">
        <f t="shared" si="24"/>
        <v>1</v>
      </c>
    </row>
    <row r="477" spans="2:11">
      <c r="C477" t="str">
        <f>DataNameProd3 &amp; " Speciality Brand Expense"</f>
        <v>NCB Speciality Brand Expense</v>
      </c>
      <c r="E477" s="11">
        <v>0</v>
      </c>
      <c r="F477" s="11">
        <v>0</v>
      </c>
      <c r="G477" s="11">
        <v>0</v>
      </c>
      <c r="H477" s="11">
        <v>0</v>
      </c>
      <c r="I477" s="11">
        <v>0</v>
      </c>
      <c r="K477" t="b">
        <f t="shared" si="24"/>
        <v>1</v>
      </c>
    </row>
    <row r="478" spans="2:11">
      <c r="C478" s="207"/>
      <c r="D478" s="207"/>
      <c r="E478" s="257"/>
      <c r="F478" s="257"/>
      <c r="G478" s="257"/>
      <c r="H478" s="257"/>
      <c r="I478" s="257"/>
      <c r="K478" t="b">
        <f t="shared" si="24"/>
        <v>1</v>
      </c>
    </row>
    <row r="479" spans="2:11">
      <c r="C479" s="2" t="str">
        <f>DataNameProd3 &amp; " COGS"</f>
        <v>NCB COGS</v>
      </c>
      <c r="D479" s="2"/>
      <c r="E479" s="17">
        <f ca="1">SUM(E475:E477)</f>
        <v>1204383373.3116179</v>
      </c>
      <c r="F479" s="17">
        <f ca="1">SUM(F475:F477)</f>
        <v>1204383373.3116179</v>
      </c>
      <c r="G479" s="17">
        <f ca="1">SUM(G475:G477)</f>
        <v>1204383373.3116179</v>
      </c>
      <c r="H479" s="17">
        <f ca="1">SUM(H475:H477)</f>
        <v>1204383373.3116179</v>
      </c>
      <c r="I479" s="17">
        <f ca="1">SUM(I475:I477)</f>
        <v>1204383373.3116179</v>
      </c>
      <c r="J479" t="s">
        <v>524</v>
      </c>
      <c r="K479" t="b">
        <f t="shared" ca="1" si="24"/>
        <v>1</v>
      </c>
    </row>
    <row r="480" spans="2:11">
      <c r="B480" s="2" t="s">
        <v>1223</v>
      </c>
      <c r="C480" s="3"/>
      <c r="D480" s="3"/>
      <c r="E480" s="3"/>
      <c r="F480" s="3"/>
      <c r="G480" s="3"/>
      <c r="H480" s="3"/>
      <c r="I480" s="3"/>
      <c r="K480" t="b">
        <f t="shared" si="24"/>
        <v>1</v>
      </c>
    </row>
    <row r="481" spans="1:11">
      <c r="C481" s="2" t="str">
        <f>DataNameProd3 &amp; " Gross Margin"</f>
        <v>NCB Gross Margin</v>
      </c>
      <c r="D481" s="2"/>
      <c r="E481" s="17">
        <f ca="1">E468-E479</f>
        <v>1080616626.6883821</v>
      </c>
      <c r="F481" s="17">
        <f ca="1">F468-F479</f>
        <v>1080616626.6883821</v>
      </c>
      <c r="G481" s="17">
        <f ca="1">G468-G479</f>
        <v>1080616626.6883821</v>
      </c>
      <c r="H481" s="17">
        <f ca="1">H468-H479</f>
        <v>1080616626.6883821</v>
      </c>
      <c r="I481" s="17">
        <f ca="1">I468-I479</f>
        <v>1080616626.6883821</v>
      </c>
      <c r="J481" t="s">
        <v>525</v>
      </c>
      <c r="K481" t="b">
        <f t="shared" ca="1" si="24"/>
        <v>1</v>
      </c>
    </row>
    <row r="482" spans="1:11">
      <c r="B482" s="2" t="s">
        <v>1309</v>
      </c>
      <c r="C482" s="3"/>
      <c r="D482" s="3"/>
      <c r="E482" s="3"/>
      <c r="F482" s="3"/>
      <c r="G482" s="3"/>
      <c r="H482" s="3"/>
      <c r="I482" s="3"/>
      <c r="K482" t="b">
        <f t="shared" si="24"/>
        <v>1</v>
      </c>
    </row>
    <row r="483" spans="1:11" ht="12.75">
      <c r="A483" s="22"/>
      <c r="C483" s="3" t="str">
        <f>DataNameProd3 &amp; " Advertising Expense"</f>
        <v>NCB Advertising Expense</v>
      </c>
      <c r="D483" s="3"/>
      <c r="E483" s="23">
        <f>capProd3AdvR2</f>
        <v>65000000</v>
      </c>
      <c r="F483" s="23">
        <f>capProd3AdvR2</f>
        <v>65000000</v>
      </c>
      <c r="G483" s="23">
        <f>capProd3AdvR2</f>
        <v>65000000</v>
      </c>
      <c r="H483" s="23">
        <f>capProd3AdvR2</f>
        <v>65000000</v>
      </c>
      <c r="I483" s="23">
        <f>capProd3AdvR2</f>
        <v>65000000</v>
      </c>
      <c r="J483" t="s">
        <v>526</v>
      </c>
      <c r="K483" t="b">
        <f t="shared" si="24"/>
        <v>1</v>
      </c>
    </row>
    <row r="484" spans="1:11">
      <c r="C484" s="3" t="str">
        <f>DataNameProd3 &amp; " Sales Force Expense"</f>
        <v>NCB Sales Force Expense</v>
      </c>
      <c r="D484" s="3"/>
      <c r="E484" s="85">
        <f>capProd3Emp2SalExp</f>
        <v>39818737.270875767</v>
      </c>
      <c r="F484" s="85">
        <f>capProd3Emp2SalExp</f>
        <v>39818737.270875767</v>
      </c>
      <c r="G484" s="85">
        <f>capProd3Emp2SalExp</f>
        <v>39818737.270875767</v>
      </c>
      <c r="H484" s="85">
        <f>capProd3Emp2SalExp</f>
        <v>39818737.270875767</v>
      </c>
      <c r="I484" s="85">
        <f>capProd3Emp2SalExp</f>
        <v>39818737.270875767</v>
      </c>
      <c r="J484" t="s">
        <v>1478</v>
      </c>
      <c r="K484" t="b">
        <f t="shared" si="24"/>
        <v>1</v>
      </c>
    </row>
    <row r="485" spans="1:11">
      <c r="B485" s="2"/>
      <c r="C485" s="264"/>
      <c r="D485" s="264"/>
      <c r="E485" s="264"/>
      <c r="F485" s="264"/>
      <c r="G485" s="264"/>
      <c r="H485" s="264"/>
      <c r="I485" s="264"/>
      <c r="K485" t="b">
        <f t="shared" si="24"/>
        <v>1</v>
      </c>
    </row>
    <row r="486" spans="1:11">
      <c r="A486" s="15"/>
      <c r="C486" s="2" t="str">
        <f>DataNameProd3 &amp; " Selling Expense"</f>
        <v>NCB Selling Expense</v>
      </c>
      <c r="D486" s="2"/>
      <c r="E486" s="17">
        <f>SUM(E483:E484)</f>
        <v>104818737.27087577</v>
      </c>
      <c r="F486" s="17">
        <f>SUM(F483:F484)</f>
        <v>104818737.27087577</v>
      </c>
      <c r="G486" s="17">
        <f>SUM(G483:G484)</f>
        <v>104818737.27087577</v>
      </c>
      <c r="H486" s="17">
        <f>SUM(H483:H484)</f>
        <v>104818737.27087577</v>
      </c>
      <c r="I486" s="17">
        <f>SUM(I483:I484)</f>
        <v>104818737.27087577</v>
      </c>
      <c r="K486" t="b">
        <f t="shared" si="24"/>
        <v>1</v>
      </c>
    </row>
    <row r="487" spans="1:11" ht="12.75">
      <c r="A487" s="22"/>
      <c r="C487" s="3" t="str">
        <f>DataNameProd3 &amp; " Inventory Handling Expense"</f>
        <v>NCB Inventory Handling Expense</v>
      </c>
      <c r="D487" s="3"/>
      <c r="E487" s="23">
        <f ca="1">paramProd3InventoryHndlgPct*(cbalReg2Prod3MatValue+cbalReg2Prod3WIPValue+cbalReg2Prod3FGValue)</f>
        <v>18338917.750034995</v>
      </c>
      <c r="F487" s="23">
        <f ca="1">paramProd3InventoryHndlgPct*(cbalReg2Prod3MatValue+cbalReg2Prod3WIPValue+cbalReg2Prod3FGValue)</f>
        <v>18338917.750034995</v>
      </c>
      <c r="G487" s="23">
        <f ca="1">paramProd3InventoryHndlgPct*(cbalReg2Prod3MatValue+cbalReg2Prod3WIPValue+cbalReg2Prod3FGValue)</f>
        <v>18338917.750034995</v>
      </c>
      <c r="H487" s="23">
        <f ca="1">paramProd3InventoryHndlgPct*(cbalReg2Prod3MatValue+cbalReg2Prod3WIPValue+cbalReg2Prod3FGValue)</f>
        <v>18338917.750034995</v>
      </c>
      <c r="I487" s="23">
        <f ca="1">paramProd3InventoryHndlgPct*(cbalReg2Prod3MatValue+cbalReg2Prod3WIPValue+cbalReg2Prod3FGValue)</f>
        <v>18338917.750034995</v>
      </c>
      <c r="J487" t="s">
        <v>528</v>
      </c>
      <c r="K487" t="b">
        <f t="shared" ca="1" si="24"/>
        <v>1</v>
      </c>
    </row>
    <row r="488" spans="1:11">
      <c r="C488" s="3" t="str">
        <f>DataNameProd3 &amp; " Distribution Expense"</f>
        <v>NCB Distribution Expense</v>
      </c>
      <c r="D488" s="3"/>
      <c r="E488" s="85">
        <f>paramReg2Prod3DistCostPUnit*capReg2Prod3UnitsSold</f>
        <v>262228100.90399998</v>
      </c>
      <c r="F488" s="85">
        <f>paramReg2Prod3DistCostPUnit*capReg2Prod3UnitsSold</f>
        <v>262228100.90399998</v>
      </c>
      <c r="G488" s="85">
        <f>paramReg2Prod3DistCostPUnit*capReg2Prod3UnitsSold</f>
        <v>262228100.90399998</v>
      </c>
      <c r="H488" s="85">
        <f>paramReg2Prod3DistCostPUnit*capReg2Prod3UnitsSold</f>
        <v>262228100.90399998</v>
      </c>
      <c r="I488" s="85">
        <f>paramReg2Prod3DistCostPUnit*capReg2Prod3UnitsSold</f>
        <v>262228100.90399998</v>
      </c>
      <c r="J488" t="s">
        <v>584</v>
      </c>
      <c r="K488" t="b">
        <f t="shared" si="24"/>
        <v>1</v>
      </c>
    </row>
    <row r="489" spans="1:11">
      <c r="C489" s="264"/>
      <c r="D489" s="264"/>
      <c r="E489" s="264"/>
      <c r="F489" s="264"/>
      <c r="G489" s="264"/>
      <c r="H489" s="264"/>
      <c r="I489" s="264"/>
      <c r="K489" t="b">
        <f t="shared" si="24"/>
        <v>1</v>
      </c>
    </row>
    <row r="490" spans="1:11">
      <c r="C490" s="2" t="str">
        <f>DataNameProd3 &amp; " General Expense"</f>
        <v>NCB General Expense</v>
      </c>
      <c r="D490" s="2"/>
      <c r="E490" s="17">
        <f ca="1">SUM(E487:E488)</f>
        <v>280567018.65403497</v>
      </c>
      <c r="F490" s="17">
        <f ca="1">SUM(F487:F488)</f>
        <v>280567018.65403497</v>
      </c>
      <c r="G490" s="17">
        <f ca="1">SUM(G487:G488)</f>
        <v>280567018.65403497</v>
      </c>
      <c r="H490" s="17">
        <f ca="1">SUM(H487:H488)</f>
        <v>280567018.65403497</v>
      </c>
      <c r="I490" s="17">
        <f ca="1">SUM(I487:I488)</f>
        <v>280567018.65403497</v>
      </c>
      <c r="K490" t="b">
        <f t="shared" ca="1" si="24"/>
        <v>1</v>
      </c>
    </row>
    <row r="491" spans="1:11">
      <c r="C491" s="3" t="str">
        <f>DataNameProd3 &amp; " Employe Admin Expense"</f>
        <v>NCB Employe Admin Expense</v>
      </c>
      <c r="D491" s="3"/>
      <c r="E491" s="11">
        <f>capProd3Emp2AdminExp+capReg2Prod3Emp3AdminExp</f>
        <v>25737959.877061605</v>
      </c>
      <c r="F491" s="11">
        <f>capProd3Emp2AdminExp+capReg2Prod3Emp3AdminExp</f>
        <v>25737959.877061605</v>
      </c>
      <c r="G491" s="11">
        <f>capProd3Emp2AdminExp+capReg2Prod3Emp3AdminExp</f>
        <v>25737959.877061605</v>
      </c>
      <c r="H491" s="11">
        <f>capProd3Emp2AdminExp+capReg2Prod3Emp3AdminExp</f>
        <v>25737959.877061605</v>
      </c>
      <c r="I491" s="11">
        <f>capProd3Emp2AdminExp+capReg2Prod3Emp3AdminExp</f>
        <v>25737959.877061605</v>
      </c>
      <c r="J491" t="s">
        <v>720</v>
      </c>
      <c r="K491" t="b">
        <f t="shared" si="24"/>
        <v>1</v>
      </c>
    </row>
    <row r="492" spans="1:11">
      <c r="C492" s="3" t="str">
        <f>DataNameProd3 &amp; " Recruit/ Dismisall Expense"</f>
        <v>NCB Recruit/ Dismisall Expense</v>
      </c>
      <c r="D492" s="3"/>
      <c r="E492" s="11">
        <f>capProd3Emp2RecDismExp+capReg2Prod3Emp3RecDismExp</f>
        <v>2349822.0614004023</v>
      </c>
      <c r="F492" s="11">
        <f>capProd3Emp2RecDismExp+capReg2Prod3Emp3RecDismExp</f>
        <v>2349822.0614004023</v>
      </c>
      <c r="G492" s="11">
        <f>capProd3Emp2RecDismExp+capReg2Prod3Emp3RecDismExp</f>
        <v>2349822.0614004023</v>
      </c>
      <c r="H492" s="11">
        <f>capProd3Emp2RecDismExp+capReg2Prod3Emp3RecDismExp</f>
        <v>2349822.0614004023</v>
      </c>
      <c r="I492" s="11">
        <f>capProd3Emp2RecDismExp+capReg2Prod3Emp3RecDismExp</f>
        <v>2349822.0614004023</v>
      </c>
      <c r="J492" t="s">
        <v>721</v>
      </c>
      <c r="K492" t="b">
        <f t="shared" si="24"/>
        <v>1</v>
      </c>
    </row>
    <row r="493" spans="1:11">
      <c r="C493" s="3" t="str">
        <f>DataNameProd3 &amp; " Fixed Admin Expense"</f>
        <v>NCB Fixed Admin Expense</v>
      </c>
      <c r="D493" s="3"/>
      <c r="E493" s="23">
        <f>paramProd3FixedAdmin</f>
        <v>120363008</v>
      </c>
      <c r="F493" s="23">
        <f>paramProd3FixedAdmin</f>
        <v>120363008</v>
      </c>
      <c r="G493" s="23">
        <f>paramProd3FixedAdmin</f>
        <v>120363008</v>
      </c>
      <c r="H493" s="23">
        <f>paramProd3FixedAdmin</f>
        <v>120363008</v>
      </c>
      <c r="I493" s="23">
        <f>paramProd3FixedAdmin</f>
        <v>120363008</v>
      </c>
      <c r="J493" t="s">
        <v>722</v>
      </c>
      <c r="K493" t="b">
        <f t="shared" si="24"/>
        <v>1</v>
      </c>
    </row>
    <row r="494" spans="1:11">
      <c r="C494" s="264"/>
      <c r="D494" s="264"/>
      <c r="E494" s="264"/>
      <c r="F494" s="264"/>
      <c r="G494" s="264"/>
      <c r="H494" s="264"/>
      <c r="I494" s="264"/>
      <c r="K494" t="b">
        <f t="shared" si="24"/>
        <v>1</v>
      </c>
    </row>
    <row r="495" spans="1:11">
      <c r="C495" s="2" t="str">
        <f>DataNameProd3 &amp; " Administration Expense"</f>
        <v>NCB Administration Expense</v>
      </c>
      <c r="D495" s="2"/>
      <c r="E495" s="17">
        <f>SUM(E491:E493)</f>
        <v>148450789.93846202</v>
      </c>
      <c r="F495" s="17">
        <f>SUM(F491:F493)</f>
        <v>148450789.93846202</v>
      </c>
      <c r="G495" s="17">
        <f>SUM(G491:G493)</f>
        <v>148450789.93846202</v>
      </c>
      <c r="H495" s="17">
        <f>SUM(H491:H493)</f>
        <v>148450789.93846202</v>
      </c>
      <c r="I495" s="17">
        <f>SUM(I491:I493)</f>
        <v>148450789.93846202</v>
      </c>
      <c r="K495" t="b">
        <f t="shared" si="24"/>
        <v>1</v>
      </c>
    </row>
    <row r="496" spans="1:11" ht="12" thickBot="1">
      <c r="C496" s="2" t="str">
        <f>DataNameProd3 &amp; " SGA Expense"</f>
        <v>NCB SGA Expense</v>
      </c>
      <c r="D496" s="2"/>
      <c r="E496" s="17">
        <f ca="1">E486+E490+E495</f>
        <v>533836545.86337274</v>
      </c>
      <c r="F496" s="17">
        <f ca="1">F486+F490+F495</f>
        <v>533836545.86337274</v>
      </c>
      <c r="G496" s="17">
        <f ca="1">G486+G490+G495</f>
        <v>533836545.86337274</v>
      </c>
      <c r="H496" s="17">
        <f ca="1">H486+H490+H495</f>
        <v>533836545.86337274</v>
      </c>
      <c r="I496" s="17">
        <f ca="1">I486+I490+I495</f>
        <v>533836545.86337274</v>
      </c>
      <c r="J496" t="s">
        <v>1435</v>
      </c>
      <c r="K496" t="b">
        <f t="shared" ca="1" si="24"/>
        <v>1</v>
      </c>
    </row>
    <row r="497" spans="1:12" ht="12.75">
      <c r="A497" s="1345"/>
      <c r="B497" s="1346" t="s">
        <v>2966</v>
      </c>
      <c r="C497" s="1347"/>
      <c r="D497" s="1347"/>
      <c r="E497" s="1347"/>
      <c r="F497" s="1347"/>
      <c r="G497" s="1347"/>
      <c r="H497" s="1347"/>
      <c r="I497" s="1347"/>
      <c r="J497" s="1348"/>
      <c r="K497" s="1348" t="b">
        <f t="shared" si="24"/>
        <v>1</v>
      </c>
      <c r="L497" s="1349"/>
    </row>
    <row r="498" spans="1:12">
      <c r="A498" s="1350"/>
      <c r="B498" s="1351"/>
      <c r="C498" s="1351" t="str">
        <f>DataNameProd3 &amp; " Family Brand R&amp;D"</f>
        <v>NCB Family Brand R&amp;D</v>
      </c>
      <c r="D498" s="1351"/>
      <c r="E498" s="1352">
        <v>0</v>
      </c>
      <c r="F498" s="1352">
        <v>0</v>
      </c>
      <c r="G498" s="1352">
        <v>0</v>
      </c>
      <c r="H498" s="1352">
        <v>0</v>
      </c>
      <c r="I498" s="1352">
        <v>0</v>
      </c>
      <c r="J498" s="1351" t="s">
        <v>745</v>
      </c>
      <c r="K498" s="1351" t="b">
        <f t="shared" si="24"/>
        <v>1</v>
      </c>
      <c r="L498" s="1353"/>
    </row>
    <row r="499" spans="1:12">
      <c r="A499" s="1350"/>
      <c r="B499" s="1351"/>
      <c r="C499" s="1351" t="str">
        <f>DataNameProd3 &amp; " Partner Brand R&amp;D"</f>
        <v>NCB Partner Brand R&amp;D</v>
      </c>
      <c r="D499" s="1351"/>
      <c r="E499" s="1352">
        <v>0</v>
      </c>
      <c r="F499" s="1352">
        <v>0</v>
      </c>
      <c r="G499" s="1352">
        <v>0</v>
      </c>
      <c r="H499" s="1352">
        <v>0</v>
      </c>
      <c r="I499" s="1352">
        <v>0</v>
      </c>
      <c r="J499" s="1351" t="s">
        <v>746</v>
      </c>
      <c r="K499" s="1351" t="b">
        <f t="shared" si="24"/>
        <v>1</v>
      </c>
      <c r="L499" s="1353" t="s">
        <v>172</v>
      </c>
    </row>
    <row r="500" spans="1:12">
      <c r="A500" s="1350"/>
      <c r="B500" s="1351"/>
      <c r="C500" s="1351" t="str">
        <f>DataNameProd3 &amp; " Portfolio Development"</f>
        <v>NCB Portfolio Development</v>
      </c>
      <c r="D500" s="1351"/>
      <c r="E500" s="1352">
        <f>(capProd3Reg2Units/(capProd3Reg2Units+capProd3Reg2Units))*paramProd3RDFtr4Cost*MAX(0.5,cbalProd3Ftr4Level-obalProd3Ftr4Level)</f>
        <v>500000</v>
      </c>
      <c r="F500" s="1352">
        <f>(capProd3Reg2Units/(capProd3Reg2Units+capProd3Reg2Units))*paramProd3RDFtr4Cost*MAX(0.5,cbalProd3Ftr4Level-obalProd3Ftr4Level)</f>
        <v>500000</v>
      </c>
      <c r="G500" s="1352">
        <f>(capProd3Reg2Units/(capProd3Reg2Units+capProd3Reg2Units))*paramProd3RDFtr4Cost*MAX(0.5,cbalProd3Ftr4Level-obalProd3Ftr4Level)</f>
        <v>500000</v>
      </c>
      <c r="H500" s="1352">
        <f>(capProd3Reg2Units/(capProd3Reg2Units+capProd3Reg2Units))*paramProd3RDFtr4Cost*MAX(0.5,cbalProd3Ftr4Level-obalProd3Ftr4Level)</f>
        <v>500000</v>
      </c>
      <c r="I500" s="1352">
        <f>(capProd3Reg2Units/(capProd3Reg2Units+capProd3Reg2Units))*paramProd3RDFtr4Cost*MAX(0.5,cbalProd3Ftr4Level-obalProd3Ftr4Level)</f>
        <v>500000</v>
      </c>
      <c r="J500" s="1351" t="s">
        <v>747</v>
      </c>
      <c r="K500" s="1351" t="b">
        <f t="shared" si="24"/>
        <v>1</v>
      </c>
      <c r="L500" s="1353" t="s">
        <v>1894</v>
      </c>
    </row>
    <row r="501" spans="1:12">
      <c r="A501" s="1350"/>
      <c r="B501" s="1351"/>
      <c r="C501" s="1351" t="str">
        <f>DataNameProd3 &amp; " Long Term R&amp;D"</f>
        <v>NCB Long Term R&amp;D</v>
      </c>
      <c r="D501" s="1351"/>
      <c r="E501" s="1354">
        <v>7000000</v>
      </c>
      <c r="F501" s="1354">
        <v>7000000</v>
      </c>
      <c r="G501" s="1354">
        <v>7000000</v>
      </c>
      <c r="H501" s="1354">
        <v>7000000</v>
      </c>
      <c r="I501" s="1354">
        <v>7000000</v>
      </c>
      <c r="J501" s="1351" t="s">
        <v>3696</v>
      </c>
      <c r="K501" s="1351" t="b">
        <f t="shared" ref="K501:K562" si="30">MAX(E501:I501)=MIN(E501:I501)</f>
        <v>1</v>
      </c>
      <c r="L501" s="1353"/>
    </row>
    <row r="502" spans="1:12" ht="12.75">
      <c r="A502" s="1355"/>
      <c r="B502" s="1356"/>
      <c r="C502" s="1357"/>
      <c r="D502" s="1357"/>
      <c r="E502" s="1357"/>
      <c r="F502" s="1357"/>
      <c r="G502" s="1357"/>
      <c r="H502" s="1357"/>
      <c r="I502" s="1357"/>
      <c r="J502" s="1351"/>
      <c r="K502" s="1351" t="b">
        <f t="shared" si="30"/>
        <v>1</v>
      </c>
      <c r="L502" s="1353"/>
    </row>
    <row r="503" spans="1:12" ht="12" thickBot="1">
      <c r="A503" s="1358"/>
      <c r="B503" s="1359"/>
      <c r="C503" s="1360" t="str">
        <f>DataNameProd3 &amp; " R&amp;D Expense"</f>
        <v>NCB R&amp;D Expense</v>
      </c>
      <c r="D503" s="1360"/>
      <c r="E503" s="1361">
        <f>SUM(E498:E501)</f>
        <v>7500000</v>
      </c>
      <c r="F503" s="1361">
        <f>SUM(F498:F501)</f>
        <v>7500000</v>
      </c>
      <c r="G503" s="1361">
        <f>SUM(G498:G501)</f>
        <v>7500000</v>
      </c>
      <c r="H503" s="1361">
        <f>SUM(H498:H501)</f>
        <v>7500000</v>
      </c>
      <c r="I503" s="1361">
        <f>SUM(I498:I501)</f>
        <v>7500000</v>
      </c>
      <c r="J503" s="1359" t="s">
        <v>1436</v>
      </c>
      <c r="K503" s="1359" t="b">
        <f t="shared" si="30"/>
        <v>1</v>
      </c>
      <c r="L503" s="1362"/>
    </row>
    <row r="504" spans="1:12">
      <c r="B504" s="2" t="s">
        <v>2465</v>
      </c>
      <c r="K504" t="b">
        <f t="shared" si="30"/>
        <v>1</v>
      </c>
    </row>
    <row r="505" spans="1:12">
      <c r="B505" s="2"/>
      <c r="C505" t="str">
        <f>DataNameProd3 &amp; " Inefficiency Expense"</f>
        <v>NCB Inefficiency Expense</v>
      </c>
      <c r="K505" t="b">
        <f t="shared" si="30"/>
        <v>1</v>
      </c>
    </row>
    <row r="506" spans="1:12">
      <c r="B506" s="2"/>
      <c r="C506" t="str">
        <f>DataNameProd3 &amp; " Excess Capacity Expense"</f>
        <v>NCB Excess Capacity Expense</v>
      </c>
      <c r="K506" t="b">
        <f t="shared" si="30"/>
        <v>1</v>
      </c>
    </row>
    <row r="507" spans="1:12">
      <c r="C507" t="str">
        <f>DataNameProd3 &amp; " Disposal Expense"</f>
        <v>NCB Disposal Expense</v>
      </c>
      <c r="E507" s="11">
        <f ca="1">(capReg2Prod3UnitsFGEnd-capReg2Prod3UnitsFGCbal)*capReg2Prod3COGSPUnitUMC*paramReg2Prod3DispCostPct</f>
        <v>26565769.104291297</v>
      </c>
      <c r="F507" s="11">
        <f ca="1">(capReg2Prod3UnitsFGEnd-capReg2Prod3UnitsFGCbal)*capReg2Prod3COGSPUnitUMC*paramReg2Prod3DispCostPct</f>
        <v>26565769.104291297</v>
      </c>
      <c r="G507" s="11">
        <f ca="1">(capReg2Prod3UnitsFGEnd-capReg2Prod3UnitsFGCbal)*capReg2Prod3COGSPUnitUMC*paramReg2Prod3DispCostPct</f>
        <v>26565769.104291297</v>
      </c>
      <c r="H507" s="11">
        <f ca="1">(capReg2Prod3UnitsFGEnd-capReg2Prod3UnitsFGCbal)*capReg2Prod3COGSPUnitUMC*paramReg2Prod3DispCostPct</f>
        <v>26565769.104291297</v>
      </c>
      <c r="I507" s="11">
        <f ca="1">(capReg2Prod3UnitsFGEnd-capReg2Prod3UnitsFGCbal)*capReg2Prod3COGSPUnitUMC*paramReg2Prod3DispCostPct</f>
        <v>26565769.104291297</v>
      </c>
      <c r="J507" t="s">
        <v>70</v>
      </c>
      <c r="K507" t="b">
        <f t="shared" ca="1" si="30"/>
        <v>1</v>
      </c>
    </row>
    <row r="508" spans="1:12">
      <c r="C508" t="str">
        <f>DataNameProd3 &amp; " Special Programs Expense"</f>
        <v>NCB Special Programs Expense</v>
      </c>
      <c r="E508" s="398">
        <f ca="1">paramSpecProgReg2Prod3Exp</f>
        <v>0</v>
      </c>
      <c r="F508" s="398">
        <f ca="1">paramSpecProgReg2Prod3Exp</f>
        <v>0</v>
      </c>
      <c r="G508" s="398">
        <f ca="1">paramSpecProgReg2Prod3Exp</f>
        <v>0</v>
      </c>
      <c r="H508" s="398">
        <f ca="1">paramSpecProgReg2Prod3Exp</f>
        <v>0</v>
      </c>
      <c r="I508" s="398">
        <f ca="1">paramSpecProgReg2Prod3Exp</f>
        <v>0</v>
      </c>
      <c r="J508" t="s">
        <v>2112</v>
      </c>
      <c r="K508" t="b">
        <f t="shared" ca="1" si="30"/>
        <v>1</v>
      </c>
    </row>
    <row r="509" spans="1:12">
      <c r="C509" s="207"/>
      <c r="D509" s="207"/>
      <c r="E509" s="207"/>
      <c r="F509" s="207"/>
      <c r="G509" s="207"/>
      <c r="H509" s="207"/>
      <c r="I509" s="207"/>
      <c r="K509" t="b">
        <f t="shared" si="30"/>
        <v>1</v>
      </c>
    </row>
    <row r="510" spans="1:12">
      <c r="C510" s="2" t="str">
        <f>DataNameProd3 &amp; " Other Op Expense"</f>
        <v>NCB Other Op Expense</v>
      </c>
      <c r="E510" s="13">
        <f ca="1">SUM(E505:E508)</f>
        <v>26565769.104291297</v>
      </c>
      <c r="F510" s="13">
        <f ca="1">SUM(F505:F508)</f>
        <v>26565769.104291297</v>
      </c>
      <c r="G510" s="13">
        <f ca="1">SUM(G505:G508)</f>
        <v>26565769.104291297</v>
      </c>
      <c r="H510" s="13">
        <f ca="1">SUM(H505:H508)</f>
        <v>26565769.104291297</v>
      </c>
      <c r="I510" s="13">
        <f ca="1">SUM(I505:I508)</f>
        <v>26565769.104291297</v>
      </c>
      <c r="J510" s="3" t="s">
        <v>1437</v>
      </c>
      <c r="K510" t="b">
        <f t="shared" ca="1" si="30"/>
        <v>1</v>
      </c>
    </row>
    <row r="511" spans="1:12">
      <c r="A511" s="2"/>
      <c r="B511" s="2" t="s">
        <v>894</v>
      </c>
      <c r="C511" s="2"/>
      <c r="E511" s="13"/>
      <c r="F511" s="13"/>
      <c r="G511" s="13"/>
      <c r="H511" s="13"/>
      <c r="I511" s="13"/>
      <c r="J511" s="3"/>
      <c r="K511" t="b">
        <f t="shared" si="30"/>
        <v>1</v>
      </c>
    </row>
    <row r="512" spans="1:12">
      <c r="C512" t="str">
        <f>DataNameProd3 &amp; " Operating Expense"</f>
        <v>NCB Operating Expense</v>
      </c>
      <c r="E512" s="11">
        <f ca="1">E496+E510</f>
        <v>560402314.967664</v>
      </c>
      <c r="F512" s="11">
        <f ca="1">F496+F510</f>
        <v>560402314.967664</v>
      </c>
      <c r="G512" s="11">
        <f ca="1">G496+G510</f>
        <v>560402314.967664</v>
      </c>
      <c r="H512" s="11">
        <f ca="1">H496+H510</f>
        <v>560402314.967664</v>
      </c>
      <c r="I512" s="11">
        <f ca="1">I496+I510</f>
        <v>560402314.967664</v>
      </c>
      <c r="K512" t="b">
        <f t="shared" ca="1" si="30"/>
        <v>1</v>
      </c>
    </row>
    <row r="513" spans="1:11">
      <c r="B513" s="2" t="str">
        <f>DataNameProd3 &amp; " Operating Margin"</f>
        <v>NCB Operating Margin</v>
      </c>
      <c r="E513" s="17">
        <f ca="1">E481-E512</f>
        <v>520214311.72071815</v>
      </c>
      <c r="F513" s="17">
        <f ca="1">F481-F512</f>
        <v>520214311.72071815</v>
      </c>
      <c r="G513" s="17">
        <f ca="1">G481-G512</f>
        <v>520214311.72071815</v>
      </c>
      <c r="H513" s="17">
        <f ca="1">H481-H512</f>
        <v>520214311.72071815</v>
      </c>
      <c r="I513" s="17">
        <f ca="1">I481-I512</f>
        <v>520214311.72071815</v>
      </c>
      <c r="J513" t="s">
        <v>1438</v>
      </c>
      <c r="K513" t="b">
        <f t="shared" ca="1" si="30"/>
        <v>1</v>
      </c>
    </row>
    <row r="514" spans="1:11">
      <c r="A514" s="2"/>
      <c r="C514" s="2"/>
      <c r="E514" s="426"/>
      <c r="F514" s="13"/>
      <c r="G514" s="13"/>
      <c r="H514" s="13"/>
      <c r="I514" s="13"/>
      <c r="J514" s="3"/>
      <c r="K514" t="b">
        <f t="shared" si="30"/>
        <v>1</v>
      </c>
    </row>
    <row r="515" spans="1:11" ht="12.75">
      <c r="A515" s="22" t="str">
        <f>DataNameProd4</f>
        <v>F&amp;S</v>
      </c>
      <c r="K515" t="b">
        <f t="shared" si="30"/>
        <v>1</v>
      </c>
    </row>
    <row r="516" spans="1:11">
      <c r="B516" s="2" t="s">
        <v>3754</v>
      </c>
      <c r="K516" t="b">
        <f t="shared" si="30"/>
        <v>1</v>
      </c>
    </row>
    <row r="517" spans="1:11">
      <c r="C517" s="3" t="str">
        <f>DataNameProd4 &amp; " Revenues"</f>
        <v>F&amp;S Revenues</v>
      </c>
      <c r="D517" s="3"/>
      <c r="E517" s="85">
        <f>capReg2Prod4UnitsSold*capProd4Reg2Price</f>
        <v>2025000000</v>
      </c>
      <c r="F517" s="85">
        <f>capReg2Prod4UnitsSold*capProd4Reg2Price</f>
        <v>2025000000</v>
      </c>
      <c r="G517" s="85">
        <f>capReg2Prod4UnitsSold*capProd4Reg2Price</f>
        <v>2025000000</v>
      </c>
      <c r="H517" s="85">
        <f>capReg2Prod4UnitsSold*capProd4Reg2Price</f>
        <v>2025000000</v>
      </c>
      <c r="I517" s="85">
        <f>capReg2Prod4UnitsSold*capProd4Reg2Price</f>
        <v>2025000000</v>
      </c>
      <c r="J517" t="s">
        <v>1439</v>
      </c>
      <c r="K517" t="b">
        <f t="shared" si="30"/>
        <v>1</v>
      </c>
    </row>
    <row r="518" spans="1:11">
      <c r="C518" s="3" t="str">
        <f>DataNameProd4 &amp; " Promotional Expense"</f>
        <v>F&amp;S Promotional Expense</v>
      </c>
      <c r="D518" s="3"/>
      <c r="E518" s="23">
        <f>capProd4PromoR2</f>
        <v>95000000</v>
      </c>
      <c r="F518" s="23">
        <f>capProd4PromoR2</f>
        <v>95000000</v>
      </c>
      <c r="G518" s="23">
        <f>capProd4PromoR2</f>
        <v>95000000</v>
      </c>
      <c r="H518" s="23">
        <f>capProd4PromoR2</f>
        <v>95000000</v>
      </c>
      <c r="I518" s="23">
        <f>capProd4PromoR2</f>
        <v>95000000</v>
      </c>
      <c r="J518" t="s">
        <v>3383</v>
      </c>
      <c r="K518" t="b">
        <f t="shared" si="30"/>
        <v>1</v>
      </c>
    </row>
    <row r="519" spans="1:11">
      <c r="C519" s="2" t="str">
        <f>DataNameProd4 &amp; " Net Revenues"</f>
        <v>F&amp;S Net Revenues</v>
      </c>
      <c r="D519" s="2"/>
      <c r="E519" s="13">
        <f>E517-E518</f>
        <v>1930000000</v>
      </c>
      <c r="F519" s="13">
        <f>F517-F518</f>
        <v>1930000000</v>
      </c>
      <c r="G519" s="13">
        <f>G517-G518</f>
        <v>1930000000</v>
      </c>
      <c r="H519" s="13">
        <f>H517-H518</f>
        <v>1930000000</v>
      </c>
      <c r="I519" s="13">
        <f>I517-I518</f>
        <v>1930000000</v>
      </c>
      <c r="J519" t="s">
        <v>823</v>
      </c>
      <c r="K519" t="b">
        <f t="shared" si="30"/>
        <v>1</v>
      </c>
    </row>
    <row r="520" spans="1:11">
      <c r="B520" s="2" t="s">
        <v>3640</v>
      </c>
      <c r="K520" t="b">
        <f t="shared" si="30"/>
        <v>1</v>
      </c>
    </row>
    <row r="521" spans="1:11">
      <c r="C521" t="str">
        <f>DataNameProd4 &amp; " Material Expense"</f>
        <v>F&amp;S Material Expense</v>
      </c>
      <c r="E521" s="14">
        <f>(capReg2Prod4UnitsSoldNewProd-capReg2Prod4UnitsWiPUsed/2)*capProd4COGSPUnitMat+(capReg2Prod4UnitsSoldFG+capReg2Prod4UnitsWiPUsed/2)*obalProd4COGSPUnitMat</f>
        <v>745813474.6500001</v>
      </c>
      <c r="F521" s="14">
        <f>(capReg2Prod4UnitsSoldNewProd-capReg2Prod4UnitsWiPUsed/2)*capProd4COGSPUnitMat+(capReg2Prod4UnitsSoldFG+capReg2Prod4UnitsWiPUsed/2)*obalProd4COGSPUnitMat</f>
        <v>745813474.6500001</v>
      </c>
      <c r="G521" s="14">
        <f>(capReg2Prod4UnitsSoldNewProd-capReg2Prod4UnitsWiPUsed/2)*capProd4COGSPUnitMat+(capReg2Prod4UnitsSoldFG+capReg2Prod4UnitsWiPUsed/2)*obalProd4COGSPUnitMat</f>
        <v>745813474.6500001</v>
      </c>
      <c r="H521" s="14">
        <f>(capReg2Prod4UnitsSoldNewProd-capReg2Prod4UnitsWiPUsed/2)*capProd4COGSPUnitMat+(capReg2Prod4UnitsSoldFG+capReg2Prod4UnitsWiPUsed/2)*obalProd4COGSPUnitMat</f>
        <v>745813474.6500001</v>
      </c>
      <c r="I521" s="14">
        <f>(capReg2Prod4UnitsSoldNewProd-capReg2Prod4UnitsWiPUsed/2)*capProd4COGSPUnitMat+(capReg2Prod4UnitsSoldFG+capReg2Prod4UnitsWiPUsed/2)*obalProd4COGSPUnitMat</f>
        <v>745813474.6500001</v>
      </c>
      <c r="J521" t="s">
        <v>816</v>
      </c>
      <c r="K521" t="b">
        <f t="shared" si="30"/>
        <v>1</v>
      </c>
    </row>
    <row r="522" spans="1:11">
      <c r="C522" t="str">
        <f>DataNameProd4 &amp; " Labor Expense"</f>
        <v>F&amp;S Labor Expense</v>
      </c>
      <c r="E522" s="11">
        <f>(capReg2Prod4UnitsSoldNewProd-capReg2Prod4UnitsWiPUsed/2)*capReg2Prod4CostPUnitEmp3+(capReg2Prod4UnitsSoldFG+capReg2Prod4UnitsWiPUsed/2)*obalReg2Prod4COGSPUnitLabor</f>
        <v>94328650.606571242</v>
      </c>
      <c r="F522" s="11">
        <f>(capReg2Prod4UnitsSoldNewProd-capReg2Prod4UnitsWiPUsed/2)*capReg2Prod4CostPUnitEmp3+(capReg2Prod4UnitsSoldFG+capReg2Prod4UnitsWiPUsed/2)*obalReg2Prod4COGSPUnitLabor</f>
        <v>94328650.606571242</v>
      </c>
      <c r="G522" s="11">
        <f>(capReg2Prod4UnitsSoldNewProd-capReg2Prod4UnitsWiPUsed/2)*capReg2Prod4CostPUnitEmp3+(capReg2Prod4UnitsSoldFG+capReg2Prod4UnitsWiPUsed/2)*obalReg2Prod4COGSPUnitLabor</f>
        <v>94328650.606571242</v>
      </c>
      <c r="H522" s="11">
        <f>(capReg2Prod4UnitsSoldNewProd-capReg2Prod4UnitsWiPUsed/2)*capReg2Prod4CostPUnitEmp3+(capReg2Prod4UnitsSoldFG+capReg2Prod4UnitsWiPUsed/2)*obalReg2Prod4COGSPUnitLabor</f>
        <v>94328650.606571242</v>
      </c>
      <c r="I522" s="11">
        <f>(capReg2Prod4UnitsSoldNewProd-capReg2Prod4UnitsWiPUsed/2)*capReg2Prod4CostPUnitEmp3+(capReg2Prod4UnitsSoldFG+capReg2Prod4UnitsWiPUsed/2)*obalReg2Prod4COGSPUnitLabor</f>
        <v>94328650.606571242</v>
      </c>
      <c r="J522" t="s">
        <v>2276</v>
      </c>
      <c r="K522" t="b">
        <f t="shared" si="30"/>
        <v>1</v>
      </c>
    </row>
    <row r="523" spans="1:11">
      <c r="C523" t="str">
        <f>DataNameProd4 &amp; " Machinery Expense"</f>
        <v>F&amp;S Machinery Expense</v>
      </c>
      <c r="E523" s="14">
        <f ca="1">(capReg2Prod4UnitsSoldNewProd-capReg2Prod4UnitsWiPUsed/2)*capProd4COGSPUnitPlant1+(capReg2Prod4UnitsSoldFG+capReg2Prod4UnitsWiPUsed/2)*obalProd4COGSPUnitPlant</f>
        <v>352939.60402397992</v>
      </c>
      <c r="F523" s="14">
        <f ca="1">(capReg2Prod4UnitsSoldNewProd-capReg2Prod4UnitsWiPUsed/2)*capProd4COGSPUnitPlant1+(capReg2Prod4UnitsSoldFG+capReg2Prod4UnitsWiPUsed/2)*obalProd4COGSPUnitPlant</f>
        <v>352939.60402397992</v>
      </c>
      <c r="G523" s="14">
        <f ca="1">(capReg2Prod4UnitsSoldNewProd-capReg2Prod4UnitsWiPUsed/2)*capProd4COGSPUnitPlant1+(capReg2Prod4UnitsSoldFG+capReg2Prod4UnitsWiPUsed/2)*obalProd4COGSPUnitPlant</f>
        <v>352939.60402397992</v>
      </c>
      <c r="H523" s="14">
        <f ca="1">(capReg2Prod4UnitsSoldNewProd-capReg2Prod4UnitsWiPUsed/2)*capProd4COGSPUnitPlant1+(capReg2Prod4UnitsSoldFG+capReg2Prod4UnitsWiPUsed/2)*obalProd4COGSPUnitPlant</f>
        <v>352939.60402397992</v>
      </c>
      <c r="I523" s="14">
        <f ca="1">(capReg2Prod4UnitsSoldNewProd-capReg2Prod4UnitsWiPUsed/2)*capProd4COGSPUnitPlant1+(capReg2Prod4UnitsSoldFG+capReg2Prod4UnitsWiPUsed/2)*obalProd4COGSPUnitPlant</f>
        <v>352939.60402397992</v>
      </c>
      <c r="J523" t="s">
        <v>1917</v>
      </c>
      <c r="K523" t="b">
        <f t="shared" ca="1" si="30"/>
        <v>1</v>
      </c>
    </row>
    <row r="524" spans="1:11">
      <c r="C524" t="str">
        <f>DataNameProd4 &amp; " Depreciation Expense"</f>
        <v>F&amp;S Depreciation Expense</v>
      </c>
      <c r="E524" s="11">
        <f>capProd4COGSPUnitDep*capReg2Prod4UnitsSold</f>
        <v>88181810.606694251</v>
      </c>
      <c r="F524" s="11">
        <f>capProd4COGSPUnitDep*capReg2Prod4UnitsSold</f>
        <v>88181810.606694251</v>
      </c>
      <c r="G524" s="11">
        <f>capProd4COGSPUnitDep*capReg2Prod4UnitsSold</f>
        <v>88181810.606694251</v>
      </c>
      <c r="H524" s="11">
        <f>capProd4COGSPUnitDep*capReg2Prod4UnitsSold</f>
        <v>88181810.606694251</v>
      </c>
      <c r="I524" s="11">
        <f>capProd4COGSPUnitDep*capReg2Prod4UnitsSold</f>
        <v>88181810.606694251</v>
      </c>
      <c r="J524" t="s">
        <v>1918</v>
      </c>
      <c r="K524" t="b">
        <f>MAX(E524:I524)=MIN(E524:I524)</f>
        <v>1</v>
      </c>
    </row>
    <row r="525" spans="1:11">
      <c r="C525" s="207"/>
      <c r="D525" s="207"/>
      <c r="E525" s="256"/>
      <c r="F525" s="256"/>
      <c r="G525" s="256"/>
      <c r="H525" s="256"/>
      <c r="I525" s="256"/>
      <c r="K525" t="b">
        <f t="shared" si="30"/>
        <v>1</v>
      </c>
    </row>
    <row r="526" spans="1:11">
      <c r="A526" s="15"/>
      <c r="C526" s="2" t="str">
        <f>DataNameProd4 &amp; " Manufacturing Expense"</f>
        <v>F&amp;S Manufacturing Expense</v>
      </c>
      <c r="D526" s="2"/>
      <c r="E526" s="17">
        <f ca="1">SUM(E521:E524)</f>
        <v>928676875.46728945</v>
      </c>
      <c r="F526" s="17">
        <f ca="1">SUM(F521:F524)</f>
        <v>928676875.46728945</v>
      </c>
      <c r="G526" s="17">
        <f ca="1">SUM(G521:G524)</f>
        <v>928676875.46728945</v>
      </c>
      <c r="H526" s="17">
        <f ca="1">SUM(H521:H524)</f>
        <v>928676875.46728945</v>
      </c>
      <c r="I526" s="17">
        <f ca="1">SUM(I521:I524)</f>
        <v>928676875.46728945</v>
      </c>
      <c r="J526" t="s">
        <v>1532</v>
      </c>
      <c r="K526" t="b">
        <f t="shared" ca="1" si="30"/>
        <v>1</v>
      </c>
    </row>
    <row r="527" spans="1:11">
      <c r="C527" t="str">
        <f>DataNameProd4 &amp; " Royalties Expense"</f>
        <v>F&amp;S Royalties Expense</v>
      </c>
      <c r="E527" s="11">
        <v>0</v>
      </c>
      <c r="F527" s="11">
        <v>0</v>
      </c>
      <c r="G527" s="11">
        <v>0</v>
      </c>
      <c r="H527" s="11">
        <v>0</v>
      </c>
      <c r="I527" s="11">
        <v>0</v>
      </c>
      <c r="J527" t="s">
        <v>2296</v>
      </c>
      <c r="K527" t="b">
        <f t="shared" si="30"/>
        <v>1</v>
      </c>
    </row>
    <row r="528" spans="1:11">
      <c r="C528" t="str">
        <f>DataNameProd4 &amp; " Speciality Brand Expense"</f>
        <v>F&amp;S Speciality Brand Expense</v>
      </c>
      <c r="E528" s="11">
        <v>0</v>
      </c>
      <c r="F528" s="11">
        <v>0</v>
      </c>
      <c r="G528" s="11">
        <v>0</v>
      </c>
      <c r="H528" s="11">
        <v>0</v>
      </c>
      <c r="I528" s="11">
        <v>0</v>
      </c>
      <c r="K528" t="b">
        <f t="shared" si="30"/>
        <v>1</v>
      </c>
    </row>
    <row r="529" spans="1:11">
      <c r="C529" s="207"/>
      <c r="D529" s="207"/>
      <c r="E529" s="257"/>
      <c r="F529" s="257"/>
      <c r="G529" s="257"/>
      <c r="H529" s="257"/>
      <c r="I529" s="257"/>
      <c r="K529" t="b">
        <f t="shared" si="30"/>
        <v>1</v>
      </c>
    </row>
    <row r="530" spans="1:11">
      <c r="C530" s="2" t="str">
        <f>DataNameProd4 &amp; " COGS"</f>
        <v>F&amp;S COGS</v>
      </c>
      <c r="D530" s="2"/>
      <c r="E530" s="17">
        <f ca="1">SUM(E526:E528)</f>
        <v>928676875.46728945</v>
      </c>
      <c r="F530" s="17">
        <f ca="1">SUM(F526:F528)</f>
        <v>928676875.46728945</v>
      </c>
      <c r="G530" s="17">
        <f ca="1">SUM(G526:G528)</f>
        <v>928676875.46728945</v>
      </c>
      <c r="H530" s="17">
        <f ca="1">SUM(H526:H528)</f>
        <v>928676875.46728945</v>
      </c>
      <c r="I530" s="17">
        <f ca="1">SUM(I526:I528)</f>
        <v>928676875.46728945</v>
      </c>
      <c r="J530" t="s">
        <v>1919</v>
      </c>
      <c r="K530" t="b">
        <f t="shared" ca="1" si="30"/>
        <v>1</v>
      </c>
    </row>
    <row r="531" spans="1:11">
      <c r="B531" s="2" t="s">
        <v>1223</v>
      </c>
      <c r="C531" s="3"/>
      <c r="D531" s="3"/>
      <c r="E531" s="3"/>
      <c r="F531" s="3"/>
      <c r="G531" s="3"/>
      <c r="H531" s="3"/>
      <c r="I531" s="3"/>
      <c r="K531" t="b">
        <f t="shared" si="30"/>
        <v>1</v>
      </c>
    </row>
    <row r="532" spans="1:11">
      <c r="C532" s="2" t="str">
        <f>DataNameProd4 &amp; " Gross Margin"</f>
        <v>F&amp;S Gross Margin</v>
      </c>
      <c r="D532" s="2"/>
      <c r="E532" s="17">
        <f ca="1">E519-E530</f>
        <v>1001323124.5327106</v>
      </c>
      <c r="F532" s="17">
        <f ca="1">F519-F530</f>
        <v>1001323124.5327106</v>
      </c>
      <c r="G532" s="17">
        <f ca="1">G519-G530</f>
        <v>1001323124.5327106</v>
      </c>
      <c r="H532" s="17">
        <f ca="1">H519-H530</f>
        <v>1001323124.5327106</v>
      </c>
      <c r="I532" s="17">
        <f ca="1">I519-I530</f>
        <v>1001323124.5327106</v>
      </c>
      <c r="J532" t="s">
        <v>3381</v>
      </c>
      <c r="K532" t="b">
        <f t="shared" ca="1" si="30"/>
        <v>1</v>
      </c>
    </row>
    <row r="533" spans="1:11">
      <c r="B533" s="2" t="s">
        <v>1309</v>
      </c>
      <c r="C533" s="3"/>
      <c r="D533" s="3"/>
      <c r="E533" s="3"/>
      <c r="F533" s="3"/>
      <c r="G533" s="3"/>
      <c r="H533" s="3"/>
      <c r="I533" s="3"/>
      <c r="K533" t="b">
        <f t="shared" si="30"/>
        <v>1</v>
      </c>
    </row>
    <row r="534" spans="1:11" ht="12.75">
      <c r="A534" s="22"/>
      <c r="C534" s="3" t="str">
        <f>DataNameProd4 &amp; " Advertising Expense"</f>
        <v>F&amp;S Advertising Expense</v>
      </c>
      <c r="D534" s="3"/>
      <c r="E534" s="23">
        <f>capProd4AdvR2</f>
        <v>52000000</v>
      </c>
      <c r="F534" s="23">
        <f>capProd4AdvR2</f>
        <v>52000000</v>
      </c>
      <c r="G534" s="23">
        <f>capProd4AdvR2</f>
        <v>52000000</v>
      </c>
      <c r="H534" s="23">
        <f>capProd4AdvR2</f>
        <v>52000000</v>
      </c>
      <c r="I534" s="23">
        <f>capProd4AdvR2</f>
        <v>52000000</v>
      </c>
      <c r="J534" t="s">
        <v>3382</v>
      </c>
      <c r="K534" t="b">
        <f t="shared" si="30"/>
        <v>1</v>
      </c>
    </row>
    <row r="535" spans="1:11">
      <c r="C535" s="3" t="str">
        <f>DataNameProd4 &amp; " Sales Force Expense"</f>
        <v>F&amp;S Sales Force Expense</v>
      </c>
      <c r="D535" s="3"/>
      <c r="E535" s="85">
        <f>capProd4Emp2SalExp</f>
        <v>37530549.898167007</v>
      </c>
      <c r="F535" s="85">
        <f>capProd4Emp2SalExp</f>
        <v>37530549.898167007</v>
      </c>
      <c r="G535" s="85">
        <f>capProd4Emp2SalExp</f>
        <v>37530549.898167007</v>
      </c>
      <c r="H535" s="85">
        <f>capProd4Emp2SalExp</f>
        <v>37530549.898167007</v>
      </c>
      <c r="I535" s="85">
        <f>capProd4Emp2SalExp</f>
        <v>37530549.898167007</v>
      </c>
      <c r="J535" t="s">
        <v>1749</v>
      </c>
      <c r="K535" t="b">
        <f t="shared" si="30"/>
        <v>1</v>
      </c>
    </row>
    <row r="536" spans="1:11">
      <c r="B536" s="2"/>
      <c r="C536" s="264"/>
      <c r="D536" s="264"/>
      <c r="E536" s="264"/>
      <c r="F536" s="264"/>
      <c r="G536" s="264"/>
      <c r="H536" s="264"/>
      <c r="I536" s="264"/>
      <c r="K536" t="b">
        <f t="shared" si="30"/>
        <v>1</v>
      </c>
    </row>
    <row r="537" spans="1:11">
      <c r="C537" s="2" t="str">
        <f>DataNameProd4 &amp; " Selling Expense"</f>
        <v>F&amp;S Selling Expense</v>
      </c>
      <c r="D537" s="2"/>
      <c r="E537" s="17">
        <f>SUM(E534:E535)</f>
        <v>89530549.898167014</v>
      </c>
      <c r="F537" s="17">
        <f>SUM(F534:F535)</f>
        <v>89530549.898167014</v>
      </c>
      <c r="G537" s="17">
        <f>SUM(G534:G535)</f>
        <v>89530549.898167014</v>
      </c>
      <c r="H537" s="17">
        <f>SUM(H534:H535)</f>
        <v>89530549.898167014</v>
      </c>
      <c r="I537" s="17">
        <f>SUM(I534:I535)</f>
        <v>89530549.898167014</v>
      </c>
      <c r="K537" t="b">
        <f t="shared" si="30"/>
        <v>1</v>
      </c>
    </row>
    <row r="538" spans="1:11" ht="12.75">
      <c r="A538" s="22"/>
      <c r="C538" s="3" t="str">
        <f>DataNameProd4 &amp; " Inventory Handling Expense"</f>
        <v>F&amp;S Inventory Handling Expense</v>
      </c>
      <c r="D538" s="3"/>
      <c r="E538" s="23">
        <f ca="1">paramProd4InventoryHndlgPct*(cbalReg2Prod4MatValue+cbalReg2Prod4WIPValue+cbalReg2Prod4FGValue)</f>
        <v>16326974.929445829</v>
      </c>
      <c r="F538" s="23">
        <f ca="1">paramProd4InventoryHndlgPct*(cbalReg2Prod4MatValue+cbalReg2Prod4WIPValue+cbalReg2Prod4FGValue)</f>
        <v>16326974.929445829</v>
      </c>
      <c r="G538" s="23">
        <f ca="1">paramProd4InventoryHndlgPct*(cbalReg2Prod4MatValue+cbalReg2Prod4WIPValue+cbalReg2Prod4FGValue)</f>
        <v>16326974.929445829</v>
      </c>
      <c r="H538" s="23">
        <f ca="1">paramProd4InventoryHndlgPct*(cbalReg2Prod4MatValue+cbalReg2Prod4WIPValue+cbalReg2Prod4FGValue)</f>
        <v>16326974.929445829</v>
      </c>
      <c r="I538" s="23">
        <f ca="1">paramProd4InventoryHndlgPct*(cbalReg2Prod4MatValue+cbalReg2Prod4WIPValue+cbalReg2Prod4FGValue)</f>
        <v>16326974.929445829</v>
      </c>
      <c r="J538" t="s">
        <v>2229</v>
      </c>
      <c r="K538" t="b">
        <f t="shared" ca="1" si="30"/>
        <v>1</v>
      </c>
    </row>
    <row r="539" spans="1:11">
      <c r="C539" s="3" t="str">
        <f>DataNameProd4 &amp; " Distribution Expense"</f>
        <v>F&amp;S Distribution Expense</v>
      </c>
      <c r="D539" s="3"/>
      <c r="E539" s="85">
        <f>paramReg2Prod4DistCostPUnit*capReg2Prod4UnitsSold</f>
        <v>241652986.51764721</v>
      </c>
      <c r="F539" s="85">
        <f>paramReg2Prod4DistCostPUnit*capReg2Prod4UnitsSold</f>
        <v>241652986.51764721</v>
      </c>
      <c r="G539" s="85">
        <f>paramReg2Prod4DistCostPUnit*capReg2Prod4UnitsSold</f>
        <v>241652986.51764721</v>
      </c>
      <c r="H539" s="85">
        <f>paramReg2Prod4DistCostPUnit*capReg2Prod4UnitsSold</f>
        <v>241652986.51764721</v>
      </c>
      <c r="I539" s="85">
        <f>paramReg2Prod4DistCostPUnit*capReg2Prod4UnitsSold</f>
        <v>241652986.51764721</v>
      </c>
      <c r="J539" t="s">
        <v>1500</v>
      </c>
      <c r="K539" t="b">
        <f t="shared" si="30"/>
        <v>1</v>
      </c>
    </row>
    <row r="540" spans="1:11">
      <c r="C540" s="264"/>
      <c r="D540" s="264"/>
      <c r="E540" s="264"/>
      <c r="F540" s="264"/>
      <c r="G540" s="264"/>
      <c r="H540" s="264"/>
      <c r="I540" s="264"/>
      <c r="K540" t="b">
        <f t="shared" si="30"/>
        <v>1</v>
      </c>
    </row>
    <row r="541" spans="1:11">
      <c r="C541" s="2" t="str">
        <f>DataNameProd4 &amp; " General Expense"</f>
        <v>F&amp;S General Expense</v>
      </c>
      <c r="D541" s="2"/>
      <c r="E541" s="17">
        <f ca="1">SUM(E538:E539)</f>
        <v>257979961.44709304</v>
      </c>
      <c r="F541" s="17">
        <f ca="1">SUM(F538:F539)</f>
        <v>257979961.44709304</v>
      </c>
      <c r="G541" s="17">
        <f ca="1">SUM(G538:G539)</f>
        <v>257979961.44709304</v>
      </c>
      <c r="H541" s="17">
        <f ca="1">SUM(H538:H539)</f>
        <v>257979961.44709304</v>
      </c>
      <c r="I541" s="17">
        <f ca="1">SUM(I538:I539)</f>
        <v>257979961.44709304</v>
      </c>
      <c r="K541" t="b">
        <f t="shared" ca="1" si="30"/>
        <v>1</v>
      </c>
    </row>
    <row r="542" spans="1:11">
      <c r="C542" s="3" t="str">
        <f>DataNameProd4 &amp; " Employe Admin Expense"</f>
        <v>F&amp;S Employe Admin Expense</v>
      </c>
      <c r="D542" s="3"/>
      <c r="E542" s="11">
        <f>capProd4Emp2AdminExp+capReg2Prod4Emp3AdminExp</f>
        <v>22400512.115640223</v>
      </c>
      <c r="F542" s="11">
        <f>capProd4Emp2AdminExp+capReg2Prod4Emp3AdminExp</f>
        <v>22400512.115640223</v>
      </c>
      <c r="G542" s="11">
        <f>capProd4Emp2AdminExp+capReg2Prod4Emp3AdminExp</f>
        <v>22400512.115640223</v>
      </c>
      <c r="H542" s="11">
        <f>capProd4Emp2AdminExp+capReg2Prod4Emp3AdminExp</f>
        <v>22400512.115640223</v>
      </c>
      <c r="I542" s="11">
        <f>capProd4Emp2AdminExp+capReg2Prod4Emp3AdminExp</f>
        <v>22400512.115640223</v>
      </c>
      <c r="J542" t="s">
        <v>6</v>
      </c>
      <c r="K542" t="b">
        <f t="shared" si="30"/>
        <v>1</v>
      </c>
    </row>
    <row r="543" spans="1:11">
      <c r="C543" s="3" t="str">
        <f>DataNameProd4 &amp; " Recruit/ Dismisall Expense"</f>
        <v>F&amp;S Recruit/ Dismisall Expense</v>
      </c>
      <c r="D543" s="3"/>
      <c r="E543" s="11">
        <f>capProd4Emp2RecDismExp+capReg2Prod4Emp3RecDismExp</f>
        <v>2157522.120385272</v>
      </c>
      <c r="F543" s="11">
        <f>capProd4Emp2RecDismExp+capReg2Prod4Emp3RecDismExp</f>
        <v>2157522.120385272</v>
      </c>
      <c r="G543" s="11">
        <f>capProd4Emp2RecDismExp+capReg2Prod4Emp3RecDismExp</f>
        <v>2157522.120385272</v>
      </c>
      <c r="H543" s="11">
        <f>capProd4Emp2RecDismExp+capReg2Prod4Emp3RecDismExp</f>
        <v>2157522.120385272</v>
      </c>
      <c r="I543" s="11">
        <f>capProd4Emp2RecDismExp+capReg2Prod4Emp3RecDismExp</f>
        <v>2157522.120385272</v>
      </c>
      <c r="J543" t="s">
        <v>7</v>
      </c>
      <c r="K543" t="b">
        <f t="shared" si="30"/>
        <v>1</v>
      </c>
    </row>
    <row r="544" spans="1:11">
      <c r="C544" s="3" t="str">
        <f>DataNameProd4 &amp; " Fixed Admin Expense"</f>
        <v>F&amp;S Fixed Admin Expense</v>
      </c>
      <c r="D544" s="3"/>
      <c r="E544" s="23">
        <f>paramProd4FixedAdmin</f>
        <v>88328625.920000002</v>
      </c>
      <c r="F544" s="23">
        <f>paramProd4FixedAdmin</f>
        <v>88328625.920000002</v>
      </c>
      <c r="G544" s="23">
        <f>paramProd4FixedAdmin</f>
        <v>88328625.920000002</v>
      </c>
      <c r="H544" s="23">
        <f>paramProd4FixedAdmin</f>
        <v>88328625.920000002</v>
      </c>
      <c r="I544" s="23">
        <f>paramProd4FixedAdmin</f>
        <v>88328625.920000002</v>
      </c>
      <c r="J544" t="s">
        <v>8</v>
      </c>
      <c r="K544" t="b">
        <f t="shared" si="30"/>
        <v>1</v>
      </c>
    </row>
    <row r="545" spans="1:12">
      <c r="C545" s="264"/>
      <c r="D545" s="264"/>
      <c r="E545" s="264"/>
      <c r="F545" s="264"/>
      <c r="G545" s="264"/>
      <c r="H545" s="264"/>
      <c r="I545" s="264"/>
      <c r="K545" t="b">
        <f t="shared" si="30"/>
        <v>1</v>
      </c>
    </row>
    <row r="546" spans="1:12">
      <c r="C546" s="2" t="str">
        <f>DataNameProd4 &amp; " Administration Expense"</f>
        <v>F&amp;S Administration Expense</v>
      </c>
      <c r="D546" s="2"/>
      <c r="E546" s="17">
        <f>SUM(E542:E544)</f>
        <v>112886660.1560255</v>
      </c>
      <c r="F546" s="17">
        <f>SUM(F542:F544)</f>
        <v>112886660.1560255</v>
      </c>
      <c r="G546" s="17">
        <f>SUM(G542:G544)</f>
        <v>112886660.1560255</v>
      </c>
      <c r="H546" s="17">
        <f>SUM(H542:H544)</f>
        <v>112886660.1560255</v>
      </c>
      <c r="I546" s="17">
        <f>SUM(I542:I544)</f>
        <v>112886660.1560255</v>
      </c>
      <c r="K546" t="b">
        <f t="shared" si="30"/>
        <v>1</v>
      </c>
    </row>
    <row r="547" spans="1:12" ht="12" thickBot="1">
      <c r="C547" s="2" t="str">
        <f>DataNameProd4 &amp; " SGA Expense"</f>
        <v>F&amp;S SGA Expense</v>
      </c>
      <c r="D547" s="2"/>
      <c r="E547" s="17">
        <f ca="1">E537+E541+E546</f>
        <v>460397171.50128555</v>
      </c>
      <c r="F547" s="17">
        <f ca="1">F537+F541+F546</f>
        <v>460397171.50128555</v>
      </c>
      <c r="G547" s="17">
        <f ca="1">G537+G541+G546</f>
        <v>460397171.50128555</v>
      </c>
      <c r="H547" s="17">
        <f ca="1">H537+H541+H546</f>
        <v>460397171.50128555</v>
      </c>
      <c r="I547" s="17">
        <f ca="1">I537+I541+I546</f>
        <v>460397171.50128555</v>
      </c>
      <c r="J547" t="s">
        <v>9</v>
      </c>
      <c r="K547" t="b">
        <f t="shared" ca="1" si="30"/>
        <v>1</v>
      </c>
    </row>
    <row r="548" spans="1:12" ht="12.75">
      <c r="A548" s="1345"/>
      <c r="B548" s="1346" t="s">
        <v>2966</v>
      </c>
      <c r="C548" s="1347"/>
      <c r="D548" s="1347"/>
      <c r="E548" s="1347"/>
      <c r="F548" s="1347"/>
      <c r="G548" s="1347"/>
      <c r="H548" s="1347"/>
      <c r="I548" s="1347"/>
      <c r="J548" s="1348"/>
      <c r="K548" s="1348" t="b">
        <f t="shared" si="30"/>
        <v>1</v>
      </c>
      <c r="L548" s="1349"/>
    </row>
    <row r="549" spans="1:12">
      <c r="A549" s="1350"/>
      <c r="B549" s="1351"/>
      <c r="C549" s="1351" t="str">
        <f>DataNameProd4 &amp; " Family Brand R&amp;D"</f>
        <v>F&amp;S Family Brand R&amp;D</v>
      </c>
      <c r="D549" s="1351"/>
      <c r="E549" s="1352">
        <v>0</v>
      </c>
      <c r="F549" s="1352">
        <v>0</v>
      </c>
      <c r="G549" s="1352">
        <v>0</v>
      </c>
      <c r="H549" s="1352">
        <v>0</v>
      </c>
      <c r="I549" s="1352">
        <v>0</v>
      </c>
      <c r="J549" s="1351" t="s">
        <v>1033</v>
      </c>
      <c r="K549" s="1351" t="b">
        <f t="shared" si="30"/>
        <v>1</v>
      </c>
      <c r="L549" s="1353"/>
    </row>
    <row r="550" spans="1:12">
      <c r="A550" s="1350"/>
      <c r="B550" s="1351"/>
      <c r="C550" s="1351" t="str">
        <f>DataNameProd4 &amp; " Partner Brand R&amp;D"</f>
        <v>F&amp;S Partner Brand R&amp;D</v>
      </c>
      <c r="D550" s="1351"/>
      <c r="E550" s="1352">
        <v>0</v>
      </c>
      <c r="F550" s="1352">
        <v>0</v>
      </c>
      <c r="G550" s="1352">
        <v>0</v>
      </c>
      <c r="H550" s="1352">
        <v>0</v>
      </c>
      <c r="I550" s="1352">
        <v>0</v>
      </c>
      <c r="J550" s="1351" t="s">
        <v>1034</v>
      </c>
      <c r="K550" s="1351" t="b">
        <f t="shared" si="30"/>
        <v>1</v>
      </c>
      <c r="L550" s="1353" t="s">
        <v>172</v>
      </c>
    </row>
    <row r="551" spans="1:12">
      <c r="A551" s="1350"/>
      <c r="B551" s="1351"/>
      <c r="C551" s="1351" t="str">
        <f>DataNameProd4 &amp; " Portfolio Development"</f>
        <v>F&amp;S Portfolio Development</v>
      </c>
      <c r="D551" s="1351"/>
      <c r="E551" s="1352">
        <f>(capProd4Reg2Units/(capProd4Reg2Units+capProd4Reg2Units))*paramProd4RDFtr4Cost*MAX(0.5,cbalProd4Ftr4Level-obalProd4Ftr4Level)</f>
        <v>1875000</v>
      </c>
      <c r="F551" s="1352">
        <f>(capProd4Reg2Units/(capProd4Reg2Units+capProd4Reg2Units))*paramProd4RDFtr4Cost*MAX(0.5,cbalProd4Ftr4Level-obalProd4Ftr4Level)</f>
        <v>1875000</v>
      </c>
      <c r="G551" s="1352">
        <f>(capProd4Reg2Units/(capProd4Reg2Units+capProd4Reg2Units))*paramProd4RDFtr4Cost*MAX(0.5,cbalProd4Ftr4Level-obalProd4Ftr4Level)</f>
        <v>1875000</v>
      </c>
      <c r="H551" s="1352">
        <f>(capProd4Reg2Units/(capProd4Reg2Units+capProd4Reg2Units))*paramProd4RDFtr4Cost*MAX(0.5,cbalProd4Ftr4Level-obalProd4Ftr4Level)</f>
        <v>1875000</v>
      </c>
      <c r="I551" s="1352">
        <f>(capProd4Reg2Units/(capProd4Reg2Units+capProd4Reg2Units))*paramProd4RDFtr4Cost*MAX(0.5,cbalProd4Ftr4Level-obalProd4Ftr4Level)</f>
        <v>1875000</v>
      </c>
      <c r="J551" s="1351" t="s">
        <v>1035</v>
      </c>
      <c r="K551" s="1351" t="b">
        <f t="shared" si="30"/>
        <v>1</v>
      </c>
      <c r="L551" s="1353" t="s">
        <v>1894</v>
      </c>
    </row>
    <row r="552" spans="1:12">
      <c r="A552" s="1350"/>
      <c r="B552" s="1351"/>
      <c r="C552" s="1351" t="str">
        <f>DataNameProd4 &amp; " Long Term R&amp;D"</f>
        <v>F&amp;S Long Term R&amp;D</v>
      </c>
      <c r="D552" s="1351"/>
      <c r="E552" s="1354">
        <v>7000000</v>
      </c>
      <c r="F552" s="1354">
        <v>7000000</v>
      </c>
      <c r="G552" s="1354">
        <v>7000000</v>
      </c>
      <c r="H552" s="1354">
        <v>7000000</v>
      </c>
      <c r="I552" s="1354">
        <v>7000000</v>
      </c>
      <c r="J552" s="1351" t="s">
        <v>3701</v>
      </c>
      <c r="K552" s="1351" t="b">
        <f t="shared" si="30"/>
        <v>1</v>
      </c>
      <c r="L552" s="1353"/>
    </row>
    <row r="553" spans="1:12" ht="12.75">
      <c r="A553" s="1355"/>
      <c r="B553" s="1356"/>
      <c r="C553" s="1357"/>
      <c r="D553" s="1357"/>
      <c r="E553" s="1357"/>
      <c r="F553" s="1357"/>
      <c r="G553" s="1357"/>
      <c r="H553" s="1357"/>
      <c r="I553" s="1357"/>
      <c r="J553" s="1351"/>
      <c r="K553" s="1351" t="b">
        <f t="shared" si="30"/>
        <v>1</v>
      </c>
      <c r="L553" s="1353"/>
    </row>
    <row r="554" spans="1:12" ht="12" thickBot="1">
      <c r="A554" s="1358"/>
      <c r="B554" s="1359"/>
      <c r="C554" s="1360" t="str">
        <f>DataNameProd4 &amp; " R&amp;D Expense"</f>
        <v>F&amp;S R&amp;D Expense</v>
      </c>
      <c r="D554" s="1360"/>
      <c r="E554" s="1361">
        <f>SUM(E549:E552)</f>
        <v>8875000</v>
      </c>
      <c r="F554" s="1361">
        <f>SUM(F549:F552)</f>
        <v>8875000</v>
      </c>
      <c r="G554" s="1361">
        <f>SUM(G549:G552)</f>
        <v>8875000</v>
      </c>
      <c r="H554" s="1361">
        <f>SUM(H549:H552)</f>
        <v>8875000</v>
      </c>
      <c r="I554" s="1361">
        <f>SUM(I549:I552)</f>
        <v>8875000</v>
      </c>
      <c r="J554" s="1359" t="s">
        <v>10</v>
      </c>
      <c r="K554" s="1359" t="b">
        <f t="shared" si="30"/>
        <v>1</v>
      </c>
      <c r="L554" s="1362"/>
    </row>
    <row r="555" spans="1:12">
      <c r="B555" s="2" t="s">
        <v>2465</v>
      </c>
      <c r="K555" t="b">
        <f t="shared" si="30"/>
        <v>1</v>
      </c>
    </row>
    <row r="556" spans="1:12">
      <c r="B556" s="2"/>
      <c r="C556" t="str">
        <f>DataNameProd4 &amp; " Inefficiency Expense"</f>
        <v>F&amp;S Inefficiency Expense</v>
      </c>
      <c r="K556" t="b">
        <f t="shared" si="30"/>
        <v>1</v>
      </c>
    </row>
    <row r="557" spans="1:12">
      <c r="B557" s="2"/>
      <c r="C557" t="str">
        <f>DataNameProd4 &amp; " Excess Capacity Expense"</f>
        <v>F&amp;S Excess Capacity Expense</v>
      </c>
      <c r="K557" t="b">
        <f t="shared" si="30"/>
        <v>1</v>
      </c>
    </row>
    <row r="558" spans="1:12">
      <c r="C558" t="str">
        <f>DataNameProd4 &amp; " Disposal Expense"</f>
        <v>F&amp;S Disposal Expense</v>
      </c>
      <c r="E558" s="11">
        <f ca="1">(capReg2Prod4UnitsFGEnd-capReg2Prod4UnitsFGCbal)*capReg2Prod4COGSPUnitUMC*paramReg2Prod4DispCostPct</f>
        <v>26895574.697045017</v>
      </c>
      <c r="F558" s="11">
        <f ca="1">(capReg2Prod4UnitsFGEnd-capReg2Prod4UnitsFGCbal)*capReg2Prod4COGSPUnitUMC*paramReg2Prod4DispCostPct</f>
        <v>26895574.697045017</v>
      </c>
      <c r="G558" s="11">
        <f ca="1">(capReg2Prod4UnitsFGEnd-capReg2Prod4UnitsFGCbal)*capReg2Prod4COGSPUnitUMC*paramReg2Prod4DispCostPct</f>
        <v>26895574.697045017</v>
      </c>
      <c r="H558" s="11">
        <f ca="1">(capReg2Prod4UnitsFGEnd-capReg2Prod4UnitsFGCbal)*capReg2Prod4COGSPUnitUMC*paramReg2Prod4DispCostPct</f>
        <v>26895574.697045017</v>
      </c>
      <c r="I558" s="11">
        <f ca="1">(capReg2Prod4UnitsFGEnd-capReg2Prod4UnitsFGCbal)*capReg2Prod4COGSPUnitUMC*paramReg2Prod4DispCostPct</f>
        <v>26895574.697045017</v>
      </c>
      <c r="J558" t="s">
        <v>71</v>
      </c>
      <c r="K558" t="b">
        <f t="shared" ca="1" si="30"/>
        <v>1</v>
      </c>
    </row>
    <row r="559" spans="1:12">
      <c r="C559" t="str">
        <f>DataNameProd4 &amp; " Special Programs Expense"</f>
        <v>F&amp;S Special Programs Expense</v>
      </c>
      <c r="E559" s="398">
        <f ca="1">paramSpecProgReg2Prod4Exp</f>
        <v>0</v>
      </c>
      <c r="F559" s="398">
        <f ca="1">paramSpecProgReg2Prod4Exp</f>
        <v>0</v>
      </c>
      <c r="G559" s="398">
        <f ca="1">paramSpecProgReg2Prod4Exp</f>
        <v>0</v>
      </c>
      <c r="H559" s="398">
        <f ca="1">paramSpecProgReg2Prod4Exp</f>
        <v>0</v>
      </c>
      <c r="I559" s="398">
        <f ca="1">paramSpecProgReg2Prod4Exp</f>
        <v>0</v>
      </c>
      <c r="J559" t="s">
        <v>2113</v>
      </c>
      <c r="K559" t="b">
        <f t="shared" ca="1" si="30"/>
        <v>1</v>
      </c>
    </row>
    <row r="560" spans="1:12">
      <c r="C560" s="207"/>
      <c r="D560" s="207"/>
      <c r="E560" s="207"/>
      <c r="F560" s="207"/>
      <c r="G560" s="207"/>
      <c r="H560" s="207"/>
      <c r="I560" s="207"/>
      <c r="K560" t="b">
        <f t="shared" si="30"/>
        <v>1</v>
      </c>
    </row>
    <row r="561" spans="1:11">
      <c r="C561" s="2" t="str">
        <f>DataNameProd4 &amp; " Other Op Expense"</f>
        <v>F&amp;S Other Op Expense</v>
      </c>
      <c r="E561" s="13">
        <f ca="1">SUM(E556:E559)</f>
        <v>26895574.697045017</v>
      </c>
      <c r="F561" s="13">
        <f ca="1">SUM(F556:F559)</f>
        <v>26895574.697045017</v>
      </c>
      <c r="G561" s="13">
        <f ca="1">SUM(G556:G559)</f>
        <v>26895574.697045017</v>
      </c>
      <c r="H561" s="13">
        <f ca="1">SUM(H556:H559)</f>
        <v>26895574.697045017</v>
      </c>
      <c r="I561" s="13">
        <f ca="1">SUM(I556:I559)</f>
        <v>26895574.697045017</v>
      </c>
      <c r="J561" s="3" t="s">
        <v>11</v>
      </c>
      <c r="K561" t="b">
        <f t="shared" ca="1" si="30"/>
        <v>1</v>
      </c>
    </row>
    <row r="562" spans="1:11">
      <c r="A562" s="2"/>
      <c r="B562" s="2" t="s">
        <v>894</v>
      </c>
      <c r="C562" s="2"/>
      <c r="E562" s="13"/>
      <c r="F562" s="13"/>
      <c r="G562" s="13"/>
      <c r="H562" s="13"/>
      <c r="I562" s="13"/>
      <c r="J562" s="3"/>
      <c r="K562" t="b">
        <f t="shared" si="30"/>
        <v>1</v>
      </c>
    </row>
    <row r="563" spans="1:11">
      <c r="C563" t="str">
        <f>DataNameProd4 &amp; " Operating Expense"</f>
        <v>F&amp;S Operating Expense</v>
      </c>
      <c r="E563" s="11">
        <f ca="1">E547+E561</f>
        <v>487292746.19833058</v>
      </c>
      <c r="F563" s="11">
        <f ca="1">F547+F561</f>
        <v>487292746.19833058</v>
      </c>
      <c r="G563" s="11">
        <f ca="1">G547+G561</f>
        <v>487292746.19833058</v>
      </c>
      <c r="H563" s="11">
        <f ca="1">H547+H561</f>
        <v>487292746.19833058</v>
      </c>
      <c r="I563" s="11">
        <f ca="1">I547+I561</f>
        <v>487292746.19833058</v>
      </c>
      <c r="K563" t="b">
        <f t="shared" ref="K563:K621" ca="1" si="31">MAX(E563:I563)=MIN(E563:I563)</f>
        <v>1</v>
      </c>
    </row>
    <row r="564" spans="1:11">
      <c r="B564" s="2" t="str">
        <f>DataNameProd4 &amp; " Operating Margin"</f>
        <v>F&amp;S Operating Margin</v>
      </c>
      <c r="E564" s="17">
        <f ca="1">E532-E563</f>
        <v>514030378.33437997</v>
      </c>
      <c r="F564" s="17">
        <f ca="1">F532-F563</f>
        <v>514030378.33437997</v>
      </c>
      <c r="G564" s="17">
        <f ca="1">G532-G563</f>
        <v>514030378.33437997</v>
      </c>
      <c r="H564" s="17">
        <f ca="1">H532-H563</f>
        <v>514030378.33437997</v>
      </c>
      <c r="I564" s="17">
        <f ca="1">I532-I563</f>
        <v>514030378.33437997</v>
      </c>
      <c r="J564" t="s">
        <v>12</v>
      </c>
      <c r="K564" t="b">
        <f t="shared" ca="1" si="31"/>
        <v>1</v>
      </c>
    </row>
    <row r="565" spans="1:11">
      <c r="A565" s="2"/>
      <c r="C565" s="2"/>
      <c r="E565" s="426"/>
      <c r="F565" s="13"/>
      <c r="G565" s="13"/>
      <c r="H565" s="13"/>
      <c r="I565" s="13"/>
      <c r="J565" s="3"/>
      <c r="K565" t="b">
        <f t="shared" si="31"/>
        <v>1</v>
      </c>
    </row>
    <row r="566" spans="1:11" ht="12.75">
      <c r="A566" s="22" t="s">
        <v>3232</v>
      </c>
      <c r="K566" t="b">
        <f t="shared" si="31"/>
        <v>1</v>
      </c>
    </row>
    <row r="567" spans="1:11">
      <c r="B567" s="2" t="s">
        <v>3754</v>
      </c>
      <c r="K567" t="b">
        <f t="shared" si="31"/>
        <v>1</v>
      </c>
    </row>
    <row r="568" spans="1:11">
      <c r="C568" s="3" t="s">
        <v>1476</v>
      </c>
      <c r="D568" s="3"/>
      <c r="E568" s="85">
        <f>finPNLReg2Prod1Rev+finPNLReg2Prod2Rev+finPNLReg2Prod3Rev+finPNLReg2Prod4Rev</f>
        <v>6972600000</v>
      </c>
      <c r="F568" s="85">
        <f>finPNLReg2Prod1Rev+finPNLReg2Prod2Rev+finPNLReg2Prod3Rev+finPNLReg2Prod4Rev</f>
        <v>6972600000</v>
      </c>
      <c r="G568" s="85">
        <f>finPNLReg2Prod1Rev+finPNLReg2Prod2Rev+finPNLReg2Prod3Rev+finPNLReg2Prod4Rev</f>
        <v>6972600000</v>
      </c>
      <c r="H568" s="85">
        <f>finPNLReg2Prod1Rev+finPNLReg2Prod2Rev+finPNLReg2Prod3Rev+finPNLReg2Prod4Rev</f>
        <v>6972600000</v>
      </c>
      <c r="I568" s="85">
        <f>finPNLReg2Prod1Rev+finPNLReg2Prod2Rev+finPNLReg2Prod3Rev+finPNLReg2Prod4Rev</f>
        <v>6972600000</v>
      </c>
      <c r="J568" t="s">
        <v>3687</v>
      </c>
      <c r="K568" t="b">
        <f t="shared" si="31"/>
        <v>1</v>
      </c>
    </row>
    <row r="569" spans="1:11">
      <c r="C569" s="3" t="s">
        <v>3265</v>
      </c>
      <c r="D569" s="3"/>
      <c r="E569" s="23">
        <f>finPNLReg2Prod1PromoExp+finPNLReg2Prod3PromoExp+finPNLReg2Prod2PromoExp+finPNLReg2Prod4PromoExp</f>
        <v>455000000</v>
      </c>
      <c r="F569" s="23">
        <f>finPNLReg2Prod1PromoExp+finPNLReg2Prod3PromoExp+finPNLReg2Prod2PromoExp+finPNLReg2Prod4PromoExp</f>
        <v>455000000</v>
      </c>
      <c r="G569" s="23">
        <f>finPNLReg2Prod1PromoExp+finPNLReg2Prod3PromoExp+finPNLReg2Prod2PromoExp+finPNLReg2Prod4PromoExp</f>
        <v>455000000</v>
      </c>
      <c r="H569" s="23">
        <f>finPNLReg2Prod1PromoExp+finPNLReg2Prod3PromoExp+finPNLReg2Prod2PromoExp+finPNLReg2Prod4PromoExp</f>
        <v>455000000</v>
      </c>
      <c r="I569" s="23">
        <f>finPNLReg2Prod1PromoExp+finPNLReg2Prod3PromoExp+finPNLReg2Prod2PromoExp+finPNLReg2Prod4PromoExp</f>
        <v>455000000</v>
      </c>
      <c r="J569" t="s">
        <v>116</v>
      </c>
      <c r="K569" t="b">
        <f t="shared" si="31"/>
        <v>1</v>
      </c>
    </row>
    <row r="570" spans="1:11">
      <c r="C570" s="2" t="s">
        <v>1475</v>
      </c>
      <c r="D570" s="2"/>
      <c r="E570" s="17">
        <f>E568-E569</f>
        <v>6517600000</v>
      </c>
      <c r="F570" s="17">
        <f>F568-F569</f>
        <v>6517600000</v>
      </c>
      <c r="G570" s="17">
        <f>G568-G569</f>
        <v>6517600000</v>
      </c>
      <c r="H570" s="17">
        <f>H568-H569</f>
        <v>6517600000</v>
      </c>
      <c r="I570" s="17">
        <f>I568-I569</f>
        <v>6517600000</v>
      </c>
      <c r="J570" t="s">
        <v>1750</v>
      </c>
      <c r="K570" t="b">
        <f t="shared" si="31"/>
        <v>1</v>
      </c>
    </row>
    <row r="571" spans="1:11">
      <c r="B571" s="2" t="s">
        <v>3640</v>
      </c>
      <c r="I571" s="14"/>
      <c r="K571" t="b">
        <f t="shared" si="31"/>
        <v>1</v>
      </c>
    </row>
    <row r="572" spans="1:11">
      <c r="C572" t="s">
        <v>3259</v>
      </c>
      <c r="E572" s="14">
        <f>finPNLReg2Prod1COGSMatExp+finPNLReg2Prod2COGSMatExp+finPNLReg2Prod3COGSMatExp+finPNLReg2Prod4COGSMatExp</f>
        <v>2554416038.6123638</v>
      </c>
      <c r="F572" s="14">
        <f>finPNLReg2Prod1COGSMatExp+finPNLReg2Prod2COGSMatExp+finPNLReg2Prod3COGSMatExp+finPNLReg2Prod4COGSMatExp</f>
        <v>2554416038.6123638</v>
      </c>
      <c r="G572" s="14">
        <f>finPNLReg2Prod1COGSMatExp+finPNLReg2Prod2COGSMatExp+finPNLReg2Prod3COGSMatExp+finPNLReg2Prod4COGSMatExp</f>
        <v>2554416038.6123638</v>
      </c>
      <c r="H572" s="14">
        <f>finPNLReg2Prod1COGSMatExp+finPNLReg2Prod2COGSMatExp+finPNLReg2Prod3COGSMatExp+finPNLReg2Prod4COGSMatExp</f>
        <v>2554416038.6123638</v>
      </c>
      <c r="I572" s="14">
        <f>finPNLReg2Prod1COGSMatExp+finPNLReg2Prod2COGSMatExp+finPNLReg2Prod3COGSMatExp+finPNLReg2Prod4COGSMatExp</f>
        <v>2554416038.6123638</v>
      </c>
      <c r="J572" t="s">
        <v>109</v>
      </c>
      <c r="K572" t="b">
        <f t="shared" si="31"/>
        <v>1</v>
      </c>
    </row>
    <row r="573" spans="1:11">
      <c r="C573" t="s">
        <v>3260</v>
      </c>
      <c r="E573" s="11">
        <f>finPNLReg2Prod1COGSEmp3Exp+finPNLReg2Prod2COGSEmp3Exp+finPNLReg2Prod3COGSEmp3Exp+finPNLReg2Prod4COGSEmp3Exp</f>
        <v>351079908.7689721</v>
      </c>
      <c r="F573" s="11">
        <f>finPNLReg2Prod1COGSEmp3Exp+finPNLReg2Prod2COGSEmp3Exp+finPNLReg2Prod3COGSEmp3Exp+finPNLReg2Prod4COGSEmp3Exp</f>
        <v>351079908.7689721</v>
      </c>
      <c r="G573" s="11">
        <f>finPNLReg2Prod1COGSEmp3Exp+finPNLReg2Prod2COGSEmp3Exp+finPNLReg2Prod3COGSEmp3Exp+finPNLReg2Prod4COGSEmp3Exp</f>
        <v>351079908.7689721</v>
      </c>
      <c r="H573" s="11">
        <f>finPNLReg2Prod1COGSEmp3Exp+finPNLReg2Prod2COGSEmp3Exp+finPNLReg2Prod3COGSEmp3Exp+finPNLReg2Prod4COGSEmp3Exp</f>
        <v>351079908.7689721</v>
      </c>
      <c r="I573" s="11">
        <f>finPNLReg2Prod1COGSEmp3Exp+finPNLReg2Prod2COGSEmp3Exp+finPNLReg2Prod3COGSEmp3Exp+finPNLReg2Prod4COGSEmp3Exp</f>
        <v>351079908.7689721</v>
      </c>
      <c r="J573" t="s">
        <v>110</v>
      </c>
      <c r="K573" t="b">
        <f t="shared" si="31"/>
        <v>1</v>
      </c>
    </row>
    <row r="574" spans="1:11">
      <c r="C574" t="s">
        <v>3261</v>
      </c>
      <c r="E574" s="14">
        <f ca="1">finPNLReg2Prod1COGSPlant1Exp+finPNLReg2Prod2COGSPlant1Exp+finPNLReg2Prod3COGSPlant1Exp+finPNLReg2Prod4COGSPlant1Exp</f>
        <v>1114522.5760660651</v>
      </c>
      <c r="F574" s="14">
        <f ca="1">finPNLReg2Prod1COGSPlant1Exp+finPNLReg2Prod2COGSPlant1Exp+finPNLReg2Prod3COGSPlant1Exp+finPNLReg2Prod4COGSPlant1Exp</f>
        <v>1114522.5760660651</v>
      </c>
      <c r="G574" s="14">
        <f ca="1">finPNLReg2Prod1COGSPlant1Exp+finPNLReg2Prod2COGSPlant1Exp+finPNLReg2Prod3COGSPlant1Exp+finPNLReg2Prod4COGSPlant1Exp</f>
        <v>1114522.5760660651</v>
      </c>
      <c r="H574" s="14">
        <f ca="1">finPNLReg2Prod1COGSPlant1Exp+finPNLReg2Prod2COGSPlant1Exp+finPNLReg2Prod3COGSPlant1Exp+finPNLReg2Prod4COGSPlant1Exp</f>
        <v>1114522.5760660651</v>
      </c>
      <c r="I574" s="14">
        <f ca="1">finPNLReg2Prod1COGSPlant1Exp+finPNLReg2Prod2COGSPlant1Exp+finPNLReg2Prod3COGSPlant1Exp+finPNLReg2Prod4COGSPlant1Exp</f>
        <v>1114522.5760660651</v>
      </c>
      <c r="J574" t="s">
        <v>111</v>
      </c>
      <c r="K574" t="b">
        <f t="shared" ca="1" si="31"/>
        <v>1</v>
      </c>
    </row>
    <row r="575" spans="1:11">
      <c r="C575" t="s">
        <v>3262</v>
      </c>
      <c r="E575" s="11">
        <f>finPNLReg2Prod1COGSDepExp+finPNLReg2Prod2COGSDepExp+finPNLReg2Prod3COGSDepExp+finPNLReg2Prod4COGSDepExp</f>
        <v>278769656.7741847</v>
      </c>
      <c r="F575" s="11">
        <f>finPNLReg2Prod1COGSDepExp+finPNLReg2Prod2COGSDepExp+finPNLReg2Prod3COGSDepExp+finPNLReg2Prod4COGSDepExp</f>
        <v>278769656.7741847</v>
      </c>
      <c r="G575" s="11">
        <f>finPNLReg2Prod1COGSDepExp+finPNLReg2Prod2COGSDepExp+finPNLReg2Prod3COGSDepExp+finPNLReg2Prod4COGSDepExp</f>
        <v>278769656.7741847</v>
      </c>
      <c r="H575" s="11">
        <f>finPNLReg2Prod1COGSDepExp+finPNLReg2Prod2COGSDepExp+finPNLReg2Prod3COGSDepExp+finPNLReg2Prod4COGSDepExp</f>
        <v>278769656.7741847</v>
      </c>
      <c r="I575" s="11">
        <f>finPNLReg2Prod1COGSDepExp+finPNLReg2Prod2COGSDepExp+finPNLReg2Prod3COGSDepExp+finPNLReg2Prod4COGSDepExp</f>
        <v>278769656.7741847</v>
      </c>
      <c r="J575" t="s">
        <v>112</v>
      </c>
      <c r="K575" t="b">
        <f>MAX(E575:I575)=MIN(E575:I575)</f>
        <v>1</v>
      </c>
    </row>
    <row r="576" spans="1:11">
      <c r="C576" s="207"/>
      <c r="D576" s="207"/>
      <c r="E576" s="256"/>
      <c r="F576" s="256"/>
      <c r="G576" s="256"/>
      <c r="H576" s="256"/>
      <c r="I576" s="256"/>
      <c r="K576" t="b">
        <f t="shared" si="31"/>
        <v>1</v>
      </c>
    </row>
    <row r="577" spans="1:12">
      <c r="C577" s="2" t="s">
        <v>3263</v>
      </c>
      <c r="D577" s="2"/>
      <c r="E577" s="17">
        <f ca="1">SUM(E572:E575)</f>
        <v>3185380126.7315865</v>
      </c>
      <c r="F577" s="17">
        <f ca="1">SUM(F572:F575)</f>
        <v>3185380126.7315865</v>
      </c>
      <c r="G577" s="17">
        <f ca="1">SUM(G572:G575)</f>
        <v>3185380126.7315865</v>
      </c>
      <c r="H577" s="17">
        <f ca="1">SUM(H572:H575)</f>
        <v>3185380126.7315865</v>
      </c>
      <c r="I577" s="17">
        <f ca="1">SUM(I572:I575)</f>
        <v>3185380126.7315865</v>
      </c>
      <c r="J577" t="s">
        <v>1533</v>
      </c>
      <c r="K577" t="b">
        <f t="shared" ca="1" si="31"/>
        <v>1</v>
      </c>
    </row>
    <row r="578" spans="1:12">
      <c r="C578" t="s">
        <v>2991</v>
      </c>
      <c r="E578" s="11">
        <f>finPNLReg2Prod1COGSRoyExp+finPNLReg2Prod2COGSRoyExp+finPNLReg2Prod3COGSRoyExp+finPNLReg2Prod4COGSRoyExp</f>
        <v>0</v>
      </c>
      <c r="F578" s="11">
        <f>finPNLReg2Prod1COGSRoyExp+finPNLReg2Prod2COGSRoyExp+finPNLReg2Prod3COGSRoyExp+finPNLReg2Prod4COGSRoyExp</f>
        <v>0</v>
      </c>
      <c r="G578" s="11">
        <f>finPNLReg2Prod1COGSRoyExp+finPNLReg2Prod2COGSRoyExp+finPNLReg2Prod3COGSRoyExp+finPNLReg2Prod4COGSRoyExp</f>
        <v>0</v>
      </c>
      <c r="H578" s="11">
        <f>finPNLReg2Prod1COGSRoyExp+finPNLReg2Prod2COGSRoyExp+finPNLReg2Prod3COGSRoyExp+finPNLReg2Prod4COGSRoyExp</f>
        <v>0</v>
      </c>
      <c r="I578" s="11">
        <f>finPNLReg2Prod1COGSRoyExp+finPNLReg2Prod2COGSRoyExp+finPNLReg2Prod3COGSRoyExp+finPNLReg2Prod4COGSRoyExp</f>
        <v>0</v>
      </c>
      <c r="J578" t="s">
        <v>2297</v>
      </c>
      <c r="K578" t="b">
        <f t="shared" si="31"/>
        <v>1</v>
      </c>
    </row>
    <row r="579" spans="1:12">
      <c r="C579" t="s">
        <v>2992</v>
      </c>
      <c r="E579" s="11">
        <v>0</v>
      </c>
      <c r="F579" s="11">
        <v>0</v>
      </c>
      <c r="G579" s="11">
        <v>0</v>
      </c>
      <c r="H579" s="11">
        <v>0</v>
      </c>
      <c r="I579" s="11">
        <v>0</v>
      </c>
      <c r="J579" t="s">
        <v>2061</v>
      </c>
      <c r="K579" t="b">
        <f t="shared" si="31"/>
        <v>1</v>
      </c>
    </row>
    <row r="580" spans="1:12">
      <c r="C580" s="207"/>
      <c r="D580" s="207"/>
      <c r="E580" s="257"/>
      <c r="F580" s="257"/>
      <c r="G580" s="257"/>
      <c r="H580" s="257"/>
      <c r="I580" s="257"/>
      <c r="K580" t="b">
        <f t="shared" si="31"/>
        <v>1</v>
      </c>
    </row>
    <row r="581" spans="1:12">
      <c r="C581" s="2" t="s">
        <v>3640</v>
      </c>
      <c r="D581" s="2"/>
      <c r="E581" s="17">
        <f ca="1">SUM(E577:E579)</f>
        <v>3185380126.7315865</v>
      </c>
      <c r="F581" s="17">
        <f ca="1">SUM(F577:F579)</f>
        <v>3185380126.7315865</v>
      </c>
      <c r="G581" s="17">
        <f ca="1">SUM(G577:G579)</f>
        <v>3185380126.7315865</v>
      </c>
      <c r="H581" s="17">
        <f ca="1">SUM(H577:H579)</f>
        <v>3185380126.7315865</v>
      </c>
      <c r="I581" s="17">
        <f ca="1">SUM(I577:I579)</f>
        <v>3185380126.7315865</v>
      </c>
      <c r="J581" t="s">
        <v>113</v>
      </c>
      <c r="K581" t="b">
        <f t="shared" ca="1" si="31"/>
        <v>1</v>
      </c>
    </row>
    <row r="582" spans="1:12">
      <c r="B582" s="2" t="s">
        <v>1223</v>
      </c>
      <c r="C582" s="3"/>
      <c r="D582" s="3"/>
      <c r="E582" s="3"/>
      <c r="F582" s="3"/>
      <c r="G582" s="3"/>
      <c r="H582" s="3"/>
      <c r="I582" s="3"/>
      <c r="K582" t="b">
        <f t="shared" si="31"/>
        <v>1</v>
      </c>
    </row>
    <row r="583" spans="1:12">
      <c r="C583" s="2" t="s">
        <v>1223</v>
      </c>
      <c r="D583" s="2"/>
      <c r="E583" s="17">
        <f ca="1">finPNLReg2NetRev-finPNLReg2COGSExp</f>
        <v>3332219873.2684135</v>
      </c>
      <c r="F583" s="17">
        <f ca="1">finPNLReg2NetRev-finPNLReg2COGSExp</f>
        <v>3332219873.2684135</v>
      </c>
      <c r="G583" s="17">
        <f ca="1">finPNLReg2NetRev-finPNLReg2COGSExp</f>
        <v>3332219873.2684135</v>
      </c>
      <c r="H583" s="17">
        <f ca="1">finPNLReg2NetRev-finPNLReg2COGSExp</f>
        <v>3332219873.2684135</v>
      </c>
      <c r="I583" s="17">
        <f ca="1">finPNLReg2NetRev-finPNLReg2COGSExp</f>
        <v>3332219873.2684135</v>
      </c>
      <c r="J583" t="s">
        <v>114</v>
      </c>
      <c r="K583" t="b">
        <f t="shared" ca="1" si="31"/>
        <v>1</v>
      </c>
    </row>
    <row r="584" spans="1:12" ht="12.75">
      <c r="A584" s="22"/>
      <c r="B584" s="2" t="s">
        <v>1309</v>
      </c>
      <c r="C584" s="3"/>
      <c r="D584" s="3"/>
      <c r="E584" s="1627"/>
      <c r="F584" s="3"/>
      <c r="G584" s="3"/>
      <c r="H584" s="3"/>
      <c r="I584" s="3"/>
      <c r="K584" t="b">
        <f t="shared" si="31"/>
        <v>1</v>
      </c>
    </row>
    <row r="585" spans="1:12">
      <c r="C585" s="3" t="s">
        <v>3264</v>
      </c>
      <c r="D585" s="3"/>
      <c r="E585" s="23">
        <f>finPNLReg2Prod1AdvExp+finPNLReg2Prod3AdvExp+finPNLReg2Prod2AdvExp+finPNLReg2Prod4AdvExp</f>
        <v>197000000</v>
      </c>
      <c r="F585" s="23">
        <f>finPNLReg2Prod1AdvExp+finPNLReg2Prod3AdvExp+finPNLReg2Prod2AdvExp+finPNLReg2Prod4AdvExp</f>
        <v>197000000</v>
      </c>
      <c r="G585" s="23">
        <f>finPNLReg2Prod1AdvExp+finPNLReg2Prod3AdvExp+finPNLReg2Prod2AdvExp+finPNLReg2Prod4AdvExp</f>
        <v>197000000</v>
      </c>
      <c r="H585" s="23">
        <f>finPNLReg2Prod1AdvExp+finPNLReg2Prod3AdvExp+finPNLReg2Prod2AdvExp+finPNLReg2Prod4AdvExp</f>
        <v>197000000</v>
      </c>
      <c r="I585" s="23">
        <f>finPNLReg2Prod1AdvExp+finPNLReg2Prod3AdvExp+finPNLReg2Prod2AdvExp+finPNLReg2Prod4AdvExp</f>
        <v>197000000</v>
      </c>
      <c r="J585" t="s">
        <v>115</v>
      </c>
      <c r="K585" t="b">
        <f t="shared" si="31"/>
        <v>1</v>
      </c>
      <c r="L585" s="14"/>
    </row>
    <row r="586" spans="1:12">
      <c r="C586" s="3" t="s">
        <v>3266</v>
      </c>
      <c r="D586" s="3"/>
      <c r="E586" s="85">
        <f>finPNLReg2Prod1Emp1Exp+finPNLReg2Prod2Emp2Exp+finPNLReg2Prod3Emp1Exp+finPNLReg2Prod4Emp1Exp+paramChanLevelRamp</f>
        <v>115500000</v>
      </c>
      <c r="F586" s="85">
        <f>finPNLReg2Prod1Emp1Exp+finPNLReg2Prod2Emp2Exp+finPNLReg2Prod3Emp1Exp+finPNLReg2Prod4Emp1Exp+paramChanLevelRamp</f>
        <v>115500000</v>
      </c>
      <c r="G586" s="85">
        <f>finPNLReg2Prod1Emp1Exp+finPNLReg2Prod2Emp2Exp+finPNLReg2Prod3Emp1Exp+finPNLReg2Prod4Emp1Exp+paramChanLevelRamp</f>
        <v>115500000</v>
      </c>
      <c r="H586" s="85">
        <f>finPNLReg2Prod1Emp1Exp+finPNLReg2Prod2Emp2Exp+finPNLReg2Prod3Emp1Exp+finPNLReg2Prod4Emp1Exp+paramChanLevelRamp</f>
        <v>115500000</v>
      </c>
      <c r="I586" s="85">
        <f>finPNLReg2Prod1Emp1Exp+finPNLReg2Prod2Emp2Exp+finPNLReg2Prod3Emp1Exp+finPNLReg2Prod4Emp1Exp+paramChanLevelRamp</f>
        <v>115500000</v>
      </c>
      <c r="J586" t="s">
        <v>117</v>
      </c>
      <c r="K586" t="b">
        <f t="shared" si="31"/>
        <v>1</v>
      </c>
      <c r="L586" s="14"/>
    </row>
    <row r="587" spans="1:12" ht="12.75">
      <c r="A587" s="22"/>
      <c r="B587" s="2"/>
      <c r="C587" s="264"/>
      <c r="D587" s="264"/>
      <c r="E587" s="264"/>
      <c r="F587" s="264"/>
      <c r="G587" s="264"/>
      <c r="H587" s="264"/>
      <c r="I587" s="264"/>
      <c r="K587" t="b">
        <f t="shared" si="31"/>
        <v>1</v>
      </c>
    </row>
    <row r="588" spans="1:12">
      <c r="C588" s="2" t="s">
        <v>897</v>
      </c>
      <c r="D588" s="2"/>
      <c r="E588" s="17">
        <f>SUM(E585:E586)</f>
        <v>312500000</v>
      </c>
      <c r="F588" s="17">
        <f>SUM(F585:F586)</f>
        <v>312500000</v>
      </c>
      <c r="G588" s="17">
        <f>SUM(G585:G586)</f>
        <v>312500000</v>
      </c>
      <c r="H588" s="17">
        <f>SUM(H585:H586)</f>
        <v>312500000</v>
      </c>
      <c r="I588" s="17">
        <f>SUM(I585:I586)</f>
        <v>312500000</v>
      </c>
      <c r="K588" t="b">
        <f t="shared" si="31"/>
        <v>1</v>
      </c>
      <c r="L588" s="14"/>
    </row>
    <row r="589" spans="1:12">
      <c r="C589" s="3" t="s">
        <v>3267</v>
      </c>
      <c r="D589" s="3"/>
      <c r="E589" s="23">
        <f ca="1">finPNLReg2Prod1InventoryHndlgExp+finPNLReg2Prod2InventoryHndlgExp+finPNLReg2Prod3InventoryHndlgExp+finPNLReg2Prod4InventoryHndlgExp</f>
        <v>48942728.871728465</v>
      </c>
      <c r="F589" s="23">
        <f ca="1">finPNLReg2Prod1InventoryHndlgExp+finPNLReg2Prod2InventoryHndlgExp+finPNLReg2Prod3InventoryHndlgExp+finPNLReg2Prod4InventoryHndlgExp</f>
        <v>48942728.871728465</v>
      </c>
      <c r="G589" s="23">
        <f ca="1">finPNLReg2Prod1InventoryHndlgExp+finPNLReg2Prod2InventoryHndlgExp+finPNLReg2Prod3InventoryHndlgExp+finPNLReg2Prod4InventoryHndlgExp</f>
        <v>48942728.871728465</v>
      </c>
      <c r="H589" s="23">
        <f ca="1">finPNLReg2Prod1InventoryHndlgExp+finPNLReg2Prod2InventoryHndlgExp+finPNLReg2Prod3InventoryHndlgExp+finPNLReg2Prod4InventoryHndlgExp</f>
        <v>48942728.871728465</v>
      </c>
      <c r="I589" s="23">
        <f ca="1">finPNLReg2Prod1InventoryHndlgExp+finPNLReg2Prod2InventoryHndlgExp+finPNLReg2Prod3InventoryHndlgExp+finPNLReg2Prod4InventoryHndlgExp</f>
        <v>48942728.871728465</v>
      </c>
      <c r="J589" t="s">
        <v>118</v>
      </c>
      <c r="K589" t="b">
        <f t="shared" ca="1" si="31"/>
        <v>1</v>
      </c>
    </row>
    <row r="590" spans="1:12">
      <c r="C590" s="3" t="s">
        <v>3268</v>
      </c>
      <c r="D590" s="3"/>
      <c r="E590" s="85">
        <f>finPNLReg2Prod1COGSDistExp+finPNLReg2Prod2COGSDistExp+finPNLReg2Prod3COGSDistExp+finPNLReg2Prod4COGSDistExp</f>
        <v>841477461.7512176</v>
      </c>
      <c r="F590" s="85">
        <f>finPNLReg2Prod1COGSDistExp+finPNLReg2Prod2COGSDistExp+finPNLReg2Prod3COGSDistExp+finPNLReg2Prod4COGSDistExp</f>
        <v>841477461.7512176</v>
      </c>
      <c r="G590" s="85">
        <f>finPNLReg2Prod1COGSDistExp+finPNLReg2Prod2COGSDistExp+finPNLReg2Prod3COGSDistExp+finPNLReg2Prod4COGSDistExp</f>
        <v>841477461.7512176</v>
      </c>
      <c r="H590" s="85">
        <f>finPNLReg2Prod1COGSDistExp+finPNLReg2Prod2COGSDistExp+finPNLReg2Prod3COGSDistExp+finPNLReg2Prod4COGSDistExp</f>
        <v>841477461.7512176</v>
      </c>
      <c r="I590" s="85">
        <f>finPNLReg2Prod1COGSDistExp+finPNLReg2Prod2COGSDistExp+finPNLReg2Prod3COGSDistExp+finPNLReg2Prod4COGSDistExp</f>
        <v>841477461.7512176</v>
      </c>
      <c r="J590" t="s">
        <v>1501</v>
      </c>
      <c r="K590" t="b">
        <f t="shared" si="31"/>
        <v>1</v>
      </c>
    </row>
    <row r="591" spans="1:12">
      <c r="C591" s="264"/>
      <c r="D591" s="264"/>
      <c r="E591" s="264"/>
      <c r="F591" s="264"/>
      <c r="G591" s="264"/>
      <c r="H591" s="264"/>
      <c r="I591" s="264"/>
      <c r="K591" t="b">
        <f t="shared" si="31"/>
        <v>1</v>
      </c>
    </row>
    <row r="592" spans="1:12">
      <c r="C592" s="2" t="s">
        <v>896</v>
      </c>
      <c r="D592" s="2"/>
      <c r="E592" s="17">
        <f ca="1">SUM(E589:E590)</f>
        <v>890420190.62294602</v>
      </c>
      <c r="F592" s="17">
        <f ca="1">SUM(F589:F590)</f>
        <v>890420190.62294602</v>
      </c>
      <c r="G592" s="17">
        <f ca="1">SUM(G589:G590)</f>
        <v>890420190.62294602</v>
      </c>
      <c r="H592" s="17">
        <f ca="1">SUM(H589:H590)</f>
        <v>890420190.62294602</v>
      </c>
      <c r="I592" s="17">
        <f ca="1">SUM(I589:I590)</f>
        <v>890420190.62294602</v>
      </c>
      <c r="K592" t="b">
        <f t="shared" ca="1" si="31"/>
        <v>1</v>
      </c>
      <c r="L592" s="14"/>
    </row>
    <row r="593" spans="1:12">
      <c r="C593" s="3" t="s">
        <v>3269</v>
      </c>
      <c r="D593" s="3"/>
      <c r="E593" s="11">
        <f>finPNLReg2Prod1EmpAdminExp+finPNLReg2Prod2EmpAdminExp+finPNLReg2Prod3EmpAdminExp+finPNLReg2Prod4EmpAdminExp</f>
        <v>79302777.065031424</v>
      </c>
      <c r="F593" s="11">
        <f>finPNLReg2Prod1EmpAdminExp+finPNLReg2Prod2EmpAdminExp+finPNLReg2Prod3EmpAdminExp+finPNLReg2Prod4EmpAdminExp</f>
        <v>79302777.065031424</v>
      </c>
      <c r="G593" s="11">
        <f>finPNLReg2Prod1EmpAdminExp+finPNLReg2Prod2EmpAdminExp+finPNLReg2Prod3EmpAdminExp+finPNLReg2Prod4EmpAdminExp</f>
        <v>79302777.065031424</v>
      </c>
      <c r="H593" s="11">
        <f>finPNLReg2Prod1EmpAdminExp+finPNLReg2Prod2EmpAdminExp+finPNLReg2Prod3EmpAdminExp+finPNLReg2Prod4EmpAdminExp</f>
        <v>79302777.065031424</v>
      </c>
      <c r="I593" s="11">
        <f>finPNLReg2Prod1EmpAdminExp+finPNLReg2Prod2EmpAdminExp+finPNLReg2Prod3EmpAdminExp+finPNLReg2Prod4EmpAdminExp</f>
        <v>79302777.065031424</v>
      </c>
      <c r="J593" t="s">
        <v>86</v>
      </c>
      <c r="K593" t="b">
        <f t="shared" si="31"/>
        <v>1</v>
      </c>
    </row>
    <row r="594" spans="1:12">
      <c r="C594" s="3" t="s">
        <v>891</v>
      </c>
      <c r="D594" s="3"/>
      <c r="E594" s="11">
        <f>finPNLReg2Prod1EmpRecDismExp+finPNLReg2Prod2EmpRecDismExp+finPNLReg2Prod3EmpRecDismExp+finPNLReg2Prod4EmpRecDismExp</f>
        <v>6959168.5947308205</v>
      </c>
      <c r="F594" s="11">
        <f>finPNLReg2Prod1EmpRecDismExp+finPNLReg2Prod2EmpRecDismExp+finPNLReg2Prod3EmpRecDismExp+finPNLReg2Prod4EmpRecDismExp</f>
        <v>6959168.5947308205</v>
      </c>
      <c r="G594" s="11">
        <f>finPNLReg2Prod1EmpRecDismExp+finPNLReg2Prod2EmpRecDismExp+finPNLReg2Prod3EmpRecDismExp+finPNLReg2Prod4EmpRecDismExp</f>
        <v>6959168.5947308205</v>
      </c>
      <c r="H594" s="11">
        <f>finPNLReg2Prod1EmpRecDismExp+finPNLReg2Prod2EmpRecDismExp+finPNLReg2Prod3EmpRecDismExp+finPNLReg2Prod4EmpRecDismExp</f>
        <v>6959168.5947308205</v>
      </c>
      <c r="I594" s="11">
        <f>finPNLReg2Prod1EmpRecDismExp+finPNLReg2Prod2EmpRecDismExp+finPNLReg2Prod3EmpRecDismExp+finPNLReg2Prod4EmpRecDismExp</f>
        <v>6959168.5947308205</v>
      </c>
      <c r="J594" t="s">
        <v>87</v>
      </c>
      <c r="K594" t="b">
        <f t="shared" si="31"/>
        <v>1</v>
      </c>
    </row>
    <row r="595" spans="1:12">
      <c r="C595" s="3" t="s">
        <v>892</v>
      </c>
      <c r="D595" s="3"/>
      <c r="E595" s="23">
        <f>finPNLReg2Prod1FixedAdminExp+finPNLReg2Prod2FixedAdminExp+finPNLReg2Prod3FixedAdminExp+finPNLReg2Prod4FixedAdminExp</f>
        <v>328924354.5212</v>
      </c>
      <c r="F595" s="23">
        <f>finPNLReg2Prod1FixedAdminExp+finPNLReg2Prod2FixedAdminExp+finPNLReg2Prod3FixedAdminExp+finPNLReg2Prod4FixedAdminExp</f>
        <v>328924354.5212</v>
      </c>
      <c r="G595" s="23">
        <f>finPNLReg2Prod1FixedAdminExp+finPNLReg2Prod2FixedAdminExp+finPNLReg2Prod3FixedAdminExp+finPNLReg2Prod4FixedAdminExp</f>
        <v>328924354.5212</v>
      </c>
      <c r="H595" s="23">
        <f>finPNLReg2Prod1FixedAdminExp+finPNLReg2Prod2FixedAdminExp+finPNLReg2Prod3FixedAdminExp+finPNLReg2Prod4FixedAdminExp</f>
        <v>328924354.5212</v>
      </c>
      <c r="I595" s="23">
        <f>finPNLReg2Prod1FixedAdminExp+finPNLReg2Prod2FixedAdminExp+finPNLReg2Prod3FixedAdminExp+finPNLReg2Prod4FixedAdminExp</f>
        <v>328924354.5212</v>
      </c>
      <c r="J595" t="s">
        <v>88</v>
      </c>
      <c r="K595" t="b">
        <f t="shared" si="31"/>
        <v>1</v>
      </c>
    </row>
    <row r="596" spans="1:12">
      <c r="C596" s="264"/>
      <c r="D596" s="264"/>
      <c r="E596" s="264"/>
      <c r="F596" s="264"/>
      <c r="G596" s="264"/>
      <c r="H596" s="264"/>
      <c r="I596" s="264"/>
      <c r="K596" t="b">
        <f t="shared" si="31"/>
        <v>1</v>
      </c>
    </row>
    <row r="597" spans="1:12">
      <c r="C597" s="2" t="s">
        <v>895</v>
      </c>
      <c r="D597" s="2"/>
      <c r="E597" s="17">
        <f>SUM(E593:E595)</f>
        <v>415186300.18096226</v>
      </c>
      <c r="F597" s="17">
        <f>SUM(F593:F595)</f>
        <v>415186300.18096226</v>
      </c>
      <c r="G597" s="17">
        <f>SUM(G593:G595)</f>
        <v>415186300.18096226</v>
      </c>
      <c r="H597" s="17">
        <f>SUM(H593:H595)</f>
        <v>415186300.18096226</v>
      </c>
      <c r="I597" s="17">
        <f>SUM(I593:I595)</f>
        <v>415186300.18096226</v>
      </c>
      <c r="K597" t="b">
        <f t="shared" si="31"/>
        <v>1</v>
      </c>
      <c r="L597" s="14"/>
    </row>
    <row r="598" spans="1:12" ht="12" thickBot="1">
      <c r="C598" s="2" t="s">
        <v>893</v>
      </c>
      <c r="D598" s="2"/>
      <c r="E598" s="17">
        <f ca="1">E597+E592+E588</f>
        <v>1618106490.8039083</v>
      </c>
      <c r="F598" s="17">
        <f ca="1">F597+F592+F588</f>
        <v>1618106490.8039083</v>
      </c>
      <c r="G598" s="17">
        <f ca="1">G597+G592+G588</f>
        <v>1618106490.8039083</v>
      </c>
      <c r="H598" s="17">
        <f ca="1">H597+H592+H588</f>
        <v>1618106490.8039083</v>
      </c>
      <c r="I598" s="17">
        <f ca="1">I597+I592+I588</f>
        <v>1618106490.8039083</v>
      </c>
      <c r="J598" t="s">
        <v>89</v>
      </c>
      <c r="K598" t="b">
        <f t="shared" ca="1" si="31"/>
        <v>1</v>
      </c>
      <c r="L598" s="14"/>
    </row>
    <row r="599" spans="1:12" ht="12.75">
      <c r="A599" s="1345"/>
      <c r="B599" s="1346" t="s">
        <v>2966</v>
      </c>
      <c r="C599" s="1347"/>
      <c r="D599" s="1347"/>
      <c r="E599" s="1347"/>
      <c r="F599" s="1347"/>
      <c r="G599" s="1347"/>
      <c r="H599" s="1347"/>
      <c r="I599" s="1347"/>
      <c r="J599" s="1348"/>
      <c r="K599" s="1348" t="b">
        <f t="shared" si="31"/>
        <v>1</v>
      </c>
      <c r="L599" s="1349"/>
    </row>
    <row r="600" spans="1:12">
      <c r="A600" s="1350"/>
      <c r="B600" s="1351"/>
      <c r="C600" s="1351" t="s">
        <v>2239</v>
      </c>
      <c r="D600" s="1363"/>
      <c r="E600" s="1352">
        <f>finPNLReg2Prod1RDFtr1Exp+finPNLReg2Prod2RDFtr1Exp+finPNLReg2Prod3RDFtr1Exp+finPNLReg2Prod4RDFtr1Exp</f>
        <v>0</v>
      </c>
      <c r="F600" s="1352">
        <f>finPNLReg2Prod1RDFtr1Exp+finPNLReg2Prod2RDFtr1Exp+finPNLReg2Prod3RDFtr1Exp+finPNLReg2Prod4RDFtr1Exp</f>
        <v>0</v>
      </c>
      <c r="G600" s="1352">
        <f>finPNLReg2Prod1RDFtr1Exp+finPNLReg2Prod2RDFtr1Exp+finPNLReg2Prod3RDFtr1Exp+finPNLReg2Prod4RDFtr1Exp</f>
        <v>0</v>
      </c>
      <c r="H600" s="1352">
        <f>finPNLReg2Prod1RDFtr1Exp+finPNLReg2Prod2RDFtr1Exp+finPNLReg2Prod3RDFtr1Exp+finPNLReg2Prod4RDFtr1Exp</f>
        <v>0</v>
      </c>
      <c r="I600" s="1352">
        <f>finPNLReg2Prod1RDFtr1Exp+finPNLReg2Prod2RDFtr1Exp+finPNLReg2Prod3RDFtr1Exp+finPNLReg2Prod4RDFtr1Exp</f>
        <v>0</v>
      </c>
      <c r="J600" s="1351" t="s">
        <v>77</v>
      </c>
      <c r="K600" s="1351" t="b">
        <f t="shared" si="31"/>
        <v>1</v>
      </c>
      <c r="L600" s="1353"/>
    </row>
    <row r="601" spans="1:12">
      <c r="A601" s="1350"/>
      <c r="B601" s="1351"/>
      <c r="C601" s="1351" t="s">
        <v>2240</v>
      </c>
      <c r="D601" s="1363"/>
      <c r="E601" s="1352">
        <f>finPNLReg2Prod1RDFtr2Exp+finPNLReg2Prod2RDFtr2Exp+finPNLReg2Prod3RDFtr2Exp+finPNLReg2Prod4RDFtr2Exp</f>
        <v>0</v>
      </c>
      <c r="F601" s="1352">
        <f>finPNLReg2Prod1RDFtr2Exp+finPNLReg2Prod2RDFtr2Exp+finPNLReg2Prod3RDFtr2Exp+finPNLReg2Prod4RDFtr2Exp</f>
        <v>0</v>
      </c>
      <c r="G601" s="1352">
        <f>finPNLReg2Prod1RDFtr2Exp+finPNLReg2Prod2RDFtr2Exp+finPNLReg2Prod3RDFtr2Exp+finPNLReg2Prod4RDFtr2Exp</f>
        <v>0</v>
      </c>
      <c r="H601" s="1352">
        <f>finPNLReg2Prod1RDFtr2Exp+finPNLReg2Prod2RDFtr2Exp+finPNLReg2Prod3RDFtr2Exp+finPNLReg2Prod4RDFtr2Exp</f>
        <v>0</v>
      </c>
      <c r="I601" s="1352">
        <f>finPNLReg2Prod1RDFtr2Exp+finPNLReg2Prod2RDFtr2Exp+finPNLReg2Prod3RDFtr2Exp+finPNLReg2Prod4RDFtr2Exp</f>
        <v>0</v>
      </c>
      <c r="J601" s="1351" t="s">
        <v>42</v>
      </c>
      <c r="K601" s="1351" t="b">
        <f t="shared" si="31"/>
        <v>1</v>
      </c>
      <c r="L601" s="1353" t="s">
        <v>172</v>
      </c>
    </row>
    <row r="602" spans="1:12">
      <c r="A602" s="1350"/>
      <c r="B602" s="1351"/>
      <c r="C602" s="1351" t="s">
        <v>538</v>
      </c>
      <c r="D602" s="1363"/>
      <c r="E602" s="1352">
        <f>finPNLReg2Prod1RDFtr4Exp+finPNLReg2Prod2RDFtr4Exp+finPNLReg2Prod3RDFtr4Exp+finPNLReg2Prod4RDFtr4Exp</f>
        <v>3625000</v>
      </c>
      <c r="F602" s="1352">
        <f>finPNLReg2Prod1RDFtr4Exp+finPNLReg2Prod2RDFtr4Exp+finPNLReg2Prod3RDFtr4Exp+finPNLReg2Prod4RDFtr4Exp</f>
        <v>3625000</v>
      </c>
      <c r="G602" s="1352">
        <f>finPNLReg2Prod1RDFtr4Exp+finPNLReg2Prod2RDFtr4Exp+finPNLReg2Prod3RDFtr4Exp+finPNLReg2Prod4RDFtr4Exp</f>
        <v>3625000</v>
      </c>
      <c r="H602" s="1352">
        <f>finPNLReg2Prod1RDFtr4Exp+finPNLReg2Prod2RDFtr4Exp+finPNLReg2Prod3RDFtr4Exp+finPNLReg2Prod4RDFtr4Exp</f>
        <v>3625000</v>
      </c>
      <c r="I602" s="1352">
        <f>finPNLReg2Prod1RDFtr4Exp+finPNLReg2Prod2RDFtr4Exp+finPNLReg2Prod3RDFtr4Exp+finPNLReg2Prod4RDFtr4Exp</f>
        <v>3625000</v>
      </c>
      <c r="J602" s="1351" t="s">
        <v>41</v>
      </c>
      <c r="K602" s="1351" t="b">
        <f t="shared" si="31"/>
        <v>1</v>
      </c>
      <c r="L602" s="1353" t="s">
        <v>1894</v>
      </c>
    </row>
    <row r="603" spans="1:12">
      <c r="A603" s="1350"/>
      <c r="B603" s="1351"/>
      <c r="C603" s="1351" t="s">
        <v>3181</v>
      </c>
      <c r="D603" s="1351"/>
      <c r="E603" s="1354">
        <f>finPNLReg2Prod1RDlt+finPNLReg2Prod2RDlt+finPNLReg2Prod3RDlt+finPNLReg2Prod4RDlt</f>
        <v>24000000</v>
      </c>
      <c r="F603" s="1354">
        <f>finPNLReg2Prod1RDlt+finPNLReg2Prod2RDlt+finPNLReg2Prod3RDlt+finPNLReg2Prod4RDlt</f>
        <v>24000000</v>
      </c>
      <c r="G603" s="1354">
        <f>finPNLReg2Prod1RDlt+finPNLReg2Prod2RDlt+finPNLReg2Prod3RDlt+finPNLReg2Prod4RDlt</f>
        <v>24000000</v>
      </c>
      <c r="H603" s="1354">
        <f>finPNLReg2Prod1RDlt+finPNLReg2Prod2RDlt+finPNLReg2Prod3RDlt+finPNLReg2Prod4RDlt</f>
        <v>24000000</v>
      </c>
      <c r="I603" s="1354">
        <f>finPNLReg2Prod1RDlt+finPNLReg2Prod2RDlt+finPNLReg2Prod3RDlt+finPNLReg2Prod4RDlt</f>
        <v>24000000</v>
      </c>
      <c r="J603" s="1351" t="s">
        <v>1938</v>
      </c>
      <c r="K603" s="1351" t="b">
        <f t="shared" si="31"/>
        <v>1</v>
      </c>
      <c r="L603" s="1353"/>
    </row>
    <row r="604" spans="1:12" ht="12.75">
      <c r="A604" s="1355"/>
      <c r="B604" s="1356"/>
      <c r="C604" s="1357"/>
      <c r="D604" s="1357"/>
      <c r="E604" s="1357"/>
      <c r="F604" s="1357"/>
      <c r="G604" s="1357"/>
      <c r="H604" s="1357"/>
      <c r="I604" s="1357"/>
      <c r="J604" s="1351"/>
      <c r="K604" s="1351" t="b">
        <f t="shared" si="31"/>
        <v>1</v>
      </c>
      <c r="L604" s="1353"/>
    </row>
    <row r="605" spans="1:12" ht="12" thickBot="1">
      <c r="A605" s="1358"/>
      <c r="B605" s="1359"/>
      <c r="C605" s="1360" t="s">
        <v>2241</v>
      </c>
      <c r="D605" s="1360"/>
      <c r="E605" s="1361">
        <f>SUM(E600:E603)</f>
        <v>27625000</v>
      </c>
      <c r="F605" s="1361">
        <f>SUM(F600:F603)</f>
        <v>27625000</v>
      </c>
      <c r="G605" s="1361">
        <f>SUM(G600:G603)</f>
        <v>27625000</v>
      </c>
      <c r="H605" s="1361">
        <f>SUM(H600:H603)</f>
        <v>27625000</v>
      </c>
      <c r="I605" s="1361">
        <f>SUM(I600:I603)</f>
        <v>27625000</v>
      </c>
      <c r="J605" s="1359" t="s">
        <v>90</v>
      </c>
      <c r="K605" s="1359" t="b">
        <f t="shared" si="31"/>
        <v>1</v>
      </c>
      <c r="L605" s="1362"/>
    </row>
    <row r="606" spans="1:12">
      <c r="B606" s="2" t="s">
        <v>2465</v>
      </c>
      <c r="K606" t="b">
        <f t="shared" si="31"/>
        <v>1</v>
      </c>
    </row>
    <row r="607" spans="1:12">
      <c r="B607" s="2"/>
      <c r="C607" t="s">
        <v>3323</v>
      </c>
      <c r="E607" s="398">
        <f ca="1">capPlant1Reg2Alloc*(capPlant1MachInEffCost+capPlant1InEffDepreciation)</f>
        <v>65869183.471098661</v>
      </c>
      <c r="F607" s="398">
        <f ca="1">capPlant1Reg2Alloc*(capPlant1MachInEffCost+capPlant1InEffDepreciation)</f>
        <v>65869183.471098661</v>
      </c>
      <c r="G607" s="398">
        <f ca="1">capPlant1Reg2Alloc*(capPlant1MachInEffCost+capPlant1InEffDepreciation)</f>
        <v>65869183.471098661</v>
      </c>
      <c r="H607" s="398">
        <f ca="1">capPlant1Reg2Alloc*(capPlant1MachInEffCost+capPlant1InEffDepreciation)</f>
        <v>65869183.471098661</v>
      </c>
      <c r="I607" s="398">
        <f ca="1">capPlant1Reg2Alloc*(capPlant1MachInEffCost+capPlant1InEffDepreciation)</f>
        <v>65869183.471098661</v>
      </c>
      <c r="J607" t="s">
        <v>3324</v>
      </c>
      <c r="K607" t="b">
        <f t="shared" ca="1" si="31"/>
        <v>1</v>
      </c>
    </row>
    <row r="608" spans="1:12">
      <c r="B608" s="2"/>
      <c r="C608" t="s">
        <v>2874</v>
      </c>
      <c r="E608" s="398">
        <f ca="1">(capPlant1Reg2Alloc*(capPlant1MachExCapCost+capPlant1ExCapDepreciation))</f>
        <v>0</v>
      </c>
      <c r="F608" s="398">
        <f ca="1">(capPlant1Reg2Alloc*(capPlant1MachExCapCost+capPlant1ExCapDepreciation))</f>
        <v>0</v>
      </c>
      <c r="G608" s="398">
        <f ca="1">(capPlant1Reg2Alloc*(capPlant1MachExCapCost+capPlant1ExCapDepreciation))</f>
        <v>0</v>
      </c>
      <c r="H608" s="398">
        <f ca="1">(capPlant1Reg2Alloc*(capPlant1MachExCapCost+capPlant1ExCapDepreciation))</f>
        <v>0</v>
      </c>
      <c r="I608" s="398">
        <f ca="1">(capPlant1Reg2Alloc*(capPlant1MachExCapCost+capPlant1ExCapDepreciation))</f>
        <v>0</v>
      </c>
      <c r="J608" t="s">
        <v>282</v>
      </c>
      <c r="K608" t="b">
        <f t="shared" ca="1" si="31"/>
        <v>1</v>
      </c>
    </row>
    <row r="609" spans="1:11">
      <c r="C609" t="s">
        <v>396</v>
      </c>
      <c r="E609" s="398">
        <f ca="1">E558+E507+E457+E406</f>
        <v>58336594.613092557</v>
      </c>
      <c r="F609" s="398">
        <f ca="1">F558+F507+F457+F406</f>
        <v>58336594.613092557</v>
      </c>
      <c r="G609" s="398">
        <f ca="1">G558+G507+G457+G406</f>
        <v>58336594.613092557</v>
      </c>
      <c r="H609" s="398">
        <f ca="1">H558+H507+H457+H406</f>
        <v>58336594.613092557</v>
      </c>
      <c r="I609" s="398">
        <f ca="1">I558+I507+I457+I406</f>
        <v>58336594.613092557</v>
      </c>
      <c r="J609" t="s">
        <v>283</v>
      </c>
      <c r="K609" t="b">
        <f t="shared" ca="1" si="31"/>
        <v>1</v>
      </c>
    </row>
    <row r="610" spans="1:11">
      <c r="C610" t="s">
        <v>3411</v>
      </c>
      <c r="E610" s="399">
        <f ca="1">finPNLReg2Prod1SpecProgExp+finPNLReg2Prod3SpecProgExp+finPNLReg2Prod4SpecProgExp</f>
        <v>0</v>
      </c>
      <c r="F610" s="399">
        <f ca="1">finPNLReg2Prod1SpecProgExp+finPNLReg2Prod3SpecProgExp+finPNLReg2Prod4SpecProgExp</f>
        <v>0</v>
      </c>
      <c r="G610" s="399">
        <f ca="1">finPNLReg2Prod1SpecProgExp+finPNLReg2Prod3SpecProgExp+finPNLReg2Prod4SpecProgExp</f>
        <v>0</v>
      </c>
      <c r="H610" s="399">
        <f ca="1">finPNLReg2Prod1SpecProgExp+finPNLReg2Prod3SpecProgExp+finPNLReg2Prod4SpecProgExp</f>
        <v>0</v>
      </c>
      <c r="I610" s="399">
        <f ca="1">finPNLReg2Prod1SpecProgExp+finPNLReg2Prod3SpecProgExp+finPNLReg2Prod4SpecProgExp</f>
        <v>0</v>
      </c>
      <c r="J610" t="s">
        <v>3849</v>
      </c>
      <c r="K610" t="b">
        <f t="shared" ca="1" si="31"/>
        <v>1</v>
      </c>
    </row>
    <row r="611" spans="1:11">
      <c r="C611" s="207"/>
      <c r="D611" s="207"/>
      <c r="E611" s="207"/>
      <c r="F611" s="207"/>
      <c r="G611" s="207"/>
      <c r="H611" s="207"/>
      <c r="I611" s="207"/>
      <c r="K611" t="b">
        <f t="shared" si="31"/>
        <v>1</v>
      </c>
    </row>
    <row r="612" spans="1:11">
      <c r="A612" s="2"/>
      <c r="C612" s="2" t="s">
        <v>2465</v>
      </c>
      <c r="E612" s="13">
        <f ca="1">SUM(E607:E610)</f>
        <v>124205778.08419122</v>
      </c>
      <c r="F612" s="13">
        <f ca="1">SUM(F607:F610)</f>
        <v>124205778.08419122</v>
      </c>
      <c r="G612" s="13">
        <f ca="1">SUM(G607:G610)</f>
        <v>124205778.08419122</v>
      </c>
      <c r="H612" s="13">
        <f ca="1">SUM(H607:H610)</f>
        <v>124205778.08419122</v>
      </c>
      <c r="I612" s="13">
        <f ca="1">SUM(I607:I610)</f>
        <v>124205778.08419122</v>
      </c>
      <c r="J612" s="3" t="s">
        <v>91</v>
      </c>
      <c r="K612" t="b">
        <f t="shared" ca="1" si="31"/>
        <v>1</v>
      </c>
    </row>
    <row r="613" spans="1:11">
      <c r="C613" t="s">
        <v>894</v>
      </c>
      <c r="E613" s="11">
        <f ca="1">E598+E612</f>
        <v>1742312268.8880997</v>
      </c>
      <c r="F613" s="11">
        <f ca="1">F598+F612</f>
        <v>1742312268.8880997</v>
      </c>
      <c r="G613" s="11">
        <f ca="1">G598+G612</f>
        <v>1742312268.8880997</v>
      </c>
      <c r="H613" s="11">
        <f ca="1">H598+H612</f>
        <v>1742312268.8880997</v>
      </c>
      <c r="I613" s="11">
        <f ca="1">I598+I612</f>
        <v>1742312268.8880997</v>
      </c>
      <c r="K613" t="b">
        <f t="shared" ca="1" si="31"/>
        <v>1</v>
      </c>
    </row>
    <row r="614" spans="1:11">
      <c r="B614" s="2" t="s">
        <v>174</v>
      </c>
      <c r="E614" s="17">
        <f ca="1">E583-E613</f>
        <v>1589907604.3803139</v>
      </c>
      <c r="F614" s="17">
        <f ca="1">F583-F613</f>
        <v>1589907604.3803139</v>
      </c>
      <c r="G614" s="17">
        <f ca="1">G583-G613</f>
        <v>1589907604.3803139</v>
      </c>
      <c r="H614" s="17">
        <f ca="1">H583-H613</f>
        <v>1589907604.3803139</v>
      </c>
      <c r="I614" s="17">
        <f ca="1">I583-I613</f>
        <v>1589907604.3803139</v>
      </c>
      <c r="J614" t="s">
        <v>92</v>
      </c>
      <c r="K614" t="b">
        <f t="shared" ca="1" si="31"/>
        <v>1</v>
      </c>
    </row>
    <row r="615" spans="1:11">
      <c r="B615" s="2"/>
      <c r="C615" t="s">
        <v>1428</v>
      </c>
      <c r="E615" s="1310">
        <f ca="1">finPNLReg2OpsMargin/finPNLReg2NetRev</f>
        <v>0.24394065367317938</v>
      </c>
      <c r="F615" s="1310">
        <f ca="1">finPNLReg2OpsMargin/finPNLReg2NetRev</f>
        <v>0.24394065367317938</v>
      </c>
      <c r="G615" s="1310">
        <f ca="1">finPNLReg2OpsMargin/finPNLReg2NetRev</f>
        <v>0.24394065367317938</v>
      </c>
      <c r="H615" s="1310">
        <f ca="1">finPNLReg2OpsMargin/finPNLReg2NetRev</f>
        <v>0.24394065367317938</v>
      </c>
      <c r="I615" s="1310">
        <f ca="1">finPNLReg2OpsMargin/finPNLReg2NetRev</f>
        <v>0.24394065367317938</v>
      </c>
      <c r="J615" t="s">
        <v>2266</v>
      </c>
      <c r="K615" t="b">
        <f t="shared" ca="1" si="31"/>
        <v>1</v>
      </c>
    </row>
    <row r="616" spans="1:11">
      <c r="A616" s="2"/>
      <c r="C616" s="2"/>
      <c r="E616" s="426"/>
      <c r="F616" s="13"/>
      <c r="G616" s="13"/>
      <c r="H616" s="13"/>
      <c r="I616" s="13"/>
      <c r="J616" s="3"/>
      <c r="K616" t="b">
        <f t="shared" si="31"/>
        <v>1</v>
      </c>
    </row>
    <row r="617" spans="1:11" ht="15.75">
      <c r="A617" s="24" t="s">
        <v>651</v>
      </c>
      <c r="B617" s="424"/>
      <c r="C617" s="131"/>
      <c r="D617" s="131"/>
      <c r="E617" s="131"/>
      <c r="F617" s="131"/>
      <c r="G617" s="131"/>
      <c r="H617" s="131"/>
      <c r="I617" s="131"/>
      <c r="K617" t="b">
        <f t="shared" si="31"/>
        <v>1</v>
      </c>
    </row>
    <row r="618" spans="1:11">
      <c r="B618" s="2" t="s">
        <v>2576</v>
      </c>
      <c r="C618" s="2"/>
      <c r="D618" s="2"/>
      <c r="K618" t="b">
        <f t="shared" si="31"/>
        <v>1</v>
      </c>
    </row>
    <row r="619" spans="1:11">
      <c r="B619" s="2"/>
      <c r="C619" s="2" t="s">
        <v>1476</v>
      </c>
      <c r="D619" s="2"/>
      <c r="E619" s="17">
        <f>finPNLReg1Rev+finPNLReg2Rev</f>
        <v>26142123699.5</v>
      </c>
      <c r="F619" s="17">
        <f>finPNLReg1Rev+finPNLReg2Rev</f>
        <v>26142123699.5</v>
      </c>
      <c r="G619" s="17">
        <f>finPNLReg1Rev+finPNLReg2Rev</f>
        <v>26142123699.5</v>
      </c>
      <c r="H619" s="17">
        <f>finPNLReg1Rev+finPNLReg2Rev</f>
        <v>26142123699.5</v>
      </c>
      <c r="I619" s="17">
        <f>finPNLReg1Rev+finPNLReg2Rev</f>
        <v>26142123699.5</v>
      </c>
      <c r="J619" t="s">
        <v>31</v>
      </c>
      <c r="K619" t="b">
        <f t="shared" si="31"/>
        <v>1</v>
      </c>
    </row>
    <row r="620" spans="1:11">
      <c r="B620" s="2"/>
      <c r="C620" t="s">
        <v>93</v>
      </c>
      <c r="E620" s="14">
        <f>finPNLReg1PromoExp+finPNLReg2PromoExp</f>
        <v>3520000000</v>
      </c>
      <c r="F620" s="14">
        <f>finPNLReg1PromoExp+finPNLReg2PromoExp</f>
        <v>3520000000</v>
      </c>
      <c r="G620" s="14">
        <f>finPNLReg1PromoExp+finPNLReg2PromoExp</f>
        <v>3520000000</v>
      </c>
      <c r="H620" s="14">
        <f>finPNLReg1PromoExp+finPNLReg2PromoExp</f>
        <v>3520000000</v>
      </c>
      <c r="I620" s="14">
        <f>finPNLReg1PromoExp+finPNLReg2PromoExp</f>
        <v>3520000000</v>
      </c>
      <c r="J620" t="s">
        <v>1565</v>
      </c>
      <c r="K620" t="b">
        <f t="shared" si="31"/>
        <v>1</v>
      </c>
    </row>
    <row r="621" spans="1:11">
      <c r="B621" s="2"/>
      <c r="C621" s="2" t="s">
        <v>1475</v>
      </c>
      <c r="D621" s="2"/>
      <c r="E621" s="17">
        <f>E619-E620</f>
        <v>22622123699.5</v>
      </c>
      <c r="F621" s="17">
        <f>F619-F620</f>
        <v>22622123699.5</v>
      </c>
      <c r="G621" s="17">
        <f>G619-G620</f>
        <v>22622123699.5</v>
      </c>
      <c r="H621" s="17">
        <f>H619-H620</f>
        <v>22622123699.5</v>
      </c>
      <c r="I621" s="17">
        <f>I619-I620</f>
        <v>22622123699.5</v>
      </c>
      <c r="J621" t="s">
        <v>2662</v>
      </c>
      <c r="K621" t="b">
        <f t="shared" si="31"/>
        <v>1</v>
      </c>
    </row>
    <row r="622" spans="1:11">
      <c r="B622" s="2" t="s">
        <v>2577</v>
      </c>
      <c r="C622" s="2"/>
      <c r="D622" s="2"/>
      <c r="E622" s="17"/>
      <c r="F622" s="17"/>
      <c r="G622" s="17"/>
      <c r="H622" s="17"/>
      <c r="I622" s="17"/>
      <c r="K622" t="b">
        <f t="shared" ref="K622:K684" si="32">MAX(E622:I622)=MIN(E622:I622)</f>
        <v>1</v>
      </c>
    </row>
    <row r="623" spans="1:11">
      <c r="C623" t="s">
        <v>3667</v>
      </c>
      <c r="E623" s="14">
        <f>finPNLReg1COGSMatExp+finPNLReg2COGSMatExp</f>
        <v>7498938068.9326859</v>
      </c>
      <c r="F623" s="14">
        <f>finPNLReg1COGSMatExp+finPNLReg2COGSMatExp</f>
        <v>7498938068.9326859</v>
      </c>
      <c r="G623" s="14">
        <f>finPNLReg1COGSMatExp+finPNLReg2COGSMatExp</f>
        <v>7498938068.9326859</v>
      </c>
      <c r="H623" s="14">
        <f>finPNLReg1COGSMatExp+finPNLReg2COGSMatExp</f>
        <v>7498938068.9326859</v>
      </c>
      <c r="I623" s="14">
        <f>finPNLReg1COGSMatExp+finPNLReg2COGSMatExp</f>
        <v>7498938068.9326859</v>
      </c>
      <c r="J623" t="s">
        <v>32</v>
      </c>
      <c r="K623" t="b">
        <f t="shared" si="32"/>
        <v>1</v>
      </c>
    </row>
    <row r="624" spans="1:11">
      <c r="C624" t="s">
        <v>3642</v>
      </c>
      <c r="E624" s="14">
        <f>finPNLReg1COGSEmp3Exp+finPNLReg2COGSEmp3Exp</f>
        <v>2928617804.1968575</v>
      </c>
      <c r="F624" s="14">
        <f>finPNLReg1COGSEmp3Exp+finPNLReg2COGSEmp3Exp</f>
        <v>2928617804.1968575</v>
      </c>
      <c r="G624" s="14">
        <f>finPNLReg1COGSEmp3Exp+finPNLReg2COGSEmp3Exp</f>
        <v>2928617804.1968575</v>
      </c>
      <c r="H624" s="14">
        <f>finPNLReg1COGSEmp3Exp+finPNLReg2COGSEmp3Exp</f>
        <v>2928617804.1968575</v>
      </c>
      <c r="I624" s="14">
        <f>finPNLReg1COGSEmp3Exp+finPNLReg2COGSEmp3Exp</f>
        <v>2928617804.1968575</v>
      </c>
      <c r="J624" t="s">
        <v>1029</v>
      </c>
      <c r="K624" t="b">
        <f t="shared" si="32"/>
        <v>1</v>
      </c>
    </row>
    <row r="625" spans="1:13">
      <c r="C625" t="s">
        <v>3668</v>
      </c>
      <c r="E625" s="14">
        <f ca="1">finPNLReg1COGSPlant1Exp+finPNLReg2COGSPlant1Exp</f>
        <v>3270945.7993222331</v>
      </c>
      <c r="F625" s="14">
        <f ca="1">finPNLReg1COGSPlant1Exp+finPNLReg2COGSPlant1Exp</f>
        <v>3270945.7993222331</v>
      </c>
      <c r="G625" s="14">
        <f ca="1">finPNLReg1COGSPlant1Exp+finPNLReg2COGSPlant1Exp</f>
        <v>3270945.7993222331</v>
      </c>
      <c r="H625" s="14">
        <f ca="1">finPNLReg1COGSPlant1Exp+finPNLReg2COGSPlant1Exp</f>
        <v>3270945.7993222331</v>
      </c>
      <c r="I625" s="14">
        <f ca="1">finPNLReg1COGSPlant1Exp+finPNLReg2COGSPlant1Exp</f>
        <v>3270945.7993222331</v>
      </c>
      <c r="J625" t="s">
        <v>33</v>
      </c>
      <c r="K625" t="b">
        <f t="shared" ca="1" si="32"/>
        <v>1</v>
      </c>
    </row>
    <row r="626" spans="1:13">
      <c r="C626" t="s">
        <v>3669</v>
      </c>
      <c r="E626" s="14">
        <f>finPNLReg1COGSDepExp+finPNLReg2COGSDepExp</f>
        <v>818084000.00000012</v>
      </c>
      <c r="F626" s="14">
        <f>finPNLReg1COGSDepExp+finPNLReg2COGSDepExp</f>
        <v>818084000.00000012</v>
      </c>
      <c r="G626" s="14">
        <f>finPNLReg1COGSDepExp+finPNLReg2COGSDepExp</f>
        <v>818084000.00000012</v>
      </c>
      <c r="H626" s="14">
        <f>finPNLReg1COGSDepExp+finPNLReg2COGSDepExp</f>
        <v>818084000.00000012</v>
      </c>
      <c r="I626" s="14">
        <f>finPNLReg1COGSDepExp+finPNLReg2COGSDepExp</f>
        <v>818084000.00000012</v>
      </c>
      <c r="J626" t="s">
        <v>34</v>
      </c>
      <c r="K626" t="b">
        <f>MAX(E626:I626)=MIN(E626:I626)</f>
        <v>1</v>
      </c>
    </row>
    <row r="627" spans="1:13">
      <c r="C627" s="207"/>
      <c r="D627" s="207"/>
      <c r="E627" s="207"/>
      <c r="F627" s="207"/>
      <c r="G627" s="207"/>
      <c r="H627" s="207"/>
      <c r="I627" s="207"/>
      <c r="K627" t="b">
        <f t="shared" si="32"/>
        <v>1</v>
      </c>
    </row>
    <row r="628" spans="1:13">
      <c r="C628" s="2" t="s">
        <v>650</v>
      </c>
      <c r="D628" s="2"/>
      <c r="E628" s="17">
        <f ca="1">SUM(E623:E626)</f>
        <v>11248910818.928865</v>
      </c>
      <c r="F628" s="17">
        <f ca="1">SUM(F623:F626)</f>
        <v>11248910818.928865</v>
      </c>
      <c r="G628" s="17">
        <f ca="1">SUM(G623:G626)</f>
        <v>11248910818.928865</v>
      </c>
      <c r="H628" s="17">
        <f ca="1">SUM(H623:H626)</f>
        <v>11248910818.928865</v>
      </c>
      <c r="I628" s="17">
        <f ca="1">SUM(I623:I626)</f>
        <v>11248910818.928865</v>
      </c>
      <c r="K628" t="b">
        <f t="shared" ca="1" si="32"/>
        <v>1</v>
      </c>
    </row>
    <row r="629" spans="1:13">
      <c r="C629" t="s">
        <v>1900</v>
      </c>
      <c r="E629" s="11">
        <v>0</v>
      </c>
      <c r="F629" s="11">
        <v>0</v>
      </c>
      <c r="G629" s="11">
        <v>0</v>
      </c>
      <c r="H629" s="11">
        <v>0</v>
      </c>
      <c r="I629" s="11">
        <v>0</v>
      </c>
      <c r="J629" t="s">
        <v>2297</v>
      </c>
      <c r="K629" t="b">
        <f t="shared" si="32"/>
        <v>1</v>
      </c>
    </row>
    <row r="630" spans="1:13">
      <c r="C630" t="s">
        <v>2405</v>
      </c>
      <c r="E630" s="11">
        <v>0</v>
      </c>
      <c r="F630" s="11">
        <v>0</v>
      </c>
      <c r="G630" s="11">
        <v>0</v>
      </c>
      <c r="H630" s="11">
        <v>0</v>
      </c>
      <c r="I630" s="11">
        <v>0</v>
      </c>
      <c r="K630" t="b">
        <f t="shared" si="32"/>
        <v>1</v>
      </c>
    </row>
    <row r="631" spans="1:13">
      <c r="B631" s="2"/>
      <c r="C631" s="207"/>
      <c r="D631" s="207"/>
      <c r="E631" s="207"/>
      <c r="F631" s="207"/>
      <c r="G631" s="207"/>
      <c r="H631" s="207"/>
      <c r="I631" s="207"/>
      <c r="K631" t="b">
        <f t="shared" si="32"/>
        <v>1</v>
      </c>
    </row>
    <row r="632" spans="1:13">
      <c r="B632" s="2" t="s">
        <v>2577</v>
      </c>
      <c r="E632" s="17">
        <f ca="1">SUM(E628:E630)</f>
        <v>11248910818.928865</v>
      </c>
      <c r="F632" s="17">
        <f ca="1">SUM(F628:F630)</f>
        <v>11248910818.928865</v>
      </c>
      <c r="G632" s="17">
        <f ca="1">SUM(G628:G630)</f>
        <v>11248910818.928865</v>
      </c>
      <c r="H632" s="17">
        <f ca="1">SUM(H628:H630)</f>
        <v>11248910818.928865</v>
      </c>
      <c r="I632" s="17">
        <f ca="1">SUM(I628:I630)</f>
        <v>11248910818.928865</v>
      </c>
      <c r="J632" t="s">
        <v>35</v>
      </c>
      <c r="K632" t="b">
        <f t="shared" ca="1" si="32"/>
        <v>1</v>
      </c>
    </row>
    <row r="633" spans="1:13">
      <c r="B633" s="2" t="s">
        <v>1223</v>
      </c>
      <c r="E633" s="17"/>
      <c r="F633" s="17"/>
      <c r="G633" s="17"/>
      <c r="H633" s="17"/>
      <c r="I633" s="17"/>
      <c r="K633" t="b">
        <f t="shared" si="32"/>
        <v>1</v>
      </c>
    </row>
    <row r="634" spans="1:13">
      <c r="C634" s="2" t="s">
        <v>94</v>
      </c>
      <c r="D634" s="2"/>
      <c r="E634" s="17">
        <f ca="1">finPNLNetRev-finPNLCOGSExp</f>
        <v>11373212880.571135</v>
      </c>
      <c r="F634" s="17">
        <f ca="1">finPNLNetRev-finPNLCOGSExp</f>
        <v>11373212880.571135</v>
      </c>
      <c r="G634" s="17">
        <f ca="1">finPNLNetRev-finPNLCOGSExp</f>
        <v>11373212880.571135</v>
      </c>
      <c r="H634" s="17">
        <f ca="1">finPNLNetRev-finPNLCOGSExp</f>
        <v>11373212880.571135</v>
      </c>
      <c r="I634" s="17">
        <f ca="1">finPNLNetRev-finPNLCOGSExp</f>
        <v>11373212880.571135</v>
      </c>
      <c r="J634" t="s">
        <v>415</v>
      </c>
      <c r="K634" t="b">
        <f t="shared" ca="1" si="32"/>
        <v>1</v>
      </c>
    </row>
    <row r="635" spans="1:13">
      <c r="B635" s="2" t="s">
        <v>1310</v>
      </c>
      <c r="K635" t="b">
        <f t="shared" si="32"/>
        <v>1</v>
      </c>
    </row>
    <row r="636" spans="1:13">
      <c r="B636" s="2"/>
      <c r="C636" t="s">
        <v>1311</v>
      </c>
      <c r="E636" s="14">
        <f>finPNLReg1AdvExp+finPNLReg2AdvExp</f>
        <v>1427000000</v>
      </c>
      <c r="F636" s="14">
        <f>finPNLReg1AdvExp+finPNLReg2AdvExp</f>
        <v>1427000000</v>
      </c>
      <c r="G636" s="14">
        <f>finPNLReg1AdvExp+finPNLReg2AdvExp</f>
        <v>1427000000</v>
      </c>
      <c r="H636" s="14">
        <f>finPNLReg1AdvExp+finPNLReg2AdvExp</f>
        <v>1427000000</v>
      </c>
      <c r="I636" s="14">
        <f>finPNLReg1AdvExp+finPNLReg2AdvExp</f>
        <v>1427000000</v>
      </c>
      <c r="J636" t="s">
        <v>1564</v>
      </c>
      <c r="K636" t="b">
        <f t="shared" si="32"/>
        <v>1</v>
      </c>
    </row>
    <row r="637" spans="1:13">
      <c r="C637" t="s">
        <v>1312</v>
      </c>
      <c r="E637" s="14">
        <f>finPNLReg1Emp1Exp+finPNLReg2Emp2Exp</f>
        <v>435500000</v>
      </c>
      <c r="F637" s="14">
        <f>finPNLReg1Emp1Exp+finPNLReg2Emp2Exp</f>
        <v>435500000</v>
      </c>
      <c r="G637" s="14">
        <f>finPNLReg1Emp1Exp+finPNLReg2Emp2Exp</f>
        <v>435500000</v>
      </c>
      <c r="H637" s="14">
        <f>finPNLReg1Emp1Exp+finPNLReg2Emp2Exp</f>
        <v>435500000</v>
      </c>
      <c r="I637" s="14">
        <f>finPNLReg1Emp1Exp+finPNLReg2Emp2Exp</f>
        <v>435500000</v>
      </c>
      <c r="J637" t="s">
        <v>1566</v>
      </c>
      <c r="K637" t="b">
        <f t="shared" si="32"/>
        <v>1</v>
      </c>
    </row>
    <row r="638" spans="1:13">
      <c r="C638" s="207"/>
      <c r="D638" s="207"/>
      <c r="E638" s="207"/>
      <c r="F638" s="207"/>
      <c r="G638" s="207"/>
      <c r="H638" s="207"/>
      <c r="I638" s="207"/>
      <c r="K638" t="b">
        <f t="shared" si="32"/>
        <v>1</v>
      </c>
    </row>
    <row r="639" spans="1:13" s="33" customFormat="1">
      <c r="A639" s="344"/>
      <c r="B639" s="344"/>
      <c r="C639" s="344" t="s">
        <v>2122</v>
      </c>
      <c r="D639" s="344"/>
      <c r="E639" s="1107">
        <f>SUM(E636:E637)</f>
        <v>1862500000</v>
      </c>
      <c r="F639" s="1107">
        <f>SUM(F636:F637)</f>
        <v>1862500000</v>
      </c>
      <c r="G639" s="1107">
        <f>SUM(G636:G637)</f>
        <v>1862500000</v>
      </c>
      <c r="H639" s="1107">
        <f>SUM(H636:H637)</f>
        <v>1862500000</v>
      </c>
      <c r="I639" s="1107">
        <f>SUM(I636:I637)</f>
        <v>1862500000</v>
      </c>
      <c r="J639" s="33" t="s">
        <v>36</v>
      </c>
      <c r="K639" t="b">
        <f t="shared" si="32"/>
        <v>1</v>
      </c>
      <c r="M639"/>
    </row>
    <row r="640" spans="1:13">
      <c r="A640" s="2"/>
      <c r="C640" t="s">
        <v>1313</v>
      </c>
      <c r="E640" s="14">
        <f ca="1">finPNLReg1InventoryHndlgExp+finPNLReg2InventoryHndlgExp</f>
        <v>138396079.06220549</v>
      </c>
      <c r="F640" s="14">
        <f ca="1">finPNLReg1InventoryHndlgExp+finPNLReg2InventoryHndlgExp</f>
        <v>138396079.06220549</v>
      </c>
      <c r="G640" s="14">
        <f ca="1">finPNLReg1InventoryHndlgExp+finPNLReg2InventoryHndlgExp</f>
        <v>138396079.06220549</v>
      </c>
      <c r="H640" s="14">
        <f ca="1">finPNLReg1InventoryHndlgExp+finPNLReg2InventoryHndlgExp</f>
        <v>138396079.06220549</v>
      </c>
      <c r="I640" s="14">
        <f ca="1">finPNLReg1InventoryHndlgExp+finPNLReg2InventoryHndlgExp</f>
        <v>138396079.06220549</v>
      </c>
      <c r="K640" t="b">
        <f t="shared" ca="1" si="32"/>
        <v>1</v>
      </c>
    </row>
    <row r="641" spans="1:13">
      <c r="C641" t="s">
        <v>2961</v>
      </c>
      <c r="E641" s="14">
        <f>finPNLReg1COGSDistExp+finPNLReg2COGSDistExp</f>
        <v>2278438728.2745266</v>
      </c>
      <c r="F641" s="14">
        <f>finPNLReg1COGSDistExp+finPNLReg2COGSDistExp</f>
        <v>2278438728.2745266</v>
      </c>
      <c r="G641" s="14">
        <f>finPNLReg1COGSDistExp+finPNLReg2COGSDistExp</f>
        <v>2278438728.2745266</v>
      </c>
      <c r="H641" s="14">
        <f>finPNLReg1COGSDistExp+finPNLReg2COGSDistExp</f>
        <v>2278438728.2745266</v>
      </c>
      <c r="I641" s="14">
        <f>finPNLReg1COGSDistExp+finPNLReg2COGSDistExp</f>
        <v>2278438728.2745266</v>
      </c>
      <c r="K641" t="b">
        <f t="shared" si="32"/>
        <v>1</v>
      </c>
    </row>
    <row r="642" spans="1:13">
      <c r="C642" s="207"/>
      <c r="D642" s="207"/>
      <c r="E642" s="207"/>
      <c r="F642" s="207"/>
      <c r="G642" s="207"/>
      <c r="H642" s="207"/>
      <c r="I642" s="207"/>
      <c r="K642" t="b">
        <f t="shared" si="32"/>
        <v>1</v>
      </c>
    </row>
    <row r="643" spans="1:13">
      <c r="A643" s="2"/>
      <c r="B643" s="2"/>
      <c r="C643" s="2" t="s">
        <v>2898</v>
      </c>
      <c r="E643" s="17">
        <f ca="1">SUM(E640:E641)</f>
        <v>2416834807.3367319</v>
      </c>
      <c r="F643" s="17">
        <f ca="1">SUM(F640:F641)</f>
        <v>2416834807.3367319</v>
      </c>
      <c r="G643" s="17">
        <f ca="1">SUM(G640:G641)</f>
        <v>2416834807.3367319</v>
      </c>
      <c r="H643" s="17">
        <f ca="1">SUM(H640:H641)</f>
        <v>2416834807.3367319</v>
      </c>
      <c r="I643" s="17">
        <f ca="1">SUM(I640:I641)</f>
        <v>2416834807.3367319</v>
      </c>
      <c r="J643" t="s">
        <v>1125</v>
      </c>
      <c r="K643" t="b">
        <f t="shared" ca="1" si="32"/>
        <v>1</v>
      </c>
    </row>
    <row r="644" spans="1:13" s="33" customFormat="1">
      <c r="A644" s="344"/>
      <c r="B644" s="344"/>
      <c r="C644" s="470" t="s">
        <v>2962</v>
      </c>
      <c r="E644" s="259">
        <f>finPNLReg1EmpAdminExp+finPNLReg2EmpAdminExp</f>
        <v>581188617.09651983</v>
      </c>
      <c r="F644" s="259">
        <f>finPNLReg1EmpAdminExp+finPNLReg2EmpAdminExp</f>
        <v>581188617.09651983</v>
      </c>
      <c r="G644" s="259">
        <f>finPNLReg1EmpAdminExp+finPNLReg2EmpAdminExp</f>
        <v>581188617.09651983</v>
      </c>
      <c r="H644" s="259">
        <f>finPNLReg1EmpAdminExp+finPNLReg2EmpAdminExp</f>
        <v>581188617.09651983</v>
      </c>
      <c r="I644" s="259">
        <f>finPNLReg1EmpAdminExp+finPNLReg2EmpAdminExp</f>
        <v>581188617.09651983</v>
      </c>
      <c r="K644" t="b">
        <f t="shared" si="32"/>
        <v>1</v>
      </c>
      <c r="M644"/>
    </row>
    <row r="645" spans="1:13">
      <c r="B645" s="2"/>
      <c r="C645" s="3" t="s">
        <v>2963</v>
      </c>
      <c r="E645" s="14">
        <f>finPNLReg1EmpRecDismExp+finPNLReg2EmpRecDismExp+paramRecruitLevelCost+paramRecruitLevelRamp</f>
        <v>39702522.185550973</v>
      </c>
      <c r="F645" s="14">
        <f>finPNLReg1EmpRecDismExp+finPNLReg2EmpRecDismExp+paramRecruitLevelCost+paramRecruitLevelRamp</f>
        <v>39702522.185550973</v>
      </c>
      <c r="G645" s="14">
        <f>finPNLReg1EmpRecDismExp+finPNLReg2EmpRecDismExp+paramRecruitLevelCost+paramRecruitLevelRamp</f>
        <v>39702522.185550973</v>
      </c>
      <c r="H645" s="14">
        <f>finPNLReg1EmpRecDismExp+finPNLReg2EmpRecDismExp+paramRecruitLevelCost+paramRecruitLevelRamp</f>
        <v>39702522.185550973</v>
      </c>
      <c r="I645" s="14">
        <f>finPNLReg1EmpRecDismExp+finPNLReg2EmpRecDismExp+paramRecruitLevelCost+paramRecruitLevelRamp</f>
        <v>39702522.185550973</v>
      </c>
      <c r="K645" t="b">
        <f t="shared" si="32"/>
        <v>1</v>
      </c>
    </row>
    <row r="646" spans="1:13">
      <c r="C646" t="s">
        <v>612</v>
      </c>
      <c r="E646" s="399">
        <f>paramEmpDevRamp+paramEmpDevCost</f>
        <v>32400000</v>
      </c>
      <c r="F646" s="399">
        <f>paramEmpDevRamp+paramEmpDevCost</f>
        <v>32400000</v>
      </c>
      <c r="G646" s="399">
        <f>paramEmpDevRamp+paramEmpDevCost</f>
        <v>32400000</v>
      </c>
      <c r="H646" s="399">
        <f>paramEmpDevRamp+paramEmpDevCost</f>
        <v>32400000</v>
      </c>
      <c r="I646" s="399">
        <f>paramEmpDevRamp+paramEmpDevCost</f>
        <v>32400000</v>
      </c>
      <c r="J646" t="s">
        <v>613</v>
      </c>
      <c r="K646" t="b">
        <f>MAX(E646:I646)=MIN(E646:I646)</f>
        <v>1</v>
      </c>
    </row>
    <row r="647" spans="1:13">
      <c r="B647" s="2"/>
      <c r="C647" s="3" t="s">
        <v>2964</v>
      </c>
      <c r="E647" s="14">
        <f>finPNLReg1FixedAdminExp+finPNLReg2FixedAdminExp</f>
        <v>657848709.0424</v>
      </c>
      <c r="F647" s="14">
        <f>finPNLReg1FixedAdminExp+finPNLReg2FixedAdminExp</f>
        <v>657848709.0424</v>
      </c>
      <c r="G647" s="14">
        <f>finPNLReg1FixedAdminExp+finPNLReg2FixedAdminExp</f>
        <v>657848709.0424</v>
      </c>
      <c r="H647" s="14">
        <f>finPNLReg1FixedAdminExp+finPNLReg2FixedAdminExp</f>
        <v>657848709.0424</v>
      </c>
      <c r="I647" s="14">
        <f>finPNLReg1FixedAdminExp+finPNLReg2FixedAdminExp</f>
        <v>657848709.0424</v>
      </c>
      <c r="K647" t="b">
        <f t="shared" si="32"/>
        <v>1</v>
      </c>
    </row>
    <row r="648" spans="1:13">
      <c r="C648" s="207"/>
      <c r="D648" s="207"/>
      <c r="E648" s="207"/>
      <c r="F648" s="207"/>
      <c r="G648" s="207"/>
      <c r="H648" s="207"/>
      <c r="I648" s="207"/>
      <c r="K648" t="b">
        <f t="shared" si="32"/>
        <v>1</v>
      </c>
    </row>
    <row r="649" spans="1:13">
      <c r="A649" s="2"/>
      <c r="B649" s="2"/>
      <c r="C649" s="2" t="s">
        <v>2965</v>
      </c>
      <c r="E649" s="13">
        <f>SUM(E644:E647)</f>
        <v>1311139848.3244708</v>
      </c>
      <c r="F649" s="13">
        <f>SUM(F644:F647)</f>
        <v>1311139848.3244708</v>
      </c>
      <c r="G649" s="13">
        <f>SUM(G644:G647)</f>
        <v>1311139848.3244708</v>
      </c>
      <c r="H649" s="13">
        <f>SUM(H644:H647)</f>
        <v>1311139848.3244708</v>
      </c>
      <c r="I649" s="13">
        <f>SUM(I644:I647)</f>
        <v>1311139848.3244708</v>
      </c>
      <c r="J649" t="s">
        <v>1126</v>
      </c>
      <c r="K649" t="b">
        <f t="shared" si="32"/>
        <v>1</v>
      </c>
    </row>
    <row r="650" spans="1:13">
      <c r="A650" s="2"/>
      <c r="B650" s="2"/>
      <c r="C650" s="2" t="s">
        <v>2897</v>
      </c>
      <c r="E650" s="17">
        <f ca="1">E639+E643+E649</f>
        <v>5590474655.6612024</v>
      </c>
      <c r="F650" s="17">
        <f ca="1">F639+F643+F649</f>
        <v>5590474655.6612024</v>
      </c>
      <c r="G650" s="17">
        <f ca="1">G639+G643+G649</f>
        <v>5590474655.6612024</v>
      </c>
      <c r="H650" s="17">
        <f ca="1">H639+H643+H649</f>
        <v>5590474655.6612024</v>
      </c>
      <c r="I650" s="17">
        <f ca="1">I639+I643+I649</f>
        <v>5590474655.6612024</v>
      </c>
      <c r="J650" t="s">
        <v>1127</v>
      </c>
      <c r="K650" t="b">
        <f t="shared" ca="1" si="32"/>
        <v>1</v>
      </c>
    </row>
    <row r="651" spans="1:13">
      <c r="B651" s="2" t="s">
        <v>2966</v>
      </c>
      <c r="K651" t="b">
        <f t="shared" si="32"/>
        <v>1</v>
      </c>
    </row>
    <row r="652" spans="1:13">
      <c r="B652" s="2"/>
      <c r="C652" t="str">
        <f>"Total "&amp;DataNameProd1&amp;" R&amp;D"</f>
        <v>Total CSD R&amp;D</v>
      </c>
      <c r="E652" s="398">
        <f>capCSDRnD</f>
        <v>0</v>
      </c>
      <c r="F652" s="398">
        <f>capCSDRnD</f>
        <v>0</v>
      </c>
      <c r="G652" s="398">
        <f>capCSDRnD</f>
        <v>0</v>
      </c>
      <c r="H652" s="398">
        <f>capCSDRnD</f>
        <v>0</v>
      </c>
      <c r="I652" s="398">
        <f>capCSDRnD</f>
        <v>0</v>
      </c>
      <c r="J652" t="s">
        <v>3826</v>
      </c>
      <c r="K652" t="b">
        <f t="shared" si="32"/>
        <v>1</v>
      </c>
    </row>
    <row r="653" spans="1:13">
      <c r="B653" s="2"/>
      <c r="C653" t="str">
        <f>"Total "&amp;DataNameProd3&amp;" R&amp;D"</f>
        <v>Total NCB R&amp;D</v>
      </c>
      <c r="E653" s="398">
        <f>capNCBRnD</f>
        <v>0</v>
      </c>
      <c r="F653" s="398">
        <f>capNCBRnD</f>
        <v>0</v>
      </c>
      <c r="G653" s="398">
        <f>capNCBRnD</f>
        <v>0</v>
      </c>
      <c r="H653" s="398">
        <f>capNCBRnD</f>
        <v>0</v>
      </c>
      <c r="I653" s="398">
        <f>capNCBRnD</f>
        <v>0</v>
      </c>
      <c r="J653" t="s">
        <v>3827</v>
      </c>
      <c r="K653" t="b">
        <f t="shared" si="32"/>
        <v>1</v>
      </c>
    </row>
    <row r="654" spans="1:13">
      <c r="B654" s="2"/>
      <c r="C654" t="str">
        <f>"Total "&amp;DataNameProd4&amp;" R&amp;D"</f>
        <v>Total F&amp;S R&amp;D</v>
      </c>
      <c r="E654" s="398">
        <f>capSnackRnD</f>
        <v>0</v>
      </c>
      <c r="F654" s="398">
        <f>capSnackRnD</f>
        <v>0</v>
      </c>
      <c r="G654" s="398">
        <f>capSnackRnD</f>
        <v>0</v>
      </c>
      <c r="H654" s="398">
        <f>capSnackRnD</f>
        <v>0</v>
      </c>
      <c r="I654" s="398">
        <f>capSnackRnD</f>
        <v>0</v>
      </c>
      <c r="J654" t="s">
        <v>3828</v>
      </c>
      <c r="K654" t="b">
        <f t="shared" si="32"/>
        <v>1</v>
      </c>
    </row>
    <row r="655" spans="1:13">
      <c r="A655" s="2"/>
      <c r="B655" s="2"/>
      <c r="C655" t="str">
        <f>"Total "&amp;DataNameProd2&amp;" R&amp;D"</f>
        <v>Total Breakthrough R&amp;D</v>
      </c>
      <c r="D655" s="2"/>
      <c r="E655" s="398">
        <f>capDisruptRnD</f>
        <v>0</v>
      </c>
      <c r="F655" s="398">
        <f>capDisruptRnD</f>
        <v>0</v>
      </c>
      <c r="G655" s="398">
        <f>capDisruptRnD</f>
        <v>0</v>
      </c>
      <c r="H655" s="398">
        <f>capDisruptRnD</f>
        <v>0</v>
      </c>
      <c r="I655" s="398">
        <f>capDisruptRnD</f>
        <v>0</v>
      </c>
      <c r="J655" t="s">
        <v>3829</v>
      </c>
      <c r="K655" t="b">
        <f t="shared" si="32"/>
        <v>1</v>
      </c>
    </row>
    <row r="656" spans="1:13">
      <c r="A656" s="2"/>
      <c r="B656" s="2"/>
      <c r="C656" t="s">
        <v>3645</v>
      </c>
      <c r="D656" s="2"/>
      <c r="E656" s="14">
        <f>finPNLReg2RDFtr4Exp+finPNLReg1RDFtr4Exp</f>
        <v>8497326.7867337707</v>
      </c>
      <c r="F656" s="14">
        <f>finPNLReg2RDFtr4Exp+finPNLReg1RDFtr4Exp</f>
        <v>8497326.7867337707</v>
      </c>
      <c r="G656" s="14">
        <f>finPNLReg2RDFtr4Exp+finPNLReg1RDFtr4Exp</f>
        <v>8497326.7867337707</v>
      </c>
      <c r="H656" s="14">
        <f>finPNLReg2RDFtr4Exp+finPNLReg1RDFtr4Exp</f>
        <v>8497326.7867337707</v>
      </c>
      <c r="I656" s="14">
        <f>finPNLReg2RDFtr4Exp+finPNLReg1RDFtr4Exp</f>
        <v>8497326.7867337707</v>
      </c>
      <c r="J656" t="s">
        <v>2985</v>
      </c>
      <c r="K656" t="b">
        <f t="shared" si="32"/>
        <v>1</v>
      </c>
    </row>
    <row r="657" spans="1:11">
      <c r="A657" s="2"/>
      <c r="B657" s="2"/>
      <c r="C657" t="s">
        <v>1379</v>
      </c>
      <c r="D657" s="2"/>
      <c r="E657" s="14">
        <f>finPNLReg1LongTermRDExp+finPNLReg2LongTermRDExp</f>
        <v>134000000</v>
      </c>
      <c r="F657" s="14">
        <f>finPNLReg1LongTermRDExp+finPNLReg2LongTermRDExp</f>
        <v>134000000</v>
      </c>
      <c r="G657" s="14">
        <f>finPNLReg1LongTermRDExp+finPNLReg2LongTermRDExp</f>
        <v>134000000</v>
      </c>
      <c r="H657" s="14">
        <f>finPNLReg1LongTermRDExp+finPNLReg2LongTermRDExp</f>
        <v>134000000</v>
      </c>
      <c r="I657" s="14">
        <f>finPNLReg1LongTermRDExp+finPNLReg2LongTermRDExp</f>
        <v>134000000</v>
      </c>
      <c r="J657" t="s">
        <v>1380</v>
      </c>
      <c r="K657" t="b">
        <f t="shared" si="32"/>
        <v>1</v>
      </c>
    </row>
    <row r="658" spans="1:11">
      <c r="C658" s="207"/>
      <c r="D658" s="207"/>
      <c r="E658" s="257"/>
      <c r="F658" s="257"/>
      <c r="G658" s="257"/>
      <c r="H658" s="257"/>
      <c r="I658" s="257"/>
      <c r="K658" t="b">
        <f t="shared" si="32"/>
        <v>1</v>
      </c>
    </row>
    <row r="659" spans="1:11">
      <c r="A659" s="2"/>
      <c r="C659" s="2" t="s">
        <v>3542</v>
      </c>
      <c r="D659" s="2"/>
      <c r="E659" s="13">
        <f>SUM(E652:E657)</f>
        <v>142497326.78673378</v>
      </c>
      <c r="F659" s="13">
        <f>SUM(F652:F657)</f>
        <v>142497326.78673378</v>
      </c>
      <c r="G659" s="13">
        <f>SUM(G652:G657)</f>
        <v>142497326.78673378</v>
      </c>
      <c r="H659" s="13">
        <f>SUM(H652:H657)</f>
        <v>142497326.78673378</v>
      </c>
      <c r="I659" s="13">
        <f>SUM(I652:I657)</f>
        <v>142497326.78673378</v>
      </c>
      <c r="J659" t="s">
        <v>1128</v>
      </c>
      <c r="K659" t="b">
        <f t="shared" si="32"/>
        <v>1</v>
      </c>
    </row>
    <row r="660" spans="1:11">
      <c r="B660" s="2" t="s">
        <v>3543</v>
      </c>
      <c r="K660" t="b">
        <f t="shared" si="32"/>
        <v>1</v>
      </c>
    </row>
    <row r="661" spans="1:11">
      <c r="B661" s="2"/>
      <c r="C661" t="s">
        <v>532</v>
      </c>
      <c r="E661" s="398">
        <f ca="1">finPNLReg1InEffExp+finPNLReg2InEffExp</f>
        <v>193253963.15000004</v>
      </c>
      <c r="F661" s="398">
        <f ca="1">finPNLReg1InEffExp+finPNLReg2InEffExp</f>
        <v>193253963.15000004</v>
      </c>
      <c r="G661" s="398">
        <f ca="1">finPNLReg1InEffExp+finPNLReg2InEffExp</f>
        <v>193253963.15000004</v>
      </c>
      <c r="H661" s="398">
        <f ca="1">finPNLReg1InEffExp+finPNLReg2InEffExp</f>
        <v>193253963.15000004</v>
      </c>
      <c r="I661" s="398">
        <f ca="1">finPNLReg1InEffExp+finPNLReg2InEffExp</f>
        <v>193253963.15000004</v>
      </c>
      <c r="K661" t="b">
        <f t="shared" ca="1" si="32"/>
        <v>1</v>
      </c>
    </row>
    <row r="662" spans="1:11">
      <c r="C662" t="s">
        <v>533</v>
      </c>
      <c r="E662" s="398">
        <f ca="1">finPNLReg1ExcapExp+finPNLReg2ExcapExp</f>
        <v>0</v>
      </c>
      <c r="F662" s="398">
        <f ca="1">finPNLReg1ExcapExp+finPNLReg2ExcapExp</f>
        <v>0</v>
      </c>
      <c r="G662" s="398">
        <f ca="1">finPNLReg1ExcapExp+finPNLReg2ExcapExp</f>
        <v>0</v>
      </c>
      <c r="H662" s="398">
        <f ca="1">finPNLReg1ExcapExp+finPNLReg2ExcapExp</f>
        <v>0</v>
      </c>
      <c r="I662" s="398">
        <f ca="1">finPNLReg1ExcapExp+finPNLReg2ExcapExp</f>
        <v>0</v>
      </c>
      <c r="K662" t="b">
        <f t="shared" ca="1" si="32"/>
        <v>1</v>
      </c>
    </row>
    <row r="663" spans="1:11">
      <c r="C663" t="s">
        <v>534</v>
      </c>
      <c r="E663" s="398">
        <f ca="1">finPNLReg1DisposalExp+finPNLReg2DisposalExp</f>
        <v>172946448.6486631</v>
      </c>
      <c r="F663" s="398">
        <f ca="1">finPNLReg1DisposalExp+finPNLReg2DisposalExp</f>
        <v>172946448.6486631</v>
      </c>
      <c r="G663" s="398">
        <f ca="1">finPNLReg1DisposalExp+finPNLReg2DisposalExp</f>
        <v>172946448.6486631</v>
      </c>
      <c r="H663" s="398">
        <f ca="1">finPNLReg1DisposalExp+finPNLReg2DisposalExp</f>
        <v>172946448.6486631</v>
      </c>
      <c r="I663" s="398">
        <f ca="1">finPNLReg1DisposalExp+finPNLReg2DisposalExp</f>
        <v>172946448.6486631</v>
      </c>
      <c r="K663" t="b">
        <f t="shared" ca="1" si="32"/>
        <v>1</v>
      </c>
    </row>
    <row r="664" spans="1:11">
      <c r="C664" t="s">
        <v>105</v>
      </c>
      <c r="E664" s="399">
        <f ca="1">E355+E610</f>
        <v>0</v>
      </c>
      <c r="F664" s="399">
        <f ca="1">F355+F610</f>
        <v>0</v>
      </c>
      <c r="G664" s="399">
        <f ca="1">G355+G610</f>
        <v>0</v>
      </c>
      <c r="H664" s="399">
        <f ca="1">H355+H610</f>
        <v>0</v>
      </c>
      <c r="I664" s="399">
        <f ca="1">I355+I610</f>
        <v>0</v>
      </c>
      <c r="J664" t="s">
        <v>107</v>
      </c>
      <c r="K664" t="b">
        <f t="shared" ca="1" si="32"/>
        <v>1</v>
      </c>
    </row>
    <row r="665" spans="1:11">
      <c r="C665" t="s">
        <v>106</v>
      </c>
      <c r="E665" s="399">
        <f>paramSpecProgExp</f>
        <v>0</v>
      </c>
      <c r="F665" s="399">
        <f>paramSpecProgExp</f>
        <v>0</v>
      </c>
      <c r="G665" s="399">
        <f>paramSpecProgExp</f>
        <v>0</v>
      </c>
      <c r="H665" s="399">
        <f>paramSpecProgExp</f>
        <v>0</v>
      </c>
      <c r="I665" s="399">
        <f>paramSpecProgExp</f>
        <v>0</v>
      </c>
      <c r="J665" t="s">
        <v>3128</v>
      </c>
      <c r="K665" t="b">
        <f t="shared" si="32"/>
        <v>1</v>
      </c>
    </row>
    <row r="666" spans="1:11">
      <c r="C666" s="207"/>
      <c r="D666" s="207"/>
      <c r="E666" s="207"/>
      <c r="F666" s="207"/>
      <c r="G666" s="207"/>
      <c r="H666" s="207"/>
      <c r="I666" s="207"/>
      <c r="K666" t="b">
        <f t="shared" si="32"/>
        <v>1</v>
      </c>
    </row>
    <row r="667" spans="1:11">
      <c r="C667" s="2" t="s">
        <v>3207</v>
      </c>
      <c r="E667" s="17">
        <f ca="1">SUM(E661:E665)</f>
        <v>366200411.79866314</v>
      </c>
      <c r="F667" s="17">
        <f ca="1">SUM(F661:F665)</f>
        <v>366200411.79866314</v>
      </c>
      <c r="G667" s="17">
        <f ca="1">SUM(G661:G665)</f>
        <v>366200411.79866314</v>
      </c>
      <c r="H667" s="17">
        <f ca="1">SUM(H661:H665)</f>
        <v>366200411.79866314</v>
      </c>
      <c r="I667" s="17">
        <f ca="1">SUM(I661:I665)</f>
        <v>366200411.79866314</v>
      </c>
      <c r="J667" t="s">
        <v>2466</v>
      </c>
      <c r="K667" t="b">
        <f t="shared" ca="1" si="32"/>
        <v>1</v>
      </c>
    </row>
    <row r="668" spans="1:11">
      <c r="A668" s="2"/>
      <c r="C668" s="2" t="s">
        <v>3544</v>
      </c>
      <c r="E668" s="13">
        <f ca="1">E650+E659+E667</f>
        <v>6099172394.2465992</v>
      </c>
      <c r="F668" s="13">
        <f ca="1">F650+F659+F667</f>
        <v>6099172394.2465992</v>
      </c>
      <c r="G668" s="13">
        <f ca="1">G650+G659+G667</f>
        <v>6099172394.2465992</v>
      </c>
      <c r="H668" s="13">
        <f ca="1">H650+H659+H667</f>
        <v>6099172394.2465992</v>
      </c>
      <c r="I668" s="13">
        <f ca="1">I650+I659+I667</f>
        <v>6099172394.2465992</v>
      </c>
      <c r="K668" t="b">
        <f t="shared" ca="1" si="32"/>
        <v>1</v>
      </c>
    </row>
    <row r="669" spans="1:11">
      <c r="B669" s="2" t="s">
        <v>108</v>
      </c>
      <c r="C669" s="2"/>
      <c r="E669" s="14"/>
      <c r="F669" s="14"/>
      <c r="G669" s="14"/>
      <c r="H669" s="14"/>
      <c r="I669" s="14"/>
      <c r="K669" t="b">
        <f t="shared" si="32"/>
        <v>1</v>
      </c>
    </row>
    <row r="670" spans="1:11">
      <c r="C670" t="s">
        <v>2854</v>
      </c>
      <c r="E670" s="11">
        <f>obalGoodWillValue-cbalGoodwillValue</f>
        <v>0</v>
      </c>
      <c r="F670" s="11">
        <f>obalGoodWillValue-cbalGoodwillValue</f>
        <v>0</v>
      </c>
      <c r="G670" s="11">
        <f>obalGoodWillValue-cbalGoodwillValue</f>
        <v>0</v>
      </c>
      <c r="H670" s="11">
        <f>obalGoodWillValue-cbalGoodwillValue</f>
        <v>0</v>
      </c>
      <c r="I670" s="11">
        <f>obalGoodWillValue-cbalGoodwillValue</f>
        <v>0</v>
      </c>
      <c r="J670" t="s">
        <v>99</v>
      </c>
      <c r="K670" t="b">
        <f t="shared" si="32"/>
        <v>1</v>
      </c>
    </row>
    <row r="671" spans="1:11">
      <c r="A671" s="2"/>
      <c r="B671" s="2" t="s">
        <v>1469</v>
      </c>
      <c r="E671" s="17">
        <f ca="1">E634-E668-E670</f>
        <v>5274040486.3245354</v>
      </c>
      <c r="F671" s="17">
        <f ca="1">F634-F668-F670</f>
        <v>5274040486.3245354</v>
      </c>
      <c r="G671" s="17">
        <f ca="1">G634-G668-G670</f>
        <v>5274040486.3245354</v>
      </c>
      <c r="H671" s="17">
        <f ca="1">H634-H668-H670</f>
        <v>5274040486.3245354</v>
      </c>
      <c r="I671" s="17">
        <f ca="1">I634-I668-I670</f>
        <v>5274040486.3245354</v>
      </c>
      <c r="J671" t="s">
        <v>3860</v>
      </c>
      <c r="K671" t="b">
        <f t="shared" ca="1" si="32"/>
        <v>1</v>
      </c>
    </row>
    <row r="672" spans="1:11">
      <c r="A672" s="2"/>
      <c r="B672" s="2"/>
      <c r="C672" t="s">
        <v>429</v>
      </c>
      <c r="E672" s="1519">
        <f ca="1">finPNLOperEarn/finPNLNetRev</f>
        <v>0.23313640029477442</v>
      </c>
      <c r="F672" s="1519">
        <f ca="1">finPNLOperEarn/finPNLNetRev</f>
        <v>0.23313640029477442</v>
      </c>
      <c r="G672" s="1519">
        <f ca="1">finPNLOperEarn/finPNLNetRev</f>
        <v>0.23313640029477442</v>
      </c>
      <c r="H672" s="1519">
        <f ca="1">finPNLOperEarn/finPNLNetRev</f>
        <v>0.23313640029477442</v>
      </c>
      <c r="I672" s="1519">
        <f ca="1">finPNLOperEarn/finPNLNetRev</f>
        <v>0.23313640029477442</v>
      </c>
      <c r="J672" t="s">
        <v>2041</v>
      </c>
      <c r="K672" t="b">
        <f t="shared" ca="1" si="32"/>
        <v>1</v>
      </c>
    </row>
    <row r="673" spans="1:13" s="3" customFormat="1">
      <c r="A673" s="2"/>
      <c r="B673" s="2" t="s">
        <v>3129</v>
      </c>
      <c r="E673" s="454"/>
      <c r="K673" t="b">
        <f t="shared" si="32"/>
        <v>1</v>
      </c>
      <c r="M673"/>
    </row>
    <row r="674" spans="1:13">
      <c r="C674" t="s">
        <v>2307</v>
      </c>
      <c r="E674" s="11">
        <f>capPlant1CapitalLoss</f>
        <v>0</v>
      </c>
      <c r="F674" s="11">
        <f>capPlant1CapitalLoss</f>
        <v>0</v>
      </c>
      <c r="G674" s="11">
        <f>capPlant1CapitalLoss</f>
        <v>0</v>
      </c>
      <c r="H674" s="11">
        <f>capPlant1CapitalLoss</f>
        <v>0</v>
      </c>
      <c r="I674" s="11">
        <f>capPlant1CapitalLoss</f>
        <v>0</v>
      </c>
      <c r="J674" t="s">
        <v>2216</v>
      </c>
      <c r="K674" t="b">
        <f t="shared" si="32"/>
        <v>1</v>
      </c>
    </row>
    <row r="675" spans="1:13">
      <c r="C675" t="s">
        <v>2308</v>
      </c>
      <c r="E675" s="11">
        <f>obalSpecLoansValue*paramSpecLoansIntRate</f>
        <v>0</v>
      </c>
      <c r="F675" s="11">
        <f>obalSpecLoansValue*paramSpecLoansIntRate</f>
        <v>0</v>
      </c>
      <c r="G675" s="11">
        <f>obalSpecLoansValue*paramSpecLoansIntRate</f>
        <v>0</v>
      </c>
      <c r="H675" s="11">
        <f>obalSpecLoansValue*paramSpecLoansIntRate</f>
        <v>0</v>
      </c>
      <c r="I675" s="11">
        <f>obalSpecLoansValue*paramSpecLoansIntRate</f>
        <v>0</v>
      </c>
      <c r="J675" t="s">
        <v>3132</v>
      </c>
      <c r="K675" t="b">
        <f t="shared" si="32"/>
        <v>1</v>
      </c>
    </row>
    <row r="676" spans="1:13">
      <c r="C676" s="207"/>
      <c r="D676" s="207"/>
      <c r="E676" s="257"/>
      <c r="F676" s="257"/>
      <c r="G676" s="257"/>
      <c r="H676" s="257"/>
      <c r="I676" s="257"/>
      <c r="K676" t="b">
        <f t="shared" si="32"/>
        <v>1</v>
      </c>
    </row>
    <row r="677" spans="1:13">
      <c r="A677" s="2"/>
      <c r="C677" s="2" t="s">
        <v>2311</v>
      </c>
      <c r="E677" s="13">
        <f>SUM(E674:E675)</f>
        <v>0</v>
      </c>
      <c r="F677" s="13">
        <f>SUM(F674:F675)</f>
        <v>0</v>
      </c>
      <c r="G677" s="13">
        <f>SUM(G674:G675)</f>
        <v>0</v>
      </c>
      <c r="H677" s="13">
        <f>SUM(H674:H675)</f>
        <v>0</v>
      </c>
      <c r="I677" s="13">
        <f>SUM(I674:I675)</f>
        <v>0</v>
      </c>
      <c r="J677" t="s">
        <v>2217</v>
      </c>
      <c r="K677" t="b">
        <f t="shared" si="32"/>
        <v>1</v>
      </c>
    </row>
    <row r="678" spans="1:13">
      <c r="A678" s="2"/>
      <c r="B678" s="2" t="s">
        <v>1505</v>
      </c>
      <c r="C678" s="2"/>
      <c r="E678" s="13">
        <f ca="1">E671-E677</f>
        <v>5274040486.3245354</v>
      </c>
      <c r="F678" s="13">
        <f ca="1">F671-F677</f>
        <v>5274040486.3245354</v>
      </c>
      <c r="G678" s="13">
        <f ca="1">G671-G677</f>
        <v>5274040486.3245354</v>
      </c>
      <c r="H678" s="13">
        <f ca="1">H671-H677</f>
        <v>5274040486.3245354</v>
      </c>
      <c r="I678" s="13">
        <f ca="1">I671-I677</f>
        <v>5274040486.3245354</v>
      </c>
      <c r="J678" t="s">
        <v>1506</v>
      </c>
      <c r="K678" t="b">
        <f t="shared" ca="1" si="32"/>
        <v>1</v>
      </c>
    </row>
    <row r="679" spans="1:13" s="3" customFormat="1">
      <c r="A679" s="2"/>
      <c r="B679" s="2" t="s">
        <v>3130</v>
      </c>
      <c r="K679" t="b">
        <f t="shared" si="32"/>
        <v>1</v>
      </c>
      <c r="M679"/>
    </row>
    <row r="680" spans="1:13">
      <c r="C680" t="s">
        <v>2312</v>
      </c>
      <c r="D680" s="517"/>
      <c r="E680" s="11">
        <f>-(paramCashIntRate*obalCashValue)</f>
        <v>-495971905.25716424</v>
      </c>
      <c r="F680" s="11">
        <f>-(paramCashIntRate*obalCashValue)</f>
        <v>-495971905.25716424</v>
      </c>
      <c r="G680" s="11">
        <f>-(paramCashIntRate*obalCashValue)</f>
        <v>-495971905.25716424</v>
      </c>
      <c r="H680" s="11">
        <f>-(paramCashIntRate*obalCashValue)</f>
        <v>-495971905.25716424</v>
      </c>
      <c r="I680" s="11">
        <f>-(paramCashIntRate*obalCashValue)</f>
        <v>-495971905.25716424</v>
      </c>
      <c r="J680" t="s">
        <v>3133</v>
      </c>
      <c r="K680" t="b">
        <f t="shared" si="32"/>
        <v>1</v>
      </c>
    </row>
    <row r="681" spans="1:13">
      <c r="C681" t="s">
        <v>2313</v>
      </c>
      <c r="E681" s="11">
        <f>(obalLTDebtValue+cbalLTDebtValue)/2*paramLTDebtIntRate</f>
        <v>373200000</v>
      </c>
      <c r="F681" s="11">
        <f>(obalLTDebtValue+cbalLTDebtValue)/2*paramLTDebtIntRate</f>
        <v>373200000</v>
      </c>
      <c r="G681" s="11">
        <f>(obalLTDebtValue+cbalLTDebtValue)/2*paramLTDebtIntRate</f>
        <v>373200000</v>
      </c>
      <c r="H681" s="11">
        <f>(obalLTDebtValue+cbalLTDebtValue)/2*paramLTDebtIntRate</f>
        <v>373200000</v>
      </c>
      <c r="I681" s="11">
        <f>(obalLTDebtValue+cbalLTDebtValue)/2*paramLTDebtIntRate</f>
        <v>373200000</v>
      </c>
      <c r="J681" t="s">
        <v>3134</v>
      </c>
      <c r="K681" t="b">
        <f t="shared" si="32"/>
        <v>1</v>
      </c>
    </row>
    <row r="682" spans="1:13">
      <c r="C682" s="207"/>
      <c r="D682" s="207"/>
      <c r="E682" s="257"/>
      <c r="F682" s="257"/>
      <c r="G682" s="257"/>
      <c r="H682" s="257"/>
      <c r="I682" s="257"/>
      <c r="K682" t="b">
        <f t="shared" si="32"/>
        <v>1</v>
      </c>
    </row>
    <row r="683" spans="1:13">
      <c r="A683" s="2"/>
      <c r="C683" s="2" t="s">
        <v>3534</v>
      </c>
      <c r="E683" s="13">
        <f>SUM(E680:E681)</f>
        <v>-122771905.25716424</v>
      </c>
      <c r="F683" s="13">
        <f>SUM(F680:F681)</f>
        <v>-122771905.25716424</v>
      </c>
      <c r="G683" s="13">
        <f>SUM(G680:G681)</f>
        <v>-122771905.25716424</v>
      </c>
      <c r="H683" s="13">
        <f>SUM(H680:H681)</f>
        <v>-122771905.25716424</v>
      </c>
      <c r="I683" s="13">
        <f>SUM(I680:I681)</f>
        <v>-122771905.25716424</v>
      </c>
      <c r="J683" t="s">
        <v>2218</v>
      </c>
      <c r="K683" t="b">
        <f t="shared" si="32"/>
        <v>1</v>
      </c>
    </row>
    <row r="684" spans="1:13" s="3" customFormat="1">
      <c r="K684" t="b">
        <f t="shared" si="32"/>
        <v>1</v>
      </c>
    </row>
    <row r="685" spans="1:13" s="3" customFormat="1">
      <c r="A685" s="2"/>
      <c r="B685" s="2" t="s">
        <v>1096</v>
      </c>
      <c r="C685" s="2"/>
      <c r="E685" s="17">
        <f ca="1">finPNLEBIT-finPNLNetIntExp</f>
        <v>5396812391.5816994</v>
      </c>
      <c r="F685" s="17">
        <f ca="1">finPNLEBIT-finPNLNetIntExp</f>
        <v>5396812391.5816994</v>
      </c>
      <c r="G685" s="17">
        <f ca="1">finPNLEBIT-finPNLNetIntExp</f>
        <v>5396812391.5816994</v>
      </c>
      <c r="H685" s="17">
        <f ca="1">finPNLEBIT-finPNLNetIntExp</f>
        <v>5396812391.5816994</v>
      </c>
      <c r="I685" s="17">
        <f ca="1">finPNLEBIT-finPNLNetIntExp</f>
        <v>5396812391.5816994</v>
      </c>
      <c r="K685" t="b">
        <f t="shared" ref="K685:K748" ca="1" si="33">MAX(E685:I685)=MIN(E685:I685)</f>
        <v>1</v>
      </c>
    </row>
    <row r="686" spans="1:13" s="3" customFormat="1">
      <c r="B686" s="2" t="s">
        <v>1470</v>
      </c>
      <c r="C686" s="2"/>
      <c r="E686" s="429">
        <f ca="1">E685*paramTaxRate</f>
        <v>1996820584.8852286</v>
      </c>
      <c r="F686" s="429">
        <f ca="1">F685*paramTaxRate</f>
        <v>1996820584.8852286</v>
      </c>
      <c r="G686" s="429">
        <f ca="1">G685*paramTaxRate</f>
        <v>1996820584.8852286</v>
      </c>
      <c r="H686" s="429">
        <f ca="1">H685*paramTaxRate</f>
        <v>1996820584.8852286</v>
      </c>
      <c r="I686" s="429">
        <f ca="1">I685*paramTaxRate</f>
        <v>1996820584.8852286</v>
      </c>
      <c r="J686" s="3" t="s">
        <v>2219</v>
      </c>
      <c r="K686" t="b">
        <f t="shared" ca="1" si="33"/>
        <v>1</v>
      </c>
    </row>
    <row r="687" spans="1:13" s="3" customFormat="1">
      <c r="A687" s="2"/>
      <c r="B687" s="2" t="s">
        <v>324</v>
      </c>
      <c r="C687" s="2"/>
      <c r="E687" s="17">
        <f ca="1">E685-finPNLTaxExp</f>
        <v>3399991806.6964707</v>
      </c>
      <c r="F687" s="17">
        <f ca="1">F685-finPNLTaxExp</f>
        <v>3399991806.6964707</v>
      </c>
      <c r="G687" s="17">
        <f ca="1">G685-finPNLTaxExp</f>
        <v>3399991806.6964707</v>
      </c>
      <c r="H687" s="17">
        <f ca="1">H685-finPNLTaxExp</f>
        <v>3399991806.6964707</v>
      </c>
      <c r="I687" s="17">
        <f ca="1">I685-finPNLTaxExp</f>
        <v>3399991806.6964707</v>
      </c>
      <c r="J687" s="3" t="s">
        <v>2220</v>
      </c>
      <c r="K687" t="b">
        <f t="shared" ca="1" si="33"/>
        <v>1</v>
      </c>
    </row>
    <row r="688" spans="1:13" s="3" customFormat="1">
      <c r="E688" s="592">
        <f ca="1">E687/E619</f>
        <v>0.1300579802076868</v>
      </c>
      <c r="F688" s="592">
        <f ca="1">F687/F619</f>
        <v>0.1300579802076868</v>
      </c>
      <c r="G688" s="592">
        <f ca="1">G687/G619</f>
        <v>0.1300579802076868</v>
      </c>
      <c r="H688" s="592">
        <f ca="1">H687/H619</f>
        <v>0.1300579802076868</v>
      </c>
      <c r="I688" s="592">
        <f ca="1">I687/I619</f>
        <v>0.1300579802076868</v>
      </c>
      <c r="K688" t="b">
        <f t="shared" ca="1" si="33"/>
        <v>1</v>
      </c>
    </row>
    <row r="689" spans="1:11">
      <c r="A689" s="2"/>
      <c r="B689" s="2" t="s">
        <v>58</v>
      </c>
      <c r="C689" s="2"/>
      <c r="D689" s="2"/>
      <c r="E689" s="17">
        <f ca="1">finPNLCOGSExp+finPNLSGAExp+finPNLOtherOpExp+finPNLRandDExp</f>
        <v>17348083213.175468</v>
      </c>
      <c r="F689" s="17">
        <f ca="1">finPNLCOGSExp+finPNLSGAExp+finPNLOtherOpExp+finPNLRandDExp</f>
        <v>17348083213.175468</v>
      </c>
      <c r="G689" s="17">
        <f ca="1">finPNLCOGSExp+finPNLSGAExp+finPNLOtherOpExp+finPNLRandDExp</f>
        <v>17348083213.175468</v>
      </c>
      <c r="H689" s="17">
        <f ca="1">finPNLCOGSExp+finPNLSGAExp+finPNLOtherOpExp+finPNLRandDExp</f>
        <v>17348083213.175468</v>
      </c>
      <c r="I689" s="17">
        <f ca="1">finPNLCOGSExp+finPNLSGAExp+finPNLOtherOpExp+finPNLRandDExp</f>
        <v>17348083213.175468</v>
      </c>
      <c r="J689" t="s">
        <v>2221</v>
      </c>
      <c r="K689" t="b">
        <f t="shared" ca="1" si="33"/>
        <v>1</v>
      </c>
    </row>
    <row r="690" spans="1:11">
      <c r="K690" t="b">
        <f t="shared" si="33"/>
        <v>1</v>
      </c>
    </row>
    <row r="691" spans="1:11" ht="15.75">
      <c r="A691" s="24" t="s">
        <v>882</v>
      </c>
      <c r="B691" s="25"/>
      <c r="C691" s="25"/>
      <c r="D691" s="25"/>
      <c r="E691" s="25"/>
      <c r="F691" s="25"/>
      <c r="G691" s="25"/>
      <c r="H691" s="25"/>
      <c r="I691" s="25"/>
      <c r="J691" s="131"/>
      <c r="K691" t="b">
        <f t="shared" si="33"/>
        <v>1</v>
      </c>
    </row>
    <row r="692" spans="1:11">
      <c r="A692" s="2" t="s">
        <v>883</v>
      </c>
      <c r="B692" s="2"/>
      <c r="C692" s="2"/>
      <c r="D692" s="2"/>
      <c r="E692" s="13">
        <f>obalCashValue</f>
        <v>4959719052.5716419</v>
      </c>
      <c r="F692" s="13">
        <f>obalCashValue</f>
        <v>4959719052.5716419</v>
      </c>
      <c r="G692" s="13">
        <f>obalCashValue</f>
        <v>4959719052.5716419</v>
      </c>
      <c r="H692" s="13">
        <f>obalCashValue</f>
        <v>4959719052.5716419</v>
      </c>
      <c r="I692" s="13">
        <f>obalCashValue</f>
        <v>4959719052.5716419</v>
      </c>
      <c r="K692" t="b">
        <f t="shared" si="33"/>
        <v>1</v>
      </c>
    </row>
    <row r="693" spans="1:11">
      <c r="E693" s="11"/>
      <c r="F693" s="11"/>
      <c r="G693" s="11"/>
      <c r="H693" s="11"/>
      <c r="I693" s="11"/>
      <c r="K693" t="b">
        <f t="shared" si="33"/>
        <v>1</v>
      </c>
    </row>
    <row r="694" spans="1:11">
      <c r="B694" t="s">
        <v>324</v>
      </c>
      <c r="E694" s="11">
        <f ca="1">finPNLNetEarn</f>
        <v>3399991806.6964707</v>
      </c>
      <c r="F694" s="11">
        <f ca="1">finPNLNetEarn</f>
        <v>3399991806.6964707</v>
      </c>
      <c r="G694" s="11">
        <f ca="1">finPNLNetEarn</f>
        <v>3399991806.6964707</v>
      </c>
      <c r="H694" s="11">
        <f ca="1">finPNLNetEarn</f>
        <v>3399991806.6964707</v>
      </c>
      <c r="I694" s="11">
        <f ca="1">finPNLNetEarn</f>
        <v>3399991806.6964707</v>
      </c>
      <c r="K694" t="b">
        <f t="shared" ca="1" si="33"/>
        <v>1</v>
      </c>
    </row>
    <row r="695" spans="1:11">
      <c r="B695" t="s">
        <v>54</v>
      </c>
      <c r="E695" s="11">
        <f>finPNLCapLossExp</f>
        <v>0</v>
      </c>
      <c r="F695" s="11">
        <f>finPNLCapLossExp</f>
        <v>0</v>
      </c>
      <c r="G695" s="11">
        <f>finPNLCapLossExp</f>
        <v>0</v>
      </c>
      <c r="H695" s="11">
        <f>finPNLCapLossExp</f>
        <v>0</v>
      </c>
      <c r="I695" s="11">
        <f>finPNLCapLossExp</f>
        <v>0</v>
      </c>
      <c r="K695" t="b">
        <f t="shared" si="33"/>
        <v>1</v>
      </c>
    </row>
    <row r="696" spans="1:11">
      <c r="B696" t="s">
        <v>3639</v>
      </c>
      <c r="E696" s="11">
        <f ca="1">capPlant1Depreciation+capPlant1InEffDepreciation+capPlant1ExCapDepreciation</f>
        <v>1010333740</v>
      </c>
      <c r="F696" s="11">
        <f ca="1">capPlant1Depreciation+capPlant1InEffDepreciation+capPlant1ExCapDepreciation</f>
        <v>1010333740</v>
      </c>
      <c r="G696" s="11">
        <f ca="1">capPlant1Depreciation+capPlant1InEffDepreciation+capPlant1ExCapDepreciation</f>
        <v>1010333740</v>
      </c>
      <c r="H696" s="11">
        <f ca="1">capPlant1Depreciation+capPlant1InEffDepreciation+capPlant1ExCapDepreciation</f>
        <v>1010333740</v>
      </c>
      <c r="I696" s="11">
        <f ca="1">capPlant1Depreciation+capPlant1InEffDepreciation+capPlant1ExCapDepreciation</f>
        <v>1010333740</v>
      </c>
      <c r="J696" t="s">
        <v>2222</v>
      </c>
      <c r="K696" t="b">
        <f t="shared" ca="1" si="33"/>
        <v>1</v>
      </c>
    </row>
    <row r="697" spans="1:11">
      <c r="B697" t="s">
        <v>2854</v>
      </c>
      <c r="C697" s="21"/>
      <c r="D697" s="21"/>
      <c r="E697" s="100">
        <f>finPNLAmorGoodwillExp</f>
        <v>0</v>
      </c>
      <c r="F697" s="100">
        <f>finPNLAmorGoodwillExp</f>
        <v>0</v>
      </c>
      <c r="G697" s="100">
        <f>finPNLAmorGoodwillExp</f>
        <v>0</v>
      </c>
      <c r="H697" s="100">
        <f>finPNLAmorGoodwillExp</f>
        <v>0</v>
      </c>
      <c r="I697" s="100">
        <f>finPNLAmorGoodwillExp</f>
        <v>0</v>
      </c>
      <c r="K697" t="b">
        <f t="shared" si="33"/>
        <v>1</v>
      </c>
    </row>
    <row r="698" spans="1:11">
      <c r="C698" s="94"/>
      <c r="D698" s="94"/>
      <c r="E698" s="102"/>
      <c r="F698" s="102"/>
      <c r="G698" s="102"/>
      <c r="H698" s="102"/>
      <c r="I698" s="102"/>
      <c r="K698" t="b">
        <f t="shared" si="33"/>
        <v>1</v>
      </c>
    </row>
    <row r="699" spans="1:11">
      <c r="A699" s="2" t="s">
        <v>884</v>
      </c>
      <c r="B699" s="2"/>
      <c r="C699" s="2"/>
      <c r="D699" s="2"/>
      <c r="E699" s="13">
        <f ca="1">SUM(E694:E698)</f>
        <v>4410325546.6964703</v>
      </c>
      <c r="F699" s="13">
        <f ca="1">SUM(F694:F698)</f>
        <v>4410325546.6964703</v>
      </c>
      <c r="G699" s="13">
        <f ca="1">SUM(G694:G698)</f>
        <v>4410325546.6964703</v>
      </c>
      <c r="H699" s="13">
        <f ca="1">SUM(H694:H698)</f>
        <v>4410325546.6964703</v>
      </c>
      <c r="I699" s="13">
        <f ca="1">SUM(I694:I698)</f>
        <v>4410325546.6964703</v>
      </c>
      <c r="J699" t="s">
        <v>2117</v>
      </c>
      <c r="K699" t="b">
        <f t="shared" ca="1" si="33"/>
        <v>1</v>
      </c>
    </row>
    <row r="700" spans="1:11">
      <c r="E700" s="11"/>
      <c r="F700" s="11"/>
      <c r="G700" s="11"/>
      <c r="H700" s="11"/>
      <c r="I700" s="11"/>
      <c r="K700" t="b">
        <f t="shared" si="33"/>
        <v>1</v>
      </c>
    </row>
    <row r="701" spans="1:11">
      <c r="B701" t="s">
        <v>885</v>
      </c>
      <c r="E701" s="11">
        <f>-(cbalARValue-obalARValue)</f>
        <v>-12758625.916666985</v>
      </c>
      <c r="F701" s="11">
        <f>-(cbalARValue-obalARValue)</f>
        <v>-12758625.916666985</v>
      </c>
      <c r="G701" s="11">
        <f>-(cbalARValue-obalARValue)</f>
        <v>-12758625.916666985</v>
      </c>
      <c r="H701" s="11">
        <f>-(cbalARValue-obalARValue)</f>
        <v>-12758625.916666985</v>
      </c>
      <c r="I701" s="11">
        <f>-(cbalARValue-obalARValue)</f>
        <v>-12758625.916666985</v>
      </c>
      <c r="J701" t="s">
        <v>3676</v>
      </c>
      <c r="K701" t="b">
        <f t="shared" si="33"/>
        <v>1</v>
      </c>
    </row>
    <row r="702" spans="1:11">
      <c r="B702" t="s">
        <v>886</v>
      </c>
      <c r="E702" s="11">
        <f ca="1">-((cbalReg1FGValue-obalReg1FGValue)+(cbalReg2FGValue-obalReg2FGValue))</f>
        <v>-72371767.794470668</v>
      </c>
      <c r="F702" s="11">
        <f ca="1">-((cbalReg1FGValue-obalReg1FGValue)+(cbalReg2FGValue-obalReg2FGValue))</f>
        <v>-72371767.794470668</v>
      </c>
      <c r="G702" s="11">
        <f ca="1">-((cbalReg1FGValue-obalReg1FGValue)+(cbalReg2FGValue-obalReg2FGValue))</f>
        <v>-72371767.794470668</v>
      </c>
      <c r="H702" s="11">
        <f ca="1">-((cbalReg1FGValue-obalReg1FGValue)+(cbalReg2FGValue-obalReg2FGValue))</f>
        <v>-72371767.794470668</v>
      </c>
      <c r="I702" s="11">
        <f ca="1">-((cbalReg1FGValue-obalReg1FGValue)+(cbalReg2FGValue-obalReg2FGValue))</f>
        <v>-72371767.794470668</v>
      </c>
      <c r="J702" t="s">
        <v>3677</v>
      </c>
      <c r="K702" t="b">
        <f t="shared" ca="1" si="33"/>
        <v>1</v>
      </c>
    </row>
    <row r="703" spans="1:11">
      <c r="B703" t="s">
        <v>887</v>
      </c>
      <c r="E703" s="11">
        <f>-((cbalReg1WIPValue-obalReg1WIPValue)+(cbalReg2WIPValue-obalReg2WIPValue))</f>
        <v>-11769.36721634632</v>
      </c>
      <c r="F703" s="11">
        <f>-((cbalReg1WIPValue-obalReg1WIPValue)+(cbalReg2WIPValue-obalReg2WIPValue))</f>
        <v>-11769.36721634632</v>
      </c>
      <c r="G703" s="11">
        <f>-((cbalReg1WIPValue-obalReg1WIPValue)+(cbalReg2WIPValue-obalReg2WIPValue))</f>
        <v>-11769.36721634632</v>
      </c>
      <c r="H703" s="11">
        <f>-((cbalReg1WIPValue-obalReg1WIPValue)+(cbalReg2WIPValue-obalReg2WIPValue))</f>
        <v>-11769.36721634632</v>
      </c>
      <c r="I703" s="11">
        <f>-((cbalReg1WIPValue-obalReg1WIPValue)+(cbalReg2WIPValue-obalReg2WIPValue))</f>
        <v>-11769.36721634632</v>
      </c>
      <c r="J703" t="s">
        <v>3678</v>
      </c>
      <c r="K703" t="b">
        <f t="shared" si="33"/>
        <v>1</v>
      </c>
    </row>
    <row r="704" spans="1:11">
      <c r="B704" t="s">
        <v>2374</v>
      </c>
      <c r="E704" s="11">
        <f>-((cbalReg1MatValue-obalReg1MatValue)+(cbalReg2MatValue-obalReg2MatValue))</f>
        <v>-2975584.8586680889</v>
      </c>
      <c r="F704" s="11">
        <f>-((cbalReg1MatValue-obalReg1MatValue)+(cbalReg2MatValue-obalReg2MatValue))</f>
        <v>-2975584.8586680889</v>
      </c>
      <c r="G704" s="11">
        <f>-((cbalReg1MatValue-obalReg1MatValue)+(cbalReg2MatValue-obalReg2MatValue))</f>
        <v>-2975584.8586680889</v>
      </c>
      <c r="H704" s="11">
        <f>-((cbalReg1MatValue-obalReg1MatValue)+(cbalReg2MatValue-obalReg2MatValue))</f>
        <v>-2975584.8586680889</v>
      </c>
      <c r="I704" s="11">
        <f>-((cbalReg1MatValue-obalReg1MatValue)+(cbalReg2MatValue-obalReg2MatValue))</f>
        <v>-2975584.8586680889</v>
      </c>
      <c r="J704" t="s">
        <v>3679</v>
      </c>
      <c r="K704" t="b">
        <f t="shared" si="33"/>
        <v>1</v>
      </c>
    </row>
    <row r="705" spans="1:11">
      <c r="B705" t="s">
        <v>2375</v>
      </c>
      <c r="E705" s="11">
        <f ca="1">cbalAPValue-obalAPValue</f>
        <v>2854631.8749728203</v>
      </c>
      <c r="F705" s="11">
        <f ca="1">cbalAPValue-obalAPValue</f>
        <v>2854631.8749728203</v>
      </c>
      <c r="G705" s="11">
        <f ca="1">cbalAPValue-obalAPValue</f>
        <v>2854631.8749728203</v>
      </c>
      <c r="H705" s="11">
        <f ca="1">cbalAPValue-obalAPValue</f>
        <v>2854631.8749728203</v>
      </c>
      <c r="I705" s="11">
        <f ca="1">cbalAPValue-obalAPValue</f>
        <v>2854631.8749728203</v>
      </c>
      <c r="J705" t="s">
        <v>3680</v>
      </c>
      <c r="K705" t="b">
        <f t="shared" ca="1" si="33"/>
        <v>1</v>
      </c>
    </row>
    <row r="706" spans="1:11">
      <c r="B706" t="s">
        <v>2376</v>
      </c>
      <c r="E706" s="11">
        <f>cbalOtherCurrLiabValue-obalOtherCurrLiabValue</f>
        <v>330000000.00000048</v>
      </c>
      <c r="F706" s="11">
        <f>cbalOtherCurrLiabValue-obalOtherCurrLiabValue</f>
        <v>330000000.00000048</v>
      </c>
      <c r="G706" s="11">
        <f>cbalOtherCurrLiabValue-obalOtherCurrLiabValue</f>
        <v>330000000.00000048</v>
      </c>
      <c r="H706" s="11">
        <f>cbalOtherCurrLiabValue-obalOtherCurrLiabValue</f>
        <v>330000000.00000048</v>
      </c>
      <c r="I706" s="11">
        <f>cbalOtherCurrLiabValue-obalOtherCurrLiabValue</f>
        <v>330000000.00000048</v>
      </c>
      <c r="J706" t="s">
        <v>3681</v>
      </c>
      <c r="K706" t="b">
        <f t="shared" si="33"/>
        <v>1</v>
      </c>
    </row>
    <row r="707" spans="1:11">
      <c r="C707" s="94"/>
      <c r="D707" s="94"/>
      <c r="E707" s="102"/>
      <c r="F707" s="102"/>
      <c r="G707" s="102"/>
      <c r="H707" s="102"/>
      <c r="I707" s="102"/>
      <c r="K707" t="b">
        <f t="shared" si="33"/>
        <v>1</v>
      </c>
    </row>
    <row r="708" spans="1:11">
      <c r="A708" s="2" t="s">
        <v>2377</v>
      </c>
      <c r="B708" s="2"/>
      <c r="C708" s="2"/>
      <c r="D708" s="2"/>
      <c r="E708" s="13">
        <f ca="1">SUM(E701:E707)</f>
        <v>244736883.93795121</v>
      </c>
      <c r="F708" s="13">
        <f ca="1">SUM(F701:F707)</f>
        <v>244736883.93795121</v>
      </c>
      <c r="G708" s="13">
        <f ca="1">SUM(G701:G707)</f>
        <v>244736883.93795121</v>
      </c>
      <c r="H708" s="13">
        <f ca="1">SUM(H701:H707)</f>
        <v>244736883.93795121</v>
      </c>
      <c r="I708" s="13">
        <f ca="1">SUM(I701:I707)</f>
        <v>244736883.93795121</v>
      </c>
      <c r="J708" t="s">
        <v>2223</v>
      </c>
      <c r="K708" t="b">
        <f t="shared" ca="1" si="33"/>
        <v>1</v>
      </c>
    </row>
    <row r="709" spans="1:11">
      <c r="A709" s="2"/>
      <c r="B709" s="2"/>
      <c r="C709" s="2"/>
      <c r="D709" s="2"/>
      <c r="E709" s="13"/>
      <c r="F709" s="13"/>
      <c r="G709" s="13"/>
      <c r="H709" s="13"/>
      <c r="I709" s="13"/>
      <c r="K709" t="b">
        <f t="shared" si="33"/>
        <v>1</v>
      </c>
    </row>
    <row r="710" spans="1:11">
      <c r="A710" s="2" t="s">
        <v>2378</v>
      </c>
      <c r="B710" s="2"/>
      <c r="C710" s="2"/>
      <c r="D710" s="2"/>
      <c r="E710" s="13">
        <f ca="1">E699+E708</f>
        <v>4655062430.6344213</v>
      </c>
      <c r="F710" s="13">
        <f ca="1">F699+F708</f>
        <v>4655062430.6344213</v>
      </c>
      <c r="G710" s="13">
        <f ca="1">G699+G708</f>
        <v>4655062430.6344213</v>
      </c>
      <c r="H710" s="13">
        <f ca="1">H699+H708</f>
        <v>4655062430.6344213</v>
      </c>
      <c r="I710" s="13">
        <f ca="1">I699+I708</f>
        <v>4655062430.6344213</v>
      </c>
      <c r="J710" t="s">
        <v>2054</v>
      </c>
      <c r="K710" t="b">
        <f t="shared" ca="1" si="33"/>
        <v>1</v>
      </c>
    </row>
    <row r="711" spans="1:11">
      <c r="E711" s="11"/>
      <c r="F711" s="11"/>
      <c r="G711" s="11"/>
      <c r="H711" s="11"/>
      <c r="I711" s="11"/>
      <c r="K711" t="b">
        <f t="shared" si="33"/>
        <v>1</v>
      </c>
    </row>
    <row r="712" spans="1:11">
      <c r="B712" t="s">
        <v>776</v>
      </c>
      <c r="E712" s="11">
        <f>-capPlant1Investment</f>
        <v>-999556000</v>
      </c>
      <c r="F712" s="11">
        <f>-capPlant1Investment</f>
        <v>-999556000</v>
      </c>
      <c r="G712" s="11">
        <f>-capPlant1Investment</f>
        <v>-999556000</v>
      </c>
      <c r="H712" s="11">
        <f>-capPlant1Investment</f>
        <v>-999556000</v>
      </c>
      <c r="I712" s="11">
        <f>-capPlant1Investment</f>
        <v>-999556000</v>
      </c>
      <c r="K712" t="b">
        <f t="shared" si="33"/>
        <v>1</v>
      </c>
    </row>
    <row r="713" spans="1:11">
      <c r="B713" t="s">
        <v>2379</v>
      </c>
      <c r="E713" s="11">
        <f>capPlant1DivestmentRevenue</f>
        <v>0</v>
      </c>
      <c r="F713" s="11">
        <f>capPlant1DivestmentRevenue</f>
        <v>0</v>
      </c>
      <c r="G713" s="11">
        <f>capPlant1DivestmentRevenue</f>
        <v>0</v>
      </c>
      <c r="H713" s="11">
        <f>capPlant1DivestmentRevenue</f>
        <v>0</v>
      </c>
      <c r="I713" s="11">
        <f>capPlant1DivestmentRevenue</f>
        <v>0</v>
      </c>
      <c r="K713" t="b">
        <f t="shared" si="33"/>
        <v>1</v>
      </c>
    </row>
    <row r="714" spans="1:11">
      <c r="C714" s="94"/>
      <c r="D714" s="94"/>
      <c r="E714" s="102"/>
      <c r="F714" s="102"/>
      <c r="G714" s="102"/>
      <c r="H714" s="102"/>
      <c r="I714" s="102"/>
      <c r="K714" t="b">
        <f t="shared" si="33"/>
        <v>1</v>
      </c>
    </row>
    <row r="715" spans="1:11">
      <c r="A715" s="2" t="s">
        <v>45</v>
      </c>
      <c r="B715" s="2"/>
      <c r="C715" s="2"/>
      <c r="D715" s="2"/>
      <c r="E715" s="13">
        <f>SUM(E712:E714)</f>
        <v>-999556000</v>
      </c>
      <c r="F715" s="13">
        <f>SUM(F712:F714)</f>
        <v>-999556000</v>
      </c>
      <c r="G715" s="13">
        <f>SUM(G712:G714)</f>
        <v>-999556000</v>
      </c>
      <c r="H715" s="13">
        <f>SUM(H712:H714)</f>
        <v>-999556000</v>
      </c>
      <c r="I715" s="13">
        <f>SUM(I712:I714)</f>
        <v>-999556000</v>
      </c>
      <c r="J715" t="s">
        <v>101</v>
      </c>
      <c r="K715" t="b">
        <f t="shared" si="33"/>
        <v>1</v>
      </c>
    </row>
    <row r="716" spans="1:11">
      <c r="E716" s="11"/>
      <c r="F716" s="11"/>
      <c r="G716" s="11"/>
      <c r="H716" s="11"/>
      <c r="I716" s="11"/>
      <c r="K716" t="b">
        <f t="shared" si="33"/>
        <v>1</v>
      </c>
    </row>
    <row r="717" spans="1:11">
      <c r="B717" t="s">
        <v>2418</v>
      </c>
      <c r="E717" s="11">
        <f>E735</f>
        <v>0</v>
      </c>
      <c r="F717" s="11">
        <f>F735</f>
        <v>0</v>
      </c>
      <c r="G717" s="11">
        <f>G735</f>
        <v>0</v>
      </c>
      <c r="H717" s="11">
        <f>H735</f>
        <v>0</v>
      </c>
      <c r="I717" s="11">
        <f>I735</f>
        <v>0</v>
      </c>
      <c r="J717" t="s">
        <v>1159</v>
      </c>
      <c r="K717" t="b">
        <f t="shared" si="33"/>
        <v>1</v>
      </c>
    </row>
    <row r="718" spans="1:11">
      <c r="B718" t="s">
        <v>3900</v>
      </c>
      <c r="E718" s="11">
        <f>-(cbalCStockShares*capDividendAmount)</f>
        <v>-1919599500</v>
      </c>
      <c r="F718" s="11">
        <f>-(cbalCStockShares*capDividendAmount)</f>
        <v>-1919599500</v>
      </c>
      <c r="G718" s="11">
        <f>-(cbalCStockShares*capDividendAmount)</f>
        <v>-1919599500</v>
      </c>
      <c r="H718" s="11">
        <f>-(cbalCStockShares*capDividendAmount)</f>
        <v>-1919599500</v>
      </c>
      <c r="I718" s="11">
        <f>-(cbalCStockShares*capDividendAmount)</f>
        <v>-1919599500</v>
      </c>
      <c r="J718" t="s">
        <v>2420</v>
      </c>
      <c r="K718" t="b">
        <f t="shared" si="33"/>
        <v>1</v>
      </c>
    </row>
    <row r="719" spans="1:11">
      <c r="B719" t="s">
        <v>3901</v>
      </c>
      <c r="E719" s="11">
        <f>(obalLTDebtValue/(obalLTDebtValue+obalCStockValue))*capLTDebtChange</f>
        <v>0</v>
      </c>
      <c r="F719" s="11">
        <f>(obalLTDebtValue/(obalLTDebtValue+obalCStockValue))*capLTDebtChange</f>
        <v>0</v>
      </c>
      <c r="G719" s="11">
        <f>(obalLTDebtValue/(obalLTDebtValue+obalCStockValue))*capLTDebtChange</f>
        <v>0</v>
      </c>
      <c r="H719" s="11">
        <f>(obalLTDebtValue/(obalLTDebtValue+obalCStockValue))*capLTDebtChange</f>
        <v>0</v>
      </c>
      <c r="I719" s="11">
        <f>(obalLTDebtValue/(obalLTDebtValue+obalCStockValue))*capLTDebtChange</f>
        <v>0</v>
      </c>
      <c r="J719" t="s">
        <v>1160</v>
      </c>
      <c r="K719" t="b">
        <f t="shared" si="33"/>
        <v>1</v>
      </c>
    </row>
    <row r="720" spans="1:11">
      <c r="A720" s="3"/>
      <c r="B720" s="3" t="s">
        <v>3902</v>
      </c>
      <c r="C720" s="3"/>
      <c r="D720" s="3"/>
      <c r="E720" s="23">
        <f ca="1">IF((SUM(E710,E715,E717:E719)+obalCashValue)&lt;0,-SUM(E710,E715,E717:E719)-obalCashValue, IF(obalSpecLoansValue&gt;0, MAX(-SUM(E710,E715,E717:E719),-obalSpecLoansValue),0))</f>
        <v>0</v>
      </c>
      <c r="F720" s="23">
        <f ca="1">IF((SUM(F710,F715,F717:F719)+obalCashValue)&lt;0,-SUM(F710,F715,F717:F719)-obalCashValue, IF(obalSpecLoansValue&gt;0, MAX(-SUM(F710,F715,F717:F719),-obalSpecLoansValue),0))</f>
        <v>0</v>
      </c>
      <c r="G720" s="23">
        <f ca="1">IF((SUM(G710,G715,G717:G719)+obalCashValue)&lt;0,-SUM(G710,G715,G717:G719)-obalCashValue, IF(obalSpecLoansValue&gt;0, MAX(-SUM(G710,G715,G717:G719),-obalSpecLoansValue),0))</f>
        <v>0</v>
      </c>
      <c r="H720" s="23">
        <f ca="1">IF((SUM(H710,H715,H717:H719)+obalCashValue)&lt;0,-SUM(H710,H715,H717:H719)-obalCashValue, IF(obalSpecLoansValue&gt;0, MAX(-SUM(H710,H715,H717:H719),-obalSpecLoansValue),0))</f>
        <v>0</v>
      </c>
      <c r="I720" s="23">
        <f ca="1">IF((SUM(I710,I715,I717:I719)+obalCashValue)&lt;0,-SUM(I710,I715,I717:I719)-obalCashValue, IF(obalSpecLoansValue&gt;0, MAX(-SUM(I710,I715,I717:I719),-obalSpecLoansValue),0))</f>
        <v>0</v>
      </c>
      <c r="J720" t="s">
        <v>2419</v>
      </c>
      <c r="K720" t="b">
        <f t="shared" ca="1" si="33"/>
        <v>1</v>
      </c>
    </row>
    <row r="721" spans="1:11">
      <c r="A721" s="3"/>
      <c r="B721" s="3"/>
      <c r="C721" s="67"/>
      <c r="D721" s="67"/>
      <c r="E721" s="192"/>
      <c r="F721" s="192"/>
      <c r="G721" s="192"/>
      <c r="H721" s="192"/>
      <c r="I721" s="192"/>
      <c r="K721" t="b">
        <f t="shared" si="33"/>
        <v>1</v>
      </c>
    </row>
    <row r="722" spans="1:11">
      <c r="A722" s="2" t="s">
        <v>51</v>
      </c>
      <c r="B722" s="2"/>
      <c r="C722" s="2"/>
      <c r="D722" s="2"/>
      <c r="E722" s="13">
        <f ca="1">SUM(E717:E721)</f>
        <v>-1919599500</v>
      </c>
      <c r="F722" s="13">
        <f ca="1">SUM(F717:F721)</f>
        <v>-1919599500</v>
      </c>
      <c r="G722" s="13">
        <f ca="1">SUM(G717:G721)</f>
        <v>-1919599500</v>
      </c>
      <c r="H722" s="13">
        <f ca="1">SUM(H717:H721)</f>
        <v>-1919599500</v>
      </c>
      <c r="I722" s="13">
        <f ca="1">SUM(I717:I721)</f>
        <v>-1919599500</v>
      </c>
      <c r="J722" t="s">
        <v>102</v>
      </c>
      <c r="K722" t="b">
        <f t="shared" ca="1" si="33"/>
        <v>1</v>
      </c>
    </row>
    <row r="723" spans="1:11">
      <c r="A723" s="2"/>
      <c r="B723" s="2"/>
      <c r="C723" s="2"/>
      <c r="D723" s="2"/>
      <c r="E723" s="13"/>
      <c r="F723" s="13"/>
      <c r="G723" s="13"/>
      <c r="H723" s="13"/>
      <c r="I723" s="13"/>
      <c r="K723" t="b">
        <f t="shared" si="33"/>
        <v>1</v>
      </c>
    </row>
    <row r="724" spans="1:11">
      <c r="A724" t="s">
        <v>52</v>
      </c>
      <c r="E724" s="11">
        <f ca="1">E710+E715+E722</f>
        <v>1735906930.6344213</v>
      </c>
      <c r="F724" s="11">
        <f ca="1">F710+F715+F722</f>
        <v>1735906930.6344213</v>
      </c>
      <c r="G724" s="11">
        <f ca="1">G710+G715+G722</f>
        <v>1735906930.6344213</v>
      </c>
      <c r="H724" s="11">
        <f ca="1">H710+H715+H722</f>
        <v>1735906930.6344213</v>
      </c>
      <c r="I724" s="11">
        <f ca="1">I710+I715+I722</f>
        <v>1735906930.6344213</v>
      </c>
      <c r="K724" t="b">
        <f t="shared" ca="1" si="33"/>
        <v>1</v>
      </c>
    </row>
    <row r="725" spans="1:11">
      <c r="E725" s="11"/>
      <c r="F725" s="11"/>
      <c r="G725" s="11"/>
      <c r="H725" s="11"/>
      <c r="I725" s="11"/>
      <c r="K725" t="b">
        <f t="shared" si="33"/>
        <v>1</v>
      </c>
    </row>
    <row r="726" spans="1:11">
      <c r="A726" s="2" t="s">
        <v>53</v>
      </c>
      <c r="B726" s="2"/>
      <c r="C726" s="2"/>
      <c r="D726" s="2"/>
      <c r="E726" s="13">
        <f ca="1">obalCashValue+E724</f>
        <v>6695625983.2060633</v>
      </c>
      <c r="F726" s="13">
        <f ca="1">obalCashValue+F724</f>
        <v>6695625983.2060633</v>
      </c>
      <c r="G726" s="13">
        <f ca="1">obalCashValue+G724</f>
        <v>6695625983.2060633</v>
      </c>
      <c r="H726" s="13">
        <f ca="1">obalCashValue+H724</f>
        <v>6695625983.2060633</v>
      </c>
      <c r="I726" s="13">
        <f ca="1">obalCashValue+I724</f>
        <v>6695625983.2060633</v>
      </c>
      <c r="J726" t="s">
        <v>103</v>
      </c>
      <c r="K726" t="b">
        <f t="shared" ca="1" si="33"/>
        <v>1</v>
      </c>
    </row>
    <row r="727" spans="1:11">
      <c r="A727" s="2"/>
      <c r="B727" s="2"/>
      <c r="C727" s="2"/>
      <c r="D727" s="2"/>
      <c r="E727" s="13"/>
      <c r="F727" s="13"/>
      <c r="G727" s="13"/>
      <c r="H727" s="13"/>
      <c r="I727" s="13"/>
      <c r="K727" t="b">
        <f t="shared" si="33"/>
        <v>1</v>
      </c>
    </row>
    <row r="728" spans="1:11">
      <c r="A728" s="2" t="s">
        <v>1995</v>
      </c>
      <c r="B728" s="2"/>
      <c r="C728" s="2"/>
      <c r="D728" s="2"/>
      <c r="E728" s="13">
        <f ca="1">finCashFLowFromOps+finCashFlowInvest</f>
        <v>3655506430.6344213</v>
      </c>
      <c r="F728" s="13">
        <f ca="1">finCashFLowFromOps+finCashFlowInvest</f>
        <v>3655506430.6344213</v>
      </c>
      <c r="G728" s="13">
        <f ca="1">finCashFLowFromOps+finCashFlowInvest</f>
        <v>3655506430.6344213</v>
      </c>
      <c r="H728" s="13">
        <f ca="1">finCashFLowFromOps+finCashFlowInvest</f>
        <v>3655506430.6344213</v>
      </c>
      <c r="I728" s="13">
        <f ca="1">finCashFLowFromOps+finCashFlowInvest</f>
        <v>3655506430.6344213</v>
      </c>
      <c r="J728" t="s">
        <v>1996</v>
      </c>
      <c r="K728" t="b">
        <f t="shared" ca="1" si="33"/>
        <v>1</v>
      </c>
    </row>
    <row r="729" spans="1:11">
      <c r="A729" s="2" t="s">
        <v>2362</v>
      </c>
      <c r="B729" s="2"/>
      <c r="C729" s="2"/>
      <c r="D729" s="2"/>
      <c r="E729" s="13">
        <f ca="1">finPNLOperEarn+finCashFlowWorkCap+finCashFlowInvest</f>
        <v>4519221370.2624865</v>
      </c>
      <c r="F729" s="13">
        <f ca="1">finPNLOperEarn+finCashFlowWorkCap+finCashFlowInvest</f>
        <v>4519221370.2624865</v>
      </c>
      <c r="G729" s="13">
        <f ca="1">finPNLOperEarn+finCashFlowWorkCap+finCashFlowInvest</f>
        <v>4519221370.2624865</v>
      </c>
      <c r="H729" s="13">
        <f ca="1">finPNLOperEarn+finCashFlowWorkCap+finCashFlowInvest</f>
        <v>4519221370.2624865</v>
      </c>
      <c r="I729" s="13">
        <f ca="1">finPNLOperEarn+finCashFlowWorkCap+finCashFlowInvest</f>
        <v>4519221370.2624865</v>
      </c>
      <c r="J729" t="s">
        <v>2363</v>
      </c>
      <c r="K729" t="b">
        <f t="shared" ca="1" si="33"/>
        <v>1</v>
      </c>
    </row>
    <row r="730" spans="1:11">
      <c r="K730" t="b">
        <f t="shared" si="33"/>
        <v>1</v>
      </c>
    </row>
    <row r="731" spans="1:11">
      <c r="A731" s="2" t="s">
        <v>344</v>
      </c>
      <c r="K731" t="b">
        <f t="shared" si="33"/>
        <v>1</v>
      </c>
    </row>
    <row r="732" spans="1:11">
      <c r="A732" s="2" t="s">
        <v>68</v>
      </c>
      <c r="B732" s="2"/>
      <c r="C732" s="2"/>
      <c r="E732" s="397">
        <f>paramCStockParValue</f>
        <v>1</v>
      </c>
      <c r="F732" s="397">
        <f>paramCStockParValue</f>
        <v>1</v>
      </c>
      <c r="G732" s="397">
        <f>paramCStockParValue</f>
        <v>1</v>
      </c>
      <c r="H732" s="397">
        <f>paramCStockParValue</f>
        <v>1</v>
      </c>
      <c r="I732" s="397">
        <f>paramCStockParValue</f>
        <v>1</v>
      </c>
      <c r="K732" t="b">
        <f t="shared" si="33"/>
        <v>1</v>
      </c>
    </row>
    <row r="733" spans="1:11">
      <c r="B733" s="3" t="s">
        <v>1859</v>
      </c>
      <c r="C733" s="3"/>
      <c r="E733" s="398">
        <v>0</v>
      </c>
      <c r="F733" s="398">
        <v>0</v>
      </c>
      <c r="G733" s="398">
        <v>0</v>
      </c>
      <c r="H733" s="398">
        <v>0</v>
      </c>
      <c r="I733" s="398">
        <v>0</v>
      </c>
      <c r="K733" t="b">
        <f t="shared" si="33"/>
        <v>1</v>
      </c>
    </row>
    <row r="734" spans="1:11">
      <c r="B734" s="3" t="s">
        <v>1858</v>
      </c>
      <c r="C734" s="3"/>
      <c r="E734" s="398">
        <f>E735/E732</f>
        <v>0</v>
      </c>
      <c r="F734" s="398">
        <f>F735/F732</f>
        <v>0</v>
      </c>
      <c r="G734" s="398">
        <f>G735/G732</f>
        <v>0</v>
      </c>
      <c r="H734" s="398">
        <f>H735/H732</f>
        <v>0</v>
      </c>
      <c r="I734" s="398">
        <f>I735/I732</f>
        <v>0</v>
      </c>
      <c r="J734" t="s">
        <v>3072</v>
      </c>
      <c r="K734" t="b">
        <f t="shared" si="33"/>
        <v>1</v>
      </c>
    </row>
    <row r="735" spans="1:11">
      <c r="B735" s="3" t="s">
        <v>1860</v>
      </c>
      <c r="C735" s="3"/>
      <c r="E735" s="398">
        <f>(obalCStockValue/(obalLTDebtValue+obalCStockValue))*capLTDebtChange</f>
        <v>0</v>
      </c>
      <c r="F735" s="398">
        <f>(obalCStockValue/(obalLTDebtValue+obalCStockValue))*capLTDebtChange</f>
        <v>0</v>
      </c>
      <c r="G735" s="398">
        <f>(obalCStockValue/(obalLTDebtValue+obalCStockValue))*capLTDebtChange</f>
        <v>0</v>
      </c>
      <c r="H735" s="398">
        <f>(obalCStockValue/(obalLTDebtValue+obalCStockValue))*capLTDebtChange</f>
        <v>0</v>
      </c>
      <c r="I735" s="398">
        <f>(obalCStockValue/(obalLTDebtValue+obalCStockValue))*capLTDebtChange</f>
        <v>0</v>
      </c>
      <c r="J735" t="s">
        <v>3073</v>
      </c>
      <c r="K735" t="b">
        <f t="shared" si="33"/>
        <v>1</v>
      </c>
    </row>
    <row r="736" spans="1:11">
      <c r="B736" s="3" t="s">
        <v>1861</v>
      </c>
      <c r="C736" s="3"/>
      <c r="E736" s="399">
        <f>(E733-E735)*0</f>
        <v>0</v>
      </c>
      <c r="F736" s="399">
        <f>(F733-F735)*0</f>
        <v>0</v>
      </c>
      <c r="G736" s="399">
        <f>(G733-G735)*0</f>
        <v>0</v>
      </c>
      <c r="H736" s="399">
        <f>(H733-H735)*0</f>
        <v>0</v>
      </c>
      <c r="I736" s="399">
        <f>(I733-I735)*0</f>
        <v>0</v>
      </c>
      <c r="J736" t="s">
        <v>2033</v>
      </c>
      <c r="K736" t="b">
        <f t="shared" si="33"/>
        <v>1</v>
      </c>
    </row>
    <row r="737" spans="1:11">
      <c r="A737" s="2" t="s">
        <v>1167</v>
      </c>
      <c r="K737" t="b">
        <f t="shared" si="33"/>
        <v>1</v>
      </c>
    </row>
    <row r="738" spans="1:11">
      <c r="K738" t="b">
        <f t="shared" si="33"/>
        <v>1</v>
      </c>
    </row>
    <row r="739" spans="1:11">
      <c r="A739" t="s">
        <v>153</v>
      </c>
      <c r="E739" s="11">
        <f ca="1">(obalAssetsValue-obalCashValue-obalAPValue-obalOtherCurrLiabValue+cbalAssetsValue-cbalCashValue-cbalAPValue-cbalOtherCurrLiabValue)/2</f>
        <v>8660541813.9867439</v>
      </c>
      <c r="F739" s="11">
        <f ca="1">(obalAssetsValue-obalCashValue-obalAPValue-obalOtherCurrLiabValue+cbalAssetsValue-cbalCashValue-cbalAPValue-cbalOtherCurrLiabValue)/2</f>
        <v>8660541813.9867439</v>
      </c>
      <c r="G739" s="11">
        <f ca="1">(obalAssetsValue-obalCashValue-obalAPValue-obalOtherCurrLiabValue+cbalAssetsValue-cbalCashValue-cbalAPValue-cbalOtherCurrLiabValue)/2</f>
        <v>8660541813.9867439</v>
      </c>
      <c r="H739" s="11">
        <f ca="1">(obalAssetsValue-obalCashValue-obalAPValue-obalOtherCurrLiabValue+cbalAssetsValue-cbalCashValue-cbalAPValue-cbalOtherCurrLiabValue)/2</f>
        <v>8660541813.9867439</v>
      </c>
      <c r="I739" s="11">
        <f ca="1">(obalAssetsValue-obalCashValue-obalAPValue-obalOtherCurrLiabValue+cbalAssetsValue-cbalCashValue-cbalAPValue-cbalOtherCurrLiabValue)/2</f>
        <v>8660541813.9867439</v>
      </c>
      <c r="K739" t="b">
        <f t="shared" ca="1" si="33"/>
        <v>1</v>
      </c>
    </row>
    <row r="740" spans="1:11">
      <c r="A740" s="2" t="s">
        <v>1949</v>
      </c>
      <c r="E740" s="435">
        <f ca="1">E687/E739</f>
        <v>0.39258419158088886</v>
      </c>
      <c r="F740" s="435">
        <f ca="1">F687/F739</f>
        <v>0.39258419158088886</v>
      </c>
      <c r="G740" s="435">
        <f ca="1">G687/G739</f>
        <v>0.39258419158088886</v>
      </c>
      <c r="H740" s="435">
        <f ca="1">H687/H739</f>
        <v>0.39258419158088886</v>
      </c>
      <c r="I740" s="435">
        <f ca="1">I687/I739</f>
        <v>0.39258419158088886</v>
      </c>
      <c r="J740" t="s">
        <v>2123</v>
      </c>
      <c r="K740" t="b">
        <f t="shared" ca="1" si="33"/>
        <v>1</v>
      </c>
    </row>
    <row r="741" spans="1:11">
      <c r="A741" s="3" t="s">
        <v>1947</v>
      </c>
      <c r="E741" s="435">
        <f ca="1">E687/E619</f>
        <v>0.1300579802076868</v>
      </c>
      <c r="F741" s="435">
        <f ca="1">F687/F619</f>
        <v>0.1300579802076868</v>
      </c>
      <c r="G741" s="435">
        <f ca="1">G687/G619</f>
        <v>0.1300579802076868</v>
      </c>
      <c r="H741" s="435">
        <f ca="1">H687/H619</f>
        <v>0.1300579802076868</v>
      </c>
      <c r="I741" s="435">
        <f ca="1">I687/I619</f>
        <v>0.1300579802076868</v>
      </c>
      <c r="J741" t="s">
        <v>2124</v>
      </c>
      <c r="K741" t="b">
        <f t="shared" ca="1" si="33"/>
        <v>1</v>
      </c>
    </row>
    <row r="742" spans="1:11">
      <c r="A742" t="s">
        <v>1603</v>
      </c>
      <c r="E742" s="18">
        <f ca="1">E621/E739</f>
        <v>2.61209104296054</v>
      </c>
      <c r="F742" s="18">
        <f ca="1">F621/F739</f>
        <v>2.61209104296054</v>
      </c>
      <c r="G742" s="18">
        <f ca="1">G621/G739</f>
        <v>2.61209104296054</v>
      </c>
      <c r="H742" s="18">
        <f ca="1">H621/H739</f>
        <v>2.61209104296054</v>
      </c>
      <c r="I742" s="18">
        <f ca="1">I621/I739</f>
        <v>2.61209104296054</v>
      </c>
      <c r="J742" t="s">
        <v>3121</v>
      </c>
      <c r="K742" t="b">
        <f t="shared" ca="1" si="33"/>
        <v>1</v>
      </c>
    </row>
    <row r="743" spans="1:11">
      <c r="E743" s="18"/>
      <c r="K743" t="b">
        <f t="shared" si="33"/>
        <v>1</v>
      </c>
    </row>
    <row r="744" spans="1:11">
      <c r="A744" s="2" t="s">
        <v>3112</v>
      </c>
      <c r="E744" s="18"/>
      <c r="K744" t="b">
        <f t="shared" si="33"/>
        <v>1</v>
      </c>
    </row>
    <row r="745" spans="1:11">
      <c r="A745" t="s">
        <v>1418</v>
      </c>
      <c r="E745" s="398">
        <f ca="1">E687+E683</f>
        <v>3277219901.4393063</v>
      </c>
      <c r="F745" s="398">
        <f ca="1">F687+F683</f>
        <v>3277219901.4393063</v>
      </c>
      <c r="G745" s="398">
        <f ca="1">G687+G683</f>
        <v>3277219901.4393063</v>
      </c>
      <c r="H745" s="398">
        <f ca="1">H687+H683</f>
        <v>3277219901.4393063</v>
      </c>
      <c r="I745" s="398">
        <f ca="1">I687+I683</f>
        <v>3277219901.4393063</v>
      </c>
      <c r="J745" t="s">
        <v>177</v>
      </c>
      <c r="K745" t="b">
        <f t="shared" ca="1" si="33"/>
        <v>1</v>
      </c>
    </row>
    <row r="746" spans="1:11">
      <c r="A746" t="s">
        <v>2352</v>
      </c>
      <c r="E746" s="398">
        <f>cbalCStockValue</f>
        <v>5223400000</v>
      </c>
      <c r="F746" s="398">
        <f>cbalCStockValue</f>
        <v>5223400000</v>
      </c>
      <c r="G746" s="398">
        <f>cbalCStockValue</f>
        <v>5223400000</v>
      </c>
      <c r="H746" s="398">
        <f>cbalCStockValue</f>
        <v>5223400000</v>
      </c>
      <c r="I746" s="398">
        <f>cbalCStockValue</f>
        <v>5223400000</v>
      </c>
      <c r="J746" t="s">
        <v>3879</v>
      </c>
      <c r="K746" t="b">
        <f t="shared" si="33"/>
        <v>1</v>
      </c>
    </row>
    <row r="747" spans="1:11">
      <c r="A747" t="s">
        <v>323</v>
      </c>
      <c r="E747" s="398">
        <f>cbalRetEarnValue</f>
        <v>3495018678.5273628</v>
      </c>
      <c r="F747" s="398">
        <f>cbalRetEarnValue</f>
        <v>3495018678.5273628</v>
      </c>
      <c r="G747" s="398">
        <f>cbalRetEarnValue</f>
        <v>3495018678.5273628</v>
      </c>
      <c r="H747" s="398">
        <f>cbalRetEarnValue</f>
        <v>3495018678.5273628</v>
      </c>
      <c r="I747" s="398">
        <f>cbalRetEarnValue</f>
        <v>3495018678.5273628</v>
      </c>
      <c r="J747" t="s">
        <v>3880</v>
      </c>
      <c r="K747" t="b">
        <f t="shared" si="33"/>
        <v>1</v>
      </c>
    </row>
    <row r="748" spans="1:11">
      <c r="A748" t="s">
        <v>324</v>
      </c>
      <c r="E748" s="399">
        <f ca="1">finPNLNetEarn</f>
        <v>3399991806.6964707</v>
      </c>
      <c r="F748" s="399">
        <f ca="1">finPNLNetEarn</f>
        <v>3399991806.6964707</v>
      </c>
      <c r="G748" s="399">
        <f ca="1">finPNLNetEarn</f>
        <v>3399991806.6964707</v>
      </c>
      <c r="H748" s="399">
        <f ca="1">finPNLNetEarn</f>
        <v>3399991806.6964707</v>
      </c>
      <c r="I748" s="399">
        <f ca="1">finPNLNetEarn</f>
        <v>3399991806.6964707</v>
      </c>
      <c r="J748" t="s">
        <v>3881</v>
      </c>
      <c r="K748" t="b">
        <f t="shared" ca="1" si="33"/>
        <v>1</v>
      </c>
    </row>
    <row r="749" spans="1:11">
      <c r="A749" t="s">
        <v>1419</v>
      </c>
      <c r="E749" s="435">
        <f>paramEquityIntRate</f>
        <v>0.12</v>
      </c>
      <c r="F749" s="435">
        <f>paramEquityIntRate</f>
        <v>0.12</v>
      </c>
      <c r="G749" s="435">
        <f>paramEquityIntRate</f>
        <v>0.12</v>
      </c>
      <c r="H749" s="435">
        <f>paramEquityIntRate</f>
        <v>0.12</v>
      </c>
      <c r="I749" s="435">
        <f>paramEquityIntRate</f>
        <v>0.12</v>
      </c>
      <c r="J749" t="s">
        <v>3919</v>
      </c>
      <c r="K749" t="b">
        <f t="shared" ref="K749:K776" si="34">MAX(E749:I749)=MIN(E749:I749)</f>
        <v>1</v>
      </c>
    </row>
    <row r="750" spans="1:11">
      <c r="A750" t="s">
        <v>1433</v>
      </c>
      <c r="E750" s="399">
        <f>cbalLTDebtValue</f>
        <v>3110000000</v>
      </c>
      <c r="F750" s="399">
        <f>cbalLTDebtValue</f>
        <v>3110000000</v>
      </c>
      <c r="G750" s="399">
        <f>cbalLTDebtValue</f>
        <v>3110000000</v>
      </c>
      <c r="H750" s="399">
        <f>cbalLTDebtValue</f>
        <v>3110000000</v>
      </c>
      <c r="I750" s="399">
        <f>cbalLTDebtValue</f>
        <v>3110000000</v>
      </c>
      <c r="J750" t="s">
        <v>3920</v>
      </c>
      <c r="K750" t="b">
        <f t="shared" si="34"/>
        <v>1</v>
      </c>
    </row>
    <row r="751" spans="1:11">
      <c r="A751" t="s">
        <v>1420</v>
      </c>
      <c r="E751" s="435">
        <f>paramLTDebtIntRate</f>
        <v>0.12</v>
      </c>
      <c r="F751" s="435">
        <f>paramLTDebtIntRate</f>
        <v>0.12</v>
      </c>
      <c r="G751" s="435">
        <f>paramLTDebtIntRate</f>
        <v>0.12</v>
      </c>
      <c r="H751" s="435">
        <f>paramLTDebtIntRate</f>
        <v>0.12</v>
      </c>
      <c r="I751" s="435">
        <f>paramLTDebtIntRate</f>
        <v>0.12</v>
      </c>
      <c r="J751" t="s">
        <v>3921</v>
      </c>
      <c r="K751" t="b">
        <f t="shared" si="34"/>
        <v>1</v>
      </c>
    </row>
    <row r="752" spans="1:11">
      <c r="A752" t="s">
        <v>2340</v>
      </c>
      <c r="E752" s="399">
        <f ca="1">cbalSpecLoansValue</f>
        <v>0</v>
      </c>
      <c r="F752" s="399">
        <f ca="1">cbalSpecLoansValue</f>
        <v>0</v>
      </c>
      <c r="G752" s="399">
        <f ca="1">cbalSpecLoansValue</f>
        <v>0</v>
      </c>
      <c r="H752" s="399">
        <f ca="1">cbalSpecLoansValue</f>
        <v>0</v>
      </c>
      <c r="I752" s="399">
        <f ca="1">cbalSpecLoansValue</f>
        <v>0</v>
      </c>
      <c r="J752" t="s">
        <v>3922</v>
      </c>
      <c r="K752" t="b">
        <f t="shared" ca="1" si="34"/>
        <v>1</v>
      </c>
    </row>
    <row r="753" spans="1:11">
      <c r="A753" t="s">
        <v>1421</v>
      </c>
      <c r="E753" s="435">
        <f>paramSpecLoansIntRate</f>
        <v>0.25</v>
      </c>
      <c r="F753" s="435">
        <f>paramSpecLoansIntRate</f>
        <v>0.25</v>
      </c>
      <c r="G753" s="435">
        <f>paramSpecLoansIntRate</f>
        <v>0.25</v>
      </c>
      <c r="H753" s="435">
        <f>paramSpecLoansIntRate</f>
        <v>0.25</v>
      </c>
      <c r="I753" s="435">
        <f>paramSpecLoansIntRate</f>
        <v>0.25</v>
      </c>
      <c r="J753" t="s">
        <v>3923</v>
      </c>
      <c r="K753" t="b">
        <f t="shared" si="34"/>
        <v>1</v>
      </c>
    </row>
    <row r="754" spans="1:11">
      <c r="A754" t="s">
        <v>1422</v>
      </c>
      <c r="E754" s="399">
        <f ca="1">SUM(E746:E748)+E750+E752</f>
        <v>15228410485.223833</v>
      </c>
      <c r="F754" s="399">
        <f ca="1">SUM(F746:F748)+F750+F752</f>
        <v>15228410485.223833</v>
      </c>
      <c r="G754" s="399">
        <f ca="1">SUM(G746:G748)+G750+G752</f>
        <v>15228410485.223833</v>
      </c>
      <c r="H754" s="399">
        <f ca="1">SUM(H746:H748)+H750+H752</f>
        <v>15228410485.223833</v>
      </c>
      <c r="I754" s="399">
        <f ca="1">SUM(I746:I748)+I750+I752</f>
        <v>15228410485.223833</v>
      </c>
      <c r="J754" t="s">
        <v>3924</v>
      </c>
      <c r="K754" t="b">
        <f t="shared" ca="1" si="34"/>
        <v>1</v>
      </c>
    </row>
    <row r="755" spans="1:11">
      <c r="A755" t="s">
        <v>3165</v>
      </c>
      <c r="E755" s="435">
        <f ca="1">((SUM(E746:E748)*E749)+(E750*E751)+(E752*E753))/E754</f>
        <v>0.12</v>
      </c>
      <c r="F755" s="435">
        <f ca="1">((SUM(F746:F748)*F749)+(F750*F751)+(F752*F753))/F754</f>
        <v>0.12</v>
      </c>
      <c r="G755" s="435">
        <f ca="1">((SUM(G746:G748)*G749)+(G750*G751)+(G752*G753))/G754</f>
        <v>0.12</v>
      </c>
      <c r="H755" s="435">
        <f ca="1">((SUM(H746:H748)*H749)+(H750*H751)+(H752*H753))/H754</f>
        <v>0.12</v>
      </c>
      <c r="I755" s="435">
        <f ca="1">((SUM(I746:I748)*I749)+(I750*I751)+(I752*I753))/I754</f>
        <v>0.12</v>
      </c>
      <c r="J755" t="s">
        <v>3925</v>
      </c>
      <c r="K755" t="b">
        <f t="shared" ca="1" si="34"/>
        <v>1</v>
      </c>
    </row>
    <row r="756" spans="1:11">
      <c r="A756" t="s">
        <v>1845</v>
      </c>
      <c r="E756" s="398">
        <f ca="1">cbalAssetsValue</f>
        <v>21149181386.870766</v>
      </c>
      <c r="F756" s="398">
        <f ca="1">cbalAssetsValue</f>
        <v>21149181386.870766</v>
      </c>
      <c r="G756" s="398">
        <f ca="1">cbalAssetsValue</f>
        <v>21149181386.870766</v>
      </c>
      <c r="H756" s="398">
        <f ca="1">cbalAssetsValue</f>
        <v>21149181386.870766</v>
      </c>
      <c r="I756" s="398">
        <f ca="1">cbalAssetsValue</f>
        <v>21149181386.870766</v>
      </c>
      <c r="K756" t="b">
        <f t="shared" ca="1" si="34"/>
        <v>1</v>
      </c>
    </row>
    <row r="757" spans="1:11">
      <c r="A757" t="s">
        <v>3166</v>
      </c>
      <c r="E757" s="398">
        <f ca="1">E755*E756</f>
        <v>2537901766.4244919</v>
      </c>
      <c r="F757" s="398">
        <f ca="1">F755*F756</f>
        <v>2537901766.4244919</v>
      </c>
      <c r="G757" s="398">
        <f ca="1">G755*G756</f>
        <v>2537901766.4244919</v>
      </c>
      <c r="H757" s="398">
        <f ca="1">H755*H756</f>
        <v>2537901766.4244919</v>
      </c>
      <c r="I757" s="398">
        <f ca="1">I755*I756</f>
        <v>2537901766.4244919</v>
      </c>
      <c r="J757" t="s">
        <v>3926</v>
      </c>
      <c r="K757" t="b">
        <f t="shared" ca="1" si="34"/>
        <v>1</v>
      </c>
    </row>
    <row r="758" spans="1:11">
      <c r="A758" s="2" t="s">
        <v>1423</v>
      </c>
      <c r="E758" s="399">
        <f ca="1">E745-E757</f>
        <v>739318135.01481438</v>
      </c>
      <c r="F758" s="399">
        <f ca="1">F745-F757</f>
        <v>739318135.01481438</v>
      </c>
      <c r="G758" s="399">
        <f ca="1">G745-G757</f>
        <v>739318135.01481438</v>
      </c>
      <c r="H758" s="399">
        <f ca="1">H745-H757</f>
        <v>739318135.01481438</v>
      </c>
      <c r="I758" s="399">
        <f ca="1">I745-I757</f>
        <v>739318135.01481438</v>
      </c>
      <c r="J758" t="s">
        <v>2499</v>
      </c>
      <c r="K758" t="b">
        <f t="shared" ca="1" si="34"/>
        <v>1</v>
      </c>
    </row>
    <row r="759" spans="1:11">
      <c r="A759" s="455"/>
      <c r="K759" t="b">
        <f t="shared" si="34"/>
        <v>1</v>
      </c>
    </row>
    <row r="760" spans="1:11">
      <c r="A760" s="2" t="s">
        <v>1862</v>
      </c>
      <c r="K760" t="b">
        <f t="shared" si="34"/>
        <v>1</v>
      </c>
    </row>
    <row r="761" spans="1:11">
      <c r="A761" t="s">
        <v>3754</v>
      </c>
      <c r="E761" s="398">
        <f>finPNLNetRev</f>
        <v>22622123699.5</v>
      </c>
      <c r="F761" s="398">
        <f>finPNLNetRev</f>
        <v>22622123699.5</v>
      </c>
      <c r="G761" s="398">
        <f>finPNLNetRev</f>
        <v>22622123699.5</v>
      </c>
      <c r="H761" s="398">
        <f>finPNLNetRev</f>
        <v>22622123699.5</v>
      </c>
      <c r="I761" s="398">
        <f>finPNLNetRev</f>
        <v>22622123699.5</v>
      </c>
      <c r="K761" t="b">
        <f t="shared" si="34"/>
        <v>1</v>
      </c>
    </row>
    <row r="762" spans="1:11">
      <c r="A762" t="s">
        <v>633</v>
      </c>
      <c r="E762" s="398">
        <f ca="1">finPNLCOGSExp</f>
        <v>11248910818.928865</v>
      </c>
      <c r="F762" s="398">
        <f ca="1">finPNLCOGSExp</f>
        <v>11248910818.928865</v>
      </c>
      <c r="G762" s="398">
        <f ca="1">finPNLCOGSExp</f>
        <v>11248910818.928865</v>
      </c>
      <c r="H762" s="398">
        <f ca="1">finPNLCOGSExp</f>
        <v>11248910818.928865</v>
      </c>
      <c r="I762" s="398">
        <f ca="1">finPNLCOGSExp</f>
        <v>11248910818.928865</v>
      </c>
      <c r="K762" t="b">
        <f t="shared" ca="1" si="34"/>
        <v>1</v>
      </c>
    </row>
    <row r="763" spans="1:11">
      <c r="A763" t="s">
        <v>1916</v>
      </c>
      <c r="E763" s="398">
        <f ca="1">finPNLSGAExp</f>
        <v>5590474655.6612024</v>
      </c>
      <c r="F763" s="398">
        <f ca="1">finPNLSGAExp</f>
        <v>5590474655.6612024</v>
      </c>
      <c r="G763" s="398">
        <f ca="1">finPNLSGAExp</f>
        <v>5590474655.6612024</v>
      </c>
      <c r="H763" s="398">
        <f ca="1">finPNLSGAExp</f>
        <v>5590474655.6612024</v>
      </c>
      <c r="I763" s="398">
        <f ca="1">finPNLSGAExp</f>
        <v>5590474655.6612024</v>
      </c>
      <c r="K763" t="b">
        <f t="shared" ca="1" si="34"/>
        <v>1</v>
      </c>
    </row>
    <row r="764" spans="1:11">
      <c r="A764" t="s">
        <v>1863</v>
      </c>
      <c r="E764" s="398">
        <f>finPNLRandDExp</f>
        <v>142497326.78673378</v>
      </c>
      <c r="F764" s="398">
        <f>finPNLRandDExp</f>
        <v>142497326.78673378</v>
      </c>
      <c r="G764" s="398">
        <f>finPNLRandDExp</f>
        <v>142497326.78673378</v>
      </c>
      <c r="H764" s="398">
        <f>finPNLRandDExp</f>
        <v>142497326.78673378</v>
      </c>
      <c r="I764" s="398">
        <f>finPNLRandDExp</f>
        <v>142497326.78673378</v>
      </c>
      <c r="K764" t="b">
        <f t="shared" si="34"/>
        <v>1</v>
      </c>
    </row>
    <row r="765" spans="1:11">
      <c r="A765" t="s">
        <v>2875</v>
      </c>
      <c r="E765" s="398">
        <f ca="1">finPNLOtherOpExp</f>
        <v>366200411.79866314</v>
      </c>
      <c r="F765" s="398">
        <f ca="1">finPNLOtherOpExp</f>
        <v>366200411.79866314</v>
      </c>
      <c r="G765" s="398">
        <f ca="1">finPNLOtherOpExp</f>
        <v>366200411.79866314</v>
      </c>
      <c r="H765" s="398">
        <f ca="1">finPNLOtherOpExp</f>
        <v>366200411.79866314</v>
      </c>
      <c r="I765" s="398">
        <f ca="1">finPNLOtherOpExp</f>
        <v>366200411.79866314</v>
      </c>
      <c r="K765" t="b">
        <f t="shared" ca="1" si="34"/>
        <v>1</v>
      </c>
    </row>
    <row r="766" spans="1:11">
      <c r="A766" t="s">
        <v>2552</v>
      </c>
      <c r="E766" s="398">
        <f ca="1">(E761-E762-E763-E764-E765)*(1-paramTaxRate)</f>
        <v>3322645506.3844571</v>
      </c>
      <c r="F766" s="398">
        <f ca="1">(F761-F762-F763-F764-F765)*(1-paramTaxRate)</f>
        <v>3322645506.3844571</v>
      </c>
      <c r="G766" s="398">
        <f ca="1">(G761-G762-G763-G764-G765)*(1-paramTaxRate)</f>
        <v>3322645506.3844571</v>
      </c>
      <c r="H766" s="398">
        <f ca="1">(H761-H762-H763-H764-H765)*(1-paramTaxRate)</f>
        <v>3322645506.3844571</v>
      </c>
      <c r="I766" s="398">
        <f ca="1">(I761-I762-I763-I764-I765)*(1-paramTaxRate)</f>
        <v>3322645506.3844571</v>
      </c>
      <c r="J766" t="s">
        <v>1070</v>
      </c>
      <c r="K766" t="b">
        <f t="shared" ca="1" si="34"/>
        <v>1</v>
      </c>
    </row>
    <row r="767" spans="1:11">
      <c r="B767" t="s">
        <v>1782</v>
      </c>
      <c r="E767" s="15">
        <f ca="1">E766/finPNLNetRev</f>
        <v>0.14687593218570788</v>
      </c>
      <c r="F767" s="15">
        <f ca="1">F766/finPNLNetRev</f>
        <v>0.14687593218570788</v>
      </c>
      <c r="G767" s="15">
        <f ca="1">G766/finPNLNetRev</f>
        <v>0.14687593218570788</v>
      </c>
      <c r="H767" s="15">
        <f ca="1">H766/finPNLNetRev</f>
        <v>0.14687593218570788</v>
      </c>
      <c r="I767" s="15">
        <f ca="1">I766/finPNLNetRev</f>
        <v>0.14687593218570788</v>
      </c>
      <c r="J767" t="s">
        <v>3851</v>
      </c>
      <c r="K767" t="b">
        <f t="shared" ca="1" si="34"/>
        <v>1</v>
      </c>
    </row>
    <row r="768" spans="1:11">
      <c r="A768" t="s">
        <v>1058</v>
      </c>
      <c r="E768" s="398">
        <f>(cbalGoodwillValue+obalGoodWillValue)/2</f>
        <v>2800000000</v>
      </c>
      <c r="F768" s="398">
        <f>(cbalGoodwillValue+obalGoodWillValue)/2</f>
        <v>2800000000</v>
      </c>
      <c r="G768" s="398">
        <f>(cbalGoodwillValue+obalGoodWillValue)/2</f>
        <v>2800000000</v>
      </c>
      <c r="H768" s="398">
        <f>(cbalGoodwillValue+obalGoodWillValue)/2</f>
        <v>2800000000</v>
      </c>
      <c r="I768" s="398">
        <f>(cbalGoodwillValue+obalGoodWillValue)/2</f>
        <v>2800000000</v>
      </c>
      <c r="K768" t="b">
        <f t="shared" si="34"/>
        <v>1</v>
      </c>
    </row>
    <row r="769" spans="1:11">
      <c r="A769" t="s">
        <v>1843</v>
      </c>
      <c r="E769" s="398">
        <f ca="1">(cbalPlantValue+obalPlantValue)/2</f>
        <v>6379283130</v>
      </c>
      <c r="F769" s="398">
        <f ca="1">(cbalPlantValue+obalPlantValue)/2</f>
        <v>6379283130</v>
      </c>
      <c r="G769" s="398">
        <f ca="1">(cbalPlantValue+obalPlantValue)/2</f>
        <v>6379283130</v>
      </c>
      <c r="H769" s="398">
        <f ca="1">(cbalPlantValue+obalPlantValue)/2</f>
        <v>6379283130</v>
      </c>
      <c r="I769" s="398">
        <f ca="1">(cbalPlantValue+obalPlantValue)/2</f>
        <v>6379283130</v>
      </c>
      <c r="K769" t="b">
        <f t="shared" ca="1" si="34"/>
        <v>1</v>
      </c>
    </row>
    <row r="770" spans="1:11">
      <c r="A770" t="s">
        <v>2551</v>
      </c>
      <c r="E770" s="398">
        <f ca="1">(cbalARValue+obalARValue+cbalCashValue+obalCashValue)/2</f>
        <v>10178313821.513851</v>
      </c>
      <c r="F770" s="398">
        <f ca="1">(cbalARValue+obalARValue+cbalCashValue+obalCashValue)/2</f>
        <v>10178313821.513851</v>
      </c>
      <c r="G770" s="398">
        <f ca="1">(cbalARValue+obalARValue+cbalCashValue+obalCashValue)/2</f>
        <v>10178313821.513851</v>
      </c>
      <c r="H770" s="398">
        <f ca="1">(cbalARValue+obalARValue+cbalCashValue+obalCashValue)/2</f>
        <v>10178313821.513851</v>
      </c>
      <c r="I770" s="398">
        <f ca="1">(cbalARValue+obalARValue+cbalCashValue+obalCashValue)/2</f>
        <v>10178313821.513851</v>
      </c>
      <c r="K770" t="b">
        <f t="shared" ca="1" si="34"/>
        <v>1</v>
      </c>
    </row>
    <row r="771" spans="1:11">
      <c r="A771" t="s">
        <v>1286</v>
      </c>
      <c r="E771" s="398">
        <f>((cbalReg1MatValue+obalReg1MatValue)/2)+((cbalReg2MatValue+obalReg2MatValue)/2)</f>
        <v>837277793.2289319</v>
      </c>
      <c r="F771" s="398">
        <f>((cbalReg1MatValue+obalReg1MatValue)/2)+((cbalReg2MatValue+obalReg2MatValue)/2)</f>
        <v>837277793.2289319</v>
      </c>
      <c r="G771" s="398">
        <f>((cbalReg1MatValue+obalReg1MatValue)/2)+((cbalReg2MatValue+obalReg2MatValue)/2)</f>
        <v>837277793.2289319</v>
      </c>
      <c r="H771" s="398">
        <f>((cbalReg1MatValue+obalReg1MatValue)/2)+((cbalReg2MatValue+obalReg2MatValue)/2)</f>
        <v>837277793.2289319</v>
      </c>
      <c r="I771" s="398">
        <f>((cbalReg1MatValue+obalReg1MatValue)/2)+((cbalReg2MatValue+obalReg2MatValue)/2)</f>
        <v>837277793.2289319</v>
      </c>
      <c r="K771" t="b">
        <f t="shared" si="34"/>
        <v>1</v>
      </c>
    </row>
    <row r="772" spans="1:11">
      <c r="A772" t="s">
        <v>3938</v>
      </c>
      <c r="E772" s="398">
        <f>((obalReg1WIPValue+cbalReg1WIPValue)/2)+((obalReg2WIPValue+cbalReg2WIPValue)/2)</f>
        <v>5022767.4651032444</v>
      </c>
      <c r="F772" s="398">
        <f>((obalReg1WIPValue+cbalReg1WIPValue)/2)+((obalReg2WIPValue+cbalReg2WIPValue)/2)</f>
        <v>5022767.4651032444</v>
      </c>
      <c r="G772" s="398">
        <f>((obalReg1WIPValue+cbalReg1WIPValue)/2)+((obalReg2WIPValue+cbalReg2WIPValue)/2)</f>
        <v>5022767.4651032444</v>
      </c>
      <c r="H772" s="398">
        <f>((obalReg1WIPValue+cbalReg1WIPValue)/2)+((obalReg2WIPValue+cbalReg2WIPValue)/2)</f>
        <v>5022767.4651032444</v>
      </c>
      <c r="I772" s="398">
        <f>((obalReg1WIPValue+cbalReg1WIPValue)/2)+((obalReg2WIPValue+cbalReg2WIPValue)/2)</f>
        <v>5022767.4651032444</v>
      </c>
      <c r="K772" t="b">
        <f t="shared" si="34"/>
        <v>1</v>
      </c>
    </row>
    <row r="773" spans="1:11">
      <c r="A773" t="s">
        <v>3415</v>
      </c>
      <c r="E773" s="398">
        <f ca="1">((obalReg1FGValue+cbalReg1FGValue)/2)+((obalReg2FGValue+cbalReg2FGValue)/2)</f>
        <v>42660405.377157331</v>
      </c>
      <c r="F773" s="398">
        <f ca="1">((obalReg1FGValue+cbalReg1FGValue)/2)+((obalReg2FGValue+cbalReg2FGValue)/2)</f>
        <v>42660405.377157331</v>
      </c>
      <c r="G773" s="398">
        <f ca="1">((obalReg1FGValue+cbalReg1FGValue)/2)+((obalReg2FGValue+cbalReg2FGValue)/2)</f>
        <v>42660405.377157331</v>
      </c>
      <c r="H773" s="398">
        <f ca="1">((obalReg1FGValue+cbalReg1FGValue)/2)+((obalReg2FGValue+cbalReg2FGValue)/2)</f>
        <v>42660405.377157331</v>
      </c>
      <c r="I773" s="398">
        <f ca="1">((obalReg1FGValue+cbalReg1FGValue)/2)+((obalReg2FGValue+cbalReg2FGValue)/2)</f>
        <v>42660405.377157331</v>
      </c>
      <c r="K773" t="b">
        <f t="shared" ca="1" si="34"/>
        <v>1</v>
      </c>
    </row>
    <row r="774" spans="1:11">
      <c r="A774" t="s">
        <v>1864</v>
      </c>
      <c r="E774" s="398">
        <f ca="1">((obalAPValue+cbalAPValue)/2)+((obalOtherCurrLiabValue+cbalOtherCurrLiabValue)/2)</f>
        <v>5754343585.7094479</v>
      </c>
      <c r="F774" s="398">
        <f ca="1">((obalAPValue+cbalAPValue)/2)+((obalOtherCurrLiabValue+cbalOtherCurrLiabValue)/2)</f>
        <v>5754343585.7094479</v>
      </c>
      <c r="G774" s="398">
        <f ca="1">((obalAPValue+cbalAPValue)/2)+((obalOtherCurrLiabValue+cbalOtherCurrLiabValue)/2)</f>
        <v>5754343585.7094479</v>
      </c>
      <c r="H774" s="398">
        <f ca="1">((obalAPValue+cbalAPValue)/2)+((obalOtherCurrLiabValue+cbalOtherCurrLiabValue)/2)</f>
        <v>5754343585.7094479</v>
      </c>
      <c r="I774" s="398">
        <f ca="1">((obalAPValue+cbalAPValue)/2)+((obalOtherCurrLiabValue+cbalOtherCurrLiabValue)/2)</f>
        <v>5754343585.7094479</v>
      </c>
      <c r="K774" t="b">
        <f t="shared" ca="1" si="34"/>
        <v>1</v>
      </c>
    </row>
    <row r="775" spans="1:11">
      <c r="A775" t="s">
        <v>153</v>
      </c>
      <c r="E775" s="399">
        <f ca="1">SUM(E768:E773)-E774</f>
        <v>14488214331.875597</v>
      </c>
      <c r="F775" s="399">
        <f ca="1">SUM(F768:F773)-F774</f>
        <v>14488214331.875597</v>
      </c>
      <c r="G775" s="399">
        <f ca="1">SUM(G768:G773)-G774</f>
        <v>14488214331.875597</v>
      </c>
      <c r="H775" s="399">
        <f ca="1">SUM(H768:H773)-H774</f>
        <v>14488214331.875597</v>
      </c>
      <c r="I775" s="399">
        <f ca="1">SUM(I768:I773)-I774</f>
        <v>14488214331.875597</v>
      </c>
      <c r="J775" t="s">
        <v>1507</v>
      </c>
      <c r="K775" t="b">
        <f t="shared" ca="1" si="34"/>
        <v>1</v>
      </c>
    </row>
    <row r="776" spans="1:11">
      <c r="A776" t="s">
        <v>1865</v>
      </c>
      <c r="E776" s="138">
        <f ca="1">E766/E775</f>
        <v>0.22933437001096038</v>
      </c>
      <c r="F776" s="138">
        <f ca="1">F766/F775</f>
        <v>0.22933437001096038</v>
      </c>
      <c r="G776" s="138">
        <f ca="1">G766/G775</f>
        <v>0.22933437001096038</v>
      </c>
      <c r="H776" s="138">
        <f ca="1">H766/H775</f>
        <v>0.22933437001096038</v>
      </c>
      <c r="I776" s="138">
        <f ca="1">I766/I775</f>
        <v>0.22933437001096038</v>
      </c>
      <c r="J776" t="s">
        <v>1866</v>
      </c>
      <c r="K776" t="b">
        <f t="shared" ca="1" si="34"/>
        <v>1</v>
      </c>
    </row>
    <row r="779" spans="1:11">
      <c r="E779" s="398"/>
    </row>
    <row r="780" spans="1:11">
      <c r="E780" s="398"/>
    </row>
    <row r="781" spans="1:11">
      <c r="E781" s="398"/>
    </row>
    <row r="782" spans="1:11">
      <c r="E782" s="398"/>
    </row>
    <row r="783" spans="1:11">
      <c r="E783" s="398"/>
    </row>
    <row r="784" spans="1:11">
      <c r="E784" s="398"/>
    </row>
    <row r="785" spans="5:5">
      <c r="E785" s="398"/>
    </row>
    <row r="786" spans="5:5">
      <c r="E786" s="399"/>
    </row>
    <row r="787" spans="5:5">
      <c r="E787" s="138"/>
    </row>
  </sheetData>
  <phoneticPr fontId="0" type="noConversion"/>
  <conditionalFormatting sqref="K8:K776">
    <cfRule type="cellIs" dxfId="5" priority="1" stopIfTrue="1" operator="notEqual">
      <formula>TRUE</formula>
    </cfRule>
  </conditionalFormatting>
  <pageMargins left="0.5" right="0.5" top="0.5" bottom="0.5" header="0.5" footer="0.5"/>
  <pageSetup orientation="portrait" r:id="rId1"/>
  <headerFooter alignWithMargins="0"/>
  <rowBreaks count="1" manualBreakCount="1">
    <brk id="728" max="16383" man="1"/>
  </rowBreaks>
  <colBreaks count="1" manualBreakCount="1">
    <brk id="9" max="104857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c">
    <tabColor indexed="50"/>
  </sheetPr>
  <dimension ref="A1:X223"/>
  <sheetViews>
    <sheetView workbookViewId="0">
      <pane xSplit="2" ySplit="2" topLeftCell="E81" activePane="bottomRight" state="frozen"/>
      <selection pane="topRight" activeCell="C1" sqref="C1"/>
      <selection pane="bottomLeft" activeCell="A3" sqref="A3"/>
      <selection pane="bottomRight" activeCell="E103" sqref="E103"/>
    </sheetView>
  </sheetViews>
  <sheetFormatPr defaultRowHeight="11.25"/>
  <cols>
    <col min="1" max="1" width="8.1640625" customWidth="1"/>
    <col min="2" max="2" width="36.5" bestFit="1" customWidth="1"/>
    <col min="3" max="4" width="2" customWidth="1"/>
    <col min="5" max="6" width="16" customWidth="1"/>
    <col min="7" max="7" width="17.33203125" customWidth="1"/>
    <col min="8" max="8" width="16.1640625" customWidth="1"/>
    <col min="9" max="9" width="16.5" customWidth="1"/>
    <col min="10" max="10" width="19.1640625" bestFit="1" customWidth="1"/>
    <col min="11" max="11" width="19.6640625" customWidth="1"/>
    <col min="12" max="12" width="19.33203125" customWidth="1"/>
    <col min="20" max="24" width="9.33203125" style="119" customWidth="1"/>
  </cols>
  <sheetData>
    <row r="1" spans="1:24" s="144" customFormat="1" ht="15" customHeight="1">
      <c r="A1" s="143" t="s">
        <v>1398</v>
      </c>
      <c r="B1" s="145"/>
      <c r="C1" s="145"/>
      <c r="D1" s="145"/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  <c r="K1" s="144" t="s">
        <v>1834</v>
      </c>
      <c r="L1" s="144" t="s">
        <v>1834</v>
      </c>
      <c r="M1" s="146"/>
      <c r="N1" s="146" t="s">
        <v>2768</v>
      </c>
      <c r="O1" s="144">
        <f ca="1">COUNTIF(O2:O378,"=0")</f>
        <v>0</v>
      </c>
      <c r="P1" s="144" t="e">
        <f ca="1">VLOOKUP(0,O3:P377,2,0)</f>
        <v>#N/A</v>
      </c>
      <c r="T1" s="1228"/>
      <c r="U1" s="1228"/>
      <c r="V1" s="1228"/>
      <c r="W1" s="1228"/>
      <c r="X1" s="1228"/>
    </row>
    <row r="2" spans="1:24">
      <c r="A2" s="2" t="s">
        <v>1399</v>
      </c>
      <c r="E2" s="130" t="s">
        <v>2769</v>
      </c>
      <c r="K2" s="2" t="s">
        <v>3122</v>
      </c>
      <c r="L2" s="129" t="s">
        <v>1393</v>
      </c>
      <c r="O2" s="129" t="s">
        <v>3126</v>
      </c>
      <c r="P2" s="130" t="s">
        <v>497</v>
      </c>
      <c r="Q2" s="130" t="s">
        <v>498</v>
      </c>
    </row>
    <row r="3" spans="1:24">
      <c r="B3" t="s">
        <v>1400</v>
      </c>
      <c r="E3" s="125">
        <f>tlInputTeamNumber</f>
        <v>1</v>
      </c>
      <c r="F3" s="357">
        <f>tlInputTeamNumber</f>
        <v>1</v>
      </c>
      <c r="G3" s="357">
        <f>tlInputTeamNumber</f>
        <v>1</v>
      </c>
      <c r="H3" s="357">
        <f>tlInputTeamNumber</f>
        <v>1</v>
      </c>
      <c r="I3" s="357">
        <f>tlInputTeamNumber</f>
        <v>1</v>
      </c>
      <c r="J3" t="s">
        <v>3401</v>
      </c>
      <c r="K3" s="32">
        <v>1</v>
      </c>
      <c r="L3" s="120">
        <f>tlInputTeamNumber</f>
        <v>1</v>
      </c>
      <c r="O3" s="120"/>
    </row>
    <row r="4" spans="1:24">
      <c r="B4" t="s">
        <v>1401</v>
      </c>
      <c r="E4" s="2490" t="str">
        <f>tlInputTeamName</f>
        <v>Vivia</v>
      </c>
      <c r="F4" s="263" t="str">
        <f>tlInputTeamName</f>
        <v>Vivia</v>
      </c>
      <c r="G4" s="2489" t="str">
        <f>tlInputTeamName</f>
        <v>Vivia</v>
      </c>
      <c r="H4" s="263" t="str">
        <f>tlInputTeamName</f>
        <v>Vivia</v>
      </c>
      <c r="I4" s="2489" t="str">
        <f>tlInputTeamName</f>
        <v>Vivia</v>
      </c>
      <c r="J4" t="s">
        <v>3402</v>
      </c>
      <c r="K4" s="32" t="s">
        <v>1713</v>
      </c>
      <c r="L4" s="120" t="str">
        <f>tlInputTeamName</f>
        <v>Vivia</v>
      </c>
      <c r="O4" s="120"/>
    </row>
    <row r="5" spans="1:24">
      <c r="B5" t="s">
        <v>190</v>
      </c>
      <c r="E5" s="125">
        <f>tlInputTeamYear</f>
        <v>1</v>
      </c>
      <c r="F5" s="33">
        <f>tlInputTeamYear</f>
        <v>1</v>
      </c>
      <c r="G5" s="33">
        <f>tlInputTeamYear</f>
        <v>1</v>
      </c>
      <c r="H5" s="33">
        <f>tlInputTeamYear</f>
        <v>1</v>
      </c>
      <c r="I5" s="33">
        <f>tlInputTeamYear</f>
        <v>1</v>
      </c>
      <c r="J5" t="s">
        <v>2770</v>
      </c>
      <c r="K5" s="32">
        <v>0</v>
      </c>
      <c r="L5" s="120">
        <f>tlInputTeamYear</f>
        <v>1</v>
      </c>
      <c r="O5" s="120"/>
    </row>
    <row r="6" spans="1:24">
      <c r="B6" t="s">
        <v>1867</v>
      </c>
      <c r="E6" s="125"/>
      <c r="F6" s="33"/>
      <c r="G6" s="33"/>
      <c r="H6" s="33"/>
      <c r="I6" s="33"/>
      <c r="K6" s="32"/>
      <c r="L6" s="120"/>
      <c r="O6" s="120"/>
    </row>
    <row r="7" spans="1:24">
      <c r="A7" s="2" t="s">
        <v>3224</v>
      </c>
      <c r="E7" s="125"/>
      <c r="F7" s="33"/>
      <c r="G7" s="33"/>
      <c r="H7" s="33"/>
      <c r="I7" s="33"/>
      <c r="K7" s="32"/>
      <c r="L7" s="120"/>
      <c r="O7" s="120"/>
    </row>
    <row r="8" spans="1:24">
      <c r="A8" s="2"/>
      <c r="E8" s="125"/>
      <c r="F8" s="33"/>
      <c r="G8" s="33"/>
      <c r="H8" s="33"/>
      <c r="I8" s="33"/>
      <c r="K8" s="32"/>
      <c r="L8" s="120"/>
      <c r="O8" s="120"/>
    </row>
    <row r="9" spans="1:24">
      <c r="B9" s="2" t="str">
        <f>DataNameProd1&amp;" Decisions"</f>
        <v>CSD Decisions</v>
      </c>
      <c r="E9" s="125"/>
      <c r="F9" s="33"/>
      <c r="G9" s="33"/>
      <c r="H9" s="33"/>
      <c r="I9" s="33"/>
      <c r="K9" s="32"/>
      <c r="L9" s="120"/>
      <c r="O9" s="120"/>
    </row>
    <row r="10" spans="1:24">
      <c r="B10" t="str">
        <f>DataNameProd1&amp;" Region 1 Price"</f>
        <v>CSD Region 1 Price</v>
      </c>
      <c r="E10" s="125">
        <f>tlInputProd1Reg1Price</f>
        <v>9.5</v>
      </c>
      <c r="F10" s="1127">
        <f>tlInputProd1Reg1Price</f>
        <v>9.5</v>
      </c>
      <c r="G10" s="1127">
        <f>tlInputProd1Reg1Price</f>
        <v>9.5</v>
      </c>
      <c r="H10" s="1127">
        <f>tlInputProd1Reg1Price</f>
        <v>9.5</v>
      </c>
      <c r="I10" s="1127">
        <f>tlInputProd1Reg1Price</f>
        <v>9.5</v>
      </c>
      <c r="J10" t="s">
        <v>2459</v>
      </c>
      <c r="K10" s="1336">
        <v>9.5</v>
      </c>
      <c r="L10" s="1373">
        <f>tlInputProd1Reg1Price</f>
        <v>9.5</v>
      </c>
      <c r="O10" s="120"/>
    </row>
    <row r="11" spans="1:24">
      <c r="B11" t="str">
        <f>DataNameProd1&amp;" Region 2 Price"</f>
        <v>CSD Region 2 Price</v>
      </c>
      <c r="E11" s="1227">
        <f>tlInputProd1Reg2Price</f>
        <v>7</v>
      </c>
      <c r="F11" s="420">
        <f>tlInputProd1Reg2Price</f>
        <v>7</v>
      </c>
      <c r="G11" s="420">
        <f>tlInputProd1Reg2Price</f>
        <v>7</v>
      </c>
      <c r="H11" s="420">
        <f>tlInputProd1Reg2Price</f>
        <v>7</v>
      </c>
      <c r="I11" s="420">
        <f>tlInputProd1Reg2Price</f>
        <v>7</v>
      </c>
      <c r="J11" t="s">
        <v>2460</v>
      </c>
      <c r="K11" s="117">
        <v>7</v>
      </c>
      <c r="L11" s="121">
        <f>tlInputProd1Reg2Price</f>
        <v>7</v>
      </c>
      <c r="O11" s="120"/>
    </row>
    <row r="12" spans="1:24">
      <c r="B12" t="str">
        <f>DataNameProd1&amp;" Region 1 % Volume Growth Fcst"</f>
        <v>CSD Region 1 % Volume Growth Fcst</v>
      </c>
      <c r="E12" s="2491">
        <f>tlInputProd1Reg1Grth</f>
        <v>-0.01</v>
      </c>
      <c r="F12" s="462">
        <f>tlInputProd1Reg1Grth</f>
        <v>-0.01</v>
      </c>
      <c r="G12" s="462">
        <f>tlInputProd1Reg1Grth</f>
        <v>-0.01</v>
      </c>
      <c r="H12" s="462">
        <f>tlInputProd1Reg1Grth</f>
        <v>-0.01</v>
      </c>
      <c r="I12" s="462">
        <f>tlInputProd1Reg1Grth</f>
        <v>-0.01</v>
      </c>
      <c r="J12" t="s">
        <v>2988</v>
      </c>
      <c r="K12" s="1063">
        <v>-0.01</v>
      </c>
      <c r="L12" s="614">
        <f>tlInputProd1Reg1Grth</f>
        <v>-0.01</v>
      </c>
      <c r="O12" s="120"/>
    </row>
    <row r="13" spans="1:24">
      <c r="B13" t="str">
        <f>DataNameProd1&amp;" Region 2 % Volume Growth Fcst"</f>
        <v>CSD Region 2 % Volume Growth Fcst</v>
      </c>
      <c r="E13" s="590">
        <f>tlInputProd1Reg2Grth</f>
        <v>0.04</v>
      </c>
      <c r="F13" s="462">
        <f>tlInputProd1Reg2Grth</f>
        <v>0.04</v>
      </c>
      <c r="G13" s="462">
        <f>tlInputProd1Reg2Grth</f>
        <v>0.04</v>
      </c>
      <c r="H13" s="462">
        <f>tlInputProd1Reg2Grth</f>
        <v>0.04</v>
      </c>
      <c r="I13" s="462">
        <f>tlInputProd1Reg2Grth</f>
        <v>0.04</v>
      </c>
      <c r="J13" t="s">
        <v>1077</v>
      </c>
      <c r="K13" s="613">
        <v>0.04</v>
      </c>
      <c r="L13" s="614">
        <f>tlInputProd1Reg2Grth</f>
        <v>0.04</v>
      </c>
      <c r="O13" s="120"/>
    </row>
    <row r="14" spans="1:24">
      <c r="B14" s="89" t="s">
        <v>2265</v>
      </c>
      <c r="C14" s="89"/>
      <c r="D14" s="89"/>
      <c r="E14" s="957">
        <f>tlInputProd1Ftr1</f>
        <v>0</v>
      </c>
      <c r="F14" s="958">
        <f>tlInputProd1Ftr1</f>
        <v>0</v>
      </c>
      <c r="G14" s="958">
        <f>tlInputProd1Ftr1</f>
        <v>0</v>
      </c>
      <c r="H14" s="958">
        <f>tlInputProd1Ftr1</f>
        <v>0</v>
      </c>
      <c r="I14" s="958">
        <f>tlInputProd1Ftr1</f>
        <v>0</v>
      </c>
      <c r="J14" s="89" t="s">
        <v>3932</v>
      </c>
      <c r="K14" s="959">
        <v>0</v>
      </c>
      <c r="L14" s="960">
        <f>tlInputProd1Ftr1</f>
        <v>0</v>
      </c>
      <c r="O14" s="120"/>
    </row>
    <row r="15" spans="1:24">
      <c r="B15" s="94" t="str">
        <f>DataNameProd1&amp;" Family Brand"</f>
        <v>CSD Family Brand</v>
      </c>
      <c r="C15" s="94"/>
      <c r="D15" s="94"/>
      <c r="E15" s="961">
        <f>tlInputProd1Ftr1Level</f>
        <v>0</v>
      </c>
      <c r="F15" s="962">
        <f>tlInputProd1Ftr1Level</f>
        <v>0</v>
      </c>
      <c r="G15" s="962">
        <f>tlInputProd1Ftr1Level</f>
        <v>0</v>
      </c>
      <c r="H15" s="962">
        <f>tlInputProd1Ftr1Level</f>
        <v>0</v>
      </c>
      <c r="I15" s="962">
        <f>tlInputProd1Ftr1Level</f>
        <v>0</v>
      </c>
      <c r="J15" s="94" t="s">
        <v>4660</v>
      </c>
      <c r="K15" s="963">
        <v>0</v>
      </c>
      <c r="L15" s="964">
        <f>tlInputProd1Ftr1Level</f>
        <v>0</v>
      </c>
      <c r="O15" s="120"/>
    </row>
    <row r="16" spans="1:24">
      <c r="B16" s="89" t="s">
        <v>679</v>
      </c>
      <c r="C16" s="89"/>
      <c r="D16" s="89"/>
      <c r="E16" s="957">
        <f>tlInputProd1Ftr2</f>
        <v>0</v>
      </c>
      <c r="F16" s="958">
        <f>tlInputProd1Ftr2</f>
        <v>0</v>
      </c>
      <c r="G16" s="958">
        <f>tlInputProd1Ftr2</f>
        <v>0</v>
      </c>
      <c r="H16" s="958">
        <f>tlInputProd1Ftr2</f>
        <v>0</v>
      </c>
      <c r="I16" s="958">
        <f>tlInputProd1Ftr2</f>
        <v>0</v>
      </c>
      <c r="J16" s="89" t="s">
        <v>3933</v>
      </c>
      <c r="K16" s="959">
        <v>0</v>
      </c>
      <c r="L16" s="960">
        <f>tlInputProd1Ftr2</f>
        <v>0</v>
      </c>
      <c r="O16" s="120"/>
    </row>
    <row r="17" spans="2:15">
      <c r="B17" s="94" t="str">
        <f>DataNameProd1&amp;" Partner Brand"</f>
        <v>CSD Partner Brand</v>
      </c>
      <c r="C17" s="94"/>
      <c r="D17" s="94"/>
      <c r="E17" s="961">
        <f>tlInputProd1Ftr2Level</f>
        <v>0</v>
      </c>
      <c r="F17" s="962">
        <f>tlInputProd1Ftr2Level</f>
        <v>0</v>
      </c>
      <c r="G17" s="962">
        <f>tlInputProd1Ftr2Level</f>
        <v>0</v>
      </c>
      <c r="H17" s="962">
        <f>tlInputProd1Ftr2Level</f>
        <v>0</v>
      </c>
      <c r="I17" s="962">
        <f>tlInputProd1Ftr2Level</f>
        <v>0</v>
      </c>
      <c r="J17" s="94" t="s">
        <v>4658</v>
      </c>
      <c r="K17" s="963">
        <v>0</v>
      </c>
      <c r="L17" s="964">
        <f>tlInputProd1Ftr2Level</f>
        <v>0</v>
      </c>
      <c r="O17" s="120"/>
    </row>
    <row r="18" spans="2:15">
      <c r="B18" t="s">
        <v>1575</v>
      </c>
      <c r="E18" s="125" t="str">
        <f>tlInputProd1Ftr4LevelDec</f>
        <v>Intermediate</v>
      </c>
      <c r="F18" s="33" t="str">
        <f>tlInputProd1Ftr4LevelDec</f>
        <v>Intermediate</v>
      </c>
      <c r="G18" s="33" t="str">
        <f>tlInputProd1Ftr4LevelDec</f>
        <v>Intermediate</v>
      </c>
      <c r="H18" s="33" t="str">
        <f>tlInputProd1Ftr4LevelDec</f>
        <v>Intermediate</v>
      </c>
      <c r="I18" s="33" t="str">
        <f>tlInputProd1Ftr4LevelDec</f>
        <v>Intermediate</v>
      </c>
      <c r="J18" t="s">
        <v>1576</v>
      </c>
      <c r="K18" s="587" t="s">
        <v>1708</v>
      </c>
      <c r="L18" s="588" t="str">
        <f>tlInputProd1Ftr4LevelDec</f>
        <v>Intermediate</v>
      </c>
      <c r="O18" s="120"/>
    </row>
    <row r="19" spans="2:15">
      <c r="B19" t="str">
        <f>DataNameProd1&amp;" Brand Positioning"</f>
        <v>CSD Brand Positioning</v>
      </c>
      <c r="E19" s="125" t="str">
        <f>tlInputProd1Brand</f>
        <v>SELECT ONE</v>
      </c>
      <c r="F19" s="33" t="str">
        <f>tlInputProd1Brand</f>
        <v>SELECT ONE</v>
      </c>
      <c r="G19" s="33" t="str">
        <f>tlInputProd1Brand</f>
        <v>SELECT ONE</v>
      </c>
      <c r="H19" s="33" t="str">
        <f>tlInputProd1Brand</f>
        <v>SELECT ONE</v>
      </c>
      <c r="I19" s="33" t="str">
        <f>tlInputProd1Brand</f>
        <v>SELECT ONE</v>
      </c>
      <c r="J19" t="s">
        <v>2461</v>
      </c>
      <c r="K19" s="681" t="s">
        <v>2748</v>
      </c>
      <c r="L19" s="120" t="str">
        <f>tlInputProd1Brand</f>
        <v>SELECT ONE</v>
      </c>
      <c r="O19" s="120"/>
    </row>
    <row r="20" spans="2:15">
      <c r="B20" s="89" t="str">
        <f>DataNameProd1&amp;" Region 1 Advertising"</f>
        <v>CSD Region 1 Advertising</v>
      </c>
      <c r="C20" s="89"/>
      <c r="D20" s="89"/>
      <c r="E20" s="1300">
        <f>tlInputProd1Adv</f>
        <v>410</v>
      </c>
      <c r="F20" s="958">
        <f>tlInputProd1Adv</f>
        <v>410</v>
      </c>
      <c r="G20" s="958">
        <f>tlInputProd1Adv</f>
        <v>410</v>
      </c>
      <c r="H20" s="958">
        <f>tlInputProd1Adv</f>
        <v>410</v>
      </c>
      <c r="I20" s="958">
        <f>tlInputProd1Adv</f>
        <v>410</v>
      </c>
      <c r="J20" s="89" t="s">
        <v>310</v>
      </c>
      <c r="K20" s="959">
        <v>410</v>
      </c>
      <c r="L20" s="960">
        <f>tlInputProd1Adv</f>
        <v>410</v>
      </c>
      <c r="O20" s="120"/>
    </row>
    <row r="21" spans="2:15">
      <c r="B21" s="94" t="str">
        <f>DataNameProd1&amp;" Region 2 Advertising"</f>
        <v>CSD Region 2 Advertising</v>
      </c>
      <c r="C21" s="94"/>
      <c r="D21" s="94"/>
      <c r="E21" s="1301">
        <f>tlInputProd1AdvR2</f>
        <v>80</v>
      </c>
      <c r="F21" s="965">
        <f>tlInputProd1AdvR2</f>
        <v>80</v>
      </c>
      <c r="G21" s="965">
        <f>tlInputProd1AdvR2</f>
        <v>80</v>
      </c>
      <c r="H21" s="965">
        <f>tlInputProd1AdvR2</f>
        <v>80</v>
      </c>
      <c r="I21" s="965">
        <f>tlInputProd1AdvR2</f>
        <v>80</v>
      </c>
      <c r="J21" s="94" t="s">
        <v>1592</v>
      </c>
      <c r="K21" s="966">
        <v>80</v>
      </c>
      <c r="L21" s="967">
        <f>tlInputProd1AdvR2</f>
        <v>80</v>
      </c>
      <c r="O21" s="120"/>
    </row>
    <row r="22" spans="2:15">
      <c r="B22" s="89" t="str">
        <f>DataNameProd1&amp;" Region 1 Promotions"</f>
        <v>CSD Region 1 Promotions</v>
      </c>
      <c r="C22" s="89"/>
      <c r="D22" s="89"/>
      <c r="E22" s="1300">
        <f>tlInputProd1Promo</f>
        <v>1450</v>
      </c>
      <c r="F22" s="958">
        <f>tlInputProd1Promo</f>
        <v>1450</v>
      </c>
      <c r="G22" s="958">
        <f>tlInputProd1Promo</f>
        <v>1450</v>
      </c>
      <c r="H22" s="958">
        <f>tlInputProd1Promo</f>
        <v>1450</v>
      </c>
      <c r="I22" s="958">
        <f>tlInputProd1Promo</f>
        <v>1450</v>
      </c>
      <c r="J22" s="89" t="s">
        <v>3837</v>
      </c>
      <c r="K22" s="959">
        <v>1450</v>
      </c>
      <c r="L22" s="960">
        <f>tlInputProd1Promo</f>
        <v>1450</v>
      </c>
      <c r="O22" s="120"/>
    </row>
    <row r="23" spans="2:15">
      <c r="B23" s="94" t="str">
        <f>DataNameProd1&amp;" Region 2 Promotions"</f>
        <v>CSD Region 2 Promotions</v>
      </c>
      <c r="C23" s="94"/>
      <c r="D23" s="94"/>
      <c r="E23" s="1301">
        <f>tlInputProd1PromoR2</f>
        <v>195</v>
      </c>
      <c r="F23" s="965">
        <f>tlInputProd1PromoR2</f>
        <v>195</v>
      </c>
      <c r="G23" s="965">
        <f>tlInputProd1PromoR2</f>
        <v>195</v>
      </c>
      <c r="H23" s="965">
        <f>tlInputProd1PromoR2</f>
        <v>195</v>
      </c>
      <c r="I23" s="965">
        <f>tlInputProd1PromoR2</f>
        <v>195</v>
      </c>
      <c r="J23" s="94" t="s">
        <v>1593</v>
      </c>
      <c r="K23" s="966">
        <v>195</v>
      </c>
      <c r="L23" s="967">
        <f>tlInputProd1PromoR2</f>
        <v>195</v>
      </c>
      <c r="O23" s="120"/>
    </row>
    <row r="24" spans="2:15">
      <c r="B24" t="str">
        <f>DataNameProd1&amp;" Focus On-Trade Reg 1"</f>
        <v>CSD Focus On-Trade Reg 1</v>
      </c>
      <c r="E24" s="590">
        <f>tlInputReg1OnPremAdv</f>
        <v>0.5</v>
      </c>
      <c r="F24" s="462">
        <f>tlInputReg1OnPremAdv</f>
        <v>0.5</v>
      </c>
      <c r="G24" s="462">
        <f>tlInputReg1OnPremAdv</f>
        <v>0.5</v>
      </c>
      <c r="H24" s="462">
        <f>tlInputReg1OnPremAdv</f>
        <v>0.5</v>
      </c>
      <c r="I24" s="462">
        <f>tlInputReg1OnPremAdv</f>
        <v>0.5</v>
      </c>
      <c r="J24" t="s">
        <v>593</v>
      </c>
      <c r="K24" s="613">
        <v>0.5</v>
      </c>
      <c r="L24" s="614">
        <f>tlInputReg1OnPremAdv</f>
        <v>0.5</v>
      </c>
      <c r="O24" s="120"/>
    </row>
    <row r="25" spans="2:15">
      <c r="B25" t="str">
        <f>DataNameProd1&amp;" Focus On-Trade Reg 2"</f>
        <v>CSD Focus On-Trade Reg 2</v>
      </c>
      <c r="E25" s="590">
        <f>tlInputReg2OnPremAdv</f>
        <v>0.5</v>
      </c>
      <c r="F25" s="462">
        <f>tlInputReg2OnPremAdv</f>
        <v>0.5</v>
      </c>
      <c r="G25" s="462">
        <f>tlInputReg2OnPremAdv</f>
        <v>0.5</v>
      </c>
      <c r="H25" s="462">
        <f>tlInputReg2OnPremAdv</f>
        <v>0.5</v>
      </c>
      <c r="I25" s="462">
        <f>tlInputReg2OnPremAdv</f>
        <v>0.5</v>
      </c>
      <c r="J25" t="s">
        <v>594</v>
      </c>
      <c r="K25" s="613">
        <v>0.5</v>
      </c>
      <c r="L25" s="614">
        <f>tlInputReg2OnPremAdv</f>
        <v>0.5</v>
      </c>
      <c r="O25" s="120"/>
    </row>
    <row r="26" spans="2:15">
      <c r="E26" s="414"/>
      <c r="F26" s="413"/>
      <c r="G26" s="413"/>
      <c r="H26" s="413"/>
      <c r="I26" s="413"/>
      <c r="K26" s="117"/>
      <c r="L26" s="121"/>
      <c r="O26" s="120"/>
    </row>
    <row r="27" spans="2:15">
      <c r="E27" s="124"/>
      <c r="F27" s="139"/>
      <c r="G27" s="139"/>
      <c r="H27" s="139"/>
      <c r="I27" s="139"/>
      <c r="K27" s="117"/>
      <c r="L27" s="121"/>
      <c r="O27" s="120"/>
    </row>
    <row r="28" spans="2:15">
      <c r="B28" s="2" t="str">
        <f>DataNameProd2&amp;" Decisions"</f>
        <v>Breakthrough Decisions</v>
      </c>
      <c r="E28" s="125"/>
      <c r="F28" s="33"/>
      <c r="G28" s="33"/>
      <c r="H28" s="33"/>
      <c r="I28" s="33"/>
      <c r="K28" s="32"/>
      <c r="L28" s="120"/>
      <c r="O28" s="120"/>
    </row>
    <row r="29" spans="2:15">
      <c r="B29" t="str">
        <f>DataNameProd2&amp;" 1 Price"</f>
        <v>Breakthrough 1 Price</v>
      </c>
      <c r="E29" s="1473">
        <f>tlInputProd2Reg1Price</f>
        <v>1</v>
      </c>
      <c r="F29" s="142">
        <f>tlInputProd2Reg1Price</f>
        <v>1</v>
      </c>
      <c r="G29" s="142">
        <f>tlInputProd2Reg1Price</f>
        <v>1</v>
      </c>
      <c r="H29" s="142">
        <f>tlInputProd2Reg1Price</f>
        <v>1</v>
      </c>
      <c r="I29" s="142">
        <f>tlInputProd2Reg1Price</f>
        <v>1</v>
      </c>
      <c r="J29" t="s">
        <v>3984</v>
      </c>
      <c r="K29" s="118">
        <v>1</v>
      </c>
      <c r="L29" s="586">
        <f>tlInputProd2Reg1Price</f>
        <v>1</v>
      </c>
      <c r="O29" s="120"/>
    </row>
    <row r="30" spans="2:15">
      <c r="B30" t="str">
        <f>DataNameProd2&amp;" 2 Price"</f>
        <v>Breakthrough 2 Price</v>
      </c>
      <c r="E30" s="1473">
        <f>tlInputProd2Reg2Price</f>
        <v>1</v>
      </c>
      <c r="F30" s="142">
        <f>tlInputProd2Reg2Price</f>
        <v>1</v>
      </c>
      <c r="G30" s="142">
        <f>tlInputProd2Reg2Price</f>
        <v>1</v>
      </c>
      <c r="H30" s="142">
        <f>tlInputProd2Reg2Price</f>
        <v>1</v>
      </c>
      <c r="I30" s="142">
        <f>tlInputProd2Reg2Price</f>
        <v>1</v>
      </c>
      <c r="J30" t="s">
        <v>3985</v>
      </c>
      <c r="K30" s="118">
        <v>1</v>
      </c>
      <c r="L30" s="584">
        <f>tlInputProd2Reg2Price</f>
        <v>1</v>
      </c>
      <c r="O30" s="120"/>
    </row>
    <row r="31" spans="2:15">
      <c r="B31" t="str">
        <f>DataNameProd2&amp;" 1 Forecast"</f>
        <v>Breakthrough 1 Forecast</v>
      </c>
      <c r="E31" s="124">
        <f>tlInputProd2Reg1Units</f>
        <v>1000</v>
      </c>
      <c r="F31" s="139">
        <f>tlInputProd2Reg1Units</f>
        <v>1000</v>
      </c>
      <c r="G31" s="139">
        <f>tlInputProd2Reg1Units</f>
        <v>1000</v>
      </c>
      <c r="H31" s="139">
        <f>tlInputProd2Reg1Units</f>
        <v>1000</v>
      </c>
      <c r="I31" s="139">
        <f>tlInputProd2Reg1Units</f>
        <v>1000</v>
      </c>
      <c r="J31" t="s">
        <v>3986</v>
      </c>
      <c r="K31" s="503">
        <v>1000</v>
      </c>
      <c r="L31" s="584">
        <f>tlInputProd2Reg1Units</f>
        <v>1000</v>
      </c>
      <c r="O31" s="120"/>
    </row>
    <row r="32" spans="2:15">
      <c r="B32" t="str">
        <f>DataNameProd2&amp;" 2 Forecast"</f>
        <v>Breakthrough 2 Forecast</v>
      </c>
      <c r="E32" s="124">
        <f>tlInputProd2Reg2Units</f>
        <v>1000</v>
      </c>
      <c r="F32" s="139">
        <f>tlInputProd2Reg2Units</f>
        <v>1000</v>
      </c>
      <c r="G32" s="139">
        <f>tlInputProd2Reg2Units</f>
        <v>1000</v>
      </c>
      <c r="H32" s="139">
        <f>tlInputProd2Reg2Units</f>
        <v>1000</v>
      </c>
      <c r="I32" s="139">
        <f>tlInputProd2Reg2Units</f>
        <v>1000</v>
      </c>
      <c r="J32" t="s">
        <v>3987</v>
      </c>
      <c r="K32" s="503">
        <v>1000</v>
      </c>
      <c r="L32" s="584">
        <f>tlInputProd2Reg2Units</f>
        <v>1000</v>
      </c>
      <c r="O32" s="120"/>
    </row>
    <row r="33" spans="2:15">
      <c r="B33" t="str">
        <f>DataNameProd2&amp;" 1 Number of Brands Dec"</f>
        <v>Breakthrough 1 Number of Brands Dec</v>
      </c>
      <c r="E33" s="125" t="str">
        <f>tlInputProd21Ftr4LevelDec</f>
        <v>Very Narrow</v>
      </c>
      <c r="F33" s="33" t="str">
        <f>tlInputProd21Ftr4LevelDec</f>
        <v>Very Narrow</v>
      </c>
      <c r="G33" s="33" t="str">
        <f>tlInputProd21Ftr4LevelDec</f>
        <v>Very Narrow</v>
      </c>
      <c r="H33" s="33" t="str">
        <f>tlInputProd21Ftr4LevelDec</f>
        <v>Very Narrow</v>
      </c>
      <c r="I33" s="33" t="str">
        <f>tlInputProd21Ftr4LevelDec</f>
        <v>Very Narrow</v>
      </c>
      <c r="J33" t="s">
        <v>3731</v>
      </c>
      <c r="K33" s="118" t="s">
        <v>1706</v>
      </c>
      <c r="L33" s="584" t="str">
        <f>tlInputProd21Ftr4LevelDec</f>
        <v>Very Narrow</v>
      </c>
      <c r="O33" s="120"/>
    </row>
    <row r="34" spans="2:15">
      <c r="B34" t="str">
        <f>DataNameProd2&amp;" 2 Number of Brands Dec"</f>
        <v>Breakthrough 2 Number of Brands Dec</v>
      </c>
      <c r="E34" s="125" t="str">
        <f>tlInputProd22Ftr4LevelDec</f>
        <v>Very Narrow</v>
      </c>
      <c r="F34" s="33" t="str">
        <f>tlInputProd22Ftr4LevelDec</f>
        <v>Very Narrow</v>
      </c>
      <c r="G34" s="33" t="str">
        <f>tlInputProd22Ftr4LevelDec</f>
        <v>Very Narrow</v>
      </c>
      <c r="H34" s="33" t="str">
        <f>tlInputProd22Ftr4LevelDec</f>
        <v>Very Narrow</v>
      </c>
      <c r="I34" s="33" t="str">
        <f>tlInputProd22Ftr4LevelDec</f>
        <v>Very Narrow</v>
      </c>
      <c r="J34" t="s">
        <v>3732</v>
      </c>
      <c r="K34" s="118" t="s">
        <v>1706</v>
      </c>
      <c r="L34" s="584" t="str">
        <f>tlInputProd22Ftr4LevelDec</f>
        <v>Very Narrow</v>
      </c>
      <c r="O34" s="120"/>
    </row>
    <row r="35" spans="2:15">
      <c r="B35" s="89" t="str">
        <f>DataNameProd2&amp;" 1 Advertising"</f>
        <v>Breakthrough 1 Advertising</v>
      </c>
      <c r="C35" s="89"/>
      <c r="D35" s="89"/>
      <c r="E35" s="1300">
        <f>tlInputProd2Adv</f>
        <v>1</v>
      </c>
      <c r="F35" s="1302">
        <f>tlInputProd2Adv</f>
        <v>1</v>
      </c>
      <c r="G35" s="1302">
        <f>tlInputProd2Adv</f>
        <v>1</v>
      </c>
      <c r="H35" s="1302">
        <f>tlInputProd2Adv</f>
        <v>1</v>
      </c>
      <c r="I35" s="1302">
        <f>tlInputProd2Adv</f>
        <v>1</v>
      </c>
      <c r="J35" s="89" t="s">
        <v>3988</v>
      </c>
      <c r="K35" s="959">
        <v>1</v>
      </c>
      <c r="L35" s="960">
        <f>tlInputProd2Adv</f>
        <v>1</v>
      </c>
      <c r="O35" s="120"/>
    </row>
    <row r="36" spans="2:15">
      <c r="B36" s="94" t="str">
        <f>DataNameProd2&amp;" 2 Advertising"</f>
        <v>Breakthrough 2 Advertising</v>
      </c>
      <c r="C36" s="94"/>
      <c r="D36" s="94"/>
      <c r="E36" s="1301">
        <f>tlInputProd2Adv2</f>
        <v>1</v>
      </c>
      <c r="F36" s="1037">
        <f>tlInputProd2Adv2</f>
        <v>1</v>
      </c>
      <c r="G36" s="1037">
        <f>tlInputProd2Adv2</f>
        <v>1</v>
      </c>
      <c r="H36" s="1037">
        <f>tlInputProd2Adv2</f>
        <v>1</v>
      </c>
      <c r="I36" s="1037">
        <f>tlInputProd2Adv2</f>
        <v>1</v>
      </c>
      <c r="J36" s="94" t="s">
        <v>3733</v>
      </c>
      <c r="K36" s="966">
        <v>1</v>
      </c>
      <c r="L36" s="967">
        <f>tlInputProd2Adv2</f>
        <v>1</v>
      </c>
      <c r="O36" s="120"/>
    </row>
    <row r="37" spans="2:15">
      <c r="B37" s="89" t="str">
        <f>DataNameProd2&amp;" 1 Promotions"</f>
        <v>Breakthrough 1 Promotions</v>
      </c>
      <c r="C37" s="89"/>
      <c r="D37" s="89"/>
      <c r="E37" s="1300">
        <f>tlInputProd2Promo1</f>
        <v>1</v>
      </c>
      <c r="F37" s="1302">
        <f>tlInputProd2Promo1</f>
        <v>1</v>
      </c>
      <c r="G37" s="1302">
        <f>tlInputProd2Promo1</f>
        <v>1</v>
      </c>
      <c r="H37" s="1302">
        <f>tlInputProd2Promo1</f>
        <v>1</v>
      </c>
      <c r="I37" s="1302">
        <f>tlInputProd2Promo1</f>
        <v>1</v>
      </c>
      <c r="J37" s="89" t="s">
        <v>2393</v>
      </c>
      <c r="K37" s="959">
        <v>1</v>
      </c>
      <c r="L37" s="960">
        <f>tlInputProd2Promo1</f>
        <v>1</v>
      </c>
      <c r="O37" s="120"/>
    </row>
    <row r="38" spans="2:15">
      <c r="B38" s="94" t="str">
        <f>DataNameProd2&amp;" 2 Promotions"</f>
        <v>Breakthrough 2 Promotions</v>
      </c>
      <c r="C38" s="94"/>
      <c r="D38" s="94"/>
      <c r="E38" s="1303">
        <f>tlInputProd2Promo2</f>
        <v>1</v>
      </c>
      <c r="F38" s="965">
        <f>tlInputProd2Promo2</f>
        <v>1</v>
      </c>
      <c r="G38" s="965">
        <f>tlInputProd2Promo2</f>
        <v>1</v>
      </c>
      <c r="H38" s="965">
        <f>tlInputProd2Promo2</f>
        <v>1</v>
      </c>
      <c r="I38" s="965">
        <f>tlInputProd2Promo2</f>
        <v>1</v>
      </c>
      <c r="J38" s="94" t="s">
        <v>2392</v>
      </c>
      <c r="K38" s="966">
        <v>1</v>
      </c>
      <c r="L38" s="967">
        <f>tlInputProd2Promo2</f>
        <v>1</v>
      </c>
      <c r="O38" s="120"/>
    </row>
    <row r="39" spans="2:15">
      <c r="B39" s="905" t="s">
        <v>4104</v>
      </c>
      <c r="E39" s="124">
        <f>tlInputDisrupt1</f>
        <v>0</v>
      </c>
      <c r="F39" s="139">
        <f>tlInputDisrupt1</f>
        <v>0</v>
      </c>
      <c r="G39" s="139">
        <f>tlInputDisrupt1</f>
        <v>0</v>
      </c>
      <c r="H39" s="139">
        <f>tlInputDisrupt1</f>
        <v>0</v>
      </c>
      <c r="I39" s="139">
        <f>tlInputDisrupt1</f>
        <v>0</v>
      </c>
      <c r="J39" t="s">
        <v>4604</v>
      </c>
      <c r="K39" s="118">
        <v>0</v>
      </c>
      <c r="L39" s="584">
        <f>tlInputDisrupt1</f>
        <v>0</v>
      </c>
      <c r="O39" s="120"/>
    </row>
    <row r="40" spans="2:15">
      <c r="B40" s="905" t="s">
        <v>4105</v>
      </c>
      <c r="E40" s="124">
        <f>tlInputDisrupt2</f>
        <v>0</v>
      </c>
      <c r="F40" s="139">
        <f>tlInputDisrupt2</f>
        <v>0</v>
      </c>
      <c r="G40" s="139">
        <f>tlInputDisrupt2</f>
        <v>0</v>
      </c>
      <c r="H40" s="139">
        <f>tlInputDisrupt2</f>
        <v>0</v>
      </c>
      <c r="I40" s="139">
        <f>tlInputDisrupt2</f>
        <v>0</v>
      </c>
      <c r="J40" t="s">
        <v>4605</v>
      </c>
      <c r="K40" s="118">
        <v>0</v>
      </c>
      <c r="L40" s="584">
        <f>tlInputDisrupt2</f>
        <v>0</v>
      </c>
      <c r="O40" s="120"/>
    </row>
    <row r="41" spans="2:15">
      <c r="E41" s="124"/>
      <c r="F41" s="139"/>
      <c r="G41" s="139"/>
      <c r="H41" s="139"/>
      <c r="I41" s="139"/>
      <c r="K41" s="118"/>
      <c r="L41" s="584"/>
      <c r="O41" s="120"/>
    </row>
    <row r="42" spans="2:15">
      <c r="B42" s="2" t="str">
        <f>DataNameProd3&amp;" Decisions"</f>
        <v>NCB Decisions</v>
      </c>
      <c r="E42" s="125"/>
      <c r="F42" s="33"/>
      <c r="G42" s="33"/>
      <c r="H42" s="33"/>
      <c r="I42" s="33"/>
      <c r="K42" s="32"/>
      <c r="L42" s="585"/>
      <c r="O42" s="120"/>
    </row>
    <row r="43" spans="2:15">
      <c r="B43" t="str">
        <f>DataNameProd3&amp;" Region 1 Price"</f>
        <v>NCB Region 1 Price</v>
      </c>
      <c r="E43" s="1124">
        <f>tlInputProd3Reg1Price</f>
        <v>15</v>
      </c>
      <c r="F43" s="1126">
        <f>tlInputProd3Reg1Price</f>
        <v>15</v>
      </c>
      <c r="G43" s="1126">
        <f>tlInputProd3Reg1Price</f>
        <v>15</v>
      </c>
      <c r="H43" s="1126">
        <f>tlInputProd3Reg1Price</f>
        <v>15</v>
      </c>
      <c r="I43" s="1126">
        <f>tlInputProd3Reg1Price</f>
        <v>15</v>
      </c>
      <c r="J43" t="s">
        <v>266</v>
      </c>
      <c r="K43" s="1336">
        <v>15</v>
      </c>
      <c r="L43" s="1373">
        <f>tlInputProd3Reg1Price</f>
        <v>15</v>
      </c>
      <c r="O43" s="120"/>
    </row>
    <row r="44" spans="2:15">
      <c r="B44" t="str">
        <f>DataNameProd3&amp;" Region 2 Price"</f>
        <v>NCB Region 2 Price</v>
      </c>
      <c r="E44" s="1124">
        <f>tlInputProd3Reg2Price</f>
        <v>10</v>
      </c>
      <c r="F44" s="1126">
        <f>tlInputProd3Reg2Price</f>
        <v>10</v>
      </c>
      <c r="G44" s="1126">
        <f>tlInputProd3Reg2Price</f>
        <v>10</v>
      </c>
      <c r="H44" s="1126">
        <f>tlInputProd3Reg2Price</f>
        <v>10</v>
      </c>
      <c r="I44" s="1126">
        <f>tlInputProd3Reg2Price</f>
        <v>10</v>
      </c>
      <c r="J44" t="s">
        <v>267</v>
      </c>
      <c r="K44" s="1474">
        <v>10</v>
      </c>
      <c r="L44" s="1475">
        <f>tlInputProd3Reg2Price</f>
        <v>10</v>
      </c>
      <c r="O44" s="120"/>
    </row>
    <row r="45" spans="2:15">
      <c r="B45" t="str">
        <f>DataNameProd3&amp;" Region 1 % Volume Growth Fcst"</f>
        <v>NCB Region 1 % Volume Growth Fcst</v>
      </c>
      <c r="E45" s="590">
        <f>tlInputProd3Reg1Grth</f>
        <v>0.05</v>
      </c>
      <c r="F45" s="462">
        <f>tlInputProd3Reg1Grth</f>
        <v>0.05</v>
      </c>
      <c r="G45" s="462">
        <f>tlInputProd3Reg1Grth</f>
        <v>0.05</v>
      </c>
      <c r="H45" s="462">
        <f>tlInputProd3Reg1Grth</f>
        <v>0.05</v>
      </c>
      <c r="I45" s="462">
        <f>tlInputProd3Reg1Grth</f>
        <v>0.05</v>
      </c>
      <c r="J45" t="s">
        <v>446</v>
      </c>
      <c r="K45" s="613">
        <v>0.05</v>
      </c>
      <c r="L45" s="584">
        <f>tlInputProd3Reg1Grth</f>
        <v>0.05</v>
      </c>
      <c r="O45" s="120"/>
    </row>
    <row r="46" spans="2:15">
      <c r="B46" t="str">
        <f>DataNameProd3&amp;" Region 2 % Volume Growth Fcst"</f>
        <v>NCB Region 2 % Volume Growth Fcst</v>
      </c>
      <c r="E46" s="590">
        <f>tlInputProd3Reg2Grth</f>
        <v>0.1</v>
      </c>
      <c r="F46" s="462">
        <f>tlInputProd3Reg2Grth</f>
        <v>0.1</v>
      </c>
      <c r="G46" s="462">
        <f>tlInputProd3Reg2Grth</f>
        <v>0.1</v>
      </c>
      <c r="H46" s="462">
        <f>tlInputProd3Reg2Grth</f>
        <v>0.1</v>
      </c>
      <c r="I46" s="462">
        <f>tlInputProd3Reg2Grth</f>
        <v>0.1</v>
      </c>
      <c r="J46" t="s">
        <v>447</v>
      </c>
      <c r="K46" s="613">
        <v>0.1</v>
      </c>
      <c r="L46" s="614">
        <f>tlInputProd3Reg2Grth</f>
        <v>0.1</v>
      </c>
      <c r="O46" s="120"/>
    </row>
    <row r="47" spans="2:15">
      <c r="B47" s="89" t="s">
        <v>2265</v>
      </c>
      <c r="C47" s="89"/>
      <c r="D47" s="89"/>
      <c r="E47" s="957">
        <f>tlInputProd3Ftr1</f>
        <v>0</v>
      </c>
      <c r="F47" s="958">
        <f>tlInputProd3Ftr1</f>
        <v>0</v>
      </c>
      <c r="G47" s="958">
        <f>tlInputProd3Ftr1</f>
        <v>0</v>
      </c>
      <c r="H47" s="958">
        <f>tlInputProd3Ftr1</f>
        <v>0</v>
      </c>
      <c r="I47" s="958">
        <f>tlInputProd3Ftr1</f>
        <v>0</v>
      </c>
      <c r="J47" s="89" t="s">
        <v>3804</v>
      </c>
      <c r="K47" s="959">
        <v>0</v>
      </c>
      <c r="L47" s="960">
        <f>tlInputProd3Ftr1</f>
        <v>0</v>
      </c>
      <c r="O47" s="120"/>
    </row>
    <row r="48" spans="2:15">
      <c r="B48" s="94" t="str">
        <f>DataNameProd3&amp;" Family Brand"</f>
        <v>NCB Family Brand</v>
      </c>
      <c r="C48" s="94"/>
      <c r="D48" s="94"/>
      <c r="E48" s="961">
        <f>tlInputProd3Ftr1Level</f>
        <v>0</v>
      </c>
      <c r="F48" s="962">
        <f>tlInputProd3Ftr1Level</f>
        <v>0</v>
      </c>
      <c r="G48" s="962">
        <f>tlInputProd3Ftr1Level</f>
        <v>0</v>
      </c>
      <c r="H48" s="962">
        <f>tlInputProd3Ftr1Level</f>
        <v>0</v>
      </c>
      <c r="I48" s="962">
        <f>tlInputProd3Ftr1Level</f>
        <v>0</v>
      </c>
      <c r="J48" s="94"/>
      <c r="K48" s="963">
        <v>0</v>
      </c>
      <c r="L48" s="964">
        <f>tlInputProd3Ftr1Level</f>
        <v>0</v>
      </c>
      <c r="O48" s="120"/>
    </row>
    <row r="49" spans="2:15">
      <c r="B49" s="89" t="s">
        <v>679</v>
      </c>
      <c r="C49" s="89"/>
      <c r="D49" s="89"/>
      <c r="E49" s="957">
        <f>tlInputProd3Ftr2</f>
        <v>0</v>
      </c>
      <c r="F49" s="958">
        <f>tlInputProd3Ftr2</f>
        <v>0</v>
      </c>
      <c r="G49" s="958">
        <f>tlInputProd3Ftr2</f>
        <v>0</v>
      </c>
      <c r="H49" s="958">
        <f>tlInputProd3Ftr2</f>
        <v>0</v>
      </c>
      <c r="I49" s="958">
        <f>tlInputProd3Ftr2</f>
        <v>0</v>
      </c>
      <c r="J49" s="89" t="s">
        <v>3805</v>
      </c>
      <c r="K49" s="959">
        <v>0</v>
      </c>
      <c r="L49" s="960">
        <f>tlInputProd3Ftr2</f>
        <v>0</v>
      </c>
      <c r="O49" s="120"/>
    </row>
    <row r="50" spans="2:15">
      <c r="B50" s="94" t="str">
        <f>DataNameProd3&amp;" Partner Brand"</f>
        <v>NCB Partner Brand</v>
      </c>
      <c r="C50" s="94"/>
      <c r="D50" s="94"/>
      <c r="E50" s="961">
        <f>tlInputProd3Ftr2Level</f>
        <v>0</v>
      </c>
      <c r="F50" s="962">
        <f>tlInputProd3Ftr2Level</f>
        <v>0</v>
      </c>
      <c r="G50" s="962">
        <f>tlInputProd3Ftr2Level</f>
        <v>0</v>
      </c>
      <c r="H50" s="962">
        <f>tlInputProd3Ftr2Level</f>
        <v>0</v>
      </c>
      <c r="I50" s="962">
        <f>tlInputProd3Ftr2Level</f>
        <v>0</v>
      </c>
      <c r="J50" s="94"/>
      <c r="K50" s="963">
        <v>0</v>
      </c>
      <c r="L50" s="964">
        <f>tlInputProd3Ftr2Level</f>
        <v>0</v>
      </c>
      <c r="O50" s="120"/>
    </row>
    <row r="51" spans="2:15">
      <c r="B51" t="s">
        <v>1575</v>
      </c>
      <c r="E51" s="125" t="str">
        <f>tlInputProd3Ftr4LevelDec</f>
        <v>Narrow</v>
      </c>
      <c r="F51" s="33" t="str">
        <f>tlInputProd3Ftr4LevelDec</f>
        <v>Narrow</v>
      </c>
      <c r="G51" s="33" t="str">
        <f>tlInputProd3Ftr4LevelDec</f>
        <v>Narrow</v>
      </c>
      <c r="H51" s="33" t="str">
        <f>tlInputProd3Ftr4LevelDec</f>
        <v>Narrow</v>
      </c>
      <c r="I51" s="33" t="str">
        <f>tlInputProd3Ftr4LevelDec</f>
        <v>Narrow</v>
      </c>
      <c r="J51" t="s">
        <v>3887</v>
      </c>
      <c r="K51" s="587" t="s">
        <v>1707</v>
      </c>
      <c r="L51" s="588" t="str">
        <f>tlInputProd3Ftr4LevelDec</f>
        <v>Narrow</v>
      </c>
      <c r="O51" s="120"/>
    </row>
    <row r="52" spans="2:15">
      <c r="B52" t="str">
        <f>DataNameProd3&amp;" Brand Positioning"</f>
        <v>NCB Brand Positioning</v>
      </c>
      <c r="E52" s="125" t="str">
        <f>tlInputProd3Brand</f>
        <v>SELECT ONE</v>
      </c>
      <c r="F52" s="33" t="str">
        <f>tlInputProd3Brand</f>
        <v>SELECT ONE</v>
      </c>
      <c r="G52" s="33" t="str">
        <f>tlInputProd3Brand</f>
        <v>SELECT ONE</v>
      </c>
      <c r="H52" s="33" t="str">
        <f>tlInputProd3Brand</f>
        <v>SELECT ONE</v>
      </c>
      <c r="I52" s="33" t="str">
        <f>tlInputProd3Brand</f>
        <v>SELECT ONE</v>
      </c>
      <c r="J52" t="s">
        <v>268</v>
      </c>
      <c r="K52" s="680" t="s">
        <v>2748</v>
      </c>
      <c r="L52" s="584" t="str">
        <f>tlInputProd3Brand</f>
        <v>SELECT ONE</v>
      </c>
      <c r="O52" s="120"/>
    </row>
    <row r="53" spans="2:15">
      <c r="B53" s="89" t="str">
        <f>DataNameProd3&amp;" Region 1 Advertising"</f>
        <v>NCB Region 1 Advertising</v>
      </c>
      <c r="C53" s="89"/>
      <c r="D53" s="89"/>
      <c r="E53" s="1300">
        <f>tlInputProd3Adv</f>
        <v>495</v>
      </c>
      <c r="F53" s="958">
        <f>tlInputProd3Adv</f>
        <v>495</v>
      </c>
      <c r="G53" s="958">
        <f>tlInputProd3Adv</f>
        <v>495</v>
      </c>
      <c r="H53" s="958">
        <f>tlInputProd3Adv</f>
        <v>495</v>
      </c>
      <c r="I53" s="958">
        <f>tlInputProd3Adv</f>
        <v>495</v>
      </c>
      <c r="J53" s="89" t="s">
        <v>269</v>
      </c>
      <c r="K53" s="959">
        <v>495</v>
      </c>
      <c r="L53" s="960">
        <f>tlInputProd3Adv</f>
        <v>495</v>
      </c>
      <c r="O53" s="120"/>
    </row>
    <row r="54" spans="2:15">
      <c r="B54" s="94" t="str">
        <f>DataNameProd3&amp;" Region 2 Advertising"</f>
        <v>NCB Region 2 Advertising</v>
      </c>
      <c r="C54" s="94"/>
      <c r="D54" s="94"/>
      <c r="E54" s="1301">
        <f>tlInputProd3AdvR2</f>
        <v>65</v>
      </c>
      <c r="F54" s="965">
        <f>tlInputProd3AdvR2</f>
        <v>65</v>
      </c>
      <c r="G54" s="965">
        <f>tlInputProd3AdvR2</f>
        <v>65</v>
      </c>
      <c r="H54" s="965">
        <f>tlInputProd3AdvR2</f>
        <v>65</v>
      </c>
      <c r="I54" s="965">
        <f>tlInputProd3AdvR2</f>
        <v>65</v>
      </c>
      <c r="J54" s="94" t="s">
        <v>1594</v>
      </c>
      <c r="K54" s="966">
        <v>65</v>
      </c>
      <c r="L54" s="967">
        <f>tlInputProd3AdvR2</f>
        <v>65</v>
      </c>
      <c r="O54" s="120"/>
    </row>
    <row r="55" spans="2:15">
      <c r="B55" s="89" t="str">
        <f>DataNameProd3&amp;" Region 1 Promotions"</f>
        <v>NCB Region 1 Promotions</v>
      </c>
      <c r="C55" s="89"/>
      <c r="D55" s="89"/>
      <c r="E55" s="1300">
        <f>tlInputProd3Promo</f>
        <v>855</v>
      </c>
      <c r="F55" s="958">
        <f>tlInputProd3Promo</f>
        <v>855</v>
      </c>
      <c r="G55" s="958">
        <f>tlInputProd3Promo</f>
        <v>855</v>
      </c>
      <c r="H55" s="958">
        <f>tlInputProd3Promo</f>
        <v>855</v>
      </c>
      <c r="I55" s="958">
        <f>tlInputProd3Promo</f>
        <v>855</v>
      </c>
      <c r="J55" s="89" t="s">
        <v>119</v>
      </c>
      <c r="K55" s="959">
        <v>855</v>
      </c>
      <c r="L55" s="960">
        <f>tlInputProd3Promo</f>
        <v>855</v>
      </c>
      <c r="O55" s="120"/>
    </row>
    <row r="56" spans="2:15">
      <c r="B56" s="94" t="str">
        <f>DataNameProd3&amp;" Region 2 Promotions"</f>
        <v>NCB Region 2 Promotions</v>
      </c>
      <c r="C56" s="94"/>
      <c r="D56" s="94"/>
      <c r="E56" s="1301">
        <f>tlInputProd3PromoR2</f>
        <v>165</v>
      </c>
      <c r="F56" s="965">
        <f>tlInputProd3PromoR2</f>
        <v>165</v>
      </c>
      <c r="G56" s="965">
        <f>tlInputProd3PromoR2</f>
        <v>165</v>
      </c>
      <c r="H56" s="965">
        <f>tlInputProd3PromoR2</f>
        <v>165</v>
      </c>
      <c r="I56" s="965">
        <f>tlInputProd3PromoR2</f>
        <v>165</v>
      </c>
      <c r="J56" s="94" t="s">
        <v>1595</v>
      </c>
      <c r="K56" s="966">
        <v>165</v>
      </c>
      <c r="L56" s="967">
        <f>tlInputProd3PromoR2</f>
        <v>165</v>
      </c>
      <c r="O56" s="120"/>
    </row>
    <row r="57" spans="2:15">
      <c r="E57" s="124"/>
      <c r="F57" s="139"/>
      <c r="G57" s="139"/>
      <c r="H57" s="139"/>
      <c r="I57" s="139"/>
      <c r="K57" s="118"/>
      <c r="L57" s="122"/>
      <c r="O57" s="120"/>
    </row>
    <row r="58" spans="2:15">
      <c r="E58" s="124"/>
      <c r="F58" s="139"/>
      <c r="G58" s="139"/>
      <c r="H58" s="139"/>
      <c r="I58" s="139"/>
      <c r="K58" s="118"/>
      <c r="L58" s="122"/>
      <c r="O58" s="120"/>
    </row>
    <row r="59" spans="2:15">
      <c r="B59" s="2" t="str">
        <f>DataNameProd4&amp;" Decisions"</f>
        <v>F&amp;S Decisions</v>
      </c>
      <c r="E59" s="125"/>
      <c r="F59" s="33"/>
      <c r="G59" s="33"/>
      <c r="H59" s="33"/>
      <c r="I59" s="33"/>
      <c r="K59" s="32"/>
      <c r="L59" s="120"/>
      <c r="O59" s="120"/>
    </row>
    <row r="60" spans="2:15">
      <c r="B60" t="str">
        <f>DataNameProd4&amp;" Region 1 Price"</f>
        <v>F&amp;S Region 1 Price</v>
      </c>
      <c r="E60" s="2447">
        <f>tlInputProd4Reg1Price</f>
        <v>12.5</v>
      </c>
      <c r="F60" s="1127">
        <f>tlInputProd4Reg1Price</f>
        <v>12.5</v>
      </c>
      <c r="G60" s="1127">
        <f>tlInputProd4Reg1Price</f>
        <v>12.5</v>
      </c>
      <c r="H60" s="1127">
        <f>tlInputProd4Reg1Price</f>
        <v>12.5</v>
      </c>
      <c r="I60" s="1127">
        <f>tlInputProd4Reg1Price</f>
        <v>12.5</v>
      </c>
      <c r="J60" t="s">
        <v>270</v>
      </c>
      <c r="K60" s="1299">
        <v>12.5</v>
      </c>
      <c r="L60" s="1468">
        <f>tlInputProd4Reg1Price</f>
        <v>12.5</v>
      </c>
      <c r="O60" s="120"/>
    </row>
    <row r="61" spans="2:15">
      <c r="B61" t="str">
        <f>DataNameProd4&amp;" Region 2 Price"</f>
        <v>F&amp;S Region 2 Price</v>
      </c>
      <c r="E61" s="1125">
        <f>tlInputProd4Reg2Price</f>
        <v>9</v>
      </c>
      <c r="F61" s="1127">
        <f>tlInputProd4Reg2Price</f>
        <v>9</v>
      </c>
      <c r="G61" s="1127">
        <f>tlInputProd4Reg2Price</f>
        <v>9</v>
      </c>
      <c r="H61" s="1127">
        <f>tlInputProd4Reg2Price</f>
        <v>9</v>
      </c>
      <c r="I61" s="1127">
        <f>tlInputProd4Reg2Price</f>
        <v>9</v>
      </c>
      <c r="J61" t="s">
        <v>271</v>
      </c>
      <c r="K61" s="1299">
        <v>9</v>
      </c>
      <c r="L61" s="1468">
        <f>tlInputProd4Reg2Price</f>
        <v>9</v>
      </c>
      <c r="O61" s="120"/>
    </row>
    <row r="62" spans="2:15">
      <c r="B62" t="str">
        <f>DataNameProd4&amp;" Region 1 % Volume Growth Fcst"</f>
        <v>F&amp;S Region 1 % Volume Growth Fcst</v>
      </c>
      <c r="E62" s="590">
        <f>tlInputProd4Reg1Grth</f>
        <v>0.02</v>
      </c>
      <c r="F62" s="462">
        <f>tlInputProd4Reg1Grth</f>
        <v>0.02</v>
      </c>
      <c r="G62" s="462">
        <f>tlInputProd4Reg1Grth</f>
        <v>0.02</v>
      </c>
      <c r="H62" s="462">
        <f>tlInputProd4Reg1Grth</f>
        <v>0.02</v>
      </c>
      <c r="I62" s="462">
        <f>tlInputProd4Reg1Grth</f>
        <v>0.02</v>
      </c>
      <c r="J62" t="s">
        <v>1075</v>
      </c>
      <c r="K62" s="613">
        <v>0.02</v>
      </c>
      <c r="L62" s="614">
        <f>tlInputProd4Reg1Grth</f>
        <v>0.02</v>
      </c>
      <c r="O62" s="120"/>
    </row>
    <row r="63" spans="2:15">
      <c r="B63" t="str">
        <f>DataNameProd4&amp;" Region 2  % Volume Growth Fcst"</f>
        <v>F&amp;S Region 2  % Volume Growth Fcst</v>
      </c>
      <c r="E63" s="590">
        <f>tlInputProd4Reg2Grth</f>
        <v>0.08</v>
      </c>
      <c r="F63" s="462">
        <f>tlInputProd4Reg2Grth</f>
        <v>0.08</v>
      </c>
      <c r="G63" s="462">
        <f>tlInputProd4Reg2Grth</f>
        <v>0.08</v>
      </c>
      <c r="H63" s="462">
        <f>tlInputProd4Reg2Grth</f>
        <v>0.08</v>
      </c>
      <c r="I63" s="462">
        <f>tlInputProd4Reg2Grth</f>
        <v>0.08</v>
      </c>
      <c r="J63" t="s">
        <v>1076</v>
      </c>
      <c r="K63" s="613">
        <v>0.08</v>
      </c>
      <c r="L63" s="614">
        <f>tlInputProd4Reg2Grth</f>
        <v>0.08</v>
      </c>
      <c r="O63" s="120"/>
    </row>
    <row r="64" spans="2:15">
      <c r="B64" s="89" t="s">
        <v>2265</v>
      </c>
      <c r="C64" s="89"/>
      <c r="D64" s="89"/>
      <c r="E64" s="957">
        <f>tlInputProd4Ftr1</f>
        <v>0</v>
      </c>
      <c r="F64" s="958">
        <f>tlInputProd4Ftr1</f>
        <v>0</v>
      </c>
      <c r="G64" s="958">
        <f>tlInputProd4Ftr1</f>
        <v>0</v>
      </c>
      <c r="H64" s="958">
        <f>tlInputProd4Ftr1</f>
        <v>0</v>
      </c>
      <c r="I64" s="958">
        <f>tlInputProd4Ftr1</f>
        <v>0</v>
      </c>
      <c r="J64" s="89" t="s">
        <v>3934</v>
      </c>
      <c r="K64" s="959">
        <v>0</v>
      </c>
      <c r="L64" s="960">
        <f>tlInputProd4Ftr1</f>
        <v>0</v>
      </c>
      <c r="O64" s="120"/>
    </row>
    <row r="65" spans="1:15">
      <c r="B65" s="94" t="str">
        <f>DataNameProd4&amp;" Family Brand"</f>
        <v>F&amp;S Family Brand</v>
      </c>
      <c r="C65" s="94"/>
      <c r="D65" s="94"/>
      <c r="E65" s="961">
        <f>tlInputProd4Ftr1Level</f>
        <v>0</v>
      </c>
      <c r="F65" s="962">
        <f>tlInputProd4Ftr1Level</f>
        <v>0</v>
      </c>
      <c r="G65" s="962">
        <f>tlInputProd4Ftr1Level</f>
        <v>0</v>
      </c>
      <c r="H65" s="962">
        <f>tlInputProd4Ftr1Level</f>
        <v>0</v>
      </c>
      <c r="I65" s="962">
        <f>tlInputProd4Ftr1Level</f>
        <v>0</v>
      </c>
      <c r="J65" s="94"/>
      <c r="K65" s="963">
        <v>0</v>
      </c>
      <c r="L65" s="964">
        <f>tlInputProd4Ftr1Level</f>
        <v>0</v>
      </c>
      <c r="O65" s="120"/>
    </row>
    <row r="66" spans="1:15">
      <c r="B66" s="89" t="s">
        <v>679</v>
      </c>
      <c r="C66" s="89"/>
      <c r="D66" s="89"/>
      <c r="E66" s="957">
        <f>tlInputProd4Ftr2</f>
        <v>0</v>
      </c>
      <c r="F66" s="958">
        <f>tlInputProd4Ftr2</f>
        <v>0</v>
      </c>
      <c r="G66" s="958">
        <f>tlInputProd4Ftr2</f>
        <v>0</v>
      </c>
      <c r="H66" s="958">
        <f>tlInputProd4Ftr2</f>
        <v>0</v>
      </c>
      <c r="I66" s="958">
        <f>tlInputProd4Ftr2</f>
        <v>0</v>
      </c>
      <c r="J66" s="89" t="s">
        <v>3935</v>
      </c>
      <c r="K66" s="959">
        <v>0</v>
      </c>
      <c r="L66" s="960">
        <f>tlInputProd4Ftr2</f>
        <v>0</v>
      </c>
      <c r="O66" s="120"/>
    </row>
    <row r="67" spans="1:15">
      <c r="B67" s="94" t="str">
        <f>DataNameProd4&amp;" Partner Brand"</f>
        <v>F&amp;S Partner Brand</v>
      </c>
      <c r="C67" s="94"/>
      <c r="D67" s="94"/>
      <c r="E67" s="961">
        <f>tlInputProd4Ftr2Level</f>
        <v>0</v>
      </c>
      <c r="F67" s="962">
        <f>tlInputProd4Ftr2Level</f>
        <v>0</v>
      </c>
      <c r="G67" s="962">
        <f>tlInputProd4Ftr2Level</f>
        <v>0</v>
      </c>
      <c r="H67" s="962">
        <f>tlInputProd4Ftr2Level</f>
        <v>0</v>
      </c>
      <c r="I67" s="962">
        <f>tlInputProd4Ftr2Level</f>
        <v>0</v>
      </c>
      <c r="J67" s="94"/>
      <c r="K67" s="963">
        <v>0</v>
      </c>
      <c r="L67" s="964">
        <f>tlInputProd4Ftr2Level</f>
        <v>0</v>
      </c>
      <c r="O67" s="120"/>
    </row>
    <row r="68" spans="1:15">
      <c r="B68" s="89" t="s">
        <v>680</v>
      </c>
      <c r="C68" s="89"/>
      <c r="D68" s="89"/>
      <c r="E68" s="957">
        <f>tlInputProd4Ftr3</f>
        <v>0</v>
      </c>
      <c r="F68" s="958">
        <f>tlInputProd4Ftr3</f>
        <v>0</v>
      </c>
      <c r="G68" s="958">
        <f>tlInputProd4Ftr3</f>
        <v>0</v>
      </c>
      <c r="H68" s="958">
        <f>tlInputProd4Ftr3</f>
        <v>0</v>
      </c>
      <c r="I68" s="958">
        <f>tlInputProd4Ftr3</f>
        <v>0</v>
      </c>
      <c r="J68" s="89" t="s">
        <v>3936</v>
      </c>
      <c r="K68" s="959">
        <v>0</v>
      </c>
      <c r="L68" s="960">
        <f>tlInputProd4Ftr3</f>
        <v>0</v>
      </c>
      <c r="O68" s="120"/>
    </row>
    <row r="69" spans="1:15">
      <c r="B69" s="94" t="str">
        <f>DataNameProd4&amp;" Speciality Brand"</f>
        <v>F&amp;S Speciality Brand</v>
      </c>
      <c r="C69" s="94"/>
      <c r="D69" s="94"/>
      <c r="E69" s="961">
        <f>tlInputProd4Ftr3Level</f>
        <v>1</v>
      </c>
      <c r="F69" s="962">
        <f>tlInputProd4Ftr3Level</f>
        <v>1</v>
      </c>
      <c r="G69" s="962">
        <f>tlInputProd4Ftr3Level</f>
        <v>1</v>
      </c>
      <c r="H69" s="962">
        <f>tlInputProd4Ftr3Level</f>
        <v>1</v>
      </c>
      <c r="I69" s="962">
        <f>tlInputProd4Ftr3Level</f>
        <v>1</v>
      </c>
      <c r="J69" s="94"/>
      <c r="K69" s="963">
        <v>0</v>
      </c>
      <c r="L69" s="964">
        <f>tlInputProd4Ftr3Level</f>
        <v>1</v>
      </c>
      <c r="O69" s="120"/>
    </row>
    <row r="70" spans="1:15">
      <c r="B70" t="s">
        <v>1575</v>
      </c>
      <c r="E70" s="125" t="str">
        <f>tlInputProd4Ftr4LevelDec</f>
        <v>Narrow</v>
      </c>
      <c r="F70" s="33" t="str">
        <f>tlInputProd4Ftr4LevelDec</f>
        <v>Narrow</v>
      </c>
      <c r="G70" s="33" t="str">
        <f>tlInputProd4Ftr4LevelDec</f>
        <v>Narrow</v>
      </c>
      <c r="H70" s="33" t="str">
        <f>tlInputProd4Ftr4LevelDec</f>
        <v>Narrow</v>
      </c>
      <c r="I70" s="33" t="str">
        <f>tlInputProd4Ftr4LevelDec</f>
        <v>Narrow</v>
      </c>
      <c r="J70" t="s">
        <v>3888</v>
      </c>
      <c r="K70" s="587" t="s">
        <v>1707</v>
      </c>
      <c r="L70" s="588" t="str">
        <f>tlInputProd4Ftr4LevelDec</f>
        <v>Narrow</v>
      </c>
      <c r="O70" s="120"/>
    </row>
    <row r="71" spans="1:15">
      <c r="B71" t="str">
        <f>DataNameProd4&amp;" Brand Positioning"</f>
        <v>F&amp;S Brand Positioning</v>
      </c>
      <c r="E71" s="125" t="str">
        <f>tlInputProd4Brand</f>
        <v>SELECT ONE</v>
      </c>
      <c r="F71" s="33" t="str">
        <f>tlInputProd4Brand</f>
        <v>SELECT ONE</v>
      </c>
      <c r="G71" s="33" t="str">
        <f>tlInputProd4Brand</f>
        <v>SELECT ONE</v>
      </c>
      <c r="H71" s="33" t="str">
        <f>tlInputProd4Brand</f>
        <v>SELECT ONE</v>
      </c>
      <c r="I71" s="33" t="str">
        <f>tlInputProd4Brand</f>
        <v>SELECT ONE</v>
      </c>
      <c r="J71" t="s">
        <v>272</v>
      </c>
      <c r="K71" s="681" t="s">
        <v>2748</v>
      </c>
      <c r="L71" s="120" t="str">
        <f>tlInputProd4Brand</f>
        <v>SELECT ONE</v>
      </c>
      <c r="O71" s="120"/>
    </row>
    <row r="72" spans="1:15">
      <c r="B72" s="89" t="str">
        <f>DataNameProd4&amp;" Region 1 Advertising"</f>
        <v>F&amp;S Region 1 Advertising</v>
      </c>
      <c r="C72" s="89"/>
      <c r="D72" s="89"/>
      <c r="E72" s="1300">
        <f>tlInputProd4Adv</f>
        <v>325</v>
      </c>
      <c r="F72" s="958">
        <f>tlInputProd4Adv</f>
        <v>325</v>
      </c>
      <c r="G72" s="958">
        <f>tlInputProd4Adv</f>
        <v>325</v>
      </c>
      <c r="H72" s="958">
        <f>tlInputProd4Adv</f>
        <v>325</v>
      </c>
      <c r="I72" s="958">
        <f>tlInputProd4Adv</f>
        <v>325</v>
      </c>
      <c r="J72" s="89" t="s">
        <v>273</v>
      </c>
      <c r="K72" s="959">
        <v>325</v>
      </c>
      <c r="L72" s="960">
        <f>tlInputProd4Adv</f>
        <v>325</v>
      </c>
      <c r="O72" s="120"/>
    </row>
    <row r="73" spans="1:15">
      <c r="B73" s="94" t="str">
        <f>DataNameProd4&amp;" Region 2 Advertising"</f>
        <v>F&amp;S Region 2 Advertising</v>
      </c>
      <c r="C73" s="94"/>
      <c r="D73" s="94"/>
      <c r="E73" s="1301">
        <f>tlInputProd4AdvR2</f>
        <v>52</v>
      </c>
      <c r="F73" s="965">
        <f>tlInputProd4AdvR2</f>
        <v>52</v>
      </c>
      <c r="G73" s="965">
        <f>tlInputProd4AdvR2</f>
        <v>52</v>
      </c>
      <c r="H73" s="965">
        <f>tlInputProd4AdvR2</f>
        <v>52</v>
      </c>
      <c r="I73" s="965">
        <f>tlInputProd4AdvR2</f>
        <v>52</v>
      </c>
      <c r="J73" s="94" t="s">
        <v>1596</v>
      </c>
      <c r="K73" s="966">
        <v>52</v>
      </c>
      <c r="L73" s="967">
        <f>tlInputProd4AdvR2</f>
        <v>52</v>
      </c>
      <c r="O73" s="120"/>
    </row>
    <row r="74" spans="1:15">
      <c r="B74" s="89" t="str">
        <f>DataNameProd4&amp;" Region 1 Promotions"</f>
        <v>F&amp;S Region 1 Promotions</v>
      </c>
      <c r="C74" s="89"/>
      <c r="D74" s="89"/>
      <c r="E74" s="1300">
        <f>tlInputProd4Promo</f>
        <v>760</v>
      </c>
      <c r="F74" s="958">
        <f>tlInputProd4Promo</f>
        <v>760</v>
      </c>
      <c r="G74" s="958">
        <f>tlInputProd4Promo</f>
        <v>760</v>
      </c>
      <c r="H74" s="958">
        <f>tlInputProd4Promo</f>
        <v>760</v>
      </c>
      <c r="I74" s="958">
        <f>tlInputProd4Promo</f>
        <v>760</v>
      </c>
      <c r="J74" s="89" t="s">
        <v>120</v>
      </c>
      <c r="K74" s="959">
        <v>760</v>
      </c>
      <c r="L74" s="960">
        <f>tlInputProd4Promo</f>
        <v>760</v>
      </c>
      <c r="O74" s="120"/>
    </row>
    <row r="75" spans="1:15">
      <c r="B75" s="94" t="str">
        <f>DataNameProd4&amp;" Region 2 Promotions"</f>
        <v>F&amp;S Region 2 Promotions</v>
      </c>
      <c r="C75" s="94"/>
      <c r="D75" s="94"/>
      <c r="E75" s="1301">
        <f>tlInputProd4PromoR2</f>
        <v>95</v>
      </c>
      <c r="F75" s="965">
        <f>tlInputProd4PromoR2</f>
        <v>95</v>
      </c>
      <c r="G75" s="965">
        <f>tlInputProd4PromoR2</f>
        <v>95</v>
      </c>
      <c r="H75" s="965">
        <f>tlInputProd4PromoR2</f>
        <v>95</v>
      </c>
      <c r="I75" s="965">
        <f>tlInputProd4PromoR2</f>
        <v>95</v>
      </c>
      <c r="J75" s="94" t="s">
        <v>1597</v>
      </c>
      <c r="K75" s="966">
        <v>95</v>
      </c>
      <c r="L75" s="967">
        <f>tlInputProd4PromoR2</f>
        <v>95</v>
      </c>
      <c r="O75" s="120"/>
    </row>
    <row r="76" spans="1:15">
      <c r="B76" s="2"/>
      <c r="E76" s="125"/>
      <c r="F76" s="33"/>
      <c r="G76" s="33"/>
      <c r="H76" s="33"/>
      <c r="I76" s="33"/>
      <c r="K76" s="32"/>
      <c r="L76" s="120"/>
      <c r="O76" s="120"/>
    </row>
    <row r="77" spans="1:15">
      <c r="A77" s="2" t="s">
        <v>1993</v>
      </c>
      <c r="B77" s="2"/>
      <c r="E77" s="125"/>
      <c r="F77" s="33"/>
      <c r="G77" s="33"/>
      <c r="H77" s="33"/>
      <c r="I77" s="33"/>
      <c r="K77" s="32"/>
      <c r="L77" s="120"/>
      <c r="N77" s="2"/>
      <c r="O77" s="120"/>
    </row>
    <row r="78" spans="1:15">
      <c r="A78" s="2"/>
      <c r="B78" s="3" t="s">
        <v>137</v>
      </c>
      <c r="E78" s="125">
        <f>tlInputITcapAdd</f>
        <v>1</v>
      </c>
      <c r="F78" s="33">
        <f>tlInputITcapAdd</f>
        <v>1</v>
      </c>
      <c r="G78" s="33">
        <f>tlInputITcapAdd</f>
        <v>1</v>
      </c>
      <c r="H78" s="33">
        <f>tlInputITcapAdd</f>
        <v>1</v>
      </c>
      <c r="I78" s="33">
        <f>tlInputITcapAdd</f>
        <v>1</v>
      </c>
      <c r="J78" t="s">
        <v>138</v>
      </c>
      <c r="K78" s="32">
        <v>1</v>
      </c>
      <c r="L78" s="120">
        <f>tlInputITcapAdd</f>
        <v>1</v>
      </c>
      <c r="O78" s="120"/>
    </row>
    <row r="79" spans="1:15">
      <c r="B79" s="2"/>
      <c r="E79" s="125"/>
      <c r="F79" s="33"/>
      <c r="G79" s="33"/>
      <c r="H79" s="33"/>
      <c r="I79" s="33"/>
      <c r="K79" s="32"/>
      <c r="L79" s="120"/>
      <c r="O79" s="120"/>
    </row>
    <row r="80" spans="1:15">
      <c r="A80" s="2" t="s">
        <v>1723</v>
      </c>
      <c r="E80" s="125"/>
      <c r="F80" s="33"/>
      <c r="G80" s="33"/>
      <c r="H80" s="33"/>
      <c r="I80" s="33"/>
      <c r="K80" s="32"/>
      <c r="L80" s="120"/>
      <c r="O80" s="120"/>
    </row>
    <row r="81" spans="1:15">
      <c r="B81" t="s">
        <v>1724</v>
      </c>
      <c r="E81" s="125">
        <f>tlInputReg1ChanLevel</f>
        <v>30</v>
      </c>
      <c r="F81" s="33">
        <f>tlInputReg1ChanLevel</f>
        <v>30</v>
      </c>
      <c r="G81" s="33">
        <f>tlInputReg1ChanLevel</f>
        <v>30</v>
      </c>
      <c r="H81" s="33">
        <f>tlInputReg1ChanLevel</f>
        <v>30</v>
      </c>
      <c r="I81" s="33">
        <f>tlInputReg1ChanLevel</f>
        <v>30</v>
      </c>
      <c r="J81" t="s">
        <v>1442</v>
      </c>
      <c r="K81" s="32">
        <v>30</v>
      </c>
      <c r="L81" s="120">
        <f>tlInputReg1ChanLevel</f>
        <v>30</v>
      </c>
      <c r="O81" s="120"/>
    </row>
    <row r="82" spans="1:15">
      <c r="B82" t="s">
        <v>1725</v>
      </c>
      <c r="E82" s="125">
        <f>tlInputReg2ChanLevel</f>
        <v>30</v>
      </c>
      <c r="F82" s="33">
        <f>tlInputReg2ChanLevel</f>
        <v>30</v>
      </c>
      <c r="G82" s="33">
        <f>tlInputReg2ChanLevel</f>
        <v>30</v>
      </c>
      <c r="H82" s="33">
        <f>tlInputReg2ChanLevel</f>
        <v>30</v>
      </c>
      <c r="I82" s="33">
        <f>tlInputReg2ChanLevel</f>
        <v>30</v>
      </c>
      <c r="J82" t="s">
        <v>1443</v>
      </c>
      <c r="K82" s="32">
        <v>30</v>
      </c>
      <c r="L82" s="120">
        <f>tlInputReg2ChanLevel</f>
        <v>30</v>
      </c>
      <c r="O82" s="120"/>
    </row>
    <row r="83" spans="1:15">
      <c r="E83" s="125"/>
      <c r="F83" s="33"/>
      <c r="G83" s="33"/>
      <c r="H83" s="33"/>
      <c r="I83" s="33"/>
      <c r="K83" s="32"/>
      <c r="L83" s="120"/>
      <c r="O83" s="120"/>
    </row>
    <row r="84" spans="1:15">
      <c r="A84" s="2" t="s">
        <v>1843</v>
      </c>
      <c r="E84" s="125"/>
      <c r="F84" s="33"/>
      <c r="G84" s="33"/>
      <c r="H84" s="33"/>
      <c r="I84" s="33"/>
      <c r="K84" s="32"/>
      <c r="L84" s="120"/>
      <c r="O84" s="120"/>
    </row>
    <row r="85" spans="1:15">
      <c r="B85" t="s">
        <v>4639</v>
      </c>
      <c r="E85" s="125">
        <f>tlInputPlant1UnitsChange</f>
        <v>20</v>
      </c>
      <c r="F85" s="33">
        <f>tlInputPlant1UnitsChange</f>
        <v>20</v>
      </c>
      <c r="G85" s="33">
        <f>tlInputPlant1UnitsChange</f>
        <v>20</v>
      </c>
      <c r="H85" s="33">
        <f>tlInputPlant1UnitsChange</f>
        <v>20</v>
      </c>
      <c r="I85" s="33">
        <f>tlInputPlant1UnitsChange</f>
        <v>20</v>
      </c>
      <c r="J85" t="s">
        <v>311</v>
      </c>
      <c r="K85" s="32">
        <v>20</v>
      </c>
      <c r="L85" s="120">
        <f>tlInputPlant1UnitsChange</f>
        <v>20</v>
      </c>
      <c r="O85" s="120"/>
    </row>
    <row r="86" spans="1:15">
      <c r="B86" t="s">
        <v>293</v>
      </c>
      <c r="E86" s="125"/>
      <c r="F86" s="33"/>
      <c r="G86" s="33"/>
      <c r="H86" s="33"/>
      <c r="I86" s="33"/>
      <c r="K86" s="32"/>
      <c r="L86" s="120"/>
      <c r="O86" s="120"/>
    </row>
    <row r="87" spans="1:15">
      <c r="B87" t="s">
        <v>1703</v>
      </c>
      <c r="E87" s="125">
        <f>tlInputPlant1Flex</f>
        <v>3</v>
      </c>
      <c r="F87" s="33">
        <f>tlInputPlant1Flex</f>
        <v>3</v>
      </c>
      <c r="G87" s="33">
        <f>tlInputPlant1Flex</f>
        <v>3</v>
      </c>
      <c r="H87" s="33">
        <f>tlInputPlant1Flex</f>
        <v>3</v>
      </c>
      <c r="I87" s="33">
        <f>tlInputPlant1Flex</f>
        <v>3</v>
      </c>
      <c r="J87" t="s">
        <v>1704</v>
      </c>
      <c r="K87" s="32">
        <v>3</v>
      </c>
      <c r="L87" s="120">
        <f>tlInputPlant1Flex</f>
        <v>3</v>
      </c>
      <c r="O87" s="120"/>
    </row>
    <row r="88" spans="1:15">
      <c r="E88" s="125"/>
      <c r="F88" s="33"/>
      <c r="G88" s="33"/>
      <c r="H88" s="33"/>
      <c r="I88" s="33"/>
      <c r="K88" s="32"/>
      <c r="L88" s="120"/>
      <c r="O88" s="120"/>
    </row>
    <row r="89" spans="1:15">
      <c r="A89" s="2" t="s">
        <v>3991</v>
      </c>
      <c r="E89" s="125"/>
      <c r="F89" s="33"/>
      <c r="G89" s="33"/>
      <c r="H89" s="33"/>
      <c r="I89" s="33"/>
      <c r="K89" s="32"/>
      <c r="L89" s="120"/>
      <c r="O89" s="120"/>
    </row>
    <row r="90" spans="1:15">
      <c r="A90" s="2"/>
      <c r="B90" s="2" t="s">
        <v>1992</v>
      </c>
      <c r="E90" s="125"/>
      <c r="F90" s="33"/>
      <c r="G90" s="33"/>
      <c r="H90" s="33"/>
      <c r="I90" s="33"/>
      <c r="K90" s="32"/>
      <c r="L90" s="120"/>
      <c r="O90" s="120"/>
    </row>
    <row r="91" spans="1:15">
      <c r="B91" t="s">
        <v>4643</v>
      </c>
      <c r="E91" s="125">
        <f>tlInputEmp1Change</f>
        <v>400</v>
      </c>
      <c r="F91" s="33">
        <f>tlInputEmp1Change</f>
        <v>400</v>
      </c>
      <c r="G91" s="33">
        <f>tlInputEmp1Change</f>
        <v>400</v>
      </c>
      <c r="H91" s="33">
        <f>tlInputEmp1Change</f>
        <v>400</v>
      </c>
      <c r="I91" s="33">
        <f>tlInputEmp1Change</f>
        <v>400</v>
      </c>
      <c r="J91" t="s">
        <v>3009</v>
      </c>
      <c r="K91" s="32">
        <v>400</v>
      </c>
      <c r="L91" s="120">
        <f>tlInputEmp1Change</f>
        <v>400</v>
      </c>
      <c r="O91" s="120"/>
    </row>
    <row r="92" spans="1:15">
      <c r="B92" t="s">
        <v>4644</v>
      </c>
      <c r="E92" s="125">
        <f>tlInputEmp2Change</f>
        <v>245</v>
      </c>
      <c r="F92" s="33">
        <f>tlInputEmp2Change</f>
        <v>245</v>
      </c>
      <c r="G92" s="33">
        <f>tlInputEmp2Change</f>
        <v>245</v>
      </c>
      <c r="H92" s="33">
        <f>tlInputEmp2Change</f>
        <v>245</v>
      </c>
      <c r="I92" s="33">
        <f>tlInputEmp2Change</f>
        <v>245</v>
      </c>
      <c r="J92" t="s">
        <v>3008</v>
      </c>
      <c r="K92" s="32">
        <v>245</v>
      </c>
      <c r="L92" s="120">
        <f>tlInputEmp2Change</f>
        <v>245</v>
      </c>
      <c r="O92" s="120"/>
    </row>
    <row r="93" spans="1:15">
      <c r="B93" t="s">
        <v>4645</v>
      </c>
      <c r="E93" s="125">
        <f>tlInputEmp3Change</f>
        <v>1000</v>
      </c>
      <c r="F93" s="33">
        <f>tlInputEmp3Change</f>
        <v>1000</v>
      </c>
      <c r="G93" s="33">
        <f>tlInputEmp3Change</f>
        <v>1000</v>
      </c>
      <c r="H93" s="33">
        <f>tlInputEmp3Change</f>
        <v>1000</v>
      </c>
      <c r="I93" s="33">
        <f>tlInputEmp3Change</f>
        <v>1000</v>
      </c>
      <c r="J93" t="s">
        <v>980</v>
      </c>
      <c r="K93" s="32">
        <v>1000</v>
      </c>
      <c r="L93" s="120">
        <f>tlInputEmp3Change</f>
        <v>1000</v>
      </c>
      <c r="O93" s="120"/>
    </row>
    <row r="94" spans="1:15">
      <c r="B94" t="s">
        <v>1541</v>
      </c>
      <c r="E94" s="125">
        <f>tlInputRecruitLevel</f>
        <v>3</v>
      </c>
      <c r="F94" s="33">
        <f>tlInputRecruitLevel</f>
        <v>3</v>
      </c>
      <c r="G94" s="33">
        <f>tlInputRecruitLevel</f>
        <v>3</v>
      </c>
      <c r="H94" s="33">
        <f>tlInputRecruitLevel</f>
        <v>3</v>
      </c>
      <c r="I94" s="33">
        <f>tlInputRecruitLevel</f>
        <v>3</v>
      </c>
      <c r="J94" t="s">
        <v>550</v>
      </c>
      <c r="K94" s="32">
        <v>3</v>
      </c>
      <c r="L94" s="120">
        <f>tlInputRecruitLevel</f>
        <v>3</v>
      </c>
      <c r="O94" s="120"/>
    </row>
    <row r="95" spans="1:15">
      <c r="B95" t="s">
        <v>3336</v>
      </c>
      <c r="E95" s="125">
        <f>tlInputEmpDevLevel</f>
        <v>3</v>
      </c>
      <c r="F95" s="33">
        <f>tlInputEmpDevLevel</f>
        <v>3</v>
      </c>
      <c r="G95" s="33">
        <f>tlInputEmpDevLevel</f>
        <v>3</v>
      </c>
      <c r="H95" s="33">
        <f>tlInputEmpDevLevel</f>
        <v>3</v>
      </c>
      <c r="I95" s="33">
        <f>tlInputEmpDevLevel</f>
        <v>3</v>
      </c>
      <c r="J95" t="s">
        <v>551</v>
      </c>
      <c r="K95" s="32">
        <v>3</v>
      </c>
      <c r="L95" s="120">
        <f>tlInputEmpDevLevel</f>
        <v>3</v>
      </c>
      <c r="O95" s="120"/>
    </row>
    <row r="96" spans="1:15">
      <c r="E96" s="125"/>
      <c r="F96" s="33"/>
      <c r="G96" s="33"/>
      <c r="H96" s="33"/>
      <c r="I96" s="33"/>
      <c r="K96" s="32"/>
      <c r="L96" s="120"/>
      <c r="O96" s="120"/>
    </row>
    <row r="97" spans="1:15">
      <c r="A97" s="2" t="s">
        <v>2351</v>
      </c>
      <c r="E97" s="125"/>
      <c r="F97" s="33"/>
      <c r="G97" s="33"/>
      <c r="H97" s="33"/>
      <c r="I97" s="33"/>
      <c r="K97" s="32"/>
      <c r="L97" s="120"/>
      <c r="O97" s="120"/>
    </row>
    <row r="98" spans="1:15">
      <c r="B98" t="s">
        <v>1405</v>
      </c>
      <c r="E98" s="125">
        <f>tlInputLTDebtChange</f>
        <v>0</v>
      </c>
      <c r="F98" s="33">
        <f>tlInputLTDebtChange</f>
        <v>0</v>
      </c>
      <c r="G98" s="33">
        <f>tlInputLTDebtChange</f>
        <v>0</v>
      </c>
      <c r="H98" s="33">
        <f>tlInputLTDebtChange</f>
        <v>0</v>
      </c>
      <c r="I98" s="33">
        <f>tlInputLTDebtChange</f>
        <v>0</v>
      </c>
      <c r="J98" t="s">
        <v>312</v>
      </c>
      <c r="K98" s="32">
        <v>0</v>
      </c>
      <c r="L98" s="120">
        <f>tlInputLTDebtChange</f>
        <v>0</v>
      </c>
      <c r="O98" s="120"/>
    </row>
    <row r="99" spans="1:15">
      <c r="B99" t="s">
        <v>1406</v>
      </c>
      <c r="E99" s="125">
        <f>tlInputDividendAmount</f>
        <v>0.35</v>
      </c>
      <c r="F99" s="33">
        <f>tlInputDividendAmount</f>
        <v>0.35</v>
      </c>
      <c r="G99" s="33">
        <f>tlInputDividendAmount</f>
        <v>0.35</v>
      </c>
      <c r="H99" s="33">
        <f>tlInputDividendAmount</f>
        <v>0.35</v>
      </c>
      <c r="I99" s="33">
        <f>tlInputDividendAmount</f>
        <v>0.35</v>
      </c>
      <c r="J99" t="s">
        <v>56</v>
      </c>
      <c r="K99" s="32">
        <v>0.35</v>
      </c>
      <c r="L99" s="120">
        <f>tlInputDividendAmount</f>
        <v>0.35</v>
      </c>
      <c r="O99" s="120"/>
    </row>
    <row r="100" spans="1:15">
      <c r="E100" s="125"/>
      <c r="F100" s="33"/>
      <c r="G100" s="33"/>
      <c r="H100" s="33"/>
      <c r="I100" s="33"/>
      <c r="K100" s="32"/>
      <c r="L100" s="120"/>
      <c r="O100" s="120"/>
    </row>
    <row r="101" spans="1:15">
      <c r="E101" s="125"/>
      <c r="F101" s="33"/>
      <c r="G101" s="33"/>
      <c r="H101" s="33"/>
      <c r="I101" s="33"/>
      <c r="K101" s="32"/>
      <c r="L101" s="120"/>
      <c r="O101" s="120"/>
    </row>
    <row r="102" spans="1:15">
      <c r="A102" s="2" t="s">
        <v>1281</v>
      </c>
      <c r="E102" s="125"/>
      <c r="F102" s="33"/>
      <c r="G102" s="33"/>
      <c r="H102" s="33"/>
      <c r="I102" s="33"/>
      <c r="K102" s="32"/>
      <c r="L102" s="120"/>
      <c r="O102" s="120"/>
    </row>
    <row r="103" spans="1:15">
      <c r="A103" s="2"/>
      <c r="B103" t="s">
        <v>4652</v>
      </c>
      <c r="E103" s="125">
        <f>tlInputWhatIfActivate</f>
        <v>0</v>
      </c>
      <c r="F103" s="33">
        <f>tlInputWhatIfActivate</f>
        <v>0</v>
      </c>
      <c r="G103" s="33">
        <f>tlInputWhatIfActivate</f>
        <v>0</v>
      </c>
      <c r="H103" s="33">
        <f>tlInputWhatIfActivate</f>
        <v>0</v>
      </c>
      <c r="I103" s="33">
        <f>tlInputWhatIfActivate</f>
        <v>0</v>
      </c>
      <c r="J103" t="s">
        <v>4653</v>
      </c>
      <c r="K103" s="32">
        <v>0</v>
      </c>
      <c r="L103" s="120">
        <f>tlInputWhatIfActivate</f>
        <v>0</v>
      </c>
      <c r="O103" s="120"/>
    </row>
    <row r="104" spans="1:15">
      <c r="B104" t="s">
        <v>1282</v>
      </c>
      <c r="E104" s="125">
        <f>tlInputProd1WhatIfUnits</f>
        <v>1</v>
      </c>
      <c r="F104" s="33">
        <f>tlInputProd1WhatIfUnits</f>
        <v>1</v>
      </c>
      <c r="G104" s="33">
        <f>tlInputProd1WhatIfUnits</f>
        <v>1</v>
      </c>
      <c r="H104" s="33">
        <f>tlInputProd1WhatIfUnits</f>
        <v>1</v>
      </c>
      <c r="I104" s="33">
        <f>tlInputProd1WhatIfUnits</f>
        <v>1</v>
      </c>
      <c r="J104" t="s">
        <v>3208</v>
      </c>
      <c r="K104" s="32">
        <v>1</v>
      </c>
      <c r="L104" s="120">
        <f>tlInputProd1WhatIfUnits</f>
        <v>1</v>
      </c>
      <c r="O104" s="120"/>
    </row>
    <row r="105" spans="1:15">
      <c r="B105" t="s">
        <v>2125</v>
      </c>
      <c r="E105" s="125">
        <f>tlInputProd2WhatIfUnits</f>
        <v>1</v>
      </c>
      <c r="F105" s="33">
        <f>tlInputProd2WhatIfUnits</f>
        <v>1</v>
      </c>
      <c r="G105" s="33">
        <f>tlInputProd2WhatIfUnits</f>
        <v>1</v>
      </c>
      <c r="H105" s="33">
        <f>tlInputProd2WhatIfUnits</f>
        <v>1</v>
      </c>
      <c r="I105" s="33">
        <f>tlInputProd2WhatIfUnits</f>
        <v>1</v>
      </c>
      <c r="J105" t="s">
        <v>590</v>
      </c>
      <c r="K105" s="32">
        <v>1</v>
      </c>
      <c r="L105" s="120">
        <f>tlInputProd2WhatIfUnits</f>
        <v>1</v>
      </c>
      <c r="O105" s="120"/>
    </row>
    <row r="106" spans="1:15">
      <c r="B106" t="s">
        <v>2126</v>
      </c>
      <c r="E106" s="125">
        <f>tlInputProd3WhatIfUnits</f>
        <v>1</v>
      </c>
      <c r="F106" s="33">
        <f>tlInputProd3WhatIfUnits</f>
        <v>1</v>
      </c>
      <c r="G106" s="33">
        <f>tlInputProd3WhatIfUnits</f>
        <v>1</v>
      </c>
      <c r="H106" s="33">
        <f>tlInputProd3WhatIfUnits</f>
        <v>1</v>
      </c>
      <c r="I106" s="33">
        <f>tlInputProd3WhatIfUnits</f>
        <v>1</v>
      </c>
      <c r="J106" t="s">
        <v>591</v>
      </c>
      <c r="K106" s="32">
        <v>1</v>
      </c>
      <c r="L106" s="120">
        <f>tlInputProd3WhatIfUnits</f>
        <v>1</v>
      </c>
      <c r="O106" s="120"/>
    </row>
    <row r="107" spans="1:15">
      <c r="B107" t="s">
        <v>2127</v>
      </c>
      <c r="E107" s="125">
        <f>tlInputProd4WhatIfUnits</f>
        <v>1</v>
      </c>
      <c r="F107" s="33">
        <f>tlInputProd4WhatIfUnits</f>
        <v>1</v>
      </c>
      <c r="G107" s="33">
        <f>tlInputProd4WhatIfUnits</f>
        <v>1</v>
      </c>
      <c r="H107" s="33">
        <f>tlInputProd4WhatIfUnits</f>
        <v>1</v>
      </c>
      <c r="I107" s="33">
        <f>tlInputProd4WhatIfUnits</f>
        <v>1</v>
      </c>
      <c r="J107" t="s">
        <v>3270</v>
      </c>
      <c r="K107" s="32">
        <v>1</v>
      </c>
      <c r="L107" s="120">
        <f>tlInputProd4WhatIfUnits</f>
        <v>1</v>
      </c>
      <c r="O107" s="120"/>
    </row>
    <row r="108" spans="1:15">
      <c r="E108" s="125"/>
      <c r="F108" s="33"/>
      <c r="G108" s="33"/>
      <c r="H108" s="33"/>
      <c r="I108" s="33"/>
      <c r="K108" s="32"/>
      <c r="L108" s="120"/>
      <c r="O108" s="120"/>
    </row>
    <row r="109" spans="1:15">
      <c r="A109" s="2" t="s">
        <v>2432</v>
      </c>
      <c r="E109" s="125"/>
      <c r="F109" s="33"/>
      <c r="G109" s="33"/>
      <c r="H109" s="33"/>
      <c r="I109" s="33"/>
      <c r="K109" s="32"/>
      <c r="L109" s="120"/>
      <c r="O109" s="120"/>
    </row>
    <row r="110" spans="1:15">
      <c r="B110" t="s">
        <v>2433</v>
      </c>
      <c r="E110" s="125" t="str">
        <f>tlInputInnov1</f>
        <v>SELECT INNOVATION</v>
      </c>
      <c r="F110" s="33" t="str">
        <f>tlInputInnov1</f>
        <v>SELECT INNOVATION</v>
      </c>
      <c r="G110" s="33" t="str">
        <f>tlInputInnov1</f>
        <v>SELECT INNOVATION</v>
      </c>
      <c r="H110" s="33" t="str">
        <f>tlInputInnov1</f>
        <v>SELECT INNOVATION</v>
      </c>
      <c r="I110" s="33" t="str">
        <f>tlInputInnov1</f>
        <v>SELECT INNOVATION</v>
      </c>
      <c r="J110" t="s">
        <v>855</v>
      </c>
      <c r="K110" s="32" t="s">
        <v>3889</v>
      </c>
      <c r="L110" s="120" t="str">
        <f>tlInputInnov1</f>
        <v>SELECT INNOVATION</v>
      </c>
      <c r="O110" s="120"/>
    </row>
    <row r="111" spans="1:15">
      <c r="B111" t="s">
        <v>2434</v>
      </c>
      <c r="E111" s="125" t="str">
        <f>tlInputInnov2</f>
        <v>SELECT INNOVATION</v>
      </c>
      <c r="F111" s="33" t="str">
        <f>tlInputInnov2</f>
        <v>SELECT INNOVATION</v>
      </c>
      <c r="G111" s="33" t="str">
        <f>tlInputInnov2</f>
        <v>SELECT INNOVATION</v>
      </c>
      <c r="H111" s="33" t="str">
        <f>tlInputInnov2</f>
        <v>SELECT INNOVATION</v>
      </c>
      <c r="I111" s="33" t="str">
        <f>tlInputInnov2</f>
        <v>SELECT INNOVATION</v>
      </c>
      <c r="J111" t="s">
        <v>1297</v>
      </c>
      <c r="K111" s="32" t="s">
        <v>3889</v>
      </c>
      <c r="L111" s="120" t="str">
        <f>tlInputInnov2</f>
        <v>SELECT INNOVATION</v>
      </c>
      <c r="O111" s="120"/>
    </row>
    <row r="112" spans="1:15">
      <c r="B112" t="s">
        <v>2435</v>
      </c>
      <c r="E112" s="125" t="str">
        <f>tlInputInnov3</f>
        <v>SELECT INNOVATION</v>
      </c>
      <c r="F112" s="33" t="str">
        <f>tlInputInnov3</f>
        <v>SELECT INNOVATION</v>
      </c>
      <c r="G112" s="33" t="str">
        <f>tlInputInnov3</f>
        <v>SELECT INNOVATION</v>
      </c>
      <c r="H112" s="33" t="str">
        <f>tlInputInnov3</f>
        <v>SELECT INNOVATION</v>
      </c>
      <c r="I112" s="33" t="str">
        <f>tlInputInnov3</f>
        <v>SELECT INNOVATION</v>
      </c>
      <c r="J112" t="s">
        <v>1298</v>
      </c>
      <c r="K112" s="32" t="s">
        <v>3889</v>
      </c>
      <c r="L112" s="120" t="str">
        <f>tlInputInnov3</f>
        <v>SELECT INNOVATION</v>
      </c>
      <c r="O112" s="120"/>
    </row>
    <row r="113" spans="1:15">
      <c r="B113" t="s">
        <v>2436</v>
      </c>
      <c r="E113" s="125" t="str">
        <f>tlInputInnov4</f>
        <v>SELECT INNOVATION</v>
      </c>
      <c r="F113" s="33" t="str">
        <f>tlInputInnov4</f>
        <v>SELECT INNOVATION</v>
      </c>
      <c r="G113" s="33" t="str">
        <f>tlInputInnov4</f>
        <v>SELECT INNOVATION</v>
      </c>
      <c r="H113" s="33" t="str">
        <f>tlInputInnov4</f>
        <v>SELECT INNOVATION</v>
      </c>
      <c r="I113" s="33" t="str">
        <f>tlInputInnov4</f>
        <v>SELECT INNOVATION</v>
      </c>
      <c r="J113" t="s">
        <v>1299</v>
      </c>
      <c r="K113" s="32" t="s">
        <v>3889</v>
      </c>
      <c r="L113" s="120" t="str">
        <f>tlInputInnov4</f>
        <v>SELECT INNOVATION</v>
      </c>
      <c r="O113" s="120"/>
    </row>
    <row r="114" spans="1:15">
      <c r="E114" s="125"/>
      <c r="F114" s="33"/>
      <c r="G114" s="33"/>
      <c r="H114" s="33"/>
      <c r="I114" s="33"/>
      <c r="K114" s="32"/>
      <c r="L114" s="120"/>
      <c r="O114" s="120"/>
    </row>
    <row r="115" spans="1:15">
      <c r="A115" s="2" t="s">
        <v>4789</v>
      </c>
      <c r="E115" s="125"/>
      <c r="F115" s="33"/>
      <c r="G115" s="33"/>
      <c r="H115" s="33"/>
      <c r="I115" s="33"/>
      <c r="K115" s="32"/>
      <c r="L115" s="120"/>
      <c r="O115" s="120"/>
    </row>
    <row r="116" spans="1:15">
      <c r="B116" t="s">
        <v>2433</v>
      </c>
      <c r="E116" s="125" t="b">
        <f>tlInputInnov1Cond</f>
        <v>0</v>
      </c>
      <c r="F116" s="33" t="b">
        <f>tlInputInnov1Cond</f>
        <v>0</v>
      </c>
      <c r="G116" s="33" t="b">
        <f>tlInputInnov1Cond</f>
        <v>0</v>
      </c>
      <c r="H116" s="33" t="b">
        <f>tlInputInnov1Cond</f>
        <v>0</v>
      </c>
      <c r="I116" s="33" t="b">
        <f>tlInputInnov1Cond</f>
        <v>0</v>
      </c>
      <c r="J116" t="s">
        <v>4790</v>
      </c>
      <c r="K116" s="32" t="b">
        <v>0</v>
      </c>
      <c r="L116" s="120" t="b">
        <f>tlInputInnov1Cond</f>
        <v>0</v>
      </c>
      <c r="O116" s="120"/>
    </row>
    <row r="117" spans="1:15">
      <c r="B117" t="s">
        <v>2434</v>
      </c>
      <c r="E117" s="125" t="b">
        <f>tlInputInnov2Cond</f>
        <v>0</v>
      </c>
      <c r="F117" s="33" t="b">
        <f>tlInputInnov2Cond</f>
        <v>0</v>
      </c>
      <c r="G117" s="33" t="b">
        <f>tlInputInnov2Cond</f>
        <v>0</v>
      </c>
      <c r="H117" s="33" t="b">
        <f>tlInputInnov2Cond</f>
        <v>0</v>
      </c>
      <c r="I117" s="33" t="b">
        <f>tlInputInnov2Cond</f>
        <v>0</v>
      </c>
      <c r="J117" t="s">
        <v>4791</v>
      </c>
      <c r="K117" s="32" t="b">
        <v>0</v>
      </c>
      <c r="L117" s="120" t="b">
        <f>tlInputInnov2Cond</f>
        <v>0</v>
      </c>
      <c r="O117" s="120"/>
    </row>
    <row r="118" spans="1:15">
      <c r="B118" t="s">
        <v>2435</v>
      </c>
      <c r="E118" s="125" t="b">
        <f>tlInputInnov3Cond</f>
        <v>0</v>
      </c>
      <c r="F118" s="33" t="b">
        <f>tlInputInnov3Cond</f>
        <v>0</v>
      </c>
      <c r="G118" s="33" t="b">
        <f>tlInputInnov3Cond</f>
        <v>0</v>
      </c>
      <c r="H118" s="33" t="b">
        <f>tlInputInnov3Cond</f>
        <v>0</v>
      </c>
      <c r="I118" s="33" t="b">
        <f>tlInputInnov3Cond</f>
        <v>0</v>
      </c>
      <c r="J118" t="s">
        <v>4792</v>
      </c>
      <c r="K118" s="32" t="b">
        <v>0</v>
      </c>
      <c r="L118" s="120" t="b">
        <f>tlInputInnov3Cond</f>
        <v>0</v>
      </c>
      <c r="O118" s="120"/>
    </row>
    <row r="119" spans="1:15">
      <c r="B119" t="s">
        <v>2436</v>
      </c>
      <c r="E119" s="125" t="b">
        <f>tlInputInnov4Cond</f>
        <v>0</v>
      </c>
      <c r="F119" s="33" t="b">
        <f>tlInputInnov4Cond</f>
        <v>0</v>
      </c>
      <c r="G119" s="33" t="b">
        <f>tlInputInnov4Cond</f>
        <v>0</v>
      </c>
      <c r="H119" s="33" t="b">
        <f>tlInputInnov4Cond</f>
        <v>0</v>
      </c>
      <c r="I119" s="33" t="b">
        <f>tlInputInnov4Cond</f>
        <v>0</v>
      </c>
      <c r="J119" t="s">
        <v>4793</v>
      </c>
      <c r="K119" s="32" t="b">
        <v>0</v>
      </c>
      <c r="L119" s="120" t="b">
        <f>tlInputInnov4Cond</f>
        <v>0</v>
      </c>
      <c r="O119" s="120"/>
    </row>
    <row r="120" spans="1:15">
      <c r="E120" s="125"/>
      <c r="F120" s="33"/>
      <c r="G120" s="33"/>
      <c r="H120" s="33"/>
      <c r="I120" s="33"/>
      <c r="K120" s="32"/>
      <c r="L120" s="120"/>
      <c r="O120" s="120"/>
    </row>
    <row r="121" spans="1:15">
      <c r="A121" s="2" t="s">
        <v>1828</v>
      </c>
      <c r="E121" s="125"/>
      <c r="F121" s="33"/>
      <c r="G121" s="33"/>
      <c r="H121" s="33"/>
      <c r="I121" s="33"/>
      <c r="K121" s="32"/>
      <c r="L121" s="120"/>
      <c r="O121" s="120"/>
    </row>
    <row r="122" spans="1:15">
      <c r="B122" t="s">
        <v>1407</v>
      </c>
      <c r="E122" s="125"/>
      <c r="F122" s="33"/>
      <c r="G122" s="33"/>
      <c r="H122" s="33"/>
      <c r="I122" s="33"/>
      <c r="J122" t="s">
        <v>1969</v>
      </c>
      <c r="K122" s="32">
        <v>0</v>
      </c>
      <c r="L122" s="120">
        <f>tlInputSpecProg1</f>
        <v>0</v>
      </c>
      <c r="O122" s="120"/>
    </row>
    <row r="123" spans="1:15">
      <c r="B123" t="s">
        <v>1408</v>
      </c>
      <c r="E123" s="125"/>
      <c r="F123" s="1624"/>
      <c r="G123" s="33"/>
      <c r="H123" s="33"/>
      <c r="I123" s="33"/>
      <c r="J123" t="s">
        <v>2853</v>
      </c>
      <c r="K123" s="32">
        <v>0</v>
      </c>
      <c r="L123" s="120">
        <f>tlInputSpecProg2</f>
        <v>0</v>
      </c>
      <c r="O123" s="120"/>
    </row>
    <row r="124" spans="1:15">
      <c r="B124" t="s">
        <v>1409</v>
      </c>
      <c r="E124" s="125"/>
      <c r="F124" s="33"/>
      <c r="G124" s="33"/>
      <c r="H124" s="33"/>
      <c r="I124" s="33"/>
      <c r="J124" t="s">
        <v>1970</v>
      </c>
      <c r="K124" s="32">
        <v>0</v>
      </c>
      <c r="L124" s="120">
        <f>tlInputSpecProg3</f>
        <v>0</v>
      </c>
      <c r="O124" s="120"/>
    </row>
    <row r="125" spans="1:15">
      <c r="B125" t="s">
        <v>1410</v>
      </c>
      <c r="E125" s="125"/>
      <c r="F125" s="33"/>
      <c r="G125" s="33"/>
      <c r="H125" s="33"/>
      <c r="I125" s="33"/>
      <c r="J125" t="s">
        <v>1971</v>
      </c>
      <c r="K125" s="32">
        <v>0</v>
      </c>
      <c r="L125" s="120">
        <f>tlInputSpecProg4</f>
        <v>0</v>
      </c>
      <c r="O125" s="120"/>
    </row>
    <row r="126" spans="1:15">
      <c r="B126" t="s">
        <v>3776</v>
      </c>
      <c r="E126" s="125"/>
      <c r="F126" s="33"/>
      <c r="G126" s="33"/>
      <c r="H126" s="33"/>
      <c r="I126" s="33"/>
      <c r="J126" t="s">
        <v>1972</v>
      </c>
      <c r="K126" s="32">
        <v>0</v>
      </c>
      <c r="L126" s="120">
        <f>tlInputSpecProg5</f>
        <v>0</v>
      </c>
      <c r="O126" s="120"/>
    </row>
    <row r="127" spans="1:15" ht="12" thickBot="1">
      <c r="B127" t="s">
        <v>1036</v>
      </c>
      <c r="E127" s="125"/>
      <c r="F127" s="33"/>
      <c r="G127" s="33"/>
      <c r="H127" s="33"/>
      <c r="I127" s="33"/>
      <c r="J127" t="s">
        <v>1037</v>
      </c>
      <c r="K127" s="32">
        <v>0</v>
      </c>
      <c r="L127" s="120">
        <f>tlInputSpecProg6</f>
        <v>0</v>
      </c>
      <c r="O127" s="120"/>
    </row>
    <row r="128" spans="1:15" ht="12.75" thickBot="1">
      <c r="B128" t="s">
        <v>2104</v>
      </c>
      <c r="D128" s="404">
        <v>0</v>
      </c>
      <c r="E128" s="125">
        <f>tlInputWobbler1</f>
        <v>0</v>
      </c>
      <c r="F128" s="33">
        <f>tlInputWobbler1</f>
        <v>0</v>
      </c>
      <c r="G128" s="33">
        <f>tlInputWobbler1</f>
        <v>0</v>
      </c>
      <c r="H128" s="33">
        <f>tlInputWobbler1</f>
        <v>0</v>
      </c>
      <c r="I128" s="33">
        <f>tlInputWobbler1</f>
        <v>0</v>
      </c>
      <c r="J128" t="s">
        <v>959</v>
      </c>
      <c r="K128" s="32">
        <v>0</v>
      </c>
      <c r="L128" s="120">
        <f>tlInputWobbler1</f>
        <v>0</v>
      </c>
      <c r="O128" s="120"/>
    </row>
    <row r="129" spans="1:17" ht="12.75" thickBot="1">
      <c r="B129" t="s">
        <v>2105</v>
      </c>
      <c r="D129" s="404">
        <v>0</v>
      </c>
      <c r="E129" s="125">
        <f>tlInputWobbler2</f>
        <v>0</v>
      </c>
      <c r="F129" s="33">
        <f>tlInputWobbler2</f>
        <v>0</v>
      </c>
      <c r="G129" s="33">
        <f>tlInputWobbler2</f>
        <v>0</v>
      </c>
      <c r="H129" s="33">
        <f>tlInputWobbler2</f>
        <v>0</v>
      </c>
      <c r="I129" s="33">
        <f>tlInputWobbler2</f>
        <v>0</v>
      </c>
      <c r="J129" t="s">
        <v>960</v>
      </c>
      <c r="K129" s="32">
        <v>0</v>
      </c>
      <c r="L129" s="120">
        <f>tlInputWobbler2</f>
        <v>0</v>
      </c>
      <c r="O129" s="120"/>
    </row>
    <row r="130" spans="1:17" ht="12.75" thickBot="1">
      <c r="B130" t="s">
        <v>605</v>
      </c>
      <c r="D130" s="404">
        <v>0</v>
      </c>
      <c r="E130" s="125">
        <f>tlInputWobbler3</f>
        <v>0</v>
      </c>
      <c r="F130" s="33">
        <f>tlInputWobbler3</f>
        <v>0</v>
      </c>
      <c r="G130" s="33">
        <f>tlInputWobbler3</f>
        <v>0</v>
      </c>
      <c r="H130" s="33">
        <f>tlInputWobbler3</f>
        <v>0</v>
      </c>
      <c r="I130" s="33">
        <f>tlInputWobbler3</f>
        <v>0</v>
      </c>
      <c r="J130" t="s">
        <v>961</v>
      </c>
      <c r="K130" s="32">
        <v>0</v>
      </c>
      <c r="L130" s="120">
        <f>tlInputWobbler3</f>
        <v>0</v>
      </c>
      <c r="O130" s="120"/>
    </row>
    <row r="131" spans="1:17" ht="12.75" thickBot="1">
      <c r="B131" t="s">
        <v>606</v>
      </c>
      <c r="D131" s="404">
        <v>0</v>
      </c>
      <c r="E131" s="125">
        <f>tlInputWobbler4</f>
        <v>0</v>
      </c>
      <c r="F131" s="33">
        <f>tlInputWobbler4</f>
        <v>0</v>
      </c>
      <c r="G131" s="33">
        <f>tlInputWobbler4</f>
        <v>0</v>
      </c>
      <c r="H131" s="33">
        <f>tlInputWobbler4</f>
        <v>0</v>
      </c>
      <c r="I131" s="33">
        <f>tlInputWobbler4</f>
        <v>0</v>
      </c>
      <c r="J131" t="s">
        <v>962</v>
      </c>
      <c r="K131" s="32">
        <v>0</v>
      </c>
      <c r="L131" s="120">
        <f>tlInputWobbler4</f>
        <v>0</v>
      </c>
      <c r="O131" s="120"/>
    </row>
    <row r="132" spans="1:17">
      <c r="A132" s="2" t="s">
        <v>3313</v>
      </c>
      <c r="E132" s="125"/>
      <c r="F132" s="33"/>
      <c r="G132" s="33"/>
      <c r="H132" s="33"/>
      <c r="I132" s="33"/>
      <c r="K132" s="32"/>
      <c r="L132" s="120"/>
      <c r="N132" t="s">
        <v>3693</v>
      </c>
      <c r="O132" s="120" t="b">
        <f ca="1">INDEX(cbalCashValue,1)&gt;0</f>
        <v>1</v>
      </c>
      <c r="P132" t="str">
        <f ca="1">CELL("address",tlInputLTDebtChange)</f>
        <v>[PepsiCoSimYr1v2.xlsm]toolGSS!$E$43</v>
      </c>
      <c r="Q132" t="s">
        <v>3694</v>
      </c>
    </row>
    <row r="133" spans="1:17">
      <c r="A133" s="2"/>
      <c r="E133" s="125"/>
      <c r="F133" s="33"/>
      <c r="G133" s="33"/>
      <c r="H133" s="33"/>
      <c r="I133" s="33"/>
      <c r="K133" s="32"/>
      <c r="L133" s="120"/>
      <c r="O133" s="120"/>
    </row>
    <row r="134" spans="1:17">
      <c r="A134" s="2" t="s">
        <v>3286</v>
      </c>
      <c r="E134" s="125"/>
      <c r="F134" s="33"/>
      <c r="G134" s="33"/>
      <c r="H134" s="33"/>
      <c r="I134" s="33"/>
      <c r="K134" s="32"/>
      <c r="L134" s="120"/>
      <c r="O134" s="120"/>
    </row>
    <row r="135" spans="1:17">
      <c r="B135" t="s">
        <v>1598</v>
      </c>
      <c r="E135" s="125"/>
      <c r="F135" s="33"/>
      <c r="G135" s="33"/>
      <c r="H135" s="33"/>
      <c r="I135" s="33"/>
      <c r="K135" s="32"/>
      <c r="L135" s="120"/>
      <c r="O135" s="120"/>
    </row>
    <row r="136" spans="1:17">
      <c r="B136" s="457" t="s">
        <v>3518</v>
      </c>
      <c r="E136" s="125">
        <f>tlInputStratVetCSD</f>
        <v>0</v>
      </c>
      <c r="F136" s="33">
        <f>tlInputStratVetCSD</f>
        <v>0</v>
      </c>
      <c r="G136" s="33">
        <f>tlInputStratVetCSD</f>
        <v>0</v>
      </c>
      <c r="H136" s="33">
        <f>tlInputStratVetCSD</f>
        <v>0</v>
      </c>
      <c r="I136" s="33">
        <f>tlInputStratVetCSD</f>
        <v>0</v>
      </c>
      <c r="J136" t="s">
        <v>2153</v>
      </c>
      <c r="K136" s="32">
        <v>0</v>
      </c>
      <c r="L136" s="120">
        <f>tlInputStratVetCSD</f>
        <v>0</v>
      </c>
      <c r="O136" s="120"/>
    </row>
    <row r="137" spans="1:17">
      <c r="B137" s="457" t="s">
        <v>3519</v>
      </c>
      <c r="E137" s="125">
        <f>tlInputStratVetNCB</f>
        <v>0</v>
      </c>
      <c r="F137" s="33">
        <f>tlInputStratVetNCB</f>
        <v>0</v>
      </c>
      <c r="G137" s="33">
        <f>tlInputStratVetNCB</f>
        <v>0</v>
      </c>
      <c r="H137" s="33">
        <f>tlInputStratVetNCB</f>
        <v>0</v>
      </c>
      <c r="I137" s="33">
        <f>tlInputStratVetNCB</f>
        <v>0</v>
      </c>
      <c r="J137" t="s">
        <v>2154</v>
      </c>
      <c r="K137" s="32">
        <v>0</v>
      </c>
      <c r="L137" s="120">
        <f>tlInputStratVetNCB</f>
        <v>0</v>
      </c>
      <c r="O137" s="120"/>
    </row>
    <row r="138" spans="1:17">
      <c r="B138" s="457" t="s">
        <v>3173</v>
      </c>
      <c r="E138" s="125">
        <f>tlInputStratVetFnS</f>
        <v>0</v>
      </c>
      <c r="F138" s="33">
        <f>tlInputStratVetFnS</f>
        <v>0</v>
      </c>
      <c r="G138" s="33">
        <f>tlInputStratVetFnS</f>
        <v>0</v>
      </c>
      <c r="H138" s="33">
        <f>tlInputStratVetFnS</f>
        <v>0</v>
      </c>
      <c r="I138" s="33">
        <f>tlInputStratVetFnS</f>
        <v>0</v>
      </c>
      <c r="J138" t="s">
        <v>2155</v>
      </c>
      <c r="K138" s="32">
        <v>0</v>
      </c>
      <c r="L138" s="120">
        <f>tlInputStratVetFnS</f>
        <v>0</v>
      </c>
      <c r="O138" s="120"/>
    </row>
    <row r="139" spans="1:17">
      <c r="B139" t="s">
        <v>1599</v>
      </c>
      <c r="E139" s="125"/>
      <c r="F139" s="33"/>
      <c r="G139" s="33"/>
      <c r="H139" s="33"/>
      <c r="I139" s="33"/>
      <c r="K139" s="32"/>
      <c r="L139" s="120"/>
      <c r="O139" s="120"/>
    </row>
    <row r="140" spans="1:17">
      <c r="B140" s="457" t="s">
        <v>3518</v>
      </c>
      <c r="E140" s="125">
        <f>tlInputStratEdaCSD</f>
        <v>0</v>
      </c>
      <c r="F140" s="33">
        <f>tlInputStratEdaCSD</f>
        <v>0</v>
      </c>
      <c r="G140" s="33">
        <f>tlInputStratEdaCSD</f>
        <v>0</v>
      </c>
      <c r="H140" s="33">
        <f>tlInputStratEdaCSD</f>
        <v>0</v>
      </c>
      <c r="I140" s="33">
        <f>tlInputStratEdaCSD</f>
        <v>0</v>
      </c>
      <c r="J140" t="s">
        <v>2156</v>
      </c>
      <c r="K140" s="32">
        <v>0</v>
      </c>
      <c r="L140" s="120">
        <f>tlInputStratEdaCSD</f>
        <v>0</v>
      </c>
      <c r="O140" s="120"/>
    </row>
    <row r="141" spans="1:17">
      <c r="B141" s="457" t="s">
        <v>3519</v>
      </c>
      <c r="E141" s="125">
        <f>tlInputStratEdaNCB</f>
        <v>0</v>
      </c>
      <c r="F141" s="33">
        <f>tlInputStratEdaNCB</f>
        <v>0</v>
      </c>
      <c r="G141" s="33">
        <f>tlInputStratEdaNCB</f>
        <v>0</v>
      </c>
      <c r="H141" s="33">
        <f>tlInputStratEdaNCB</f>
        <v>0</v>
      </c>
      <c r="I141" s="33">
        <f>tlInputStratEdaNCB</f>
        <v>0</v>
      </c>
      <c r="J141" t="s">
        <v>2157</v>
      </c>
      <c r="K141" s="32">
        <v>0</v>
      </c>
      <c r="L141" s="120">
        <f>tlInputStratEdaNCB</f>
        <v>0</v>
      </c>
      <c r="O141" s="120"/>
    </row>
    <row r="142" spans="1:17">
      <c r="B142" s="457" t="s">
        <v>3173</v>
      </c>
      <c r="E142" s="125">
        <f>tlInputStratEdaFnS</f>
        <v>0</v>
      </c>
      <c r="F142" s="33">
        <f>tlInputStratEdaFnS</f>
        <v>0</v>
      </c>
      <c r="G142" s="33">
        <f>tlInputStratEdaFnS</f>
        <v>0</v>
      </c>
      <c r="H142" s="33">
        <f>tlInputStratEdaFnS</f>
        <v>0</v>
      </c>
      <c r="I142" s="33">
        <f>tlInputStratEdaFnS</f>
        <v>0</v>
      </c>
      <c r="J142" t="s">
        <v>2158</v>
      </c>
      <c r="K142" s="32">
        <v>0</v>
      </c>
      <c r="L142" s="120">
        <f>tlInputStratEdaFnS</f>
        <v>0</v>
      </c>
      <c r="O142" s="120"/>
    </row>
    <row r="143" spans="1:17">
      <c r="A143" s="2" t="s">
        <v>2541</v>
      </c>
      <c r="E143" s="125"/>
      <c r="F143" s="33"/>
      <c r="G143" s="33"/>
      <c r="H143" s="33"/>
      <c r="I143" s="33"/>
      <c r="K143" s="32"/>
      <c r="L143" s="120"/>
      <c r="O143" s="120"/>
    </row>
    <row r="144" spans="1:17">
      <c r="A144" s="2"/>
      <c r="B144" t="s">
        <v>1598</v>
      </c>
      <c r="E144" s="125"/>
      <c r="F144" s="33"/>
      <c r="G144" s="33"/>
      <c r="H144" s="33"/>
      <c r="I144" s="33"/>
      <c r="K144" s="32"/>
      <c r="L144" s="120"/>
      <c r="O144" s="120"/>
    </row>
    <row r="145" spans="1:15">
      <c r="B145" s="457" t="s">
        <v>3442</v>
      </c>
      <c r="E145" s="125">
        <f>tlInputStratVetCons</f>
        <v>0</v>
      </c>
      <c r="F145" s="33">
        <f>tlInputStratVetCons</f>
        <v>0</v>
      </c>
      <c r="G145" s="33">
        <f>tlInputStratVetCons</f>
        <v>0</v>
      </c>
      <c r="H145" s="33">
        <f>tlInputStratVetCons</f>
        <v>0</v>
      </c>
      <c r="I145" s="33">
        <f>tlInputStratVetCons</f>
        <v>0</v>
      </c>
      <c r="J145" t="s">
        <v>2159</v>
      </c>
      <c r="K145" s="32">
        <v>0</v>
      </c>
      <c r="L145" s="120">
        <f>tlInputStratVetCons</f>
        <v>0</v>
      </c>
      <c r="O145" s="120"/>
    </row>
    <row r="146" spans="1:15">
      <c r="B146" s="457" t="s">
        <v>1108</v>
      </c>
      <c r="E146" s="125">
        <f>tlInputStratVetCust</f>
        <v>0</v>
      </c>
      <c r="F146" s="33">
        <f>tlInputStratVetCust</f>
        <v>0</v>
      </c>
      <c r="G146" s="33">
        <f>tlInputStratVetCust</f>
        <v>0</v>
      </c>
      <c r="H146" s="33">
        <f>tlInputStratVetCust</f>
        <v>0</v>
      </c>
      <c r="I146" s="33">
        <f>tlInputStratVetCust</f>
        <v>0</v>
      </c>
      <c r="J146" s="905" t="s">
        <v>4122</v>
      </c>
      <c r="K146" s="32">
        <v>0</v>
      </c>
      <c r="L146" s="120">
        <f>tlInputStratVetCust</f>
        <v>0</v>
      </c>
      <c r="O146" s="120"/>
    </row>
    <row r="147" spans="1:15">
      <c r="B147" s="457" t="s">
        <v>4003</v>
      </c>
      <c r="E147" s="125">
        <f>tlInputStratVetComp</f>
        <v>0</v>
      </c>
      <c r="F147" s="33">
        <f>tlInputStratVetComp</f>
        <v>0</v>
      </c>
      <c r="G147" s="33">
        <f>tlInputStratVetComp</f>
        <v>0</v>
      </c>
      <c r="H147" s="33">
        <f>tlInputStratVetComp</f>
        <v>0</v>
      </c>
      <c r="I147" s="33">
        <f>tlInputStratVetComp</f>
        <v>0</v>
      </c>
      <c r="J147" t="s">
        <v>2160</v>
      </c>
      <c r="K147" s="32">
        <v>0</v>
      </c>
      <c r="L147" s="120">
        <f>tlInputStratVetComp</f>
        <v>0</v>
      </c>
      <c r="O147" s="120"/>
    </row>
    <row r="148" spans="1:15">
      <c r="B148" s="457" t="s">
        <v>4004</v>
      </c>
      <c r="E148" s="125">
        <f>tlInputStratVetProd</f>
        <v>0</v>
      </c>
      <c r="F148" s="33">
        <f>tlInputStratVetProd</f>
        <v>0</v>
      </c>
      <c r="G148" s="33">
        <f>tlInputStratVetProd</f>
        <v>0</v>
      </c>
      <c r="H148" s="33">
        <f>tlInputStratVetProd</f>
        <v>0</v>
      </c>
      <c r="I148" s="33">
        <f>tlInputStratVetProd</f>
        <v>0</v>
      </c>
      <c r="J148" t="s">
        <v>2161</v>
      </c>
      <c r="K148" s="32">
        <v>0</v>
      </c>
      <c r="L148" s="120">
        <f>tlInputStratVetProd</f>
        <v>0</v>
      </c>
      <c r="O148" s="120"/>
    </row>
    <row r="149" spans="1:15">
      <c r="B149" t="s">
        <v>1599</v>
      </c>
      <c r="E149" s="125"/>
      <c r="F149" s="33"/>
      <c r="G149" s="33"/>
      <c r="H149" s="33"/>
      <c r="I149" s="33"/>
      <c r="J149" s="905"/>
      <c r="K149" s="32"/>
      <c r="L149" s="120"/>
      <c r="O149" s="120"/>
    </row>
    <row r="150" spans="1:15">
      <c r="B150" s="457" t="s">
        <v>3442</v>
      </c>
      <c r="E150" s="125">
        <f>tlInputStratEdaCons</f>
        <v>0</v>
      </c>
      <c r="F150" s="33">
        <f>tlInputStratEdaCons</f>
        <v>0</v>
      </c>
      <c r="G150" s="33">
        <f>tlInputStratEdaCons</f>
        <v>0</v>
      </c>
      <c r="H150" s="33">
        <f>tlInputStratEdaCons</f>
        <v>0</v>
      </c>
      <c r="I150" s="33">
        <f>tlInputStratEdaCons</f>
        <v>0</v>
      </c>
      <c r="J150" t="s">
        <v>2162</v>
      </c>
      <c r="K150" s="32">
        <v>0</v>
      </c>
      <c r="L150" s="120">
        <f>tlInputStratEdaCons</f>
        <v>0</v>
      </c>
      <c r="O150" s="120"/>
    </row>
    <row r="151" spans="1:15">
      <c r="B151" s="457" t="s">
        <v>1108</v>
      </c>
      <c r="E151" s="125">
        <f>tlInputStratEdaCust</f>
        <v>0</v>
      </c>
      <c r="F151" s="33">
        <f>tlInputStratEdaCust</f>
        <v>0</v>
      </c>
      <c r="G151" s="33">
        <f>tlInputStratEdaCust</f>
        <v>0</v>
      </c>
      <c r="H151" s="33">
        <f>tlInputStratEdaCust</f>
        <v>0</v>
      </c>
      <c r="I151" s="33">
        <f>tlInputStratEdaCust</f>
        <v>0</v>
      </c>
      <c r="J151" s="905" t="s">
        <v>4123</v>
      </c>
      <c r="K151" s="32">
        <v>0</v>
      </c>
      <c r="L151" s="120">
        <f>tlInputStratEdaCust</f>
        <v>0</v>
      </c>
      <c r="O151" s="120"/>
    </row>
    <row r="152" spans="1:15">
      <c r="B152" s="457" t="s">
        <v>4003</v>
      </c>
      <c r="E152" s="125">
        <f>tlInputStratEdaComp</f>
        <v>0</v>
      </c>
      <c r="F152" s="33">
        <f>tlInputStratEdaComp</f>
        <v>0</v>
      </c>
      <c r="G152" s="33">
        <f>tlInputStratEdaComp</f>
        <v>0</v>
      </c>
      <c r="H152" s="33">
        <f>tlInputStratEdaComp</f>
        <v>0</v>
      </c>
      <c r="I152" s="33">
        <f>tlInputStratEdaComp</f>
        <v>0</v>
      </c>
      <c r="J152" t="s">
        <v>2163</v>
      </c>
      <c r="K152" s="32">
        <v>0</v>
      </c>
      <c r="L152" s="120">
        <f>tlInputStratEdaComp</f>
        <v>0</v>
      </c>
      <c r="O152" s="120"/>
    </row>
    <row r="153" spans="1:15">
      <c r="B153" s="457" t="s">
        <v>4004</v>
      </c>
      <c r="E153" s="125">
        <f>tlInputStratEdaProd</f>
        <v>0</v>
      </c>
      <c r="F153" s="33">
        <f>tlInputStratEdaProd</f>
        <v>0</v>
      </c>
      <c r="G153" s="33">
        <f>tlInputStratEdaProd</f>
        <v>0</v>
      </c>
      <c r="H153" s="33">
        <f>tlInputStratEdaProd</f>
        <v>0</v>
      </c>
      <c r="I153" s="33">
        <f>tlInputStratEdaProd</f>
        <v>0</v>
      </c>
      <c r="J153" t="s">
        <v>2164</v>
      </c>
      <c r="K153" s="32">
        <v>0</v>
      </c>
      <c r="L153" s="120">
        <f>tlInputStratEdaProd</f>
        <v>0</v>
      </c>
      <c r="O153" s="120"/>
    </row>
    <row r="154" spans="1:15">
      <c r="B154" s="457"/>
      <c r="E154" s="125"/>
      <c r="F154" s="33"/>
      <c r="G154" s="33"/>
      <c r="H154" s="33"/>
      <c r="I154" s="33"/>
      <c r="J154" s="905"/>
      <c r="K154" s="32"/>
      <c r="L154" s="120"/>
      <c r="O154" s="120"/>
    </row>
    <row r="155" spans="1:15">
      <c r="A155" s="2" t="s">
        <v>3285</v>
      </c>
      <c r="B155" s="457"/>
      <c r="E155" s="125"/>
      <c r="F155" s="33"/>
      <c r="G155" s="33"/>
      <c r="H155" s="33"/>
      <c r="I155" s="33"/>
      <c r="K155" s="32"/>
      <c r="L155" s="120"/>
      <c r="O155" s="120"/>
    </row>
    <row r="156" spans="1:15">
      <c r="B156" s="2" t="s">
        <v>1598</v>
      </c>
      <c r="E156" s="125"/>
      <c r="F156" s="33"/>
      <c r="G156" s="33"/>
      <c r="H156" s="33"/>
      <c r="I156" s="33"/>
      <c r="K156" s="32"/>
      <c r="L156" s="120"/>
      <c r="O156" s="120"/>
    </row>
    <row r="157" spans="1:15">
      <c r="B157" s="457" t="s">
        <v>2542</v>
      </c>
      <c r="E157" s="125" t="str">
        <f>tlInputVetDiffr1</f>
        <v>Select</v>
      </c>
      <c r="F157" s="33" t="str">
        <f>tlInputVetDiffr1</f>
        <v>Select</v>
      </c>
      <c r="G157" s="33" t="str">
        <f>tlInputVetDiffr1</f>
        <v>Select</v>
      </c>
      <c r="H157" s="33" t="str">
        <f>tlInputVetDiffr1</f>
        <v>Select</v>
      </c>
      <c r="I157" s="33" t="str">
        <f>tlInputVetDiffr1</f>
        <v>Select</v>
      </c>
      <c r="J157" s="33" t="s">
        <v>3721</v>
      </c>
      <c r="K157" s="32" t="s">
        <v>4775</v>
      </c>
      <c r="L157" s="120" t="str">
        <f>tlInputVetDiffr1</f>
        <v>Select</v>
      </c>
      <c r="O157" s="120"/>
    </row>
    <row r="158" spans="1:15">
      <c r="B158" s="457" t="s">
        <v>2543</v>
      </c>
      <c r="E158" s="125" t="str">
        <f>tlInputVetDiffr2</f>
        <v>Select</v>
      </c>
      <c r="F158" s="33" t="str">
        <f>tlInputVetDiffr2</f>
        <v>Select</v>
      </c>
      <c r="G158" s="33" t="str">
        <f>tlInputVetDiffr2</f>
        <v>Select</v>
      </c>
      <c r="H158" s="33" t="str">
        <f>tlInputVetDiffr2</f>
        <v>Select</v>
      </c>
      <c r="I158" s="33" t="str">
        <f>tlInputVetDiffr2</f>
        <v>Select</v>
      </c>
      <c r="J158" s="33" t="s">
        <v>3722</v>
      </c>
      <c r="K158" s="32" t="s">
        <v>4775</v>
      </c>
      <c r="L158" s="120" t="str">
        <f>tlInputVetDiffr2</f>
        <v>Select</v>
      </c>
      <c r="O158" s="120"/>
    </row>
    <row r="159" spans="1:15">
      <c r="B159" s="457" t="s">
        <v>3718</v>
      </c>
      <c r="E159" s="125" t="str">
        <f>tlInputVetDiffr3</f>
        <v>Select</v>
      </c>
      <c r="F159" s="33" t="str">
        <f>tlInputVetDiffr3</f>
        <v>Select</v>
      </c>
      <c r="G159" s="33" t="str">
        <f>tlInputVetDiffr3</f>
        <v>Select</v>
      </c>
      <c r="H159" s="33" t="str">
        <f>tlInputVetDiffr3</f>
        <v>Select</v>
      </c>
      <c r="I159" s="33" t="str">
        <f>tlInputVetDiffr3</f>
        <v>Select</v>
      </c>
      <c r="J159" s="33" t="s">
        <v>3723</v>
      </c>
      <c r="K159" s="32" t="s">
        <v>4775</v>
      </c>
      <c r="L159" s="120" t="str">
        <f>tlInputVetDiffr3</f>
        <v>Select</v>
      </c>
      <c r="O159" s="120"/>
    </row>
    <row r="160" spans="1:15">
      <c r="B160" s="2" t="s">
        <v>1599</v>
      </c>
      <c r="E160" s="125"/>
      <c r="F160" s="33"/>
      <c r="G160" s="33"/>
      <c r="H160" s="33"/>
      <c r="I160" s="33"/>
      <c r="K160" s="32"/>
      <c r="L160" s="120"/>
      <c r="O160" s="120"/>
    </row>
    <row r="161" spans="1:15">
      <c r="B161" s="457" t="s">
        <v>2542</v>
      </c>
      <c r="E161" s="125" t="str">
        <f>tlInputEdaDiffr1</f>
        <v>Select</v>
      </c>
      <c r="F161" s="33" t="str">
        <f>tlInputEdaDiffr1</f>
        <v>Select</v>
      </c>
      <c r="G161" s="33" t="str">
        <f>tlInputEdaDiffr1</f>
        <v>Select</v>
      </c>
      <c r="H161" s="33" t="str">
        <f>tlInputEdaDiffr1</f>
        <v>Select</v>
      </c>
      <c r="I161" s="33" t="str">
        <f>tlInputEdaDiffr1</f>
        <v>Select</v>
      </c>
      <c r="J161" s="33" t="s">
        <v>3724</v>
      </c>
      <c r="K161" s="32" t="s">
        <v>4775</v>
      </c>
      <c r="L161" s="120" t="str">
        <f>tlInputEdaDiffr1</f>
        <v>Select</v>
      </c>
      <c r="O161" s="120"/>
    </row>
    <row r="162" spans="1:15">
      <c r="B162" s="457" t="s">
        <v>2543</v>
      </c>
      <c r="E162" s="125" t="str">
        <f>tlInputEdaDiffr2</f>
        <v>Select</v>
      </c>
      <c r="F162" s="33" t="str">
        <f>tlInputEdaDiffr2</f>
        <v>Select</v>
      </c>
      <c r="G162" s="33" t="str">
        <f>tlInputEdaDiffr2</f>
        <v>Select</v>
      </c>
      <c r="H162" s="33" t="str">
        <f>tlInputEdaDiffr2</f>
        <v>Select</v>
      </c>
      <c r="I162" s="33" t="str">
        <f>tlInputEdaDiffr2</f>
        <v>Select</v>
      </c>
      <c r="J162" s="33" t="s">
        <v>3725</v>
      </c>
      <c r="K162" s="32" t="s">
        <v>4775</v>
      </c>
      <c r="L162" s="120" t="str">
        <f>tlInputEdaDiffr2</f>
        <v>Select</v>
      </c>
      <c r="O162" s="120"/>
    </row>
    <row r="163" spans="1:15">
      <c r="B163" s="457" t="s">
        <v>3718</v>
      </c>
      <c r="E163" s="125" t="str">
        <f>tlInputEdaDiffr3</f>
        <v>Select</v>
      </c>
      <c r="F163" s="33" t="str">
        <f>tlInputEdaDiffr3</f>
        <v>Select</v>
      </c>
      <c r="G163" s="33" t="str">
        <f>tlInputEdaDiffr3</f>
        <v>Select</v>
      </c>
      <c r="H163" s="33" t="str">
        <f>tlInputEdaDiffr3</f>
        <v>Select</v>
      </c>
      <c r="I163" s="33" t="str">
        <f>tlInputEdaDiffr3</f>
        <v>Select</v>
      </c>
      <c r="J163" s="33" t="s">
        <v>3726</v>
      </c>
      <c r="K163" s="32" t="s">
        <v>4775</v>
      </c>
      <c r="L163" s="120" t="str">
        <f>tlInputEdaDiffr3</f>
        <v>Select</v>
      </c>
      <c r="O163" s="120"/>
    </row>
    <row r="164" spans="1:15">
      <c r="B164" s="2" t="s">
        <v>2638</v>
      </c>
      <c r="E164" s="125"/>
      <c r="F164" s="33"/>
      <c r="G164" s="33"/>
      <c r="H164" s="33"/>
      <c r="I164" s="33"/>
      <c r="K164" s="32"/>
      <c r="L164" s="120"/>
      <c r="O164" s="120"/>
    </row>
    <row r="165" spans="1:15">
      <c r="B165" s="457" t="s">
        <v>3719</v>
      </c>
      <c r="E165" s="125" t="str">
        <f>tlInputCorpStrat1</f>
        <v>Brands</v>
      </c>
      <c r="F165" s="33" t="str">
        <f>tlInputCorpStrat1</f>
        <v>Brands</v>
      </c>
      <c r="G165" s="33" t="str">
        <f>tlInputCorpStrat1</f>
        <v>Brands</v>
      </c>
      <c r="H165" s="33" t="str">
        <f>tlInputCorpStrat1</f>
        <v>Brands</v>
      </c>
      <c r="I165" s="33" t="str">
        <f>tlInputCorpStrat1</f>
        <v>Brands</v>
      </c>
      <c r="K165" s="32">
        <v>0</v>
      </c>
      <c r="L165" s="120" t="str">
        <f>tlInputCorpStrat1</f>
        <v>Brands</v>
      </c>
      <c r="O165" s="120"/>
    </row>
    <row r="166" spans="1:15">
      <c r="B166" s="457" t="s">
        <v>3720</v>
      </c>
      <c r="E166" s="125" t="str">
        <f>tlInputCorpStrat2</f>
        <v>0</v>
      </c>
      <c r="F166" s="33" t="str">
        <f>tlInputCorpStrat2</f>
        <v>0</v>
      </c>
      <c r="G166" s="33" t="str">
        <f>tlInputCorpStrat2</f>
        <v>0</v>
      </c>
      <c r="H166" s="33" t="str">
        <f>tlInputCorpStrat2</f>
        <v>0</v>
      </c>
      <c r="I166" s="33" t="str">
        <f>tlInputCorpStrat2</f>
        <v>0</v>
      </c>
      <c r="K166" s="32" t="s">
        <v>4776</v>
      </c>
      <c r="L166" s="120" t="str">
        <f>tlInputCorpStrat2</f>
        <v>0</v>
      </c>
      <c r="O166" s="120"/>
    </row>
    <row r="167" spans="1:15">
      <c r="B167" s="457" t="s">
        <v>2542</v>
      </c>
      <c r="E167" s="125" t="str">
        <f>tlInputCorpDiffr1</f>
        <v>Select</v>
      </c>
      <c r="F167" s="33" t="str">
        <f>tlInputCorpDiffr1</f>
        <v>Select</v>
      </c>
      <c r="G167" s="33" t="str">
        <f>tlInputCorpDiffr1</f>
        <v>Select</v>
      </c>
      <c r="H167" s="33" t="str">
        <f>tlInputCorpDiffr1</f>
        <v>Select</v>
      </c>
      <c r="I167" s="33" t="str">
        <f>tlInputCorpDiffr1</f>
        <v>Select</v>
      </c>
      <c r="J167" s="33" t="s">
        <v>3727</v>
      </c>
      <c r="K167" s="32" t="s">
        <v>4775</v>
      </c>
      <c r="L167" s="120" t="str">
        <f>tlInputCorpDiffr1</f>
        <v>Select</v>
      </c>
      <c r="O167" s="120"/>
    </row>
    <row r="168" spans="1:15">
      <c r="B168" s="457" t="s">
        <v>2543</v>
      </c>
      <c r="E168" s="125" t="str">
        <f>tlInputCorpDiffr2</f>
        <v>Select</v>
      </c>
      <c r="F168" s="33" t="str">
        <f>tlInputCorpDiffr2</f>
        <v>Select</v>
      </c>
      <c r="G168" s="33" t="str">
        <f>tlInputCorpDiffr2</f>
        <v>Select</v>
      </c>
      <c r="H168" s="33" t="str">
        <f>tlInputCorpDiffr2</f>
        <v>Select</v>
      </c>
      <c r="I168" s="33" t="str">
        <f>tlInputCorpDiffr2</f>
        <v>Select</v>
      </c>
      <c r="J168" s="33" t="s">
        <v>3728</v>
      </c>
      <c r="K168" s="32" t="s">
        <v>4775</v>
      </c>
      <c r="L168" s="120" t="str">
        <f>tlInputCorpDiffr2</f>
        <v>Select</v>
      </c>
      <c r="O168" s="120"/>
    </row>
    <row r="169" spans="1:15">
      <c r="B169" s="457" t="s">
        <v>3718</v>
      </c>
      <c r="E169" s="125" t="str">
        <f>tlInputCorpDiffr3</f>
        <v>Select</v>
      </c>
      <c r="F169" s="33" t="str">
        <f>tlInputCorpDiffr3</f>
        <v>Select</v>
      </c>
      <c r="G169" s="33" t="str">
        <f>tlInputCorpDiffr3</f>
        <v>Select</v>
      </c>
      <c r="H169" s="33" t="str">
        <f>tlInputCorpDiffr3</f>
        <v>Select</v>
      </c>
      <c r="I169" s="33" t="str">
        <f>tlInputCorpDiffr3</f>
        <v>Select</v>
      </c>
      <c r="J169" s="33" t="s">
        <v>3729</v>
      </c>
      <c r="K169" s="32" t="s">
        <v>4775</v>
      </c>
      <c r="L169" s="120" t="str">
        <f>tlInputCorpDiffr3</f>
        <v>Select</v>
      </c>
      <c r="O169" s="120"/>
    </row>
    <row r="170" spans="1:15">
      <c r="B170" s="457"/>
      <c r="E170" s="125"/>
      <c r="F170" s="33"/>
      <c r="G170" s="33"/>
      <c r="H170" s="33"/>
      <c r="I170" s="33"/>
      <c r="K170" s="32"/>
      <c r="L170" s="120"/>
      <c r="O170" s="120"/>
    </row>
    <row r="171" spans="1:15">
      <c r="B171" s="457"/>
      <c r="E171" s="125"/>
      <c r="F171" s="33"/>
      <c r="G171" s="33"/>
      <c r="H171" s="33"/>
      <c r="I171" s="33"/>
      <c r="K171" s="32"/>
      <c r="L171" s="120"/>
      <c r="O171" s="120"/>
    </row>
    <row r="172" spans="1:15">
      <c r="A172" s="2" t="s">
        <v>3347</v>
      </c>
      <c r="B172" s="457"/>
      <c r="E172" s="125"/>
      <c r="F172" s="33"/>
      <c r="G172" s="33"/>
      <c r="H172" s="33"/>
      <c r="I172" s="33"/>
      <c r="K172" s="32"/>
      <c r="L172" s="120"/>
      <c r="O172" s="120"/>
    </row>
    <row r="173" spans="1:15">
      <c r="B173" s="2" t="s">
        <v>3348</v>
      </c>
      <c r="E173" s="125"/>
      <c r="F173" s="33"/>
      <c r="G173" s="33"/>
      <c r="H173" s="33"/>
      <c r="I173" s="33"/>
      <c r="K173" s="32"/>
      <c r="L173" s="120"/>
      <c r="O173" s="120"/>
    </row>
    <row r="174" spans="1:15">
      <c r="B174" s="457" t="s">
        <v>3581</v>
      </c>
      <c r="E174" s="125">
        <f>tlInputSWOTs1</f>
        <v>0</v>
      </c>
      <c r="F174" s="33">
        <f>tlInputSWOTs1</f>
        <v>0</v>
      </c>
      <c r="G174" s="33">
        <f>tlInputSWOTs1</f>
        <v>0</v>
      </c>
      <c r="H174" s="33">
        <f>tlInputSWOTs1</f>
        <v>0</v>
      </c>
      <c r="I174" s="33">
        <f>tlInputSWOTs1</f>
        <v>0</v>
      </c>
      <c r="J174" t="s">
        <v>3601</v>
      </c>
      <c r="K174" s="32"/>
      <c r="L174" s="120">
        <f>tlInputSWOTs1</f>
        <v>0</v>
      </c>
      <c r="O174" s="120"/>
    </row>
    <row r="175" spans="1:15">
      <c r="B175" s="457" t="s">
        <v>3582</v>
      </c>
      <c r="E175" s="125">
        <f>tlInputSWOTs2</f>
        <v>0</v>
      </c>
      <c r="F175" s="33">
        <f>tlInputSWOTs2</f>
        <v>0</v>
      </c>
      <c r="G175" s="33">
        <f>tlInputSWOTs2</f>
        <v>0</v>
      </c>
      <c r="H175" s="33">
        <f>tlInputSWOTs2</f>
        <v>0</v>
      </c>
      <c r="I175" s="33">
        <f>tlInputSWOTs2</f>
        <v>0</v>
      </c>
      <c r="J175" s="33" t="s">
        <v>3602</v>
      </c>
      <c r="K175" s="32"/>
      <c r="L175" s="120">
        <f>tlInputSWOTs2</f>
        <v>0</v>
      </c>
      <c r="O175" s="120"/>
    </row>
    <row r="176" spans="1:15">
      <c r="B176" s="457" t="s">
        <v>3583</v>
      </c>
      <c r="E176" s="125">
        <f>tlInputSWOTs3</f>
        <v>0</v>
      </c>
      <c r="F176" s="33">
        <f>tlInputSWOTs3</f>
        <v>0</v>
      </c>
      <c r="G176" s="33">
        <f>tlInputSWOTs3</f>
        <v>0</v>
      </c>
      <c r="H176" s="33">
        <f>tlInputSWOTs3</f>
        <v>0</v>
      </c>
      <c r="I176" s="33">
        <f>tlInputSWOTs3</f>
        <v>0</v>
      </c>
      <c r="J176" s="33" t="s">
        <v>3603</v>
      </c>
      <c r="K176" s="32"/>
      <c r="L176" s="120">
        <f>tlInputSWOTs3</f>
        <v>0</v>
      </c>
      <c r="O176" s="120"/>
    </row>
    <row r="177" spans="2:15">
      <c r="B177" s="457" t="s">
        <v>3584</v>
      </c>
      <c r="E177" s="125">
        <f>tlInputSWOTs4</f>
        <v>0</v>
      </c>
      <c r="F177" s="33">
        <f>tlInputSWOTs4</f>
        <v>0</v>
      </c>
      <c r="G177" s="33">
        <f>tlInputSWOTs4</f>
        <v>0</v>
      </c>
      <c r="H177" s="33">
        <f>tlInputSWOTs4</f>
        <v>0</v>
      </c>
      <c r="I177" s="33">
        <f>tlInputSWOTs4</f>
        <v>0</v>
      </c>
      <c r="J177" s="33" t="s">
        <v>3604</v>
      </c>
      <c r="K177" s="32"/>
      <c r="L177" s="120">
        <f>tlInputSWOTs4</f>
        <v>0</v>
      </c>
      <c r="O177" s="120"/>
    </row>
    <row r="178" spans="2:15">
      <c r="B178" s="457" t="s">
        <v>3585</v>
      </c>
      <c r="E178" s="125">
        <f>tlInputSWOTs5</f>
        <v>0</v>
      </c>
      <c r="F178" s="33">
        <f>tlInputSWOTs5</f>
        <v>0</v>
      </c>
      <c r="G178" s="33">
        <f>tlInputSWOTs5</f>
        <v>0</v>
      </c>
      <c r="H178" s="33">
        <f>tlInputSWOTs5</f>
        <v>0</v>
      </c>
      <c r="I178" s="33">
        <f>tlInputSWOTs5</f>
        <v>0</v>
      </c>
      <c r="J178" s="33" t="s">
        <v>3605</v>
      </c>
      <c r="K178" s="32"/>
      <c r="L178" s="120">
        <f>tlInputSWOTs5</f>
        <v>0</v>
      </c>
      <c r="O178" s="120"/>
    </row>
    <row r="179" spans="2:15">
      <c r="B179" s="2" t="s">
        <v>3349</v>
      </c>
      <c r="E179" s="125"/>
      <c r="F179" s="33"/>
      <c r="G179" s="33"/>
      <c r="H179" s="33"/>
      <c r="I179" s="33"/>
      <c r="K179" s="32"/>
      <c r="L179" s="120"/>
      <c r="O179" s="120"/>
    </row>
    <row r="180" spans="2:15">
      <c r="B180" s="457" t="s">
        <v>3586</v>
      </c>
      <c r="E180" s="125">
        <f>tlInputSWOTw1</f>
        <v>0</v>
      </c>
      <c r="F180" s="33">
        <f>tlInputSWOTw1</f>
        <v>0</v>
      </c>
      <c r="G180" s="33">
        <f>tlInputSWOTw1</f>
        <v>0</v>
      </c>
      <c r="H180" s="33">
        <f>tlInputSWOTw1</f>
        <v>0</v>
      </c>
      <c r="I180" s="33">
        <f>tlInputSWOTw1</f>
        <v>0</v>
      </c>
      <c r="J180" s="33" t="s">
        <v>3606</v>
      </c>
      <c r="K180" s="32"/>
      <c r="L180" s="120">
        <f>tlInputSWOTw1</f>
        <v>0</v>
      </c>
      <c r="O180" s="120"/>
    </row>
    <row r="181" spans="2:15">
      <c r="B181" s="457" t="s">
        <v>3587</v>
      </c>
      <c r="E181" s="125">
        <f>tlInputSWOTw2</f>
        <v>0</v>
      </c>
      <c r="F181" s="33">
        <f>tlInputSWOTw2</f>
        <v>0</v>
      </c>
      <c r="G181" s="33">
        <f>tlInputSWOTw2</f>
        <v>0</v>
      </c>
      <c r="H181" s="33">
        <f>tlInputSWOTw2</f>
        <v>0</v>
      </c>
      <c r="I181" s="33">
        <f>tlInputSWOTw2</f>
        <v>0</v>
      </c>
      <c r="J181" s="33" t="s">
        <v>3607</v>
      </c>
      <c r="K181" s="32"/>
      <c r="L181" s="120">
        <f>tlInputSWOTw2</f>
        <v>0</v>
      </c>
      <c r="O181" s="120"/>
    </row>
    <row r="182" spans="2:15">
      <c r="B182" s="457" t="s">
        <v>3588</v>
      </c>
      <c r="E182" s="125">
        <f>tlInputSWOTw3</f>
        <v>0</v>
      </c>
      <c r="F182" s="33">
        <f>tlInputSWOTw3</f>
        <v>0</v>
      </c>
      <c r="G182" s="33">
        <f>tlInputSWOTw3</f>
        <v>0</v>
      </c>
      <c r="H182" s="33">
        <f>tlInputSWOTw3</f>
        <v>0</v>
      </c>
      <c r="I182" s="33">
        <f>tlInputSWOTw3</f>
        <v>0</v>
      </c>
      <c r="J182" s="33" t="s">
        <v>3608</v>
      </c>
      <c r="K182" s="32"/>
      <c r="L182" s="120">
        <f>tlInputSWOTw3</f>
        <v>0</v>
      </c>
      <c r="O182" s="120"/>
    </row>
    <row r="183" spans="2:15">
      <c r="B183" s="457" t="s">
        <v>3589</v>
      </c>
      <c r="E183" s="125">
        <f>tlInputSWOTw4</f>
        <v>0</v>
      </c>
      <c r="F183" s="33">
        <f>tlInputSWOTw4</f>
        <v>0</v>
      </c>
      <c r="G183" s="33">
        <f>tlInputSWOTw4</f>
        <v>0</v>
      </c>
      <c r="H183" s="33">
        <f>tlInputSWOTw4</f>
        <v>0</v>
      </c>
      <c r="I183" s="33">
        <f>tlInputSWOTw4</f>
        <v>0</v>
      </c>
      <c r="J183" s="33" t="s">
        <v>3609</v>
      </c>
      <c r="K183" s="32"/>
      <c r="L183" s="120">
        <f>tlInputSWOTw4</f>
        <v>0</v>
      </c>
      <c r="O183" s="120"/>
    </row>
    <row r="184" spans="2:15">
      <c r="B184" s="457" t="s">
        <v>3590</v>
      </c>
      <c r="E184" s="125">
        <f>tlInputSWOTw5</f>
        <v>0</v>
      </c>
      <c r="F184" s="33">
        <f>tlInputSWOTw5</f>
        <v>0</v>
      </c>
      <c r="G184" s="33">
        <f>tlInputSWOTw5</f>
        <v>0</v>
      </c>
      <c r="H184" s="33">
        <f>tlInputSWOTw5</f>
        <v>0</v>
      </c>
      <c r="I184" s="33">
        <f>tlInputSWOTw5</f>
        <v>0</v>
      </c>
      <c r="J184" s="33" t="s">
        <v>3610</v>
      </c>
      <c r="K184" s="32"/>
      <c r="L184" s="120">
        <f>tlInputSWOTw5</f>
        <v>0</v>
      </c>
      <c r="O184" s="120"/>
    </row>
    <row r="185" spans="2:15">
      <c r="B185" s="2" t="s">
        <v>3579</v>
      </c>
      <c r="E185" s="125"/>
      <c r="F185" s="33"/>
      <c r="G185" s="33"/>
      <c r="H185" s="33"/>
      <c r="I185" s="33"/>
      <c r="K185" s="32"/>
      <c r="L185" s="120"/>
      <c r="O185" s="120"/>
    </row>
    <row r="186" spans="2:15">
      <c r="B186" s="457" t="s">
        <v>3591</v>
      </c>
      <c r="E186" s="125">
        <f>tlInputSWOTo1</f>
        <v>0</v>
      </c>
      <c r="F186" s="33">
        <f>tlInputSWOTo1</f>
        <v>0</v>
      </c>
      <c r="G186" s="33">
        <f>tlInputSWOTo1</f>
        <v>0</v>
      </c>
      <c r="H186" s="33">
        <f>tlInputSWOTo1</f>
        <v>0</v>
      </c>
      <c r="I186" s="33">
        <f>tlInputSWOTo1</f>
        <v>0</v>
      </c>
      <c r="J186" s="33" t="s">
        <v>3611</v>
      </c>
      <c r="K186" s="32"/>
      <c r="L186" s="120">
        <f>tlInputSWOTo1</f>
        <v>0</v>
      </c>
      <c r="O186" s="120"/>
    </row>
    <row r="187" spans="2:15">
      <c r="B187" s="457" t="s">
        <v>3592</v>
      </c>
      <c r="E187" s="125">
        <f>tlInputSWOTo2</f>
        <v>0</v>
      </c>
      <c r="F187" s="33">
        <f>tlInputSWOTo2</f>
        <v>0</v>
      </c>
      <c r="G187" s="33">
        <f>tlInputSWOTo2</f>
        <v>0</v>
      </c>
      <c r="H187" s="33">
        <f>tlInputSWOTo2</f>
        <v>0</v>
      </c>
      <c r="I187" s="33">
        <f>tlInputSWOTo2</f>
        <v>0</v>
      </c>
      <c r="J187" s="33" t="s">
        <v>3612</v>
      </c>
      <c r="K187" s="32"/>
      <c r="L187" s="120">
        <f>tlInputSWOTo2</f>
        <v>0</v>
      </c>
      <c r="O187" s="120"/>
    </row>
    <row r="188" spans="2:15">
      <c r="B188" s="457" t="s">
        <v>3593</v>
      </c>
      <c r="E188" s="125">
        <f>tlInputSWOTo3</f>
        <v>0</v>
      </c>
      <c r="F188" s="33">
        <f>tlInputSWOTo3</f>
        <v>0</v>
      </c>
      <c r="G188" s="33">
        <f>tlInputSWOTo3</f>
        <v>0</v>
      </c>
      <c r="H188" s="33">
        <f>tlInputSWOTo3</f>
        <v>0</v>
      </c>
      <c r="I188" s="33">
        <f>tlInputSWOTo3</f>
        <v>0</v>
      </c>
      <c r="J188" s="33" t="s">
        <v>3613</v>
      </c>
      <c r="K188" s="32"/>
      <c r="L188" s="120">
        <f>tlInputSWOTo3</f>
        <v>0</v>
      </c>
      <c r="O188" s="120"/>
    </row>
    <row r="189" spans="2:15">
      <c r="B189" s="457" t="s">
        <v>3594</v>
      </c>
      <c r="E189" s="125">
        <f>tlInputSWOTo4</f>
        <v>0</v>
      </c>
      <c r="F189" s="33">
        <f>tlInputSWOTo4</f>
        <v>0</v>
      </c>
      <c r="G189" s="33">
        <f>tlInputSWOTo4</f>
        <v>0</v>
      </c>
      <c r="H189" s="33">
        <f>tlInputSWOTo4</f>
        <v>0</v>
      </c>
      <c r="I189" s="33">
        <f>tlInputSWOTo4</f>
        <v>0</v>
      </c>
      <c r="J189" s="33" t="s">
        <v>3614</v>
      </c>
      <c r="K189" s="32"/>
      <c r="L189" s="120">
        <f>tlInputSWOTo4</f>
        <v>0</v>
      </c>
      <c r="O189" s="120"/>
    </row>
    <row r="190" spans="2:15">
      <c r="B190" s="457" t="s">
        <v>3595</v>
      </c>
      <c r="E190" s="125">
        <f>tlInputSWOTo5</f>
        <v>0</v>
      </c>
      <c r="F190" s="33">
        <f>tlInputSWOTo5</f>
        <v>0</v>
      </c>
      <c r="G190" s="33">
        <f>tlInputSWOTo5</f>
        <v>0</v>
      </c>
      <c r="H190" s="33">
        <f>tlInputSWOTo5</f>
        <v>0</v>
      </c>
      <c r="I190" s="33">
        <f>tlInputSWOTo5</f>
        <v>0</v>
      </c>
      <c r="J190" s="33" t="s">
        <v>3615</v>
      </c>
      <c r="K190" s="32"/>
      <c r="L190" s="120">
        <f>tlInputSWOTo5</f>
        <v>0</v>
      </c>
      <c r="O190" s="120"/>
    </row>
    <row r="191" spans="2:15">
      <c r="B191" s="2" t="s">
        <v>3580</v>
      </c>
      <c r="E191" s="125"/>
      <c r="F191" s="33"/>
      <c r="G191" s="33"/>
      <c r="H191" s="33"/>
      <c r="I191" s="33"/>
      <c r="K191" s="32"/>
      <c r="L191" s="120"/>
      <c r="O191" s="120"/>
    </row>
    <row r="192" spans="2:15">
      <c r="B192" s="457" t="s">
        <v>3596</v>
      </c>
      <c r="E192" s="125">
        <f>tlInputSWOTt1</f>
        <v>0</v>
      </c>
      <c r="F192" s="33">
        <f>tlInputSWOTt1</f>
        <v>0</v>
      </c>
      <c r="G192" s="33">
        <f>tlInputSWOTt1</f>
        <v>0</v>
      </c>
      <c r="H192" s="33">
        <f>tlInputSWOTt1</f>
        <v>0</v>
      </c>
      <c r="I192" s="33">
        <f>tlInputSWOTt1</f>
        <v>0</v>
      </c>
      <c r="J192" s="33" t="s">
        <v>2509</v>
      </c>
      <c r="K192" s="32"/>
      <c r="L192" s="120">
        <f>tlInputSWOTt1</f>
        <v>0</v>
      </c>
      <c r="O192" s="120"/>
    </row>
    <row r="193" spans="1:15">
      <c r="B193" s="457" t="s">
        <v>3597</v>
      </c>
      <c r="E193" s="125">
        <f>tlInputSWOTt2</f>
        <v>0</v>
      </c>
      <c r="F193" s="33">
        <f>tlInputSWOTt2</f>
        <v>0</v>
      </c>
      <c r="G193" s="33">
        <f>tlInputSWOTt2</f>
        <v>0</v>
      </c>
      <c r="H193" s="33">
        <f>tlInputSWOTt2</f>
        <v>0</v>
      </c>
      <c r="I193" s="33">
        <f>tlInputSWOTt2</f>
        <v>0</v>
      </c>
      <c r="J193" s="33" t="s">
        <v>2510</v>
      </c>
      <c r="K193" s="32"/>
      <c r="L193" s="120">
        <f>tlInputSWOTt2</f>
        <v>0</v>
      </c>
      <c r="O193" s="120"/>
    </row>
    <row r="194" spans="1:15">
      <c r="B194" s="457" t="s">
        <v>3598</v>
      </c>
      <c r="E194" s="125">
        <f>tlInputSWOTt3</f>
        <v>0</v>
      </c>
      <c r="F194" s="33">
        <f>tlInputSWOTt3</f>
        <v>0</v>
      </c>
      <c r="G194" s="33">
        <f>tlInputSWOTt3</f>
        <v>0</v>
      </c>
      <c r="H194" s="33">
        <f>tlInputSWOTt3</f>
        <v>0</v>
      </c>
      <c r="I194" s="33">
        <f>tlInputSWOTt3</f>
        <v>0</v>
      </c>
      <c r="J194" s="33" t="s">
        <v>2511</v>
      </c>
      <c r="K194" s="32"/>
      <c r="L194" s="120">
        <f>tlInputSWOTt3</f>
        <v>0</v>
      </c>
      <c r="O194" s="120"/>
    </row>
    <row r="195" spans="1:15">
      <c r="B195" s="457" t="s">
        <v>3599</v>
      </c>
      <c r="E195" s="125">
        <f>tlInputSWOTt4</f>
        <v>0</v>
      </c>
      <c r="F195" s="33">
        <f>tlInputSWOTt4</f>
        <v>0</v>
      </c>
      <c r="G195" s="33">
        <f>tlInputSWOTt4</f>
        <v>0</v>
      </c>
      <c r="H195" s="33">
        <f>tlInputSWOTt4</f>
        <v>0</v>
      </c>
      <c r="I195" s="33">
        <f>tlInputSWOTt4</f>
        <v>0</v>
      </c>
      <c r="J195" s="33" t="s">
        <v>2512</v>
      </c>
      <c r="K195" s="32"/>
      <c r="L195" s="120">
        <f>tlInputSWOTt4</f>
        <v>0</v>
      </c>
      <c r="O195" s="120"/>
    </row>
    <row r="196" spans="1:15">
      <c r="B196" s="457" t="s">
        <v>3600</v>
      </c>
      <c r="E196" s="125">
        <f>tlInputSWOTt5</f>
        <v>0</v>
      </c>
      <c r="F196" s="33">
        <f>tlInputSWOTt5</f>
        <v>0</v>
      </c>
      <c r="G196" s="33">
        <f>tlInputSWOTt5</f>
        <v>0</v>
      </c>
      <c r="H196" s="33">
        <f>tlInputSWOTt5</f>
        <v>0</v>
      </c>
      <c r="I196" s="33">
        <f>tlInputSWOTt5</f>
        <v>0</v>
      </c>
      <c r="J196" s="33" t="s">
        <v>2513</v>
      </c>
      <c r="K196" s="32"/>
      <c r="L196" s="120">
        <f>tlInputSWOTt5</f>
        <v>0</v>
      </c>
      <c r="O196" s="120"/>
    </row>
    <row r="197" spans="1:15">
      <c r="B197" s="457"/>
      <c r="E197" s="125"/>
      <c r="F197" s="33"/>
      <c r="G197" s="33"/>
      <c r="H197" s="33"/>
      <c r="I197" s="33"/>
      <c r="J197" s="33"/>
      <c r="K197" s="32"/>
      <c r="L197" s="120"/>
      <c r="O197" s="120"/>
    </row>
    <row r="198" spans="1:15" ht="146.25">
      <c r="A198" s="2" t="s">
        <v>2514</v>
      </c>
      <c r="B198" s="457"/>
      <c r="E198" s="125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F198" s="909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G198" s="33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H198" s="909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I198" s="33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J198" s="33" t="s">
        <v>2515</v>
      </c>
      <c r="K198" s="32" t="s">
        <v>3995</v>
      </c>
      <c r="L198" s="120" t="str">
        <f>tlInputVision</f>
        <v xml:space="preserve">To captivate consumers the world over with high quality delicious, fun &amp; nutritious convenient foods &amp; beverages that provide great value for money &amp; are ubiquitously available
</v>
      </c>
      <c r="O198" s="120"/>
    </row>
    <row r="199" spans="1:15">
      <c r="A199" s="2" t="s">
        <v>3574</v>
      </c>
      <c r="B199" s="457"/>
      <c r="E199" s="125">
        <f>tlInputStratName</f>
        <v>0</v>
      </c>
      <c r="F199" s="33">
        <f>tlInputStratName</f>
        <v>0</v>
      </c>
      <c r="G199" s="33">
        <f>tlInputStratName</f>
        <v>0</v>
      </c>
      <c r="H199" s="33">
        <f>tlInputStratName</f>
        <v>0</v>
      </c>
      <c r="I199" s="33">
        <f>tlInputStratName</f>
        <v>0</v>
      </c>
      <c r="J199" s="33" t="s">
        <v>3575</v>
      </c>
      <c r="K199" s="32"/>
      <c r="L199" s="120">
        <f>tlInputStratName</f>
        <v>0</v>
      </c>
      <c r="O199" s="120"/>
    </row>
    <row r="200" spans="1:15">
      <c r="A200" s="2"/>
      <c r="B200" s="457"/>
      <c r="E200" s="125"/>
      <c r="F200" s="33"/>
      <c r="G200" s="33"/>
      <c r="H200" s="33"/>
      <c r="I200" s="33"/>
      <c r="J200" s="33"/>
      <c r="K200" s="32"/>
      <c r="L200" s="120"/>
      <c r="O200" s="120"/>
    </row>
    <row r="201" spans="1:15">
      <c r="A201" s="2" t="s">
        <v>3016</v>
      </c>
      <c r="B201" s="457"/>
      <c r="E201" s="125"/>
      <c r="F201" s="33"/>
      <c r="G201" s="33"/>
      <c r="H201" s="33"/>
      <c r="I201" s="33"/>
      <c r="J201" s="33"/>
      <c r="K201" s="32"/>
      <c r="L201" s="120"/>
      <c r="O201" s="120"/>
    </row>
    <row r="202" spans="1:15">
      <c r="A202" s="2"/>
      <c r="B202" s="606" t="s">
        <v>3010</v>
      </c>
      <c r="E202" s="125" t="str">
        <f>tlInputCEO</f>
        <v>(CEO)</v>
      </c>
      <c r="F202" s="33" t="str">
        <f>tlInputCEO</f>
        <v>(CEO)</v>
      </c>
      <c r="G202" s="33" t="str">
        <f>tlInputCEO</f>
        <v>(CEO)</v>
      </c>
      <c r="H202" s="33" t="str">
        <f>tlInputCEO</f>
        <v>(CEO)</v>
      </c>
      <c r="I202" s="33" t="str">
        <f>tlInputCEO</f>
        <v>(CEO)</v>
      </c>
      <c r="J202" s="33" t="s">
        <v>3017</v>
      </c>
      <c r="K202" s="32" t="s">
        <v>2627</v>
      </c>
      <c r="L202" s="120" t="str">
        <f>tlInputCEO</f>
        <v>(CEO)</v>
      </c>
      <c r="O202" s="120"/>
    </row>
    <row r="203" spans="1:15">
      <c r="A203" s="2"/>
      <c r="B203" s="606" t="s">
        <v>3011</v>
      </c>
      <c r="E203" s="125" t="str">
        <f>tlInputGMvet</f>
        <v>(GM)</v>
      </c>
      <c r="F203" s="33" t="str">
        <f>tlInputGMvet</f>
        <v>(GM)</v>
      </c>
      <c r="G203" s="33" t="str">
        <f>tlInputGMvet</f>
        <v>(GM)</v>
      </c>
      <c r="H203" s="33" t="str">
        <f>tlInputGMvet</f>
        <v>(GM)</v>
      </c>
      <c r="I203" s="33" t="str">
        <f>tlInputGMvet</f>
        <v>(GM)</v>
      </c>
      <c r="J203" s="33" t="s">
        <v>3018</v>
      </c>
      <c r="K203" s="32" t="s">
        <v>2629</v>
      </c>
      <c r="L203" s="120" t="str">
        <f>tlInputGMvet</f>
        <v>(GM)</v>
      </c>
      <c r="O203" s="120"/>
    </row>
    <row r="204" spans="1:15">
      <c r="A204" s="2"/>
      <c r="B204" s="606" t="s">
        <v>3012</v>
      </c>
      <c r="E204" s="125" t="str">
        <f>tlInputGMesc</f>
        <v>(GM)</v>
      </c>
      <c r="F204" s="33" t="str">
        <f>tlInputGMesc</f>
        <v>(GM)</v>
      </c>
      <c r="G204" s="33" t="str">
        <f>tlInputGMesc</f>
        <v>(GM)</v>
      </c>
      <c r="H204" s="33" t="str">
        <f>tlInputGMesc</f>
        <v>(GM)</v>
      </c>
      <c r="I204" s="33" t="str">
        <f>tlInputGMesc</f>
        <v>(GM)</v>
      </c>
      <c r="J204" s="33" t="s">
        <v>3019</v>
      </c>
      <c r="K204" s="32" t="s">
        <v>2629</v>
      </c>
      <c r="L204" s="120" t="str">
        <f>tlInputGMesc</f>
        <v>(GM)</v>
      </c>
      <c r="O204" s="120"/>
    </row>
    <row r="205" spans="1:15">
      <c r="A205" s="2"/>
      <c r="B205" s="606" t="s">
        <v>3013</v>
      </c>
      <c r="E205" s="125" t="str">
        <f>tlInputSVPops</f>
        <v>(GM)</v>
      </c>
      <c r="F205" s="33" t="str">
        <f>tlInputSVPops</f>
        <v>(GM)</v>
      </c>
      <c r="G205" s="33" t="str">
        <f>tlInputSVPops</f>
        <v>(GM)</v>
      </c>
      <c r="H205" s="33" t="str">
        <f>tlInputSVPops</f>
        <v>(GM)</v>
      </c>
      <c r="I205" s="33" t="str">
        <f>tlInputSVPops</f>
        <v>(GM)</v>
      </c>
      <c r="J205" s="33" t="s">
        <v>3020</v>
      </c>
      <c r="K205" s="32" t="s">
        <v>2629</v>
      </c>
      <c r="L205" s="120" t="str">
        <f>tlInputSVPops</f>
        <v>(GM)</v>
      </c>
      <c r="O205" s="120"/>
    </row>
    <row r="206" spans="1:15">
      <c r="A206" s="2"/>
      <c r="B206" s="606" t="s">
        <v>3014</v>
      </c>
      <c r="E206" s="125" t="str">
        <f>tlInputSVPrnd</f>
        <v>(GM)</v>
      </c>
      <c r="F206" s="33" t="str">
        <f>tlInputSVPrnd</f>
        <v>(GM)</v>
      </c>
      <c r="G206" s="33" t="str">
        <f>tlInputSVPrnd</f>
        <v>(GM)</v>
      </c>
      <c r="H206" s="33" t="str">
        <f>tlInputSVPrnd</f>
        <v>(GM)</v>
      </c>
      <c r="I206" s="33" t="str">
        <f>tlInputSVPrnd</f>
        <v>(GM)</v>
      </c>
      <c r="J206" s="33" t="s">
        <v>3021</v>
      </c>
      <c r="K206" s="32" t="s">
        <v>2629</v>
      </c>
      <c r="L206" s="120" t="str">
        <f>tlInputSVPrnd</f>
        <v>(GM)</v>
      </c>
      <c r="O206" s="120"/>
    </row>
    <row r="207" spans="1:15">
      <c r="A207" s="2"/>
      <c r="B207" s="606" t="s">
        <v>3015</v>
      </c>
      <c r="E207" s="125" t="str">
        <f>tlInputSVPshared</f>
        <v>(SVP)</v>
      </c>
      <c r="F207" s="33" t="str">
        <f>tlInputSVPshared</f>
        <v>(SVP)</v>
      </c>
      <c r="G207" s="33" t="str">
        <f>tlInputSVPshared</f>
        <v>(SVP)</v>
      </c>
      <c r="H207" s="33" t="str">
        <f>tlInputSVPshared</f>
        <v>(SVP)</v>
      </c>
      <c r="I207" s="33" t="str">
        <f>tlInputSVPshared</f>
        <v>(SVP)</v>
      </c>
      <c r="J207" s="33" t="s">
        <v>3022</v>
      </c>
      <c r="K207" s="32" t="s">
        <v>2631</v>
      </c>
      <c r="L207" s="120" t="str">
        <f>tlInputSVPshared</f>
        <v>(SVP)</v>
      </c>
      <c r="O207" s="120"/>
    </row>
    <row r="208" spans="1:15">
      <c r="A208" s="2"/>
      <c r="B208" s="606"/>
      <c r="E208" s="125"/>
      <c r="F208" s="33"/>
      <c r="G208" s="33"/>
      <c r="H208" s="33"/>
      <c r="I208" s="33"/>
      <c r="J208" s="33"/>
      <c r="K208" s="32"/>
      <c r="L208" s="120"/>
      <c r="O208" s="120"/>
    </row>
    <row r="209" spans="1:16">
      <c r="A209" s="2" t="s">
        <v>2516</v>
      </c>
      <c r="B209" s="606"/>
      <c r="E209" s="125"/>
      <c r="F209" s="33"/>
      <c r="G209" s="33"/>
      <c r="H209" s="33"/>
      <c r="I209" s="33"/>
      <c r="J209" s="33"/>
      <c r="K209" s="32"/>
      <c r="L209" s="120"/>
      <c r="O209" s="120"/>
    </row>
    <row r="210" spans="1:16">
      <c r="A210" s="3">
        <v>1</v>
      </c>
      <c r="B210" s="606" t="s">
        <v>2517</v>
      </c>
      <c r="E210" s="125">
        <f>tlInputGoals1</f>
        <v>2</v>
      </c>
      <c r="F210" s="33">
        <f>tlInputGoals1</f>
        <v>2</v>
      </c>
      <c r="G210" s="33">
        <f>tlInputGoals1</f>
        <v>2</v>
      </c>
      <c r="H210" s="33">
        <f>tlInputGoals1</f>
        <v>2</v>
      </c>
      <c r="I210" s="33">
        <f>tlInputGoals1</f>
        <v>2</v>
      </c>
      <c r="J210" s="33" t="s">
        <v>2529</v>
      </c>
      <c r="K210" s="32">
        <v>2</v>
      </c>
      <c r="L210" s="120">
        <f>tlInputGoals1</f>
        <v>2</v>
      </c>
      <c r="O210" s="120"/>
    </row>
    <row r="211" spans="1:16">
      <c r="A211" s="3">
        <f>A210+1</f>
        <v>2</v>
      </c>
      <c r="B211" s="606" t="s">
        <v>2518</v>
      </c>
      <c r="E211" s="125">
        <f>tlInputGoals3</f>
        <v>2</v>
      </c>
      <c r="F211" s="33">
        <f>tlInputGoals3</f>
        <v>2</v>
      </c>
      <c r="G211" s="33">
        <f>tlInputGoals3</f>
        <v>2</v>
      </c>
      <c r="H211" s="33">
        <f>tlInputGoals3</f>
        <v>2</v>
      </c>
      <c r="I211" s="33">
        <f>tlInputGoals3</f>
        <v>2</v>
      </c>
      <c r="J211" s="33" t="s">
        <v>2530</v>
      </c>
      <c r="K211" s="32">
        <v>2</v>
      </c>
      <c r="L211" s="120">
        <f>tlInputGoals3</f>
        <v>2</v>
      </c>
      <c r="O211" s="120"/>
    </row>
    <row r="212" spans="1:16">
      <c r="A212" s="3">
        <f t="shared" ref="A212:A221" si="0">A211+1</f>
        <v>3</v>
      </c>
      <c r="B212" s="606" t="s">
        <v>2519</v>
      </c>
      <c r="E212" s="125">
        <f>tlInputGoals4</f>
        <v>2</v>
      </c>
      <c r="F212" s="33">
        <f>tlInputGoals4</f>
        <v>2</v>
      </c>
      <c r="G212" s="33">
        <f>tlInputGoals4</f>
        <v>2</v>
      </c>
      <c r="H212" s="33">
        <f>tlInputGoals4</f>
        <v>2</v>
      </c>
      <c r="I212" s="33">
        <f>tlInputGoals4</f>
        <v>2</v>
      </c>
      <c r="J212" s="33" t="s">
        <v>2531</v>
      </c>
      <c r="K212" s="32">
        <v>2</v>
      </c>
      <c r="L212" s="120">
        <f>tlInputGoals4</f>
        <v>2</v>
      </c>
      <c r="O212" s="120"/>
    </row>
    <row r="213" spans="1:16">
      <c r="A213" s="3">
        <f t="shared" si="0"/>
        <v>4</v>
      </c>
      <c r="B213" s="606" t="s">
        <v>2520</v>
      </c>
      <c r="E213" s="125">
        <f>tlInputGoals5</f>
        <v>2</v>
      </c>
      <c r="F213" s="33">
        <f>tlInputGoals5</f>
        <v>2</v>
      </c>
      <c r="G213" s="33">
        <f>tlInputGoals5</f>
        <v>2</v>
      </c>
      <c r="H213" s="33">
        <f>tlInputGoals5</f>
        <v>2</v>
      </c>
      <c r="I213" s="33">
        <f>tlInputGoals5</f>
        <v>2</v>
      </c>
      <c r="J213" s="33" t="s">
        <v>2532</v>
      </c>
      <c r="K213" s="32">
        <v>2</v>
      </c>
      <c r="L213" s="120">
        <f>tlInputGoals5</f>
        <v>2</v>
      </c>
      <c r="O213" s="120"/>
    </row>
    <row r="214" spans="1:16">
      <c r="A214" s="3">
        <f t="shared" si="0"/>
        <v>5</v>
      </c>
      <c r="B214" s="606" t="s">
        <v>2521</v>
      </c>
      <c r="E214" s="125">
        <f>tlInputGoals6</f>
        <v>2</v>
      </c>
      <c r="F214" s="33">
        <f>tlInputGoals6</f>
        <v>2</v>
      </c>
      <c r="G214" s="33">
        <f>tlInputGoals6</f>
        <v>2</v>
      </c>
      <c r="H214" s="33">
        <f>tlInputGoals6</f>
        <v>2</v>
      </c>
      <c r="I214" s="33">
        <f>tlInputGoals6</f>
        <v>2</v>
      </c>
      <c r="J214" s="33" t="s">
        <v>2533</v>
      </c>
      <c r="K214" s="32">
        <v>2</v>
      </c>
      <c r="L214" s="120">
        <f>tlInputGoals6</f>
        <v>2</v>
      </c>
      <c r="O214" s="120"/>
    </row>
    <row r="215" spans="1:16">
      <c r="A215" s="3">
        <f t="shared" si="0"/>
        <v>6</v>
      </c>
      <c r="B215" s="606" t="s">
        <v>2522</v>
      </c>
      <c r="E215" s="125">
        <f>tlInputGoals7</f>
        <v>2</v>
      </c>
      <c r="F215" s="33">
        <f>tlInputGoals7</f>
        <v>2</v>
      </c>
      <c r="G215" s="33">
        <f>tlInputGoals7</f>
        <v>2</v>
      </c>
      <c r="H215" s="33">
        <f>tlInputGoals7</f>
        <v>2</v>
      </c>
      <c r="I215" s="33">
        <f>tlInputGoals7</f>
        <v>2</v>
      </c>
      <c r="J215" s="33" t="s">
        <v>2534</v>
      </c>
      <c r="K215" s="32">
        <v>2</v>
      </c>
      <c r="L215" s="120">
        <f>tlInputGoals7</f>
        <v>2</v>
      </c>
      <c r="O215" s="120"/>
    </row>
    <row r="216" spans="1:16">
      <c r="A216" s="3">
        <f t="shared" si="0"/>
        <v>7</v>
      </c>
      <c r="B216" s="606" t="s">
        <v>2523</v>
      </c>
      <c r="E216" s="125">
        <f>tlInputGoals8</f>
        <v>2</v>
      </c>
      <c r="F216" s="33">
        <f>tlInputGoals8</f>
        <v>2</v>
      </c>
      <c r="G216" s="33">
        <f>tlInputGoals8</f>
        <v>2</v>
      </c>
      <c r="H216" s="33">
        <f>tlInputGoals8</f>
        <v>2</v>
      </c>
      <c r="I216" s="33">
        <f>tlInputGoals8</f>
        <v>2</v>
      </c>
      <c r="J216" s="33" t="s">
        <v>2535</v>
      </c>
      <c r="K216" s="32">
        <v>2</v>
      </c>
      <c r="L216" s="120">
        <f>tlInputGoals8</f>
        <v>2</v>
      </c>
      <c r="O216" s="120"/>
    </row>
    <row r="217" spans="1:16">
      <c r="A217" s="3">
        <f t="shared" si="0"/>
        <v>8</v>
      </c>
      <c r="B217" s="606" t="s">
        <v>2524</v>
      </c>
      <c r="E217" s="125">
        <f>tlInputGoals9</f>
        <v>2</v>
      </c>
      <c r="F217" s="33">
        <f>tlInputGoals9</f>
        <v>2</v>
      </c>
      <c r="G217" s="33">
        <f>tlInputGoals9</f>
        <v>2</v>
      </c>
      <c r="H217" s="33">
        <f>tlInputGoals9</f>
        <v>2</v>
      </c>
      <c r="I217" s="33">
        <f>tlInputGoals9</f>
        <v>2</v>
      </c>
      <c r="J217" s="33" t="s">
        <v>2536</v>
      </c>
      <c r="K217" s="32">
        <v>2</v>
      </c>
      <c r="L217" s="120">
        <f>tlInputGoals9</f>
        <v>2</v>
      </c>
      <c r="O217" s="120"/>
    </row>
    <row r="218" spans="1:16">
      <c r="A218" s="3">
        <f t="shared" si="0"/>
        <v>9</v>
      </c>
      <c r="B218" s="606" t="s">
        <v>2525</v>
      </c>
      <c r="E218" s="125">
        <f>tlInputGoals10</f>
        <v>2</v>
      </c>
      <c r="F218" s="33">
        <f>tlInputGoals10</f>
        <v>2</v>
      </c>
      <c r="G218" s="33">
        <f>tlInputGoals10</f>
        <v>2</v>
      </c>
      <c r="H218" s="33">
        <f>tlInputGoals10</f>
        <v>2</v>
      </c>
      <c r="I218" s="33">
        <f>tlInputGoals10</f>
        <v>2</v>
      </c>
      <c r="J218" s="33" t="s">
        <v>2537</v>
      </c>
      <c r="K218" s="32">
        <v>2</v>
      </c>
      <c r="L218" s="120">
        <f>tlInputGoals10</f>
        <v>2</v>
      </c>
      <c r="O218" s="120"/>
    </row>
    <row r="219" spans="1:16">
      <c r="A219" s="3">
        <f t="shared" si="0"/>
        <v>10</v>
      </c>
      <c r="B219" s="606" t="s">
        <v>2526</v>
      </c>
      <c r="E219" s="125">
        <f>tlInputGoals11</f>
        <v>2</v>
      </c>
      <c r="F219" s="33">
        <f>tlInputGoals11</f>
        <v>2</v>
      </c>
      <c r="G219" s="33">
        <f>tlInputGoals11</f>
        <v>2</v>
      </c>
      <c r="H219" s="33">
        <f>tlInputGoals11</f>
        <v>2</v>
      </c>
      <c r="I219" s="33">
        <f>tlInputGoals11</f>
        <v>2</v>
      </c>
      <c r="J219" s="33" t="s">
        <v>2538</v>
      </c>
      <c r="K219" s="32">
        <v>2</v>
      </c>
      <c r="L219" s="120">
        <f>tlInputGoals11</f>
        <v>2</v>
      </c>
      <c r="O219" s="120"/>
    </row>
    <row r="220" spans="1:16">
      <c r="A220" s="3">
        <f t="shared" si="0"/>
        <v>11</v>
      </c>
      <c r="B220" s="606" t="s">
        <v>2527</v>
      </c>
      <c r="E220" s="125">
        <f>tlInputGoals12</f>
        <v>2</v>
      </c>
      <c r="F220" s="33">
        <f>tlInputGoals12</f>
        <v>2</v>
      </c>
      <c r="G220" s="33">
        <f>tlInputGoals12</f>
        <v>2</v>
      </c>
      <c r="H220" s="33">
        <f>tlInputGoals12</f>
        <v>2</v>
      </c>
      <c r="I220" s="33">
        <f>tlInputGoals12</f>
        <v>2</v>
      </c>
      <c r="J220" s="33" t="s">
        <v>2539</v>
      </c>
      <c r="K220" s="32">
        <v>2</v>
      </c>
      <c r="L220" s="120">
        <f>tlInputGoals12</f>
        <v>2</v>
      </c>
      <c r="O220" s="120"/>
    </row>
    <row r="221" spans="1:16">
      <c r="A221" s="3">
        <f t="shared" si="0"/>
        <v>12</v>
      </c>
      <c r="B221" s="606" t="s">
        <v>2528</v>
      </c>
      <c r="E221" s="125">
        <f>tlInputGoals13</f>
        <v>2</v>
      </c>
      <c r="F221" s="33">
        <f>tlInputGoals13</f>
        <v>2</v>
      </c>
      <c r="G221" s="33">
        <f>tlInputGoals13</f>
        <v>2</v>
      </c>
      <c r="H221" s="33">
        <f>tlInputGoals13</f>
        <v>2</v>
      </c>
      <c r="I221" s="33">
        <f>tlInputGoals13</f>
        <v>2</v>
      </c>
      <c r="J221" s="33" t="s">
        <v>2540</v>
      </c>
      <c r="K221" s="32">
        <v>2</v>
      </c>
      <c r="L221" s="120">
        <f>tlInputGoals13</f>
        <v>2</v>
      </c>
      <c r="O221" s="120"/>
    </row>
    <row r="223" spans="1:16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</row>
  </sheetData>
  <phoneticPr fontId="0" type="noConversion"/>
  <pageMargins left="0.5" right="0.5" top="0.5" bottom="0.5" header="0.5" footer="0.5"/>
  <pageSetup orientation="portrait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p">
    <tabColor indexed="50"/>
  </sheetPr>
  <dimension ref="A1:Q796"/>
  <sheetViews>
    <sheetView tabSelected="1" workbookViewId="0">
      <pane ySplit="1" topLeftCell="A549" activePane="bottomLeft" state="frozen"/>
      <selection activeCell="E4" sqref="E4:I271"/>
      <selection pane="bottomLeft" activeCell="J550" sqref="J550"/>
    </sheetView>
  </sheetViews>
  <sheetFormatPr defaultRowHeight="11.25"/>
  <cols>
    <col min="1" max="1" width="1.6640625" customWidth="1"/>
    <col min="2" max="2" width="4.1640625" customWidth="1"/>
    <col min="3" max="3" width="21.5" customWidth="1"/>
    <col min="4" max="4" width="13" customWidth="1"/>
    <col min="5" max="5" width="14" customWidth="1"/>
    <col min="6" max="7" width="14.1640625" bestFit="1" customWidth="1"/>
    <col min="8" max="8" width="15" customWidth="1"/>
    <col min="9" max="9" width="13.83203125" customWidth="1"/>
    <col min="10" max="10" width="29.5" customWidth="1"/>
    <col min="12" max="12" width="13" bestFit="1" customWidth="1"/>
  </cols>
  <sheetData>
    <row r="1" spans="1:11" s="143" customFormat="1" ht="15.75">
      <c r="A1" s="143" t="s">
        <v>261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3" spans="1:11" ht="15.75">
      <c r="A3" s="24" t="s">
        <v>1280</v>
      </c>
      <c r="B3" s="25"/>
      <c r="C3" s="25"/>
      <c r="D3" s="25"/>
      <c r="E3" s="25"/>
      <c r="F3" s="25"/>
      <c r="G3" s="25"/>
      <c r="H3" s="25"/>
      <c r="I3" s="25"/>
    </row>
    <row r="4" spans="1:11" s="33" customFormat="1" ht="15.75">
      <c r="A4" s="423"/>
      <c r="B4" s="412"/>
      <c r="C4" s="412"/>
      <c r="D4" s="412"/>
      <c r="E4" s="412"/>
      <c r="F4" s="412"/>
      <c r="G4" s="412"/>
      <c r="H4" s="412"/>
      <c r="I4" s="412"/>
    </row>
    <row r="5" spans="1:11">
      <c r="A5" s="269" t="s">
        <v>4106</v>
      </c>
      <c r="B5" s="119"/>
      <c r="C5" s="119"/>
      <c r="D5" s="119"/>
      <c r="E5" s="119"/>
      <c r="F5" s="119"/>
      <c r="G5" s="119"/>
      <c r="H5" s="119"/>
      <c r="I5" s="119"/>
    </row>
    <row r="6" spans="1:11">
      <c r="A6" s="354" t="str">
        <f>DataNameProd2 &amp; " Product 1 Units Sold"</f>
        <v>Breakthrough Product 1 Units Sold</v>
      </c>
      <c r="B6" s="25"/>
      <c r="C6" s="25"/>
      <c r="D6" s="25"/>
      <c r="E6" s="25"/>
      <c r="F6" s="25"/>
      <c r="G6" s="25"/>
      <c r="H6" s="25"/>
      <c r="I6" s="131"/>
    </row>
    <row r="7" spans="1:11">
      <c r="A7" s="2"/>
      <c r="B7" s="3" t="str">
        <f>DataNameProd2&amp;" Units Sold"</f>
        <v>Breakthrough Units Sold</v>
      </c>
      <c r="C7" s="2"/>
      <c r="D7" s="2"/>
      <c r="E7" s="23">
        <f>IF(xxSim0Tool1=0,mmProd21UnitsSold,IF(decDisrupt1=0,0,capProd2Reg1Units*capProd1WhatIfUnits))</f>
        <v>0</v>
      </c>
      <c r="F7" s="23">
        <f>IF(xxSim0Tool1=0,mmProd21UnitsSold,IF(decDisrupt1=0,0,capProd2Reg1Units*capProd1WhatIfUnits))</f>
        <v>0</v>
      </c>
      <c r="G7" s="23">
        <f>IF(xxSim0Tool1=0,mmProd21UnitsSold,IF(decDisrupt1=0,0,capProd2Reg1Units*capProd1WhatIfUnits))</f>
        <v>0</v>
      </c>
      <c r="H7" s="23">
        <f>IF(xxSim0Tool1=0,mmProd21UnitsSold,IF(decDisrupt1=0,0,capProd2Reg1Units*capProd1WhatIfUnits))</f>
        <v>0</v>
      </c>
      <c r="I7" s="23">
        <f>IF(xxSim0Tool1=0,mmProd21UnitsSold,IF(decDisrupt1=0,0,capProd2Reg1Units*capProd1WhatIfUnits))</f>
        <v>0</v>
      </c>
      <c r="J7" t="s">
        <v>1578</v>
      </c>
      <c r="K7" t="b">
        <f t="shared" ref="K7:K18" si="0">MAX(E7:I7)=MIN(E7:I7)</f>
        <v>1</v>
      </c>
    </row>
    <row r="8" spans="1:11">
      <c r="B8" t="str">
        <f>DataNameProd2&amp;" Units From Finished Goods"</f>
        <v>Breakthrough Units From Finished Goods</v>
      </c>
      <c r="E8" s="11">
        <f>MIN(obalProd2Reg1UnitsFG+0,E7)</f>
        <v>0</v>
      </c>
      <c r="F8" s="11">
        <f>MIN(obalProd2Reg1UnitsFG+0,F7)</f>
        <v>0</v>
      </c>
      <c r="G8" s="11">
        <f>MIN(obalProd2Reg1UnitsFG+0,G7)</f>
        <v>0</v>
      </c>
      <c r="H8" s="11">
        <f>MIN(obalProd2Reg1UnitsFG+0,H7)</f>
        <v>0</v>
      </c>
      <c r="I8" s="11">
        <f>MIN(obalProd2Reg1UnitsFG+0,I7)</f>
        <v>0</v>
      </c>
      <c r="J8" t="s">
        <v>1579</v>
      </c>
      <c r="K8" t="b">
        <f t="shared" si="0"/>
        <v>1</v>
      </c>
    </row>
    <row r="9" spans="1:11">
      <c r="B9" t="str">
        <f>DataNameProd2&amp;" Units From New Production"</f>
        <v>Breakthrough Units From New Production</v>
      </c>
      <c r="E9" s="11">
        <f>E7-E8</f>
        <v>0</v>
      </c>
      <c r="F9" s="11">
        <f>F7-F8</f>
        <v>0</v>
      </c>
      <c r="G9" s="11">
        <f>G7-G8</f>
        <v>0</v>
      </c>
      <c r="H9" s="11">
        <f>H7-H8</f>
        <v>0</v>
      </c>
      <c r="I9" s="11">
        <f>I7-I8</f>
        <v>0</v>
      </c>
      <c r="J9" t="s">
        <v>1580</v>
      </c>
      <c r="K9" t="b">
        <f t="shared" si="0"/>
        <v>1</v>
      </c>
    </row>
    <row r="10" spans="1:11">
      <c r="B10" t="str">
        <f>DataNameProd2&amp;" Units Finished Goods"</f>
        <v>Breakthrough Units Finished Goods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t="s">
        <v>1581</v>
      </c>
      <c r="K10" t="b">
        <f t="shared" si="0"/>
        <v>1</v>
      </c>
    </row>
    <row r="11" spans="1:11">
      <c r="B11" t="str">
        <f>DataNameProd2&amp;" Quarter Finished Goods"</f>
        <v>Breakthrough Quarter Finished Goods</v>
      </c>
      <c r="E11" s="11">
        <f>E10*paramProd2DisposedUnits</f>
        <v>0</v>
      </c>
      <c r="F11" s="11">
        <f>F10*paramProd2DisposedUnits</f>
        <v>0</v>
      </c>
      <c r="G11" s="11">
        <f>G10*paramProd2DisposedUnits</f>
        <v>0</v>
      </c>
      <c r="H11" s="11">
        <f>H10*paramProd2DisposedUnits</f>
        <v>0</v>
      </c>
      <c r="I11" s="11">
        <f>I10*paramProd2DisposedUnits</f>
        <v>0</v>
      </c>
      <c r="J11" t="s">
        <v>3316</v>
      </c>
      <c r="K11" t="b">
        <f t="shared" si="0"/>
        <v>1</v>
      </c>
    </row>
    <row r="12" spans="1:11">
      <c r="A12" s="354" t="str">
        <f>DataNameProd2 &amp; " Product 2 Units Sold"</f>
        <v>Breakthrough Product 2 Units Sold</v>
      </c>
      <c r="B12" s="25"/>
      <c r="C12" s="25"/>
      <c r="D12" s="25"/>
      <c r="E12" s="25"/>
      <c r="F12" s="25"/>
      <c r="G12" s="25"/>
      <c r="H12" s="25"/>
      <c r="I12" s="131"/>
      <c r="K12" t="b">
        <f t="shared" si="0"/>
        <v>1</v>
      </c>
    </row>
    <row r="13" spans="1:11">
      <c r="A13" s="2"/>
      <c r="B13" s="3" t="str">
        <f>DataNameProd2&amp;" Units Sold"</f>
        <v>Breakthrough Units Sold</v>
      </c>
      <c r="C13" s="2"/>
      <c r="D13" s="2"/>
      <c r="E13" s="23">
        <f>IF(xxSim0Tool1=0,mmProd22UnitsSold,IF(decDisrupt2=0,0,capProd2Reg2Units*capProd1WhatIfUnits))</f>
        <v>0</v>
      </c>
      <c r="F13" s="23">
        <f>IF(xxSim0Tool1=0,mmProd22UnitsSold,IF(decDisrupt2=0,0,capProd2Reg2Units*capProd1WhatIfUnits))</f>
        <v>0</v>
      </c>
      <c r="G13" s="23">
        <f>IF(xxSim0Tool1=0,mmProd22UnitsSold,IF(decDisrupt2=0,0,capProd2Reg2Units*capProd1WhatIfUnits))</f>
        <v>0</v>
      </c>
      <c r="H13" s="23">
        <f>IF(xxSim0Tool1=0,mmProd22UnitsSold,IF(decDisrupt2=0,0,capProd2Reg2Units*capProd1WhatIfUnits))</f>
        <v>0</v>
      </c>
      <c r="I13" s="23">
        <f>IF(xxSim0Tool1=0,mmProd22UnitsSold,IF(decDisrupt2=0,0,capProd2Reg2Units*capProd1WhatIfUnits))</f>
        <v>0</v>
      </c>
      <c r="J13" t="s">
        <v>3176</v>
      </c>
      <c r="K13" t="b">
        <f t="shared" si="0"/>
        <v>1</v>
      </c>
    </row>
    <row r="14" spans="1:11">
      <c r="B14" t="str">
        <f>DataNameProd2&amp;" Units From Finished Goods"</f>
        <v>Breakthrough Units From Finished Goods</v>
      </c>
      <c r="E14" s="11">
        <f>MIN(obalProd2Reg2UnitsFG+0,E13)</f>
        <v>0</v>
      </c>
      <c r="F14" s="11">
        <f>MIN(obalProd2Reg2UnitsFG+0,F13)</f>
        <v>0</v>
      </c>
      <c r="G14" s="11">
        <f>MIN(obalProd2Reg2UnitsFG+0,G13)</f>
        <v>0</v>
      </c>
      <c r="H14" s="11">
        <f>MIN(obalProd2Reg2UnitsFG+0,H13)</f>
        <v>0</v>
      </c>
      <c r="I14" s="11">
        <f>MIN(obalProd2Reg2UnitsFG+0,I13)</f>
        <v>0</v>
      </c>
      <c r="J14" t="s">
        <v>3177</v>
      </c>
      <c r="K14" t="b">
        <f t="shared" si="0"/>
        <v>1</v>
      </c>
    </row>
    <row r="15" spans="1:11">
      <c r="B15" t="str">
        <f>DataNameProd2&amp;" Units From New Production"</f>
        <v>Breakthrough Units From New Production</v>
      </c>
      <c r="E15" s="11">
        <f>E13-E14</f>
        <v>0</v>
      </c>
      <c r="F15" s="11">
        <f>F13-F14</f>
        <v>0</v>
      </c>
      <c r="G15" s="11">
        <f>G13-G14</f>
        <v>0</v>
      </c>
      <c r="H15" s="11">
        <f>H13-H14</f>
        <v>0</v>
      </c>
      <c r="I15" s="11">
        <f>I13-I14</f>
        <v>0</v>
      </c>
      <c r="J15" t="s">
        <v>3178</v>
      </c>
      <c r="K15" t="b">
        <f t="shared" si="0"/>
        <v>1</v>
      </c>
    </row>
    <row r="16" spans="1:11">
      <c r="B16" t="str">
        <f>DataNameProd2&amp;" Units Finished Goods"</f>
        <v>Breakthrough Units Finished Goods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J16" t="s">
        <v>3179</v>
      </c>
      <c r="K16" t="b">
        <f t="shared" si="0"/>
        <v>1</v>
      </c>
    </row>
    <row r="17" spans="1:11">
      <c r="B17" t="str">
        <f>DataNameProd2 &amp;" Quarter Finished Goods"</f>
        <v>Breakthrough Quarter Finished Goods</v>
      </c>
      <c r="E17" s="11">
        <f>E16*paramProd2DisposedUnits</f>
        <v>0</v>
      </c>
      <c r="F17" s="11">
        <f>F16*paramProd2DisposedUnits</f>
        <v>0</v>
      </c>
      <c r="G17" s="11">
        <f>G16*paramProd2DisposedUnits</f>
        <v>0</v>
      </c>
      <c r="H17" s="11">
        <f>H16*paramProd2DisposedUnits</f>
        <v>0</v>
      </c>
      <c r="I17" s="11">
        <f>I16*paramProd2DisposedUnits</f>
        <v>0</v>
      </c>
      <c r="J17" t="s">
        <v>3320</v>
      </c>
      <c r="K17" t="b">
        <f t="shared" si="0"/>
        <v>1</v>
      </c>
    </row>
    <row r="18" spans="1:11">
      <c r="A18" s="269" t="s">
        <v>3791</v>
      </c>
      <c r="B18" s="119"/>
      <c r="C18" s="119"/>
      <c r="D18" s="119"/>
      <c r="E18" s="119"/>
      <c r="F18" s="119"/>
      <c r="G18" s="119"/>
      <c r="H18" s="119"/>
      <c r="I18" s="119"/>
      <c r="K18" t="b">
        <f t="shared" si="0"/>
        <v>1</v>
      </c>
    </row>
    <row r="19" spans="1:11">
      <c r="A19" s="354" t="str">
        <f>DataNameProd1 &amp; " Units Sold"</f>
        <v>CSD Units Sold</v>
      </c>
      <c r="B19" s="25"/>
      <c r="C19" s="25"/>
      <c r="D19" s="25"/>
      <c r="E19" s="25"/>
      <c r="F19" s="25"/>
      <c r="G19" s="25"/>
      <c r="H19" s="25"/>
      <c r="I19" s="131"/>
      <c r="K19" t="b">
        <f t="shared" ref="K19:K43" si="1">MAX(E19:I19)=MIN(E19:I19)</f>
        <v>1</v>
      </c>
    </row>
    <row r="20" spans="1:11">
      <c r="A20" s="2"/>
      <c r="B20" s="3" t="str">
        <f>DataNameProd1&amp;" Units Sold"</f>
        <v>CSD Units Sold</v>
      </c>
      <c r="C20" s="2"/>
      <c r="D20" s="2"/>
      <c r="E20" s="23">
        <f>IF(xxSim0Tool1=0,mmProd1Reg1UnitsSold,capProd1Reg1Units*capProd1WhatIfUnits)</f>
        <v>741713021</v>
      </c>
      <c r="F20" s="23">
        <f>IF(xxSim0Tool1=0,mmProd1Reg1UnitsSold,capProd1Reg1Units*capProd1WhatIfUnits)</f>
        <v>741713021</v>
      </c>
      <c r="G20" s="23">
        <f>IF(xxSim0Tool1=0,mmProd1Reg1UnitsSold,capProd1Reg1Units*capProd1WhatIfUnits)</f>
        <v>741713021</v>
      </c>
      <c r="H20" s="23">
        <f>IF(xxSim0Tool1=0,mmProd1Reg1UnitsSold,capProd1Reg1Units*capProd1WhatIfUnits)</f>
        <v>741713021</v>
      </c>
      <c r="I20" s="23">
        <f>IF(xxSim0Tool1=0,mmProd1Reg1UnitsSold,capProd1Reg1Units*capProd1WhatIfUnits)</f>
        <v>741713021</v>
      </c>
      <c r="J20" t="s">
        <v>2387</v>
      </c>
      <c r="K20" t="b">
        <f t="shared" si="1"/>
        <v>1</v>
      </c>
    </row>
    <row r="21" spans="1:11">
      <c r="B21" t="str">
        <f>DataNameProd1&amp;" Units From Finished Goods"</f>
        <v>CSD Units From Finished Goods</v>
      </c>
      <c r="E21" s="11">
        <f>MIN(obalProd1Reg1UnitsFG+0, E20)</f>
        <v>0</v>
      </c>
      <c r="F21" s="11">
        <f>MIN(obalProd1Reg1UnitsFG+0, F20)</f>
        <v>0</v>
      </c>
      <c r="G21" s="11">
        <f>MIN(obalProd1Reg1UnitsFG+0, G20)</f>
        <v>0</v>
      </c>
      <c r="H21" s="11">
        <f>MIN(obalProd1Reg1UnitsFG+0, H20)</f>
        <v>0</v>
      </c>
      <c r="I21" s="11">
        <f>MIN(obalProd1Reg1UnitsFG+0, I20)</f>
        <v>0</v>
      </c>
      <c r="J21" t="s">
        <v>2388</v>
      </c>
      <c r="K21" t="b">
        <f t="shared" si="1"/>
        <v>1</v>
      </c>
    </row>
    <row r="22" spans="1:11">
      <c r="B22" t="str">
        <f>DataNameProd1&amp;" Units From New Production"</f>
        <v>CSD Units From New Production</v>
      </c>
      <c r="E22" s="11">
        <f>E20-E21</f>
        <v>741713021</v>
      </c>
      <c r="F22" s="11">
        <f>F20-F21</f>
        <v>741713021</v>
      </c>
      <c r="G22" s="11">
        <f>G20-G21</f>
        <v>741713021</v>
      </c>
      <c r="H22" s="11">
        <f>H20-H21</f>
        <v>741713021</v>
      </c>
      <c r="I22" s="11">
        <f>I20-I21</f>
        <v>741713021</v>
      </c>
      <c r="J22" t="s">
        <v>3293</v>
      </c>
      <c r="K22" t="b">
        <f t="shared" si="1"/>
        <v>1</v>
      </c>
    </row>
    <row r="23" spans="1:11">
      <c r="B23" t="str">
        <f>DataNameProd1&amp;" Units Finished Goods"</f>
        <v>CSD Units Finished Goods</v>
      </c>
      <c r="E23" s="11">
        <f>(capProd1Reg1Units-E20)</f>
        <v>0</v>
      </c>
      <c r="F23" s="11">
        <f>(capProd1Reg1Units-F20)</f>
        <v>0</v>
      </c>
      <c r="G23" s="11">
        <f>(capProd1Reg1Units-G20)</f>
        <v>0</v>
      </c>
      <c r="H23" s="11">
        <f>(capProd1Reg1Units-H20)</f>
        <v>0</v>
      </c>
      <c r="I23" s="11">
        <f>(capProd1Reg1Units-I20)</f>
        <v>0</v>
      </c>
      <c r="J23" t="s">
        <v>1577</v>
      </c>
      <c r="K23" t="b">
        <f t="shared" si="1"/>
        <v>1</v>
      </c>
    </row>
    <row r="24" spans="1:11">
      <c r="B24" t="str">
        <f>DataNameProd1&amp;" Quarter Finished Goods"</f>
        <v>CSD Quarter Finished Goods</v>
      </c>
      <c r="E24" s="11">
        <f>E23*paramProd1DisposedUnits</f>
        <v>0</v>
      </c>
      <c r="F24" s="11">
        <f>F23*paramProd1DisposedUnits</f>
        <v>0</v>
      </c>
      <c r="G24" s="11">
        <f>G23*paramProd1DisposedUnits</f>
        <v>0</v>
      </c>
      <c r="H24" s="11">
        <f>H23*paramProd1DisposedUnits</f>
        <v>0</v>
      </c>
      <c r="I24" s="11">
        <f>I23*paramProd1DisposedUnits</f>
        <v>0</v>
      </c>
      <c r="J24" t="s">
        <v>3315</v>
      </c>
      <c r="K24" t="b">
        <f t="shared" si="1"/>
        <v>1</v>
      </c>
    </row>
    <row r="25" spans="1:11">
      <c r="A25" s="354" t="str">
        <f>DataNameProd3 &amp; " Units Sold"</f>
        <v>NCB Units Sold</v>
      </c>
      <c r="B25" s="25"/>
      <c r="C25" s="25"/>
      <c r="D25" s="25"/>
      <c r="E25" s="25"/>
      <c r="F25" s="25"/>
      <c r="G25" s="25"/>
      <c r="H25" s="25"/>
      <c r="I25" s="131"/>
      <c r="K25" t="b">
        <f t="shared" si="1"/>
        <v>1</v>
      </c>
    </row>
    <row r="26" spans="1:11">
      <c r="A26" s="2"/>
      <c r="B26" s="3" t="str">
        <f>DataNameProd3&amp;" Units Sold"</f>
        <v>NCB Units Sold</v>
      </c>
      <c r="C26" s="2"/>
      <c r="D26" s="2"/>
      <c r="E26" s="23">
        <f>IF(xxSim0Tool1=0,mmProd3Reg1UnitsSold,(capProd3Reg1Units*capProd3WhatIfUnits))</f>
        <v>356800000</v>
      </c>
      <c r="F26" s="23">
        <f>IF(xxSim0Tool1=0,mmProd3Reg1UnitsSold,(capProd3Reg1Units*capProd3WhatIfUnits))</f>
        <v>356800000</v>
      </c>
      <c r="G26" s="23">
        <f>IF(xxSim0Tool1=0,mmProd3Reg1UnitsSold,(capProd3Reg1Units*capProd3WhatIfUnits))</f>
        <v>356800000</v>
      </c>
      <c r="H26" s="23">
        <f>IF(xxSim0Tool1=0,mmProd3Reg1UnitsSold,(capProd3Reg1Units*capProd3WhatIfUnits))</f>
        <v>356800000</v>
      </c>
      <c r="I26" s="23">
        <f>IF(xxSim0Tool1=0,mmProd3Reg1UnitsSold,(capProd3Reg1Units*capProd3WhatIfUnits))</f>
        <v>356800000</v>
      </c>
      <c r="J26" t="s">
        <v>1587</v>
      </c>
      <c r="K26" t="b">
        <f t="shared" si="1"/>
        <v>1</v>
      </c>
    </row>
    <row r="27" spans="1:11">
      <c r="B27" t="str">
        <f>DataNameProd3&amp;" Units From Finished Goods"</f>
        <v>NCB Units From Finished Goods</v>
      </c>
      <c r="E27" s="11">
        <f>MIN(obalProd3Reg1UnitsFG+0, E26)</f>
        <v>0</v>
      </c>
      <c r="F27" s="11">
        <f>MIN(obalProd3Reg1UnitsFG+0, F26)</f>
        <v>0</v>
      </c>
      <c r="G27" s="11">
        <f>MIN(obalProd3Reg1UnitsFG+0, G26)</f>
        <v>0</v>
      </c>
      <c r="H27" s="11">
        <f>MIN(obalProd3Reg1UnitsFG+0, H26)</f>
        <v>0</v>
      </c>
      <c r="I27" s="11">
        <f>MIN(obalProd3Reg1UnitsFG+0, I26)</f>
        <v>0</v>
      </c>
      <c r="J27" t="s">
        <v>1588</v>
      </c>
      <c r="K27" t="b">
        <f t="shared" si="1"/>
        <v>1</v>
      </c>
    </row>
    <row r="28" spans="1:11">
      <c r="B28" t="str">
        <f>DataNameProd3&amp;" Units From New Production"</f>
        <v>NCB Units From New Production</v>
      </c>
      <c r="E28" s="11">
        <f>E26-E27</f>
        <v>356800000</v>
      </c>
      <c r="F28" s="11">
        <f>F26-F27</f>
        <v>356800000</v>
      </c>
      <c r="G28" s="11">
        <f>G26-G27</f>
        <v>356800000</v>
      </c>
      <c r="H28" s="11">
        <f>H26-H27</f>
        <v>356800000</v>
      </c>
      <c r="I28" s="11">
        <f>I26-I27</f>
        <v>356800000</v>
      </c>
      <c r="J28" t="s">
        <v>1589</v>
      </c>
      <c r="K28" t="b">
        <f t="shared" si="1"/>
        <v>1</v>
      </c>
    </row>
    <row r="29" spans="1:11">
      <c r="B29" t="str">
        <f>DataNameProd3&amp;" Units Finished Goods"</f>
        <v>NCB Units Finished Goods</v>
      </c>
      <c r="E29" s="11">
        <f>(capProd3Reg1Units-E26)</f>
        <v>16903400</v>
      </c>
      <c r="F29" s="11">
        <f>(capProd3Reg1Units-F26)</f>
        <v>16903400</v>
      </c>
      <c r="G29" s="11">
        <f>(capProd3Reg1Units-G26)</f>
        <v>16903400</v>
      </c>
      <c r="H29" s="11">
        <f>(capProd3Reg1Units-H26)</f>
        <v>16903400</v>
      </c>
      <c r="I29" s="11">
        <f>(capProd3Reg1Units-I26)</f>
        <v>16903400</v>
      </c>
      <c r="J29" t="s">
        <v>1590</v>
      </c>
      <c r="K29" t="b">
        <f t="shared" si="1"/>
        <v>1</v>
      </c>
    </row>
    <row r="30" spans="1:11">
      <c r="B30" t="str">
        <f>DataNameProd3 &amp;" Quarter Finished Goods"</f>
        <v>NCB Quarter Finished Goods</v>
      </c>
      <c r="E30" s="11">
        <f>E29*paramProd3DisposedUnits</f>
        <v>4225850</v>
      </c>
      <c r="F30" s="11">
        <f>F29*paramProd3DisposedUnits</f>
        <v>4225850</v>
      </c>
      <c r="G30" s="11">
        <f>G29*paramProd3DisposedUnits</f>
        <v>4225850</v>
      </c>
      <c r="H30" s="11">
        <f>H29*paramProd3DisposedUnits</f>
        <v>4225850</v>
      </c>
      <c r="I30" s="11">
        <f>I29*paramProd3DisposedUnits</f>
        <v>4225850</v>
      </c>
      <c r="J30" t="s">
        <v>3317</v>
      </c>
      <c r="K30" t="b">
        <f t="shared" si="1"/>
        <v>1</v>
      </c>
    </row>
    <row r="31" spans="1:11">
      <c r="A31" s="354" t="str">
        <f>DataNameProd4 &amp; " Units Sold"</f>
        <v>F&amp;S Units Sold</v>
      </c>
      <c r="B31" s="25"/>
      <c r="C31" s="25"/>
      <c r="D31" s="25"/>
      <c r="E31" s="25"/>
      <c r="F31" s="25"/>
      <c r="G31" s="25"/>
      <c r="H31" s="25"/>
      <c r="I31" s="131"/>
      <c r="K31" t="b">
        <f t="shared" si="1"/>
        <v>1</v>
      </c>
    </row>
    <row r="32" spans="1:11">
      <c r="A32" s="2"/>
      <c r="B32" s="3" t="str">
        <f>DataNameProd4&amp;" Units Sold"</f>
        <v>F&amp;S Units Sold</v>
      </c>
      <c r="C32" s="2"/>
      <c r="D32" s="2"/>
      <c r="E32" s="23">
        <f>IF(xxSim0Tool1=0,mmProd4Reg1UnitsSold,(capProd4Reg1Units*capProd4WhatIfUnits))</f>
        <v>541700000</v>
      </c>
      <c r="F32" s="23">
        <f>IF(xxSim0Tool1=0,mmProd4Reg1UnitsSold,(capProd4Reg1Units*capProd4WhatIfUnits))</f>
        <v>541700000</v>
      </c>
      <c r="G32" s="23">
        <f>IF(xxSim0Tool1=0,mmProd4Reg1UnitsSold,(capProd4Reg1Units*capProd4WhatIfUnits))</f>
        <v>541700000</v>
      </c>
      <c r="H32" s="23">
        <f>IF(xxSim0Tool1=0,mmProd4Reg1UnitsSold,(capProd4Reg1Units*capProd4WhatIfUnits))</f>
        <v>541700000</v>
      </c>
      <c r="I32" s="23">
        <f>IF(xxSim0Tool1=0,mmProd4Reg1UnitsSold,(capProd4Reg1Units*capProd4WhatIfUnits))</f>
        <v>541700000</v>
      </c>
      <c r="J32" t="s">
        <v>1582</v>
      </c>
      <c r="K32" t="b">
        <f t="shared" si="1"/>
        <v>1</v>
      </c>
    </row>
    <row r="33" spans="1:11">
      <c r="B33" t="str">
        <f>DataNameProd4&amp;" Units From Finished Goods"</f>
        <v>F&amp;S Units From Finished Goods</v>
      </c>
      <c r="E33" s="11">
        <f>MIN(obalProd4Reg1UnitsFG+0, E32)</f>
        <v>1061732</v>
      </c>
      <c r="F33" s="11">
        <f>MIN(obalProd4Reg1UnitsFG+0, F32)</f>
        <v>1061732</v>
      </c>
      <c r="G33" s="11">
        <f>MIN(obalProd4Reg1UnitsFG+0, G32)</f>
        <v>1061732</v>
      </c>
      <c r="H33" s="11">
        <f>MIN(obalProd4Reg1UnitsFG+0, H32)</f>
        <v>1061732</v>
      </c>
      <c r="I33" s="11">
        <f>MIN(obalProd4Reg1UnitsFG+0, I32)</f>
        <v>1061732</v>
      </c>
      <c r="J33" t="s">
        <v>1583</v>
      </c>
      <c r="K33" t="b">
        <f t="shared" si="1"/>
        <v>1</v>
      </c>
    </row>
    <row r="34" spans="1:11">
      <c r="B34" t="str">
        <f>DataNameProd4&amp;" Units From New Production"</f>
        <v>F&amp;S Units From New Production</v>
      </c>
      <c r="E34" s="11">
        <f>E32-E33</f>
        <v>540638268</v>
      </c>
      <c r="F34" s="11">
        <f>F32-F33</f>
        <v>540638268</v>
      </c>
      <c r="G34" s="11">
        <f>G32-G33</f>
        <v>540638268</v>
      </c>
      <c r="H34" s="11">
        <f>H32-H33</f>
        <v>540638268</v>
      </c>
      <c r="I34" s="11">
        <f>I32-I33</f>
        <v>540638268</v>
      </c>
      <c r="J34" t="s">
        <v>1584</v>
      </c>
      <c r="K34" t="b">
        <f t="shared" si="1"/>
        <v>1</v>
      </c>
    </row>
    <row r="35" spans="1:11">
      <c r="B35" t="str">
        <f>DataNameProd4&amp;" Units Finished Goods"</f>
        <v>F&amp;S Units Finished Goods</v>
      </c>
      <c r="E35" s="11">
        <f>(capProd4Reg1Units-E32)</f>
        <v>10834000</v>
      </c>
      <c r="F35" s="11">
        <f>(capProd4Reg1Units-F32)</f>
        <v>10834000</v>
      </c>
      <c r="G35" s="11">
        <f>(capProd4Reg1Units-G32)</f>
        <v>10834000</v>
      </c>
      <c r="H35" s="11">
        <f>(capProd4Reg1Units-H32)</f>
        <v>10834000</v>
      </c>
      <c r="I35" s="11">
        <f>(capProd4Reg1Units-I32)</f>
        <v>10834000</v>
      </c>
      <c r="J35" t="s">
        <v>1586</v>
      </c>
      <c r="K35" t="b">
        <f t="shared" si="1"/>
        <v>1</v>
      </c>
    </row>
    <row r="36" spans="1:11">
      <c r="B36" t="str">
        <f>DataNameProd4 &amp;" Quarter Finished Goods"</f>
        <v>F&amp;S Quarter Finished Goods</v>
      </c>
      <c r="E36" s="11">
        <f>E35*paramProd4DisposedUnits</f>
        <v>2166800</v>
      </c>
      <c r="F36" s="11">
        <f>F35*paramProd4DisposedUnits</f>
        <v>2166800</v>
      </c>
      <c r="G36" s="11">
        <f>G35*paramProd4DisposedUnits</f>
        <v>2166800</v>
      </c>
      <c r="H36" s="11">
        <f>H35*paramProd4DisposedUnits</f>
        <v>2166800</v>
      </c>
      <c r="I36" s="11">
        <f>I35*paramProd4DisposedUnits</f>
        <v>2166800</v>
      </c>
      <c r="J36" t="s">
        <v>3318</v>
      </c>
      <c r="K36" t="b">
        <f t="shared" si="1"/>
        <v>1</v>
      </c>
    </row>
    <row r="37" spans="1:11">
      <c r="A37" s="269" t="s">
        <v>3792</v>
      </c>
      <c r="B37" s="119"/>
      <c r="C37" s="119"/>
      <c r="D37" s="119"/>
      <c r="E37" s="119"/>
      <c r="F37" s="119"/>
      <c r="G37" s="119"/>
      <c r="H37" s="119"/>
      <c r="I37" s="119"/>
      <c r="K37" t="b">
        <f t="shared" si="1"/>
        <v>1</v>
      </c>
    </row>
    <row r="38" spans="1:11">
      <c r="A38" s="354" t="str">
        <f>DataNameProd1 &amp; " Units Sold"</f>
        <v>CSD Units Sold</v>
      </c>
      <c r="B38" s="25"/>
      <c r="C38" s="25"/>
      <c r="D38" s="25"/>
      <c r="E38" s="25"/>
      <c r="F38" s="25"/>
      <c r="G38" s="25"/>
      <c r="H38" s="25"/>
      <c r="I38" s="131"/>
      <c r="K38" t="b">
        <f t="shared" si="1"/>
        <v>1</v>
      </c>
    </row>
    <row r="39" spans="1:11">
      <c r="A39" s="2"/>
      <c r="B39" s="3" t="str">
        <f>DataNameProd1&amp;" Units Sold"</f>
        <v>CSD Units Sold</v>
      </c>
      <c r="C39" s="2"/>
      <c r="D39" s="2"/>
      <c r="E39" s="23">
        <f>IF(xxSim0Tool1=0,mmProd1Reg2UnitsSold,capProd1Reg2Units*capProd1WhatIfUnits)</f>
        <v>356800000</v>
      </c>
      <c r="F39" s="23">
        <f>IF(xxSim0Tool1=0,mmProd1Reg2UnitsSold,capProd1Reg2Units*capProd1WhatIfUnits)</f>
        <v>356800000</v>
      </c>
      <c r="G39" s="23">
        <f>IF(xxSim0Tool1=0,mmProd1Reg2UnitsSold,capProd1Reg2Units*capProd1WhatIfUnits)</f>
        <v>356800000</v>
      </c>
      <c r="H39" s="23">
        <f>IF(xxSim0Tool1=0,mmProd1Reg2UnitsSold,capProd1Reg2Units*capProd1WhatIfUnits)</f>
        <v>356800000</v>
      </c>
      <c r="I39" s="23">
        <f>IF(xxSim0Tool1=0,mmProd1Reg2UnitsSold,capProd1Reg2Units*capProd1WhatIfUnits)</f>
        <v>356800000</v>
      </c>
      <c r="J39" t="s">
        <v>1591</v>
      </c>
      <c r="K39" t="b">
        <f t="shared" si="1"/>
        <v>1</v>
      </c>
    </row>
    <row r="40" spans="1:11">
      <c r="B40" t="str">
        <f>DataNameProd1&amp;" Units From Finished Goods"</f>
        <v>CSD Units From Finished Goods</v>
      </c>
      <c r="E40" s="11">
        <f>MIN(obalProd1Reg2UnitsFG+0, E39)</f>
        <v>0</v>
      </c>
      <c r="F40" s="11">
        <f>MIN(obalProd1Reg2UnitsFG+0, F39)</f>
        <v>0</v>
      </c>
      <c r="G40" s="11">
        <f>MIN(obalProd1Reg2UnitsFG+0, G39)</f>
        <v>0</v>
      </c>
      <c r="H40" s="11">
        <f>MIN(obalProd1Reg2UnitsFG+0, H39)</f>
        <v>0</v>
      </c>
      <c r="I40" s="11">
        <f>MIN(obalProd1Reg2UnitsFG+0, I39)</f>
        <v>0</v>
      </c>
      <c r="J40" t="s">
        <v>3391</v>
      </c>
      <c r="K40" t="b">
        <f t="shared" si="1"/>
        <v>1</v>
      </c>
    </row>
    <row r="41" spans="1:11">
      <c r="B41" t="str">
        <f>DataNameProd1&amp;" Units From New Production"</f>
        <v>CSD Units From New Production</v>
      </c>
      <c r="E41" s="11">
        <f>E39-E40</f>
        <v>356800000</v>
      </c>
      <c r="F41" s="11">
        <f>F39-F40</f>
        <v>356800000</v>
      </c>
      <c r="G41" s="11">
        <f>G39-G40</f>
        <v>356800000</v>
      </c>
      <c r="H41" s="11">
        <f>H39-H40</f>
        <v>356800000</v>
      </c>
      <c r="I41" s="11">
        <f>I39-I40</f>
        <v>356800000</v>
      </c>
      <c r="J41" t="s">
        <v>3174</v>
      </c>
      <c r="K41" t="b">
        <f t="shared" si="1"/>
        <v>1</v>
      </c>
    </row>
    <row r="42" spans="1:11">
      <c r="B42" t="str">
        <f>DataNameProd1&amp;" Units Finished Goods"</f>
        <v>CSD Units Finished Goods</v>
      </c>
      <c r="E42" s="11">
        <f>(capProd1Reg2Units-E39)</f>
        <v>5959987</v>
      </c>
      <c r="F42" s="11">
        <f>(capProd1Reg2Units-F39)</f>
        <v>5959987</v>
      </c>
      <c r="G42" s="11">
        <f>(capProd1Reg2Units-G39)</f>
        <v>5959987</v>
      </c>
      <c r="H42" s="11">
        <f>(capProd1Reg2Units-H39)</f>
        <v>5959987</v>
      </c>
      <c r="I42" s="11">
        <f>(capProd1Reg2Units-I39)</f>
        <v>5959987</v>
      </c>
      <c r="J42" t="s">
        <v>3175</v>
      </c>
      <c r="K42" t="b">
        <f t="shared" si="1"/>
        <v>1</v>
      </c>
    </row>
    <row r="43" spans="1:11">
      <c r="B43" t="str">
        <f>DataNameProd1&amp;" Quarter Finished Goods"</f>
        <v>CSD Quarter Finished Goods</v>
      </c>
      <c r="E43" s="11">
        <f>E42*paramProd1DisposedUnits</f>
        <v>2383994.8000000003</v>
      </c>
      <c r="F43" s="11">
        <f>F42*paramProd1DisposedUnits</f>
        <v>2383994.8000000003</v>
      </c>
      <c r="G43" s="11">
        <f>G42*paramProd1DisposedUnits</f>
        <v>2383994.8000000003</v>
      </c>
      <c r="H43" s="11">
        <f>H42*paramProd1DisposedUnits</f>
        <v>2383994.8000000003</v>
      </c>
      <c r="I43" s="11">
        <f>I42*paramProd1DisposedUnits</f>
        <v>2383994.8000000003</v>
      </c>
      <c r="J43" t="s">
        <v>3319</v>
      </c>
      <c r="K43" t="b">
        <f t="shared" si="1"/>
        <v>1</v>
      </c>
    </row>
    <row r="44" spans="1:11">
      <c r="A44" s="354" t="str">
        <f>DataNameProd3 &amp; " Units Sold"</f>
        <v>NCB Units Sold</v>
      </c>
      <c r="B44" s="25"/>
      <c r="C44" s="25"/>
      <c r="D44" s="25"/>
      <c r="E44" s="25"/>
      <c r="F44" s="25"/>
      <c r="G44" s="25"/>
      <c r="H44" s="25"/>
      <c r="I44" s="131"/>
      <c r="K44" t="b">
        <f t="shared" ref="K44:K54" si="2">MAX(E44:I44)=MIN(E44:I44)</f>
        <v>1</v>
      </c>
    </row>
    <row r="45" spans="1:11">
      <c r="A45" s="2"/>
      <c r="B45" s="3" t="str">
        <f>DataNameProd3&amp;" Units Sold"</f>
        <v>NCB Units Sold</v>
      </c>
      <c r="C45" s="2"/>
      <c r="D45" s="2"/>
      <c r="E45" s="23">
        <f>IF(xxSim0Tool1=0,mmProd3Reg2UnitsSold,(capProd3Reg2Units*capProd3WhatIfUnits))</f>
        <v>245000000</v>
      </c>
      <c r="F45" s="23">
        <f>IF(xxSim0Tool1=0,mmProd3Reg2UnitsSold,(capProd3Reg2Units*capProd3WhatIfUnits))</f>
        <v>245000000</v>
      </c>
      <c r="G45" s="23">
        <f>IF(xxSim0Tool1=0,mmProd3Reg2UnitsSold,(capProd3Reg2Units*capProd3WhatIfUnits))</f>
        <v>245000000</v>
      </c>
      <c r="H45" s="23">
        <f>IF(xxSim0Tool1=0,mmProd3Reg2UnitsSold,(capProd3Reg2Units*capProd3WhatIfUnits))</f>
        <v>245000000</v>
      </c>
      <c r="I45" s="23">
        <f>IF(xxSim0Tool1=0,mmProd3Reg2UnitsSold,(capProd3Reg2Units*capProd3WhatIfUnits))</f>
        <v>245000000</v>
      </c>
      <c r="J45" t="s">
        <v>3039</v>
      </c>
      <c r="K45" t="b">
        <f t="shared" si="2"/>
        <v>1</v>
      </c>
    </row>
    <row r="46" spans="1:11">
      <c r="B46" t="str">
        <f>DataNameProd3&amp;" Units From Finished Goods"</f>
        <v>NCB Units From Finished Goods</v>
      </c>
      <c r="E46" s="11">
        <f>MIN(obalProd3Reg2UnitsFG+0, E45)</f>
        <v>0</v>
      </c>
      <c r="F46" s="11">
        <f>MIN(obalProd3Reg2UnitsFG+0, F45)</f>
        <v>0</v>
      </c>
      <c r="G46" s="11">
        <f>MIN(obalProd3Reg2UnitsFG+0, G45)</f>
        <v>0</v>
      </c>
      <c r="H46" s="11">
        <f>MIN(obalProd3Reg2UnitsFG+0, H45)</f>
        <v>0</v>
      </c>
      <c r="I46" s="11">
        <f>MIN(obalProd3Reg2UnitsFG+0, I45)</f>
        <v>0</v>
      </c>
      <c r="J46" t="s">
        <v>3040</v>
      </c>
      <c r="K46" t="b">
        <f t="shared" si="2"/>
        <v>1</v>
      </c>
    </row>
    <row r="47" spans="1:11">
      <c r="B47" t="str">
        <f>DataNameProd3&amp;" Units From New Production"</f>
        <v>NCB Units From New Production</v>
      </c>
      <c r="E47" s="11">
        <f>E45-E46</f>
        <v>245000000</v>
      </c>
      <c r="F47" s="11">
        <f>F45-F46</f>
        <v>245000000</v>
      </c>
      <c r="G47" s="11">
        <f>G45-G46</f>
        <v>245000000</v>
      </c>
      <c r="H47" s="11">
        <f>H45-H46</f>
        <v>245000000</v>
      </c>
      <c r="I47" s="11">
        <f>I45-I46</f>
        <v>245000000</v>
      </c>
      <c r="J47" t="s">
        <v>3041</v>
      </c>
      <c r="K47" t="b">
        <f t="shared" si="2"/>
        <v>1</v>
      </c>
    </row>
    <row r="48" spans="1:11">
      <c r="B48" t="str">
        <f>DataNameProd3&amp;" Units Finished Goods"</f>
        <v>NCB Units Finished Goods</v>
      </c>
      <c r="E48" s="11">
        <f>(capProd3Reg2Units-E45)</f>
        <v>15876000</v>
      </c>
      <c r="F48" s="11">
        <f>(capProd3Reg2Units-F45)</f>
        <v>15876000</v>
      </c>
      <c r="G48" s="11">
        <f>(capProd3Reg2Units-G45)</f>
        <v>15876000</v>
      </c>
      <c r="H48" s="11">
        <f>(capProd3Reg2Units-H45)</f>
        <v>15876000</v>
      </c>
      <c r="I48" s="11">
        <f>(capProd3Reg2Units-I45)</f>
        <v>15876000</v>
      </c>
      <c r="J48" t="s">
        <v>3042</v>
      </c>
      <c r="K48" t="b">
        <f t="shared" si="2"/>
        <v>1</v>
      </c>
    </row>
    <row r="49" spans="1:11">
      <c r="B49" t="str">
        <f>DataNameProd3 &amp;" Quarter Finished Goods"</f>
        <v>NCB Quarter Finished Goods</v>
      </c>
      <c r="E49" s="11">
        <f>E48*paramProd3DisposedUnits</f>
        <v>3969000</v>
      </c>
      <c r="F49" s="11">
        <f>F48*paramProd3DisposedUnits</f>
        <v>3969000</v>
      </c>
      <c r="G49" s="11">
        <f>G48*paramProd3DisposedUnits</f>
        <v>3969000</v>
      </c>
      <c r="H49" s="11">
        <f>H48*paramProd3DisposedUnits</f>
        <v>3969000</v>
      </c>
      <c r="I49" s="11">
        <f>I48*paramProd3DisposedUnits</f>
        <v>3969000</v>
      </c>
      <c r="J49" t="s">
        <v>3321</v>
      </c>
      <c r="K49" t="b">
        <f t="shared" si="2"/>
        <v>1</v>
      </c>
    </row>
    <row r="50" spans="1:11">
      <c r="A50" s="354" t="str">
        <f>DataNameProd4 &amp; " Units Sold"</f>
        <v>F&amp;S Units Sold</v>
      </c>
      <c r="B50" s="25"/>
      <c r="C50" s="25"/>
      <c r="D50" s="25"/>
      <c r="E50" s="25"/>
      <c r="F50" s="25"/>
      <c r="G50" s="25"/>
      <c r="H50" s="25"/>
      <c r="I50" s="131"/>
      <c r="K50" t="b">
        <f t="shared" si="2"/>
        <v>1</v>
      </c>
    </row>
    <row r="51" spans="1:11">
      <c r="A51" s="2"/>
      <c r="B51" s="3" t="str">
        <f>DataNameProd4&amp;" Units Sold"</f>
        <v>F&amp;S Units Sold</v>
      </c>
      <c r="C51" s="2"/>
      <c r="D51" s="2"/>
      <c r="E51" s="23">
        <f>IF(xxSim0Tool1=0,mmProd4Reg2UnitsSold,(capProd4Reg2Units*capProd4WhatIfUnits))</f>
        <v>225000000</v>
      </c>
      <c r="F51" s="23">
        <f>IF(xxSim0Tool1=0,mmProd4Reg2UnitsSold,(capProd4Reg2Units*capProd4WhatIfUnits))</f>
        <v>225000000</v>
      </c>
      <c r="G51" s="23">
        <f>IF(xxSim0Tool1=0,mmProd4Reg2UnitsSold,(capProd4Reg2Units*capProd4WhatIfUnits))</f>
        <v>225000000</v>
      </c>
      <c r="H51" s="23">
        <f>IF(xxSim0Tool1=0,mmProd4Reg2UnitsSold,(capProd4Reg2Units*capProd4WhatIfUnits))</f>
        <v>225000000</v>
      </c>
      <c r="I51" s="23">
        <f>IF(xxSim0Tool1=0,mmProd4Reg2UnitsSold,(capProd4Reg2Units*capProd4WhatIfUnits))</f>
        <v>225000000</v>
      </c>
      <c r="J51" t="s">
        <v>3043</v>
      </c>
      <c r="K51" t="b">
        <f t="shared" si="2"/>
        <v>1</v>
      </c>
    </row>
    <row r="52" spans="1:11">
      <c r="B52" t="str">
        <f>DataNameProd4&amp;" Units From Finished Goods"</f>
        <v>F&amp;S Units From Finished Goods</v>
      </c>
      <c r="E52" s="11">
        <f>MIN(obalProd4Reg2UnitsFG+0, E51)</f>
        <v>198000</v>
      </c>
      <c r="F52" s="11">
        <f>MIN(obalProd4Reg2UnitsFG+0, F51)</f>
        <v>198000</v>
      </c>
      <c r="G52" s="11">
        <f>MIN(obalProd4Reg2UnitsFG+0, G51)</f>
        <v>198000</v>
      </c>
      <c r="H52" s="11">
        <f>MIN(obalProd4Reg2UnitsFG+0, H51)</f>
        <v>198000</v>
      </c>
      <c r="I52" s="11">
        <f>MIN(obalProd4Reg2UnitsFG+0, I51)</f>
        <v>198000</v>
      </c>
      <c r="J52" t="s">
        <v>3044</v>
      </c>
      <c r="K52" t="b">
        <f t="shared" si="2"/>
        <v>1</v>
      </c>
    </row>
    <row r="53" spans="1:11">
      <c r="B53" t="str">
        <f>DataNameProd4&amp;" Units From New Production"</f>
        <v>F&amp;S Units From New Production</v>
      </c>
      <c r="E53" s="11">
        <f>E51-E52</f>
        <v>224802000</v>
      </c>
      <c r="F53" s="11">
        <f>F51-F52</f>
        <v>224802000</v>
      </c>
      <c r="G53" s="11">
        <f>G51-G52</f>
        <v>224802000</v>
      </c>
      <c r="H53" s="11">
        <f>H51-H52</f>
        <v>224802000</v>
      </c>
      <c r="I53" s="11">
        <f>I51-I52</f>
        <v>224802000</v>
      </c>
      <c r="J53" t="s">
        <v>3045</v>
      </c>
      <c r="K53" t="b">
        <f t="shared" si="2"/>
        <v>1</v>
      </c>
    </row>
    <row r="54" spans="1:11">
      <c r="B54" t="str">
        <f>DataNameProd4&amp;" Units Finished Goods"</f>
        <v>F&amp;S Units Finished Goods</v>
      </c>
      <c r="E54" s="11">
        <f>(capProd4Reg2Units-E51)</f>
        <v>18000000</v>
      </c>
      <c r="F54" s="11">
        <f>(capProd4Reg2Units-F51)</f>
        <v>18000000</v>
      </c>
      <c r="G54" s="11">
        <f>(capProd4Reg2Units-G51)</f>
        <v>18000000</v>
      </c>
      <c r="H54" s="11">
        <f>(capProd4Reg2Units-H51)</f>
        <v>18000000</v>
      </c>
      <c r="I54" s="11">
        <f>(capProd4Reg2Units-I51)</f>
        <v>18000000</v>
      </c>
      <c r="J54" t="s">
        <v>3695</v>
      </c>
      <c r="K54" t="b">
        <f t="shared" si="2"/>
        <v>1</v>
      </c>
    </row>
    <row r="55" spans="1:11">
      <c r="B55" t="str">
        <f>DataNameProd4 &amp;" Quarter Finished Goods"</f>
        <v>F&amp;S Quarter Finished Goods</v>
      </c>
      <c r="E55" s="14">
        <f>E54*paramProd4DisposedUnits</f>
        <v>3600000</v>
      </c>
      <c r="F55" s="14">
        <f>F54*paramProd4DisposedUnits</f>
        <v>3600000</v>
      </c>
      <c r="G55" s="14">
        <f>G54*paramProd4DisposedUnits</f>
        <v>3600000</v>
      </c>
      <c r="H55" s="14">
        <f>H54*paramProd4DisposedUnits</f>
        <v>3600000</v>
      </c>
      <c r="I55" s="14">
        <f>I54*paramProd4DisposedUnits</f>
        <v>3600000</v>
      </c>
      <c r="J55" t="s">
        <v>2721</v>
      </c>
      <c r="K55" t="b">
        <f t="shared" ref="K55:K67" si="3">MAX(E55:I55)=MIN(E55:I55)</f>
        <v>1</v>
      </c>
    </row>
    <row r="56" spans="1:11" ht="15.75">
      <c r="A56" s="24" t="s">
        <v>342</v>
      </c>
      <c r="B56" s="25"/>
      <c r="C56" s="25"/>
      <c r="D56" s="25"/>
      <c r="E56" s="25"/>
      <c r="F56" s="25"/>
      <c r="G56" s="25"/>
      <c r="H56" s="25"/>
      <c r="I56" s="25"/>
      <c r="K56" t="b">
        <f t="shared" si="3"/>
        <v>1</v>
      </c>
    </row>
    <row r="57" spans="1:11">
      <c r="E57" s="11"/>
      <c r="F57" s="11"/>
      <c r="G57" s="11"/>
      <c r="H57" s="11"/>
      <c r="I57" s="11"/>
      <c r="K57" t="b">
        <f t="shared" si="3"/>
        <v>1</v>
      </c>
    </row>
    <row r="58" spans="1:11">
      <c r="A58" s="269" t="s">
        <v>4099</v>
      </c>
      <c r="B58" s="119"/>
      <c r="C58" s="119"/>
      <c r="D58" s="119"/>
      <c r="E58" s="342"/>
      <c r="F58" s="342"/>
      <c r="G58" s="342"/>
      <c r="H58" s="342"/>
      <c r="I58" s="342"/>
      <c r="K58" t="b">
        <f t="shared" si="3"/>
        <v>1</v>
      </c>
    </row>
    <row r="59" spans="1:11">
      <c r="A59" s="354" t="str">
        <f>DataNameProd2 &amp; " 1 Production"</f>
        <v>Breakthrough 1 Production</v>
      </c>
      <c r="B59" s="25"/>
      <c r="C59" s="25"/>
      <c r="D59" s="25"/>
      <c r="E59" s="25"/>
      <c r="F59" s="25"/>
      <c r="G59" s="25"/>
      <c r="H59" s="25"/>
      <c r="I59" s="25"/>
      <c r="K59" t="b">
        <f t="shared" si="3"/>
        <v>1</v>
      </c>
    </row>
    <row r="60" spans="1:11">
      <c r="B60" t="str">
        <f>DataNameProd2&amp;" Units Sold Forecast"</f>
        <v>Breakthrough Units Sold Forecast</v>
      </c>
      <c r="E60" s="11">
        <f>capReg1Prod2UnitsSold</f>
        <v>0</v>
      </c>
      <c r="F60" s="11">
        <f>capReg1Prod2UnitsSold</f>
        <v>0</v>
      </c>
      <c r="G60" s="11">
        <f>capReg1Prod2UnitsSold</f>
        <v>0</v>
      </c>
      <c r="H60" s="11">
        <f>capReg1Prod2UnitsSold</f>
        <v>0</v>
      </c>
      <c r="I60" s="11">
        <f>capReg1Prod2UnitsSold</f>
        <v>0</v>
      </c>
      <c r="K60" t="b">
        <f t="shared" si="3"/>
        <v>1</v>
      </c>
    </row>
    <row r="61" spans="1:11">
      <c r="B61" t="str">
        <f>DataNameProd2&amp;" Units Available from FG"</f>
        <v>Breakthrough Units Available from FG</v>
      </c>
      <c r="E61" s="11">
        <f>MIN(obalProd2Reg1UnitsFG+0,E60)</f>
        <v>0</v>
      </c>
      <c r="F61" s="11">
        <f>MIN(obalProd2Reg1UnitsFG+0,F60)</f>
        <v>0</v>
      </c>
      <c r="G61" s="11">
        <f>MIN(obalProd2Reg1UnitsFG+0,G60)</f>
        <v>0</v>
      </c>
      <c r="H61" s="11">
        <f>MIN(obalProd2Reg1UnitsFG+0,H60)</f>
        <v>0</v>
      </c>
      <c r="I61" s="11">
        <f>MIN(obalProd2Reg1UnitsFG+0,I60)</f>
        <v>0</v>
      </c>
      <c r="J61" t="s">
        <v>1677</v>
      </c>
      <c r="K61" t="b">
        <f t="shared" si="3"/>
        <v>1</v>
      </c>
    </row>
    <row r="62" spans="1:11">
      <c r="B62" t="str">
        <f>DataNameProd2&amp;" Units Production Required"</f>
        <v>Breakthrough Units Production Required</v>
      </c>
      <c r="E62" s="11">
        <f>MAX(E60-E61,0)</f>
        <v>0</v>
      </c>
      <c r="F62" s="11">
        <f>MAX(F60-F61,0)</f>
        <v>0</v>
      </c>
      <c r="G62" s="11">
        <f>MAX(G60-G61,0)</f>
        <v>0</v>
      </c>
      <c r="H62" s="11">
        <f>MAX(H60-H61,0)</f>
        <v>0</v>
      </c>
      <c r="I62" s="11">
        <f>MAX(I60-I61,0)</f>
        <v>0</v>
      </c>
      <c r="K62" t="b">
        <f t="shared" si="3"/>
        <v>1</v>
      </c>
    </row>
    <row r="63" spans="1:11">
      <c r="B63" t="str">
        <f>DataNameProd2&amp;" Units Used From WIP"</f>
        <v>Breakthrough Units Used From WIP</v>
      </c>
      <c r="E63" s="11">
        <f>MIN(obalProd2Reg1UnitsWIP+0,E62)</f>
        <v>0</v>
      </c>
      <c r="F63" s="11">
        <f>MIN(obalProd2Reg1UnitsWIP+0,F62)</f>
        <v>0</v>
      </c>
      <c r="G63" s="11">
        <f>MIN(obalProd2Reg1UnitsWIP+0,G62)</f>
        <v>0</v>
      </c>
      <c r="H63" s="11">
        <f>MIN(obalProd2Reg1UnitsWIP+0,H62)</f>
        <v>0</v>
      </c>
      <c r="I63" s="11">
        <f>MIN(obalProd2Reg1UnitsWIP+0,I62)</f>
        <v>0</v>
      </c>
      <c r="J63" t="s">
        <v>1678</v>
      </c>
      <c r="K63" t="b">
        <f t="shared" si="3"/>
        <v>1</v>
      </c>
    </row>
    <row r="64" spans="1:11">
      <c r="B64" t="str">
        <f>DataNameProd2&amp;" Units New Production"</f>
        <v>Breakthrough Units New Production</v>
      </c>
      <c r="E64" s="11">
        <f>MAX(E62-E63,0)</f>
        <v>0</v>
      </c>
      <c r="F64" s="11">
        <f>MAX(F62-F63,0)</f>
        <v>0</v>
      </c>
      <c r="G64" s="11">
        <f>MAX(G62-G63,0)</f>
        <v>0</v>
      </c>
      <c r="H64" s="11">
        <f>MAX(H62-H63,0)</f>
        <v>0</v>
      </c>
      <c r="I64" s="11">
        <f>MAX(I62-I63,0)</f>
        <v>0</v>
      </c>
      <c r="K64" t="b">
        <f t="shared" si="3"/>
        <v>1</v>
      </c>
    </row>
    <row r="65" spans="1:11">
      <c r="B65" t="str">
        <f>DataNameProd2&amp;" Units To WIP"</f>
        <v>Breakthrough Units To WIP</v>
      </c>
      <c r="E65" s="11">
        <f>FLOOR(ROUND(E64/(1-paramProd2CycTimeDays/365)*paramProd2CycTimeDays/365,0),2)</f>
        <v>0</v>
      </c>
      <c r="F65" s="11">
        <f>FLOOR(ROUND(F64/(1-paramProd2CycTimeDays/365)*paramProd2CycTimeDays/365,0),2)</f>
        <v>0</v>
      </c>
      <c r="G65" s="11">
        <f>FLOOR(ROUND(G64/(1-paramProd2CycTimeDays/365)*paramProd2CycTimeDays/365,0),2)</f>
        <v>0</v>
      </c>
      <c r="H65" s="11">
        <f>FLOOR(ROUND(H64/(1-paramProd2CycTimeDays/365)*paramProd2CycTimeDays/365,0),2)</f>
        <v>0</v>
      </c>
      <c r="I65" s="11">
        <f>FLOOR(ROUND(I64/(1-paramProd2CycTimeDays/365)*paramProd2CycTimeDays/365,0),2)</f>
        <v>0</v>
      </c>
      <c r="K65" t="b">
        <f t="shared" si="3"/>
        <v>1</v>
      </c>
    </row>
    <row r="66" spans="1:11">
      <c r="B66" t="str">
        <f>DataNameProd2 &amp; " Units in Ending Wip"</f>
        <v>Breakthrough Units in Ending Wip</v>
      </c>
      <c r="E66" s="11">
        <f>(obalProd2Reg1UnitsWIP-E63+E65)</f>
        <v>0</v>
      </c>
      <c r="F66" s="11">
        <f>(obalProd2Reg1UnitsWIP-F63+F65)</f>
        <v>0</v>
      </c>
      <c r="G66" s="11">
        <f>(obalProd2Reg1UnitsWIP-G63+G65)</f>
        <v>0</v>
      </c>
      <c r="H66" s="11">
        <f>(obalProd2Reg1UnitsWIP-H63+H65)</f>
        <v>0</v>
      </c>
      <c r="I66" s="11">
        <f>(obalProd2Reg1UnitsWIP-I63+I65)</f>
        <v>0</v>
      </c>
      <c r="J66" t="s">
        <v>1679</v>
      </c>
      <c r="K66" t="b">
        <f t="shared" si="3"/>
        <v>1</v>
      </c>
    </row>
    <row r="67" spans="1:11">
      <c r="B67" s="2" t="str">
        <f>DataNameProd2 &amp; " Total Units Produced "</f>
        <v xml:space="preserve">Breakthrough Total Units Produced </v>
      </c>
      <c r="C67" s="2"/>
      <c r="D67" s="2"/>
      <c r="E67" s="13">
        <f>E64+(E63+E65)/2</f>
        <v>0</v>
      </c>
      <c r="F67" s="13">
        <f>F64+(F63+F65)/2</f>
        <v>0</v>
      </c>
      <c r="G67" s="13">
        <f>G64+(G63+G65)/2</f>
        <v>0</v>
      </c>
      <c r="H67" s="13">
        <f>H64+(H63+H65)/2</f>
        <v>0</v>
      </c>
      <c r="I67" s="13">
        <f>I64+(I63+I65)/2</f>
        <v>0</v>
      </c>
      <c r="J67" t="s">
        <v>804</v>
      </c>
      <c r="K67" t="b">
        <f t="shared" si="3"/>
        <v>1</v>
      </c>
    </row>
    <row r="68" spans="1:11">
      <c r="A68" s="354" t="str">
        <f>DataNameProd2 &amp; " 2 Production"</f>
        <v>Breakthrough 2 Production</v>
      </c>
      <c r="B68" s="25"/>
      <c r="C68" s="25"/>
      <c r="D68" s="25"/>
      <c r="E68" s="25"/>
      <c r="F68" s="25"/>
      <c r="G68" s="25"/>
      <c r="H68" s="25"/>
      <c r="I68" s="25"/>
      <c r="K68" t="b">
        <f t="shared" ref="K68:K82" si="4">MAX(E68:I68)=MIN(E68:I68)</f>
        <v>1</v>
      </c>
    </row>
    <row r="69" spans="1:11">
      <c r="B69" t="str">
        <f>DataNameProd2&amp;" Units Sold Forecast"</f>
        <v>Breakthrough Units Sold Forecast</v>
      </c>
      <c r="E69" s="11">
        <f>capReg2Prod2UnitsSold</f>
        <v>0</v>
      </c>
      <c r="F69" s="11">
        <f>capReg2Prod2UnitsSold</f>
        <v>0</v>
      </c>
      <c r="G69" s="11">
        <f>capReg2Prod2UnitsSold</f>
        <v>0</v>
      </c>
      <c r="H69" s="11">
        <f>capReg2Prod2UnitsSold</f>
        <v>0</v>
      </c>
      <c r="I69" s="11">
        <f>capReg2Prod2UnitsSold</f>
        <v>0</v>
      </c>
      <c r="K69" t="b">
        <f t="shared" si="4"/>
        <v>1</v>
      </c>
    </row>
    <row r="70" spans="1:11">
      <c r="B70" t="str">
        <f>DataNameProd2&amp;" Units Available from FG"</f>
        <v>Breakthrough Units Available from FG</v>
      </c>
      <c r="E70" s="11">
        <f>MIN(obalProd2Reg2UnitsFG+0,E69)</f>
        <v>0</v>
      </c>
      <c r="F70" s="11">
        <f>MIN(obalProd2Reg2UnitsFG+0,F69)</f>
        <v>0</v>
      </c>
      <c r="G70" s="11">
        <f>MIN(obalProd2Reg2UnitsFG+0,G69)</f>
        <v>0</v>
      </c>
      <c r="H70" s="11">
        <f>MIN(obalProd2Reg2UnitsFG+0,H69)</f>
        <v>0</v>
      </c>
      <c r="I70" s="11">
        <f>MIN(obalProd2Reg2UnitsFG+0,I69)</f>
        <v>0</v>
      </c>
      <c r="J70" t="s">
        <v>1030</v>
      </c>
      <c r="K70" t="b">
        <f t="shared" si="4"/>
        <v>1</v>
      </c>
    </row>
    <row r="71" spans="1:11">
      <c r="B71" t="str">
        <f>DataNameProd2&amp;" Units Production Required"</f>
        <v>Breakthrough Units Production Required</v>
      </c>
      <c r="E71" s="11">
        <f>MAX(E69-E70,0)</f>
        <v>0</v>
      </c>
      <c r="F71" s="11">
        <f>MAX(F69-F70,0)</f>
        <v>0</v>
      </c>
      <c r="G71" s="11">
        <f>MAX(G69-G70,0)</f>
        <v>0</v>
      </c>
      <c r="H71" s="11">
        <f>MAX(H69-H70,0)</f>
        <v>0</v>
      </c>
      <c r="I71" s="11">
        <f>MAX(I69-I70,0)</f>
        <v>0</v>
      </c>
      <c r="K71" t="b">
        <f t="shared" si="4"/>
        <v>1</v>
      </c>
    </row>
    <row r="72" spans="1:11">
      <c r="B72" t="str">
        <f>DataNameProd2&amp;" Units Used From WIP"</f>
        <v>Breakthrough Units Used From WIP</v>
      </c>
      <c r="E72" s="11">
        <f>MIN(obalProd2Reg2UnitsWIP+0,E71)</f>
        <v>0</v>
      </c>
      <c r="F72" s="11">
        <f>MIN(obalProd2Reg2UnitsWIP+0,F71)</f>
        <v>0</v>
      </c>
      <c r="G72" s="11">
        <f>MIN(obalProd2Reg2UnitsWIP+0,G71)</f>
        <v>0</v>
      </c>
      <c r="H72" s="11">
        <f>MIN(obalProd2Reg2UnitsWIP+0,H71)</f>
        <v>0</v>
      </c>
      <c r="I72" s="11">
        <f>MIN(obalProd2Reg2UnitsWIP+0,I71)</f>
        <v>0</v>
      </c>
      <c r="J72" t="s">
        <v>1031</v>
      </c>
      <c r="K72" t="b">
        <f t="shared" si="4"/>
        <v>1</v>
      </c>
    </row>
    <row r="73" spans="1:11">
      <c r="B73" t="str">
        <f>DataNameProd2&amp;" Units New Production"</f>
        <v>Breakthrough Units New Production</v>
      </c>
      <c r="E73" s="11">
        <f>MAX(E71-E72,0)</f>
        <v>0</v>
      </c>
      <c r="F73" s="11">
        <f>MAX(F71-F72,0)</f>
        <v>0</v>
      </c>
      <c r="G73" s="11">
        <f>MAX(G71-G72,0)</f>
        <v>0</v>
      </c>
      <c r="H73" s="11">
        <f>MAX(H71-H72,0)</f>
        <v>0</v>
      </c>
      <c r="I73" s="11">
        <f>MAX(I71-I72,0)</f>
        <v>0</v>
      </c>
      <c r="K73" t="b">
        <f t="shared" si="4"/>
        <v>1</v>
      </c>
    </row>
    <row r="74" spans="1:11">
      <c r="B74" t="str">
        <f>DataNameProd2&amp;" Units To WIP"</f>
        <v>Breakthrough Units To WIP</v>
      </c>
      <c r="E74" s="11">
        <f>FLOOR(ROUND(E73/(1-paramProd2CycTimeDays/365)*paramProd2CycTimeDays/365,0),2)</f>
        <v>0</v>
      </c>
      <c r="F74" s="11">
        <f>FLOOR(ROUND(F73/(1-paramProd2CycTimeDays/365)*paramProd2CycTimeDays/365,0),2)</f>
        <v>0</v>
      </c>
      <c r="G74" s="11">
        <f>FLOOR(ROUND(G73/(1-paramProd2CycTimeDays/365)*paramProd2CycTimeDays/365,0),2)</f>
        <v>0</v>
      </c>
      <c r="H74" s="11">
        <f>FLOOR(ROUND(H73/(1-paramProd2CycTimeDays/365)*paramProd2CycTimeDays/365,0),2)</f>
        <v>0</v>
      </c>
      <c r="I74" s="11">
        <f>FLOOR(ROUND(I73/(1-paramProd2CycTimeDays/365)*paramProd2CycTimeDays/365,0),2)</f>
        <v>0</v>
      </c>
      <c r="K74" t="b">
        <f t="shared" si="4"/>
        <v>1</v>
      </c>
    </row>
    <row r="75" spans="1:11">
      <c r="B75" t="str">
        <f>DataNameProd2 &amp; " Units in Ending Wip"</f>
        <v>Breakthrough Units in Ending Wip</v>
      </c>
      <c r="E75" s="11">
        <f>(obalProd2Reg2UnitsWIP-E72+E74)</f>
        <v>0</v>
      </c>
      <c r="F75" s="11">
        <f>(obalProd2Reg2UnitsWIP-F72+F74)</f>
        <v>0</v>
      </c>
      <c r="G75" s="11">
        <f>(obalProd2Reg2UnitsWIP-G72+G74)</f>
        <v>0</v>
      </c>
      <c r="H75" s="11">
        <f>(obalProd2Reg2UnitsWIP-H72+H74)</f>
        <v>0</v>
      </c>
      <c r="I75" s="11">
        <f>(obalProd2Reg2UnitsWIP-I72+I74)</f>
        <v>0</v>
      </c>
      <c r="J75" t="s">
        <v>1032</v>
      </c>
      <c r="K75" t="b">
        <f t="shared" si="4"/>
        <v>1</v>
      </c>
    </row>
    <row r="76" spans="1:11">
      <c r="B76" s="2" t="str">
        <f>DataNameProd2 &amp; " Total Units Produced "</f>
        <v xml:space="preserve">Breakthrough Total Units Produced </v>
      </c>
      <c r="C76" s="2"/>
      <c r="D76" s="2"/>
      <c r="E76" s="13">
        <f>E73+(E72+E74)/2</f>
        <v>0</v>
      </c>
      <c r="F76" s="13">
        <f>F73+(F72+F74)/2</f>
        <v>0</v>
      </c>
      <c r="G76" s="13">
        <f>G73+(G72+G74)/2</f>
        <v>0</v>
      </c>
      <c r="H76" s="13">
        <f>H73+(H72+H74)/2</f>
        <v>0</v>
      </c>
      <c r="I76" s="13">
        <f>I73+(I72+I74)/2</f>
        <v>0</v>
      </c>
      <c r="J76" t="s">
        <v>2562</v>
      </c>
      <c r="K76" t="b">
        <f t="shared" si="4"/>
        <v>1</v>
      </c>
    </row>
    <row r="77" spans="1:11">
      <c r="E77" s="11"/>
      <c r="F77" s="11"/>
      <c r="G77" s="11"/>
      <c r="H77" s="11"/>
      <c r="I77" s="11"/>
      <c r="K77" t="b">
        <f t="shared" si="4"/>
        <v>1</v>
      </c>
    </row>
    <row r="78" spans="1:11">
      <c r="A78" s="269" t="s">
        <v>3791</v>
      </c>
      <c r="B78" s="119"/>
      <c r="C78" s="119"/>
      <c r="D78" s="119"/>
      <c r="E78" s="342"/>
      <c r="F78" s="342"/>
      <c r="G78" s="342"/>
      <c r="H78" s="342"/>
      <c r="I78" s="342"/>
      <c r="K78" t="b">
        <f t="shared" si="4"/>
        <v>1</v>
      </c>
    </row>
    <row r="79" spans="1:11">
      <c r="A79" s="354" t="str">
        <f>DataNameProd1 &amp; " Production"</f>
        <v>CSD Production</v>
      </c>
      <c r="B79" s="25"/>
      <c r="C79" s="25"/>
      <c r="D79" s="25"/>
      <c r="E79" s="25"/>
      <c r="F79" s="25"/>
      <c r="G79" s="25"/>
      <c r="H79" s="25"/>
      <c r="I79" s="131"/>
      <c r="K79" t="b">
        <f t="shared" si="4"/>
        <v>1</v>
      </c>
    </row>
    <row r="80" spans="1:11">
      <c r="B80" t="str">
        <f>DataNameProd1&amp;" Units Sold Forecast"</f>
        <v>CSD Units Sold Forecast</v>
      </c>
      <c r="E80" s="11">
        <f>capReg1Prod1UnitsSold</f>
        <v>741713021</v>
      </c>
      <c r="F80" s="11">
        <f>capReg1Prod1UnitsSold</f>
        <v>741713021</v>
      </c>
      <c r="G80" s="11">
        <f>capReg1Prod1UnitsSold</f>
        <v>741713021</v>
      </c>
      <c r="H80" s="11">
        <f>capReg1Prod1UnitsSold</f>
        <v>741713021</v>
      </c>
      <c r="I80" s="11">
        <f>capReg1Prod1UnitsSold</f>
        <v>741713021</v>
      </c>
      <c r="K80" t="b">
        <f t="shared" si="4"/>
        <v>1</v>
      </c>
    </row>
    <row r="81" spans="1:11">
      <c r="B81" t="str">
        <f>DataNameProd1&amp;" Units Available from FG"</f>
        <v>CSD Units Available from FG</v>
      </c>
      <c r="E81" s="11">
        <f>MIN(obalProd1Reg1UnitsFG+0,E80)</f>
        <v>0</v>
      </c>
      <c r="F81" s="11">
        <f>MIN(obalProd1Reg1UnitsFG+0,F80)</f>
        <v>0</v>
      </c>
      <c r="G81" s="11">
        <f>MIN(obalProd1Reg1UnitsFG+0,G80)</f>
        <v>0</v>
      </c>
      <c r="H81" s="11">
        <f>MIN(obalProd1Reg1UnitsFG+0,H80)</f>
        <v>0</v>
      </c>
      <c r="I81" s="11">
        <f>MIN(obalProd1Reg1UnitsFG+0,I80)</f>
        <v>0</v>
      </c>
      <c r="J81" t="s">
        <v>2556</v>
      </c>
      <c r="K81" t="b">
        <f t="shared" si="4"/>
        <v>1</v>
      </c>
    </row>
    <row r="82" spans="1:11">
      <c r="B82" t="str">
        <f>DataNameProd1&amp;" Units Production Required"</f>
        <v>CSD Units Production Required</v>
      </c>
      <c r="E82" s="11">
        <f>MAX(E80-E81,0)</f>
        <v>741713021</v>
      </c>
      <c r="F82" s="11">
        <f>MAX(F80-F81,0)</f>
        <v>741713021</v>
      </c>
      <c r="G82" s="11">
        <f>MAX(G80-G81,0)</f>
        <v>741713021</v>
      </c>
      <c r="H82" s="11">
        <f>MAX(H80-H81,0)</f>
        <v>741713021</v>
      </c>
      <c r="I82" s="11">
        <f>MAX(I80-I81,0)</f>
        <v>741713021</v>
      </c>
      <c r="K82" t="b">
        <f t="shared" si="4"/>
        <v>1</v>
      </c>
    </row>
    <row r="83" spans="1:11">
      <c r="B83" t="str">
        <f>DataNameProd1&amp;" Units Used From WIP"</f>
        <v>CSD Units Used From WIP</v>
      </c>
      <c r="E83" s="11">
        <f>MIN(obalProd1Reg1UnitsWIP+0,E82)</f>
        <v>173396</v>
      </c>
      <c r="F83" s="11">
        <f>MIN(obalProd1Reg1UnitsWIP+0,F82)</f>
        <v>173396</v>
      </c>
      <c r="G83" s="11">
        <f>MIN(obalProd1Reg1UnitsWIP+0,G82)</f>
        <v>173396</v>
      </c>
      <c r="H83" s="11">
        <f>MIN(obalProd1Reg1UnitsWIP+0,H82)</f>
        <v>173396</v>
      </c>
      <c r="I83" s="11">
        <f>MIN(obalProd1Reg1UnitsWIP+0,I82)</f>
        <v>173396</v>
      </c>
      <c r="J83" t="s">
        <v>2557</v>
      </c>
      <c r="K83" t="b">
        <f>MAX(E83:I83)=MIN(E83:I83)</f>
        <v>1</v>
      </c>
    </row>
    <row r="84" spans="1:11">
      <c r="B84" t="str">
        <f>DataNameProd1&amp;" Units New Production"</f>
        <v>CSD Units New Production</v>
      </c>
      <c r="E84" s="11">
        <f>MAX(E82-E83,0)</f>
        <v>741539625</v>
      </c>
      <c r="F84" s="11">
        <f>MAX(F82-F83,0)</f>
        <v>741539625</v>
      </c>
      <c r="G84" s="11">
        <f>MAX(G82-G83,0)</f>
        <v>741539625</v>
      </c>
      <c r="H84" s="11">
        <f>MAX(H82-H83,0)</f>
        <v>741539625</v>
      </c>
      <c r="I84" s="11">
        <f>MAX(I82-I83,0)</f>
        <v>741539625</v>
      </c>
      <c r="K84" t="b">
        <f>MAX(E84:I84)=MIN(E84:I84)</f>
        <v>1</v>
      </c>
    </row>
    <row r="85" spans="1:11">
      <c r="B85" t="str">
        <f>DataNameProd1&amp;" Units To WIP"</f>
        <v>CSD Units To WIP</v>
      </c>
      <c r="E85" s="11">
        <f>FLOOR(ROUND(E84/(1-paramProd1CycTimeDays/365)*paramProd1CycTimeDays/365,0),2)</f>
        <v>171628</v>
      </c>
      <c r="F85" s="11">
        <f>FLOOR(ROUND(F84/(1-paramProd1CycTimeDays/365)*paramProd1CycTimeDays/365,0),2)</f>
        <v>171628</v>
      </c>
      <c r="G85" s="11">
        <f>FLOOR(ROUND(G84/(1-paramProd1CycTimeDays/365)*paramProd1CycTimeDays/365,0),2)</f>
        <v>171628</v>
      </c>
      <c r="H85" s="11">
        <f>FLOOR(ROUND(H84/(1-paramProd1CycTimeDays/365)*paramProd1CycTimeDays/365,0),2)</f>
        <v>171628</v>
      </c>
      <c r="I85" s="11">
        <f>FLOOR(ROUND(I84/(1-paramProd1CycTimeDays/365)*paramProd1CycTimeDays/365,0),2)</f>
        <v>171628</v>
      </c>
      <c r="J85" t="s">
        <v>2479</v>
      </c>
      <c r="K85" t="b">
        <f>MAX(E85:I85)=MIN(E85:I85)</f>
        <v>1</v>
      </c>
    </row>
    <row r="86" spans="1:11">
      <c r="B86" t="str">
        <f>DataNameProd1 &amp; " Units in Ending Wip"</f>
        <v>CSD Units in Ending Wip</v>
      </c>
      <c r="E86" s="11">
        <f>(obalProd1Reg1UnitsWIP-E83+E85)</f>
        <v>171628</v>
      </c>
      <c r="F86" s="11">
        <f>(obalProd1Reg1UnitsWIP-F83+F85)</f>
        <v>171628</v>
      </c>
      <c r="G86" s="11">
        <f>(obalProd1Reg1UnitsWIP-G83+G85)</f>
        <v>171628</v>
      </c>
      <c r="H86" s="11">
        <f>(obalProd1Reg1UnitsWIP-H83+H85)</f>
        <v>171628</v>
      </c>
      <c r="I86" s="11">
        <f>(obalProd1Reg1UnitsWIP-I83+I85)</f>
        <v>171628</v>
      </c>
      <c r="J86" t="s">
        <v>1675</v>
      </c>
      <c r="K86" t="b">
        <f>MAX(E86:I86)=MIN(E86:I86)</f>
        <v>1</v>
      </c>
    </row>
    <row r="87" spans="1:11">
      <c r="B87" s="2" t="str">
        <f>DataNameProd1 &amp; " Total Units Produced "</f>
        <v xml:space="preserve">CSD Total Units Produced </v>
      </c>
      <c r="C87" s="2"/>
      <c r="D87" s="2"/>
      <c r="E87" s="13">
        <f>E84+(E83+E85)/2</f>
        <v>741712137</v>
      </c>
      <c r="F87" s="13">
        <f>F84+(F83+F85)/2</f>
        <v>741712137</v>
      </c>
      <c r="G87" s="13">
        <f>G84+(G83+G85)/2</f>
        <v>741712137</v>
      </c>
      <c r="H87" s="13">
        <f>H84+(H83+H85)/2</f>
        <v>741712137</v>
      </c>
      <c r="I87" s="13">
        <f>I84+(I83+I85)/2</f>
        <v>741712137</v>
      </c>
      <c r="J87" t="s">
        <v>1676</v>
      </c>
      <c r="K87" t="b">
        <f>MAX(E87:I87)=MIN(E87:I87)</f>
        <v>1</v>
      </c>
    </row>
    <row r="88" spans="1:11">
      <c r="A88" s="2"/>
      <c r="B88" s="2"/>
      <c r="C88" s="2"/>
      <c r="D88" s="2"/>
      <c r="E88" s="13"/>
      <c r="F88" s="13"/>
      <c r="G88" s="13"/>
      <c r="H88" s="13"/>
      <c r="I88" s="13"/>
      <c r="K88" t="b">
        <f t="shared" ref="K88:K118" si="5">MAX(E88:I88)=MIN(E88:I88)</f>
        <v>1</v>
      </c>
    </row>
    <row r="89" spans="1:11">
      <c r="A89" s="354" t="str">
        <f>DataNameProd3 &amp; " Production"</f>
        <v>NCB Production</v>
      </c>
      <c r="B89" s="25"/>
      <c r="C89" s="25"/>
      <c r="D89" s="25"/>
      <c r="E89" s="25"/>
      <c r="F89" s="25"/>
      <c r="G89" s="25"/>
      <c r="H89" s="25"/>
      <c r="I89" s="25"/>
      <c r="K89" t="b">
        <f t="shared" si="5"/>
        <v>1</v>
      </c>
    </row>
    <row r="90" spans="1:11">
      <c r="B90" t="str">
        <f>DataNameProd3&amp;" Units Sold Forecast"</f>
        <v>NCB Units Sold Forecast</v>
      </c>
      <c r="E90" s="11">
        <f>capReg1Prod3UnitsSold</f>
        <v>356800000</v>
      </c>
      <c r="F90" s="11">
        <f>capReg1Prod3UnitsSold</f>
        <v>356800000</v>
      </c>
      <c r="G90" s="11">
        <f>capReg1Prod3UnitsSold</f>
        <v>356800000</v>
      </c>
      <c r="H90" s="11">
        <f>capReg1Prod3UnitsSold</f>
        <v>356800000</v>
      </c>
      <c r="I90" s="11">
        <f>capReg1Prod3UnitsSold</f>
        <v>356800000</v>
      </c>
      <c r="K90" t="b">
        <f t="shared" si="5"/>
        <v>1</v>
      </c>
    </row>
    <row r="91" spans="1:11">
      <c r="B91" t="str">
        <f>DataNameProd3&amp;" Units Available from FG"</f>
        <v>NCB Units Available from FG</v>
      </c>
      <c r="E91" s="11">
        <f>MIN(obalProd3Reg1UnitsFG+0,E90)</f>
        <v>0</v>
      </c>
      <c r="F91" s="11">
        <f>MIN(obalProd3Reg1UnitsFG+0,F90)</f>
        <v>0</v>
      </c>
      <c r="G91" s="11">
        <f>MIN(obalProd3Reg1UnitsFG+0,G90)</f>
        <v>0</v>
      </c>
      <c r="H91" s="11">
        <f>MIN(obalProd3Reg1UnitsFG+0,H90)</f>
        <v>0</v>
      </c>
      <c r="I91" s="11">
        <f>MIN(obalProd3Reg1UnitsFG+0,I90)</f>
        <v>0</v>
      </c>
      <c r="J91" t="s">
        <v>805</v>
      </c>
      <c r="K91" t="b">
        <f t="shared" si="5"/>
        <v>1</v>
      </c>
    </row>
    <row r="92" spans="1:11">
      <c r="B92" t="str">
        <f>DataNameProd3&amp;" Units Production Required"</f>
        <v>NCB Units Production Required</v>
      </c>
      <c r="E92" s="11">
        <f>MAX(E90-E91,0)</f>
        <v>356800000</v>
      </c>
      <c r="F92" s="11">
        <f>MAX(F90-F91,0)</f>
        <v>356800000</v>
      </c>
      <c r="G92" s="11">
        <f>MAX(G90-G91,0)</f>
        <v>356800000</v>
      </c>
      <c r="H92" s="11">
        <f>MAX(H90-H91,0)</f>
        <v>356800000</v>
      </c>
      <c r="I92" s="11">
        <f>MAX(I90-I91,0)</f>
        <v>356800000</v>
      </c>
      <c r="K92" t="b">
        <f t="shared" si="5"/>
        <v>1</v>
      </c>
    </row>
    <row r="93" spans="1:11">
      <c r="B93" t="str">
        <f>DataNameProd3&amp;" Units Used From WIP"</f>
        <v>NCB Units Used From WIP</v>
      </c>
      <c r="E93" s="11">
        <f>MIN(obalProd3Reg1UnitsWIP+0,E92)</f>
        <v>211212</v>
      </c>
      <c r="F93" s="11">
        <f>MIN(obalProd3Reg1UnitsWIP+0,F92)</f>
        <v>211212</v>
      </c>
      <c r="G93" s="11">
        <f>MIN(obalProd3Reg1UnitsWIP+0,G92)</f>
        <v>211212</v>
      </c>
      <c r="H93" s="11">
        <f>MIN(obalProd3Reg1UnitsWIP+0,H92)</f>
        <v>211212</v>
      </c>
      <c r="I93" s="11">
        <f>MIN(obalProd3Reg1UnitsWIP+0,I92)</f>
        <v>211212</v>
      </c>
      <c r="J93" t="s">
        <v>806</v>
      </c>
      <c r="K93" t="b">
        <f t="shared" si="5"/>
        <v>1</v>
      </c>
    </row>
    <row r="94" spans="1:11">
      <c r="B94" t="str">
        <f>DataNameProd3&amp;" Units New Production"</f>
        <v>NCB Units New Production</v>
      </c>
      <c r="E94" s="11">
        <f>MAX(E92-E93,0)</f>
        <v>356588788</v>
      </c>
      <c r="F94" s="11">
        <f>MAX(F92-F93,0)</f>
        <v>356588788</v>
      </c>
      <c r="G94" s="11">
        <f>MAX(G92-G93,0)</f>
        <v>356588788</v>
      </c>
      <c r="H94" s="11">
        <f>MAX(H92-H93,0)</f>
        <v>356588788</v>
      </c>
      <c r="I94" s="11">
        <f>MAX(I92-I93,0)</f>
        <v>356588788</v>
      </c>
      <c r="K94" t="b">
        <f t="shared" si="5"/>
        <v>1</v>
      </c>
    </row>
    <row r="95" spans="1:11">
      <c r="B95" t="str">
        <f>DataNameProd3&amp;" Units To WIP"</f>
        <v>NCB Units To WIP</v>
      </c>
      <c r="E95" s="11">
        <f>FLOOR(ROUND(E94/(1-paramProd3CycTimeDays/365)*paramProd3CycTimeDays/365,0),2)</f>
        <v>211622</v>
      </c>
      <c r="F95" s="11">
        <f>FLOOR(ROUND(F94/(1-paramProd3CycTimeDays/365)*paramProd3CycTimeDays/365,0),2)</f>
        <v>211622</v>
      </c>
      <c r="G95" s="11">
        <f>FLOOR(ROUND(G94/(1-paramProd3CycTimeDays/365)*paramProd3CycTimeDays/365,0),2)</f>
        <v>211622</v>
      </c>
      <c r="H95" s="11">
        <f>FLOOR(ROUND(H94/(1-paramProd3CycTimeDays/365)*paramProd3CycTimeDays/365,0),2)</f>
        <v>211622</v>
      </c>
      <c r="I95" s="11">
        <f>FLOOR(ROUND(I94/(1-paramProd3CycTimeDays/365)*paramProd3CycTimeDays/365,0),2)</f>
        <v>211622</v>
      </c>
      <c r="J95" t="s">
        <v>2481</v>
      </c>
      <c r="K95" t="b">
        <f t="shared" si="5"/>
        <v>1</v>
      </c>
    </row>
    <row r="96" spans="1:11">
      <c r="B96" t="str">
        <f>DataNameProd3 &amp; " Units in Ending Wip"</f>
        <v>NCB Units in Ending Wip</v>
      </c>
      <c r="E96" s="11">
        <f>(obalProd3Reg1UnitsWIP-E93+E95)</f>
        <v>211622</v>
      </c>
      <c r="F96" s="11">
        <f>(obalProd3Reg1UnitsWIP-F93+F95)</f>
        <v>211622</v>
      </c>
      <c r="G96" s="11">
        <f>(obalProd3Reg1UnitsWIP-G93+G95)</f>
        <v>211622</v>
      </c>
      <c r="H96" s="11">
        <f>(obalProd3Reg1UnitsWIP-H93+H95)</f>
        <v>211622</v>
      </c>
      <c r="I96" s="11">
        <f>(obalProd3Reg1UnitsWIP-I93+I95)</f>
        <v>211622</v>
      </c>
      <c r="J96" t="s">
        <v>807</v>
      </c>
      <c r="K96" t="b">
        <f t="shared" si="5"/>
        <v>1</v>
      </c>
    </row>
    <row r="97" spans="1:11">
      <c r="B97" s="2" t="str">
        <f>DataNameProd3 &amp; " Total Units Produced "</f>
        <v xml:space="preserve">NCB Total Units Produced </v>
      </c>
      <c r="C97" s="2"/>
      <c r="D97" s="2"/>
      <c r="E97" s="13">
        <f>E94+(E93+E95)/2</f>
        <v>356800205</v>
      </c>
      <c r="F97" s="13">
        <f>F94+(F93+F95)/2</f>
        <v>356800205</v>
      </c>
      <c r="G97" s="13">
        <f>G94+(G93+G95)/2</f>
        <v>356800205</v>
      </c>
      <c r="H97" s="13">
        <f>H94+(H93+H95)/2</f>
        <v>356800205</v>
      </c>
      <c r="I97" s="13">
        <f>I94+(I93+I95)/2</f>
        <v>356800205</v>
      </c>
      <c r="J97" t="s">
        <v>808</v>
      </c>
      <c r="K97" t="b">
        <f t="shared" si="5"/>
        <v>1</v>
      </c>
    </row>
    <row r="98" spans="1:11">
      <c r="A98" s="2"/>
      <c r="B98" s="2"/>
      <c r="C98" s="2"/>
      <c r="D98" s="2"/>
      <c r="E98" s="13"/>
      <c r="F98" s="13"/>
      <c r="G98" s="13"/>
      <c r="H98" s="13"/>
      <c r="I98" s="13"/>
      <c r="J98" s="13"/>
      <c r="K98" t="b">
        <f t="shared" si="5"/>
        <v>1</v>
      </c>
    </row>
    <row r="99" spans="1:11">
      <c r="A99" s="354" t="str">
        <f>DataNameProd4 &amp; " Production"</f>
        <v>F&amp;S Production</v>
      </c>
      <c r="B99" s="25"/>
      <c r="C99" s="25"/>
      <c r="D99" s="25"/>
      <c r="E99" s="25"/>
      <c r="F99" s="25"/>
      <c r="G99" s="25"/>
      <c r="H99" s="25"/>
      <c r="I99" s="25"/>
      <c r="K99" t="b">
        <f t="shared" si="5"/>
        <v>1</v>
      </c>
    </row>
    <row r="100" spans="1:11">
      <c r="B100" t="str">
        <f>DataNameProd4&amp;" Units Sold Forecast"</f>
        <v>F&amp;S Units Sold Forecast</v>
      </c>
      <c r="E100" s="11">
        <f>capReg1Prod4UnitsSold</f>
        <v>541700000</v>
      </c>
      <c r="F100" s="11">
        <f>capReg1Prod4UnitsSold</f>
        <v>541700000</v>
      </c>
      <c r="G100" s="11">
        <f>capReg1Prod4UnitsSold</f>
        <v>541700000</v>
      </c>
      <c r="H100" s="11">
        <f>capReg1Prod4UnitsSold</f>
        <v>541700000</v>
      </c>
      <c r="I100" s="11">
        <f>capReg1Prod4UnitsSold</f>
        <v>541700000</v>
      </c>
      <c r="K100" t="b">
        <f t="shared" si="5"/>
        <v>1</v>
      </c>
    </row>
    <row r="101" spans="1:11">
      <c r="B101" t="str">
        <f>DataNameProd4&amp;" Units Available from FG"</f>
        <v>F&amp;S Units Available from FG</v>
      </c>
      <c r="E101" s="11">
        <f>MIN(obalProd4Reg1UnitsFG+0,E100)</f>
        <v>1061732</v>
      </c>
      <c r="F101" s="11">
        <f>MIN(obalProd4Reg1UnitsFG+0,F100)</f>
        <v>1061732</v>
      </c>
      <c r="G101" s="11">
        <f>MIN(obalProd4Reg1UnitsFG+0,G100)</f>
        <v>1061732</v>
      </c>
      <c r="H101" s="11">
        <f>MIN(obalProd4Reg1UnitsFG+0,H100)</f>
        <v>1061732</v>
      </c>
      <c r="I101" s="11">
        <f>MIN(obalProd4Reg1UnitsFG+0,I100)</f>
        <v>1061732</v>
      </c>
      <c r="J101" t="s">
        <v>394</v>
      </c>
      <c r="K101" t="b">
        <f t="shared" si="5"/>
        <v>1</v>
      </c>
    </row>
    <row r="102" spans="1:11">
      <c r="B102" t="str">
        <f>DataNameProd4&amp;" Units Production Required"</f>
        <v>F&amp;S Units Production Required</v>
      </c>
      <c r="E102" s="11">
        <f>MAX(E100-E101,0)</f>
        <v>540638268</v>
      </c>
      <c r="F102" s="11">
        <f>MAX(F100-F101,0)</f>
        <v>540638268</v>
      </c>
      <c r="G102" s="11">
        <f>MAX(G100-G101,0)</f>
        <v>540638268</v>
      </c>
      <c r="H102" s="11">
        <f>MAX(H100-H101,0)</f>
        <v>540638268</v>
      </c>
      <c r="I102" s="11">
        <f>MAX(I100-I101,0)</f>
        <v>540638268</v>
      </c>
      <c r="K102" t="b">
        <f t="shared" si="5"/>
        <v>1</v>
      </c>
    </row>
    <row r="103" spans="1:11">
      <c r="B103" t="str">
        <f>DataNameProd4&amp;" Units Used From WIP"</f>
        <v>F&amp;S Units Used From WIP</v>
      </c>
      <c r="E103" s="11">
        <f>MIN(obalProd4Reg1UnitsWIP+0,E102)</f>
        <v>643316</v>
      </c>
      <c r="F103" s="11">
        <f>MIN(obalProd4Reg1UnitsWIP+0,F102)</f>
        <v>643316</v>
      </c>
      <c r="G103" s="11">
        <f>MIN(obalProd4Reg1UnitsWIP+0,G102)</f>
        <v>643316</v>
      </c>
      <c r="H103" s="11">
        <f>MIN(obalProd4Reg1UnitsWIP+0,H102)</f>
        <v>643316</v>
      </c>
      <c r="I103" s="11">
        <f>MIN(obalProd4Reg1UnitsWIP+0,I102)</f>
        <v>643316</v>
      </c>
      <c r="J103" t="s">
        <v>395</v>
      </c>
      <c r="K103" t="b">
        <f t="shared" si="5"/>
        <v>1</v>
      </c>
    </row>
    <row r="104" spans="1:11">
      <c r="B104" t="str">
        <f>DataNameProd4&amp;" Units New Production"</f>
        <v>F&amp;S Units New Production</v>
      </c>
      <c r="E104" s="11">
        <f>MAX(E102-E103,0)</f>
        <v>539994952</v>
      </c>
      <c r="F104" s="11">
        <f>MAX(F102-F103,0)</f>
        <v>539994952</v>
      </c>
      <c r="G104" s="11">
        <f>MAX(G102-G103,0)</f>
        <v>539994952</v>
      </c>
      <c r="H104" s="11">
        <f>MAX(H102-H103,0)</f>
        <v>539994952</v>
      </c>
      <c r="I104" s="11">
        <f>MAX(I102-I103,0)</f>
        <v>539994952</v>
      </c>
      <c r="K104" t="b">
        <f t="shared" si="5"/>
        <v>1</v>
      </c>
    </row>
    <row r="105" spans="1:11">
      <c r="B105" t="str">
        <f>DataNameProd4&amp;" Units To WIP"</f>
        <v>F&amp;S Units To WIP</v>
      </c>
      <c r="E105" s="11">
        <f>FLOOR(ROUND(E104/(1-paramProd4CycTimeDays/365)*paramProd4CycTimeDays/365,0),2)</f>
        <v>641312</v>
      </c>
      <c r="F105" s="11">
        <f>FLOOR(ROUND(F104/(1-paramProd4CycTimeDays/365)*paramProd4CycTimeDays/365,0),2)</f>
        <v>641312</v>
      </c>
      <c r="G105" s="11">
        <f>FLOOR(ROUND(G104/(1-paramProd4CycTimeDays/365)*paramProd4CycTimeDays/365,0),2)</f>
        <v>641312</v>
      </c>
      <c r="H105" s="11">
        <f>FLOOR(ROUND(H104/(1-paramProd4CycTimeDays/365)*paramProd4CycTimeDays/365,0),2)</f>
        <v>641312</v>
      </c>
      <c r="I105" s="11">
        <f>FLOOR(ROUND(I104/(1-paramProd4CycTimeDays/365)*paramProd4CycTimeDays/365,0),2)</f>
        <v>641312</v>
      </c>
      <c r="J105" t="s">
        <v>569</v>
      </c>
      <c r="K105" t="b">
        <f t="shared" si="5"/>
        <v>1</v>
      </c>
    </row>
    <row r="106" spans="1:11">
      <c r="B106" t="str">
        <f>DataNameProd4 &amp; " Units in Ending Wip"</f>
        <v>F&amp;S Units in Ending Wip</v>
      </c>
      <c r="E106" s="11">
        <f>(obalProd4Reg1UnitsWIP-E103+E105)</f>
        <v>641312</v>
      </c>
      <c r="F106" s="11">
        <f>(obalProd4Reg1UnitsWIP-F103+F105)</f>
        <v>641312</v>
      </c>
      <c r="G106" s="11">
        <f>(obalProd4Reg1UnitsWIP-G103+G105)</f>
        <v>641312</v>
      </c>
      <c r="H106" s="11">
        <f>(obalProd4Reg1UnitsWIP-H103+H105)</f>
        <v>641312</v>
      </c>
      <c r="I106" s="11">
        <f>(obalProd4Reg1UnitsWIP-I103+I105)</f>
        <v>641312</v>
      </c>
      <c r="J106" t="s">
        <v>73</v>
      </c>
      <c r="K106" t="b">
        <f t="shared" si="5"/>
        <v>1</v>
      </c>
    </row>
    <row r="107" spans="1:11">
      <c r="B107" s="2" t="str">
        <f>DataNameProd4 &amp; " Total Units Produced "</f>
        <v xml:space="preserve">F&amp;S Total Units Produced </v>
      </c>
      <c r="C107" s="2"/>
      <c r="D107" s="2"/>
      <c r="E107" s="13">
        <f>E104+(E103+E105)/2</f>
        <v>540637266</v>
      </c>
      <c r="F107" s="13">
        <f>F104+(F103+F105)/2</f>
        <v>540637266</v>
      </c>
      <c r="G107" s="13">
        <f>G104+(G103+G105)/2</f>
        <v>540637266</v>
      </c>
      <c r="H107" s="13">
        <f>H104+(H103+H105)/2</f>
        <v>540637266</v>
      </c>
      <c r="I107" s="13">
        <f>I104+(I103+I105)/2</f>
        <v>540637266</v>
      </c>
      <c r="J107" t="s">
        <v>74</v>
      </c>
      <c r="K107" t="b">
        <f t="shared" si="5"/>
        <v>1</v>
      </c>
    </row>
    <row r="108" spans="1:11">
      <c r="K108" t="b">
        <f t="shared" si="5"/>
        <v>1</v>
      </c>
    </row>
    <row r="109" spans="1:11">
      <c r="A109" s="269" t="s">
        <v>3792</v>
      </c>
      <c r="B109" s="119"/>
      <c r="C109" s="119"/>
      <c r="D109" s="119"/>
      <c r="E109" s="342"/>
      <c r="F109" s="342"/>
      <c r="G109" s="342"/>
      <c r="H109" s="342"/>
      <c r="I109" s="342"/>
      <c r="K109" t="b">
        <f t="shared" si="5"/>
        <v>1</v>
      </c>
    </row>
    <row r="110" spans="1:11">
      <c r="A110" s="354" t="str">
        <f>DataNameProd1 &amp; " Production"</f>
        <v>CSD Production</v>
      </c>
      <c r="B110" s="25"/>
      <c r="C110" s="25"/>
      <c r="D110" s="25"/>
      <c r="E110" s="25"/>
      <c r="F110" s="25"/>
      <c r="G110" s="25"/>
      <c r="H110" s="25"/>
      <c r="I110" s="131"/>
      <c r="K110" t="b">
        <f t="shared" si="5"/>
        <v>1</v>
      </c>
    </row>
    <row r="111" spans="1:11">
      <c r="B111" t="str">
        <f>DataNameProd1&amp;" Units Sold Forecast"</f>
        <v>CSD Units Sold Forecast</v>
      </c>
      <c r="E111" s="11">
        <f>capReg2Prod1UnitsSold</f>
        <v>356800000</v>
      </c>
      <c r="F111" s="11">
        <f>capReg2Prod1UnitsSold</f>
        <v>356800000</v>
      </c>
      <c r="G111" s="11">
        <f>capReg2Prod1UnitsSold</f>
        <v>356800000</v>
      </c>
      <c r="H111" s="11">
        <f>capReg2Prod1UnitsSold</f>
        <v>356800000</v>
      </c>
      <c r="I111" s="11">
        <f>capReg2Prod1UnitsSold</f>
        <v>356800000</v>
      </c>
      <c r="K111" t="b">
        <f t="shared" si="5"/>
        <v>1</v>
      </c>
    </row>
    <row r="112" spans="1:11">
      <c r="B112" t="str">
        <f>DataNameProd1&amp;" Units Available from FG"</f>
        <v>CSD Units Available from FG</v>
      </c>
      <c r="E112" s="11">
        <f>MIN(obalProd1Reg2UnitsFG+0,E111)</f>
        <v>0</v>
      </c>
      <c r="F112" s="11">
        <f>MIN(obalProd1Reg2UnitsFG+0,F111)</f>
        <v>0</v>
      </c>
      <c r="G112" s="11">
        <f>MIN(obalProd1Reg2UnitsFG+0,G111)</f>
        <v>0</v>
      </c>
      <c r="H112" s="11">
        <f>MIN(obalProd1Reg2UnitsFG+0,H111)</f>
        <v>0</v>
      </c>
      <c r="I112" s="11">
        <f>MIN(obalProd1Reg2UnitsFG+0,I111)</f>
        <v>0</v>
      </c>
      <c r="J112" t="s">
        <v>2106</v>
      </c>
      <c r="K112" t="b">
        <f t="shared" si="5"/>
        <v>1</v>
      </c>
    </row>
    <row r="113" spans="1:11">
      <c r="B113" t="str">
        <f>DataNameProd1&amp;" Units Production Required"</f>
        <v>CSD Units Production Required</v>
      </c>
      <c r="E113" s="11">
        <f>MAX(E111-E112,0)</f>
        <v>356800000</v>
      </c>
      <c r="F113" s="11">
        <f>MAX(F111-F112,0)</f>
        <v>356800000</v>
      </c>
      <c r="G113" s="11">
        <f>MAX(G111-G112,0)</f>
        <v>356800000</v>
      </c>
      <c r="H113" s="11">
        <f>MAX(H111-H112,0)</f>
        <v>356800000</v>
      </c>
      <c r="I113" s="11">
        <f>MAX(I111-I112,0)</f>
        <v>356800000</v>
      </c>
      <c r="K113" t="b">
        <f t="shared" si="5"/>
        <v>1</v>
      </c>
    </row>
    <row r="114" spans="1:11">
      <c r="B114" t="str">
        <f>DataNameProd1&amp;" Units Used From WIP"</f>
        <v>CSD Units Used From WIP</v>
      </c>
      <c r="E114" s="11">
        <f>MIN(obalProd1Reg2UnitsWIP+0,E113)</f>
        <v>80722</v>
      </c>
      <c r="F114" s="11">
        <f>MIN(obalProd1Reg2UnitsWIP+0,F113)</f>
        <v>80722</v>
      </c>
      <c r="G114" s="11">
        <f>MIN(obalProd1Reg2UnitsWIP+0,G113)</f>
        <v>80722</v>
      </c>
      <c r="H114" s="11">
        <f>MIN(obalProd1Reg2UnitsWIP+0,H113)</f>
        <v>80722</v>
      </c>
      <c r="I114" s="11">
        <f>MIN(obalProd1Reg2UnitsWIP+0,I113)</f>
        <v>80722</v>
      </c>
      <c r="J114" t="s">
        <v>1028</v>
      </c>
      <c r="K114" t="b">
        <f t="shared" si="5"/>
        <v>1</v>
      </c>
    </row>
    <row r="115" spans="1:11">
      <c r="B115" t="str">
        <f>DataNameProd1&amp;" Units New Production"</f>
        <v>CSD Units New Production</v>
      </c>
      <c r="E115" s="11">
        <f>MAX(E113-E114,0)</f>
        <v>356719278</v>
      </c>
      <c r="F115" s="11">
        <f>MAX(F113-F114,0)</f>
        <v>356719278</v>
      </c>
      <c r="G115" s="11">
        <f>MAX(G113-G114,0)</f>
        <v>356719278</v>
      </c>
      <c r="H115" s="11">
        <f>MAX(H113-H114,0)</f>
        <v>356719278</v>
      </c>
      <c r="I115" s="11">
        <f>MAX(I113-I114,0)</f>
        <v>356719278</v>
      </c>
      <c r="K115" t="b">
        <f t="shared" si="5"/>
        <v>1</v>
      </c>
    </row>
    <row r="116" spans="1:11">
      <c r="B116" t="str">
        <f>DataNameProd1&amp;" Units To WIP"</f>
        <v>CSD Units To WIP</v>
      </c>
      <c r="E116" s="11">
        <f>FLOOR(ROUND(E115/(1-paramProd1CycTimeDays/365)*paramProd1CycTimeDays/365,0),2)</f>
        <v>82562</v>
      </c>
      <c r="F116" s="11">
        <f>FLOOR(ROUND(F115/(1-paramProd1CycTimeDays/365)*paramProd1CycTimeDays/365,0),2)</f>
        <v>82562</v>
      </c>
      <c r="G116" s="11">
        <f>FLOOR(ROUND(G115/(1-paramProd1CycTimeDays/365)*paramProd1CycTimeDays/365,0),2)</f>
        <v>82562</v>
      </c>
      <c r="H116" s="11">
        <f>FLOOR(ROUND(H115/(1-paramProd1CycTimeDays/365)*paramProd1CycTimeDays/365,0),2)</f>
        <v>82562</v>
      </c>
      <c r="I116" s="11">
        <f>FLOOR(ROUND(I115/(1-paramProd1CycTimeDays/365)*paramProd1CycTimeDays/365,0),2)</f>
        <v>82562</v>
      </c>
      <c r="J116" t="s">
        <v>2480</v>
      </c>
      <c r="K116" t="b">
        <f t="shared" si="5"/>
        <v>1</v>
      </c>
    </row>
    <row r="117" spans="1:11">
      <c r="B117" t="str">
        <f>DataNameProd1 &amp; " Units in Ending Wip"</f>
        <v>CSD Units in Ending Wip</v>
      </c>
      <c r="E117" s="11">
        <f>(obalProd1Reg2UnitsWIP-E114+E116)</f>
        <v>82562</v>
      </c>
      <c r="F117" s="11">
        <f>(obalProd1Reg2UnitsWIP-F114+F116)</f>
        <v>82562</v>
      </c>
      <c r="G117" s="11">
        <f>(obalProd1Reg2UnitsWIP-G114+G116)</f>
        <v>82562</v>
      </c>
      <c r="H117" s="11">
        <f>(obalProd1Reg2UnitsWIP-H114+H116)</f>
        <v>82562</v>
      </c>
      <c r="I117" s="11">
        <f>(obalProd1Reg2UnitsWIP-I114+I116)</f>
        <v>82562</v>
      </c>
      <c r="J117" t="s">
        <v>1026</v>
      </c>
      <c r="K117" t="b">
        <f t="shared" si="5"/>
        <v>1</v>
      </c>
    </row>
    <row r="118" spans="1:11">
      <c r="B118" s="2" t="str">
        <f>DataNameProd1 &amp; " Total Units Produced "</f>
        <v xml:space="preserve">CSD Total Units Produced </v>
      </c>
      <c r="C118" s="2"/>
      <c r="D118" s="2"/>
      <c r="E118" s="13">
        <f>E115+(E114+E116)/2</f>
        <v>356800920</v>
      </c>
      <c r="F118" s="13">
        <f>F115+(F114+F116)/2</f>
        <v>356800920</v>
      </c>
      <c r="G118" s="13">
        <f>G115+(G114+G116)/2</f>
        <v>356800920</v>
      </c>
      <c r="H118" s="13">
        <f>H115+(H114+H116)/2</f>
        <v>356800920</v>
      </c>
      <c r="I118" s="13">
        <f>I115+(I114+I116)/2</f>
        <v>356800920</v>
      </c>
      <c r="J118" t="s">
        <v>1027</v>
      </c>
      <c r="K118" t="b">
        <f t="shared" si="5"/>
        <v>1</v>
      </c>
    </row>
    <row r="119" spans="1:11">
      <c r="A119" s="2"/>
      <c r="B119" s="2"/>
      <c r="C119" s="2"/>
      <c r="D119" s="2"/>
      <c r="E119" s="13"/>
      <c r="F119" s="13"/>
      <c r="G119" s="13"/>
      <c r="H119" s="13"/>
      <c r="I119" s="13"/>
      <c r="K119" t="b">
        <f t="shared" ref="K119:K140" si="6">MAX(E119:I119)=MIN(E119:I119)</f>
        <v>1</v>
      </c>
    </row>
    <row r="120" spans="1:11">
      <c r="A120" s="354" t="str">
        <f>DataNameProd3 &amp; " Production"</f>
        <v>NCB Production</v>
      </c>
      <c r="B120" s="25"/>
      <c r="C120" s="25"/>
      <c r="D120" s="25"/>
      <c r="E120" s="25"/>
      <c r="F120" s="25"/>
      <c r="G120" s="25"/>
      <c r="H120" s="25"/>
      <c r="I120" s="25"/>
      <c r="K120" t="b">
        <f t="shared" si="6"/>
        <v>1</v>
      </c>
    </row>
    <row r="121" spans="1:11">
      <c r="B121" t="str">
        <f>DataNameProd3&amp;" Units Sold Forecast"</f>
        <v>NCB Units Sold Forecast</v>
      </c>
      <c r="E121" s="11">
        <f>capReg2Prod3UnitsSold</f>
        <v>245000000</v>
      </c>
      <c r="F121" s="11">
        <f>capReg2Prod3UnitsSold</f>
        <v>245000000</v>
      </c>
      <c r="G121" s="11">
        <f>capReg2Prod3UnitsSold</f>
        <v>245000000</v>
      </c>
      <c r="H121" s="11">
        <f>capReg2Prod3UnitsSold</f>
        <v>245000000</v>
      </c>
      <c r="I121" s="11">
        <f>capReg2Prod3UnitsSold</f>
        <v>245000000</v>
      </c>
      <c r="K121" t="b">
        <f t="shared" si="6"/>
        <v>1</v>
      </c>
    </row>
    <row r="122" spans="1:11">
      <c r="B122" t="str">
        <f>DataNameProd3&amp;" Units Available from FG"</f>
        <v>NCB Units Available from FG</v>
      </c>
      <c r="E122" s="11">
        <f>MIN(obalProd3Reg2UnitsFG+0,E121)</f>
        <v>0</v>
      </c>
      <c r="F122" s="11">
        <f>MIN(obalProd3Reg2UnitsFG+0,F121)</f>
        <v>0</v>
      </c>
      <c r="G122" s="11">
        <f>MIN(obalProd3Reg2UnitsFG+0,G121)</f>
        <v>0</v>
      </c>
      <c r="H122" s="11">
        <f>MIN(obalProd3Reg2UnitsFG+0,H121)</f>
        <v>0</v>
      </c>
      <c r="I122" s="11">
        <f>MIN(obalProd3Reg2UnitsFG+0,I121)</f>
        <v>0</v>
      </c>
      <c r="J122" t="s">
        <v>2563</v>
      </c>
      <c r="K122" t="b">
        <f t="shared" si="6"/>
        <v>1</v>
      </c>
    </row>
    <row r="123" spans="1:11">
      <c r="B123" t="str">
        <f>DataNameProd3&amp;" Units Production Required"</f>
        <v>NCB Units Production Required</v>
      </c>
      <c r="E123" s="11">
        <f>MAX(E121-E122,0)</f>
        <v>245000000</v>
      </c>
      <c r="F123" s="11">
        <f>MAX(F121-F122,0)</f>
        <v>245000000</v>
      </c>
      <c r="G123" s="11">
        <f>MAX(G121-G122,0)</f>
        <v>245000000</v>
      </c>
      <c r="H123" s="11">
        <f>MAX(H121-H122,0)</f>
        <v>245000000</v>
      </c>
      <c r="I123" s="11">
        <f>MAX(I121-I122,0)</f>
        <v>245000000</v>
      </c>
      <c r="K123" t="b">
        <f t="shared" si="6"/>
        <v>1</v>
      </c>
    </row>
    <row r="124" spans="1:11">
      <c r="B124" t="str">
        <f>DataNameProd3&amp;" Units Used From WIP"</f>
        <v>NCB Units Used From WIP</v>
      </c>
      <c r="E124" s="11">
        <f>MIN(obalProd3Reg2UnitsWIP+0,E123)</f>
        <v>140738</v>
      </c>
      <c r="F124" s="11">
        <f>MIN(obalProd3Reg2UnitsWIP+0,F123)</f>
        <v>140738</v>
      </c>
      <c r="G124" s="11">
        <f>MIN(obalProd3Reg2UnitsWIP+0,G123)</f>
        <v>140738</v>
      </c>
      <c r="H124" s="11">
        <f>MIN(obalProd3Reg2UnitsWIP+0,H123)</f>
        <v>140738</v>
      </c>
      <c r="I124" s="11">
        <f>MIN(obalProd3Reg2UnitsWIP+0,I123)</f>
        <v>140738</v>
      </c>
      <c r="J124" t="s">
        <v>2564</v>
      </c>
      <c r="K124" t="b">
        <f t="shared" si="6"/>
        <v>1</v>
      </c>
    </row>
    <row r="125" spans="1:11">
      <c r="B125" t="str">
        <f>DataNameProd3&amp;" Units New Production"</f>
        <v>NCB Units New Production</v>
      </c>
      <c r="E125" s="11">
        <f>MAX(E123-E124,0)</f>
        <v>244859262</v>
      </c>
      <c r="F125" s="11">
        <f>MAX(F123-F124,0)</f>
        <v>244859262</v>
      </c>
      <c r="G125" s="11">
        <f>MAX(G123-G124,0)</f>
        <v>244859262</v>
      </c>
      <c r="H125" s="11">
        <f>MAX(H123-H124,0)</f>
        <v>244859262</v>
      </c>
      <c r="I125" s="11">
        <f>MAX(I123-I124,0)</f>
        <v>244859262</v>
      </c>
      <c r="K125" t="b">
        <f t="shared" si="6"/>
        <v>1</v>
      </c>
    </row>
    <row r="126" spans="1:11">
      <c r="B126" t="str">
        <f>DataNameProd3&amp;" Units To WIP"</f>
        <v>NCB Units To WIP</v>
      </c>
      <c r="E126" s="11">
        <f>FLOOR(ROUND(E125/(1-paramProd3CycTimeDays/365)*paramProd3CycTimeDays/365,0),2)</f>
        <v>145314</v>
      </c>
      <c r="F126" s="11">
        <f>FLOOR(ROUND(F125/(1-paramProd3CycTimeDays/365)*paramProd3CycTimeDays/365,0),2)</f>
        <v>145314</v>
      </c>
      <c r="G126" s="11">
        <f>FLOOR(ROUND(G125/(1-paramProd3CycTimeDays/365)*paramProd3CycTimeDays/365,0),2)</f>
        <v>145314</v>
      </c>
      <c r="H126" s="11">
        <f>FLOOR(ROUND(H125/(1-paramProd3CycTimeDays/365)*paramProd3CycTimeDays/365,0),2)</f>
        <v>145314</v>
      </c>
      <c r="I126" s="11">
        <f>FLOOR(ROUND(I125/(1-paramProd3CycTimeDays/365)*paramProd3CycTimeDays/365,0),2)</f>
        <v>145314</v>
      </c>
      <c r="J126" t="s">
        <v>2482</v>
      </c>
      <c r="K126" t="b">
        <f t="shared" si="6"/>
        <v>1</v>
      </c>
    </row>
    <row r="127" spans="1:11">
      <c r="B127" t="str">
        <f>DataNameProd3 &amp; " Units in Ending Wip"</f>
        <v>NCB Units in Ending Wip</v>
      </c>
      <c r="E127" s="11">
        <f>(obalProd3Reg2UnitsWIP-E124+E126)</f>
        <v>145314</v>
      </c>
      <c r="F127" s="11">
        <f>(obalProd3Reg2UnitsWIP-F124+F126)</f>
        <v>145314</v>
      </c>
      <c r="G127" s="11">
        <f>(obalProd3Reg2UnitsWIP-G124+G126)</f>
        <v>145314</v>
      </c>
      <c r="H127" s="11">
        <f>(obalProd3Reg2UnitsWIP-H124+H126)</f>
        <v>145314</v>
      </c>
      <c r="I127" s="11">
        <f>(obalProd3Reg2UnitsWIP-I124+I126)</f>
        <v>145314</v>
      </c>
      <c r="J127" t="s">
        <v>867</v>
      </c>
      <c r="K127" t="b">
        <f t="shared" si="6"/>
        <v>1</v>
      </c>
    </row>
    <row r="128" spans="1:11">
      <c r="B128" s="2" t="str">
        <f>DataNameProd3 &amp; " Total Units Produced "</f>
        <v xml:space="preserve">NCB Total Units Produced </v>
      </c>
      <c r="C128" s="2"/>
      <c r="D128" s="2"/>
      <c r="E128" s="13">
        <f>E125+(E124+E126)/2</f>
        <v>245002288</v>
      </c>
      <c r="F128" s="13">
        <f>F125+(F124+F126)/2</f>
        <v>245002288</v>
      </c>
      <c r="G128" s="13">
        <f>G125+(G124+G126)/2</f>
        <v>245002288</v>
      </c>
      <c r="H128" s="13">
        <f>H125+(H124+H126)/2</f>
        <v>245002288</v>
      </c>
      <c r="I128" s="13">
        <f>I125+(I124+I126)/2</f>
        <v>245002288</v>
      </c>
      <c r="J128" t="s">
        <v>868</v>
      </c>
      <c r="K128" t="b">
        <f t="shared" si="6"/>
        <v>1</v>
      </c>
    </row>
    <row r="129" spans="1:17">
      <c r="A129" s="2"/>
      <c r="B129" s="2"/>
      <c r="C129" s="2"/>
      <c r="D129" s="2"/>
      <c r="E129" s="13"/>
      <c r="F129" s="13"/>
      <c r="G129" s="13"/>
      <c r="H129" s="13"/>
      <c r="I129" s="13"/>
      <c r="J129" s="13"/>
      <c r="K129" t="b">
        <f t="shared" si="6"/>
        <v>1</v>
      </c>
    </row>
    <row r="130" spans="1:17">
      <c r="A130" s="354" t="str">
        <f>DataNameProd4 &amp; " Production"</f>
        <v>F&amp;S Production</v>
      </c>
      <c r="B130" s="25"/>
      <c r="C130" s="25"/>
      <c r="D130" s="25"/>
      <c r="E130" s="25"/>
      <c r="F130" s="25"/>
      <c r="G130" s="25"/>
      <c r="H130" s="25"/>
      <c r="I130" s="25"/>
      <c r="K130" t="b">
        <f t="shared" si="6"/>
        <v>1</v>
      </c>
    </row>
    <row r="131" spans="1:17">
      <c r="B131" t="str">
        <f>DataNameProd4&amp;" Units Sold Forecast"</f>
        <v>F&amp;S Units Sold Forecast</v>
      </c>
      <c r="E131" s="11">
        <f>capReg2Prod4UnitsSold</f>
        <v>225000000</v>
      </c>
      <c r="F131" s="11">
        <f>capReg2Prod4UnitsSold</f>
        <v>225000000</v>
      </c>
      <c r="G131" s="11">
        <f>capReg2Prod4UnitsSold</f>
        <v>225000000</v>
      </c>
      <c r="H131" s="11">
        <f>capReg2Prod4UnitsSold</f>
        <v>225000000</v>
      </c>
      <c r="I131" s="11">
        <f>capReg2Prod4UnitsSold</f>
        <v>225000000</v>
      </c>
      <c r="K131" t="b">
        <f t="shared" si="6"/>
        <v>1</v>
      </c>
    </row>
    <row r="132" spans="1:17">
      <c r="B132" t="str">
        <f>DataNameProd4&amp;" Units Available from FG"</f>
        <v>F&amp;S Units Available from FG</v>
      </c>
      <c r="E132" s="11">
        <f>MIN(obalProd4Reg2UnitsFG+0,E131)</f>
        <v>198000</v>
      </c>
      <c r="F132" s="11">
        <f>MIN(obalProd4Reg2UnitsFG+0,F131)</f>
        <v>198000</v>
      </c>
      <c r="G132" s="11">
        <f>MIN(obalProd4Reg2UnitsFG+0,G131)</f>
        <v>198000</v>
      </c>
      <c r="H132" s="11">
        <f>MIN(obalProd4Reg2UnitsFG+0,H131)</f>
        <v>198000</v>
      </c>
      <c r="I132" s="11">
        <f>MIN(obalProd4Reg2UnitsFG+0,I131)</f>
        <v>198000</v>
      </c>
      <c r="J132" t="s">
        <v>2951</v>
      </c>
      <c r="K132" t="b">
        <f t="shared" si="6"/>
        <v>1</v>
      </c>
    </row>
    <row r="133" spans="1:17">
      <c r="B133" t="str">
        <f>DataNameProd4&amp;" Units Production Required"</f>
        <v>F&amp;S Units Production Required</v>
      </c>
      <c r="E133" s="11">
        <f>MAX(E131-E132,0)</f>
        <v>224802000</v>
      </c>
      <c r="F133" s="11">
        <f>MAX(F131-F132,0)</f>
        <v>224802000</v>
      </c>
      <c r="G133" s="11">
        <f>MAX(G131-G132,0)</f>
        <v>224802000</v>
      </c>
      <c r="H133" s="11">
        <f>MAX(H131-H132,0)</f>
        <v>224802000</v>
      </c>
      <c r="I133" s="11">
        <f>MAX(I131-I132,0)</f>
        <v>224802000</v>
      </c>
      <c r="K133" t="b">
        <f t="shared" si="6"/>
        <v>1</v>
      </c>
    </row>
    <row r="134" spans="1:17">
      <c r="B134" t="str">
        <f>DataNameProd4&amp;" Units Used From WIP"</f>
        <v>F&amp;S Units Used From WIP</v>
      </c>
      <c r="E134" s="11">
        <f>MIN(obalProd4Reg2UnitsWIP+0,E133)</f>
        <v>267184</v>
      </c>
      <c r="F134" s="11">
        <f>MIN(obalProd4Reg2UnitsWIP+0,F133)</f>
        <v>267184</v>
      </c>
      <c r="G134" s="11">
        <f>MIN(obalProd4Reg2UnitsWIP+0,G133)</f>
        <v>267184</v>
      </c>
      <c r="H134" s="11">
        <f>MIN(obalProd4Reg2UnitsWIP+0,H133)</f>
        <v>267184</v>
      </c>
      <c r="I134" s="11">
        <f>MIN(obalProd4Reg2UnitsWIP+0,I133)</f>
        <v>267184</v>
      </c>
      <c r="J134" t="s">
        <v>2952</v>
      </c>
      <c r="K134" t="b">
        <f t="shared" si="6"/>
        <v>1</v>
      </c>
    </row>
    <row r="135" spans="1:17">
      <c r="B135" t="str">
        <f>DataNameProd4&amp;" Units New Production"</f>
        <v>F&amp;S Units New Production</v>
      </c>
      <c r="E135" s="11">
        <f>MAX(E133-E134,0)</f>
        <v>224534816</v>
      </c>
      <c r="F135" s="11">
        <f>MAX(F133-F134,0)</f>
        <v>224534816</v>
      </c>
      <c r="G135" s="11">
        <f>MAX(G133-G134,0)</f>
        <v>224534816</v>
      </c>
      <c r="H135" s="11">
        <f>MAX(H133-H134,0)</f>
        <v>224534816</v>
      </c>
      <c r="I135" s="11">
        <f>MAX(I133-I134,0)</f>
        <v>224534816</v>
      </c>
      <c r="K135" t="b">
        <f t="shared" si="6"/>
        <v>1</v>
      </c>
    </row>
    <row r="136" spans="1:17">
      <c r="B136" t="str">
        <f>DataNameProd4&amp;" Units To WIP"</f>
        <v>F&amp;S Units To WIP</v>
      </c>
      <c r="E136" s="11">
        <f>FLOOR(ROUND(E135/(1-paramProd4CycTimeDays/365)*paramProd4CycTimeDays/365,0),2)</f>
        <v>266664</v>
      </c>
      <c r="F136" s="11">
        <f>FLOOR(ROUND(F135/(1-paramProd4CycTimeDays/365)*paramProd4CycTimeDays/365,0),2)</f>
        <v>266664</v>
      </c>
      <c r="G136" s="11">
        <f>FLOOR(ROUND(G135/(1-paramProd4CycTimeDays/365)*paramProd4CycTimeDays/365,0),2)</f>
        <v>266664</v>
      </c>
      <c r="H136" s="11">
        <f>FLOOR(ROUND(H135/(1-paramProd4CycTimeDays/365)*paramProd4CycTimeDays/365,0),2)</f>
        <v>266664</v>
      </c>
      <c r="I136" s="11">
        <f>FLOOR(ROUND(I135/(1-paramProd4CycTimeDays/365)*paramProd4CycTimeDays/365,0),2)</f>
        <v>266664</v>
      </c>
      <c r="J136" t="s">
        <v>570</v>
      </c>
      <c r="K136" t="b">
        <f t="shared" si="6"/>
        <v>1</v>
      </c>
    </row>
    <row r="137" spans="1:17">
      <c r="B137" t="str">
        <f>DataNameProd4 &amp; " Units in Ending Wip"</f>
        <v>F&amp;S Units in Ending Wip</v>
      </c>
      <c r="E137" s="11">
        <f>(obalProd4Reg2UnitsWIP-E134+E136)</f>
        <v>266664</v>
      </c>
      <c r="F137" s="11">
        <f>(obalProd4Reg2UnitsWIP-F134+F136)</f>
        <v>266664</v>
      </c>
      <c r="G137" s="11">
        <f>(obalProd4Reg2UnitsWIP-G134+G136)</f>
        <v>266664</v>
      </c>
      <c r="H137" s="11">
        <f>(obalProd4Reg2UnitsWIP-H134+H136)</f>
        <v>266664</v>
      </c>
      <c r="I137" s="11">
        <f>(obalProd4Reg2UnitsWIP-I134+I136)</f>
        <v>266664</v>
      </c>
      <c r="J137" t="s">
        <v>2953</v>
      </c>
      <c r="K137" t="b">
        <f t="shared" si="6"/>
        <v>1</v>
      </c>
    </row>
    <row r="138" spans="1:17">
      <c r="B138" s="2" t="str">
        <f>DataNameProd4 &amp; " Total Units Produced "</f>
        <v xml:space="preserve">F&amp;S Total Units Produced </v>
      </c>
      <c r="C138" s="2"/>
      <c r="D138" s="2"/>
      <c r="E138" s="13">
        <f>E135+(E134+E136)/2</f>
        <v>224801740</v>
      </c>
      <c r="F138" s="13">
        <f>F135+(F134+F136)/2</f>
        <v>224801740</v>
      </c>
      <c r="G138" s="13">
        <f>G135+(G134+G136)/2</f>
        <v>224801740</v>
      </c>
      <c r="H138" s="13">
        <f>H135+(H134+H136)/2</f>
        <v>224801740</v>
      </c>
      <c r="I138" s="13">
        <f>I135+(I134+I136)/2</f>
        <v>224801740</v>
      </c>
      <c r="J138" t="s">
        <v>2954</v>
      </c>
      <c r="K138" t="b">
        <f t="shared" si="6"/>
        <v>1</v>
      </c>
    </row>
    <row r="139" spans="1:17">
      <c r="A139" s="119"/>
      <c r="B139" s="269"/>
      <c r="C139" s="269"/>
      <c r="D139" s="269"/>
      <c r="E139" s="1265"/>
      <c r="F139" s="1265"/>
      <c r="G139" s="1265"/>
      <c r="H139" s="1265"/>
      <c r="I139" s="1265"/>
      <c r="K139" t="b">
        <f t="shared" si="6"/>
        <v>1</v>
      </c>
    </row>
    <row r="140" spans="1:17">
      <c r="A140" s="2" t="s">
        <v>1662</v>
      </c>
      <c r="B140" s="2"/>
      <c r="C140" s="2"/>
      <c r="D140" s="2"/>
      <c r="E140" s="13">
        <f>E135+E125+E115+E104+E94+E84+E73+E64</f>
        <v>2464236721</v>
      </c>
      <c r="F140" s="13">
        <f>F135+F125+F115+F104+F94+F84+F73+F64</f>
        <v>2464236721</v>
      </c>
      <c r="G140" s="13">
        <f>G135+G125+G115+G104+G94+G84+G73+G64</f>
        <v>2464236721</v>
      </c>
      <c r="H140" s="13">
        <f>H135+H125+H115+H104+H94+H84+H73+H64</f>
        <v>2464236721</v>
      </c>
      <c r="I140" s="13">
        <f>I135+I125+I115+I104+I94+I84+I73+I64</f>
        <v>2464236721</v>
      </c>
      <c r="J140" t="s">
        <v>1663</v>
      </c>
      <c r="K140" t="b">
        <f t="shared" si="6"/>
        <v>1</v>
      </c>
    </row>
    <row r="141" spans="1:17">
      <c r="B141" s="2"/>
      <c r="C141" s="2"/>
      <c r="D141" s="2"/>
      <c r="E141" s="13"/>
      <c r="F141" s="13"/>
      <c r="G141" s="13"/>
      <c r="H141" s="13"/>
      <c r="I141" s="13"/>
      <c r="K141" t="b">
        <f t="shared" ref="K141:K172" si="7">MAX(E141:I141)=MIN(E141:I141)</f>
        <v>1</v>
      </c>
    </row>
    <row r="142" spans="1:17" ht="15.75">
      <c r="A142" s="24" t="s">
        <v>1863</v>
      </c>
      <c r="B142" s="25"/>
      <c r="C142" s="25"/>
      <c r="D142" s="25"/>
      <c r="E142" s="25"/>
      <c r="F142" s="25"/>
      <c r="G142" s="25"/>
      <c r="H142" s="25"/>
      <c r="I142" s="25"/>
      <c r="K142" t="b">
        <f t="shared" si="7"/>
        <v>1</v>
      </c>
      <c r="Q142" s="23"/>
    </row>
    <row r="143" spans="1:17">
      <c r="B143" s="2"/>
      <c r="C143" s="2"/>
      <c r="D143" s="2"/>
      <c r="E143" s="13"/>
      <c r="F143" s="13"/>
      <c r="G143" s="13"/>
      <c r="H143" s="13"/>
      <c r="I143" s="13"/>
      <c r="K143" t="b">
        <f t="shared" si="7"/>
        <v>1</v>
      </c>
    </row>
    <row r="144" spans="1:17">
      <c r="B144" s="2" t="s">
        <v>1863</v>
      </c>
      <c r="C144" s="2"/>
      <c r="D144" s="2"/>
      <c r="E144" s="13">
        <f>SUM(E145:E148)</f>
        <v>0</v>
      </c>
      <c r="F144" s="13">
        <f>SUM(F145:F148)</f>
        <v>0</v>
      </c>
      <c r="G144" s="13">
        <f>SUM(G145:G148)</f>
        <v>0</v>
      </c>
      <c r="H144" s="13">
        <f>SUM(H145:H148)</f>
        <v>0</v>
      </c>
      <c r="I144" s="13">
        <f>SUM(I145:I148)</f>
        <v>0</v>
      </c>
      <c r="J144" t="s">
        <v>3819</v>
      </c>
      <c r="K144" t="b">
        <f t="shared" si="7"/>
        <v>1</v>
      </c>
    </row>
    <row r="145" spans="2:11">
      <c r="C145" s="3" t="s">
        <v>2433</v>
      </c>
      <c r="D145" s="3"/>
      <c r="E145" s="23">
        <f>VLOOKUP(capInnov1,dataStdInnovsCost,4,0)</f>
        <v>0</v>
      </c>
      <c r="F145" s="23">
        <f>VLOOKUP(capInnov1,dataStdInnovsCost,4,0)</f>
        <v>0</v>
      </c>
      <c r="G145" s="23">
        <f>VLOOKUP(capInnov1,dataStdInnovsCost,4,0)</f>
        <v>0</v>
      </c>
      <c r="H145" s="23">
        <f>VLOOKUP(capInnov1,dataStdInnovsCost,4,0)</f>
        <v>0</v>
      </c>
      <c r="I145" s="23">
        <f>VLOOKUP(capInnov1,dataStdInnovsCost,4,0)</f>
        <v>0</v>
      </c>
      <c r="J145" t="s">
        <v>3815</v>
      </c>
      <c r="K145" t="b">
        <f t="shared" si="7"/>
        <v>1</v>
      </c>
    </row>
    <row r="146" spans="2:11">
      <c r="C146" s="3" t="s">
        <v>2434</v>
      </c>
      <c r="D146" s="3"/>
      <c r="E146" s="23">
        <f>VLOOKUP(capInnov2,dataStdInnovsCost,4,0)</f>
        <v>0</v>
      </c>
      <c r="F146" s="23">
        <f>VLOOKUP(capInnov2,dataStdInnovsCost,4,0)</f>
        <v>0</v>
      </c>
      <c r="G146" s="23">
        <f>VLOOKUP(capInnov2,dataStdInnovsCost,4,0)</f>
        <v>0</v>
      </c>
      <c r="H146" s="23">
        <f>VLOOKUP(capInnov2,dataStdInnovsCost,4,0)</f>
        <v>0</v>
      </c>
      <c r="I146" s="23">
        <f>VLOOKUP(capInnov2,dataStdInnovsCost,4,0)</f>
        <v>0</v>
      </c>
      <c r="J146" t="s">
        <v>3816</v>
      </c>
      <c r="K146" t="b">
        <f t="shared" si="7"/>
        <v>1</v>
      </c>
    </row>
    <row r="147" spans="2:11">
      <c r="C147" s="3" t="s">
        <v>2435</v>
      </c>
      <c r="D147" s="3"/>
      <c r="E147" s="23">
        <f>VLOOKUP(capInnov3,dataStdInnovsCost,4,0)</f>
        <v>0</v>
      </c>
      <c r="F147" s="23">
        <f>VLOOKUP(capInnov3,dataStdInnovsCost,4,0)</f>
        <v>0</v>
      </c>
      <c r="G147" s="23">
        <f>VLOOKUP(capInnov3,dataStdInnovsCost,4,0)</f>
        <v>0</v>
      </c>
      <c r="H147" s="23">
        <f>VLOOKUP(capInnov3,dataStdInnovsCost,4,0)</f>
        <v>0</v>
      </c>
      <c r="I147" s="23">
        <f>VLOOKUP(capInnov3,dataStdInnovsCost,4,0)</f>
        <v>0</v>
      </c>
      <c r="J147" t="s">
        <v>3817</v>
      </c>
      <c r="K147" t="b">
        <f t="shared" si="7"/>
        <v>1</v>
      </c>
    </row>
    <row r="148" spans="2:11">
      <c r="C148" s="3" t="s">
        <v>2436</v>
      </c>
      <c r="D148" s="3"/>
      <c r="E148" s="23">
        <f>VLOOKUP(capInnov4,dataStdInnovsCost,4,0)</f>
        <v>0</v>
      </c>
      <c r="F148" s="23">
        <f>VLOOKUP(capInnov4,dataStdInnovsCost,4,0)</f>
        <v>0</v>
      </c>
      <c r="G148" s="23">
        <f>VLOOKUP(capInnov4,dataStdInnovsCost,4,0)</f>
        <v>0</v>
      </c>
      <c r="H148" s="23">
        <f>VLOOKUP(capInnov4,dataStdInnovsCost,4,0)</f>
        <v>0</v>
      </c>
      <c r="I148" s="23">
        <f>VLOOKUP(capInnov4,dataStdInnovsCost,4,0)</f>
        <v>0</v>
      </c>
      <c r="J148" t="s">
        <v>3818</v>
      </c>
      <c r="K148" t="b">
        <f t="shared" si="7"/>
        <v>1</v>
      </c>
    </row>
    <row r="149" spans="2:11">
      <c r="B149" s="2" t="s">
        <v>3809</v>
      </c>
      <c r="C149" s="2"/>
      <c r="D149" s="3"/>
      <c r="E149" s="23"/>
      <c r="F149" s="23"/>
      <c r="G149" s="23"/>
      <c r="H149" s="23"/>
      <c r="I149" s="23"/>
      <c r="K149" t="b">
        <f t="shared" si="7"/>
        <v>1</v>
      </c>
    </row>
    <row r="150" spans="2:11">
      <c r="C150" s="3" t="s">
        <v>2433</v>
      </c>
      <c r="D150" s="3"/>
      <c r="E150" s="23">
        <f>VLOOKUP(capInnov1,dataStdInnovsCost,2,0)</f>
        <v>0</v>
      </c>
      <c r="F150" s="23">
        <f>VLOOKUP(capInnov1,dataStdInnovsCost,2,0)</f>
        <v>0</v>
      </c>
      <c r="G150" s="23">
        <f>VLOOKUP(capInnov1,dataStdInnovsCost,2,0)</f>
        <v>0</v>
      </c>
      <c r="H150" s="23">
        <f>VLOOKUP(capInnov1,dataStdInnovsCost,2,0)</f>
        <v>0</v>
      </c>
      <c r="I150" s="23">
        <f>VLOOKUP(capInnov1,dataStdInnovsCost,2,0)</f>
        <v>0</v>
      </c>
      <c r="K150" t="b">
        <f t="shared" si="7"/>
        <v>1</v>
      </c>
    </row>
    <row r="151" spans="2:11">
      <c r="C151" s="3" t="s">
        <v>2434</v>
      </c>
      <c r="D151" s="3"/>
      <c r="E151" s="23">
        <f>VLOOKUP(capInnov2,dataStdInnovsCost,2,0)</f>
        <v>0</v>
      </c>
      <c r="F151" s="23">
        <f>VLOOKUP(capInnov2,dataStdInnovsCost,2,0)</f>
        <v>0</v>
      </c>
      <c r="G151" s="23">
        <f>VLOOKUP(capInnov2,dataStdInnovsCost,2,0)</f>
        <v>0</v>
      </c>
      <c r="H151" s="23">
        <f>VLOOKUP(capInnov2,dataStdInnovsCost,2,0)</f>
        <v>0</v>
      </c>
      <c r="I151" s="23">
        <f>VLOOKUP(capInnov2,dataStdInnovsCost,2,0)</f>
        <v>0</v>
      </c>
      <c r="K151" t="b">
        <f t="shared" si="7"/>
        <v>1</v>
      </c>
    </row>
    <row r="152" spans="2:11">
      <c r="C152" s="3" t="s">
        <v>2435</v>
      </c>
      <c r="D152" s="3"/>
      <c r="E152" s="23">
        <f>VLOOKUP(capInnov3,dataStdInnovsCost,2,0)</f>
        <v>0</v>
      </c>
      <c r="F152" s="23">
        <f>VLOOKUP(capInnov3,dataStdInnovsCost,2,0)</f>
        <v>0</v>
      </c>
      <c r="G152" s="23">
        <f>VLOOKUP(capInnov3,dataStdInnovsCost,2,0)</f>
        <v>0</v>
      </c>
      <c r="H152" s="23">
        <f>VLOOKUP(capInnov3,dataStdInnovsCost,2,0)</f>
        <v>0</v>
      </c>
      <c r="I152" s="23">
        <f>VLOOKUP(capInnov3,dataStdInnovsCost,2,0)</f>
        <v>0</v>
      </c>
      <c r="K152" t="b">
        <f t="shared" si="7"/>
        <v>1</v>
      </c>
    </row>
    <row r="153" spans="2:11">
      <c r="C153" s="3" t="s">
        <v>2436</v>
      </c>
      <c r="D153" s="3"/>
      <c r="E153" s="23">
        <f>VLOOKUP(capInnov4,dataStdInnovsCost,2,0)</f>
        <v>0</v>
      </c>
      <c r="F153" s="23">
        <f>VLOOKUP(capInnov4,dataStdInnovsCost,2,0)</f>
        <v>0</v>
      </c>
      <c r="G153" s="23">
        <f>VLOOKUP(capInnov4,dataStdInnovsCost,2,0)</f>
        <v>0</v>
      </c>
      <c r="H153" s="23">
        <f>VLOOKUP(capInnov4,dataStdInnovsCost,2,0)</f>
        <v>0</v>
      </c>
      <c r="I153" s="23">
        <f>VLOOKUP(capInnov4,dataStdInnovsCost,2,0)</f>
        <v>0</v>
      </c>
      <c r="K153" t="b">
        <f t="shared" si="7"/>
        <v>1</v>
      </c>
    </row>
    <row r="154" spans="2:11">
      <c r="B154" s="2" t="s">
        <v>719</v>
      </c>
      <c r="C154" s="3"/>
      <c r="D154" s="3"/>
      <c r="E154" s="23"/>
      <c r="F154" s="23"/>
      <c r="G154" s="23"/>
      <c r="H154" s="23"/>
      <c r="I154" s="23"/>
      <c r="K154" t="b">
        <f t="shared" si="7"/>
        <v>1</v>
      </c>
    </row>
    <row r="155" spans="2:11">
      <c r="C155" s="3" t="str">
        <f>DataNameProd1</f>
        <v>CSD</v>
      </c>
      <c r="D155" s="3"/>
      <c r="E155" s="23">
        <f>SUMIF(E$150:E$153,$C155,E$145:E$148)</f>
        <v>0</v>
      </c>
      <c r="F155" s="23">
        <f t="shared" ref="F155:I158" si="8">SUMIF(F$150:F$153,$C155,F$145:F$148)</f>
        <v>0</v>
      </c>
      <c r="G155" s="23">
        <f t="shared" si="8"/>
        <v>0</v>
      </c>
      <c r="H155" s="23">
        <f t="shared" si="8"/>
        <v>0</v>
      </c>
      <c r="I155" s="23">
        <f t="shared" si="8"/>
        <v>0</v>
      </c>
      <c r="J155" t="s">
        <v>3811</v>
      </c>
      <c r="K155" t="b">
        <f t="shared" si="7"/>
        <v>1</v>
      </c>
    </row>
    <row r="156" spans="2:11">
      <c r="C156" s="3" t="str">
        <f>DataNameProd3</f>
        <v>NCB</v>
      </c>
      <c r="E156" s="23">
        <f>SUMIF(E$150:E$153,$C156,E$145:E$148)</f>
        <v>0</v>
      </c>
      <c r="F156" s="23">
        <f t="shared" si="8"/>
        <v>0</v>
      </c>
      <c r="G156" s="23">
        <f t="shared" si="8"/>
        <v>0</v>
      </c>
      <c r="H156" s="23">
        <f t="shared" si="8"/>
        <v>0</v>
      </c>
      <c r="I156" s="23">
        <f t="shared" si="8"/>
        <v>0</v>
      </c>
      <c r="J156" t="s">
        <v>3812</v>
      </c>
      <c r="K156" t="b">
        <f t="shared" si="7"/>
        <v>1</v>
      </c>
    </row>
    <row r="157" spans="2:11">
      <c r="C157" s="3" t="str">
        <f>DataNameProd4</f>
        <v>F&amp;S</v>
      </c>
      <c r="E157" s="23">
        <f>SUMIF(E$150:E$153,$C157,E$145:E$148)</f>
        <v>0</v>
      </c>
      <c r="F157" s="23">
        <f t="shared" si="8"/>
        <v>0</v>
      </c>
      <c r="G157" s="23">
        <f t="shared" si="8"/>
        <v>0</v>
      </c>
      <c r="H157" s="23">
        <f t="shared" si="8"/>
        <v>0</v>
      </c>
      <c r="I157" s="23">
        <f t="shared" si="8"/>
        <v>0</v>
      </c>
      <c r="J157" t="s">
        <v>3813</v>
      </c>
      <c r="K157" t="b">
        <f t="shared" si="7"/>
        <v>1</v>
      </c>
    </row>
    <row r="158" spans="2:11">
      <c r="B158" s="2"/>
      <c r="C158" s="3" t="str">
        <f>DataNameProd2</f>
        <v>Breakthrough</v>
      </c>
      <c r="D158" s="3"/>
      <c r="E158" s="23">
        <f>SUMIF(E$150:E$153,$C158,E$145:E$148)</f>
        <v>0</v>
      </c>
      <c r="F158" s="23">
        <f t="shared" si="8"/>
        <v>0</v>
      </c>
      <c r="G158" s="23">
        <f t="shared" si="8"/>
        <v>0</v>
      </c>
      <c r="H158" s="23">
        <f t="shared" si="8"/>
        <v>0</v>
      </c>
      <c r="I158" s="23">
        <f t="shared" si="8"/>
        <v>0</v>
      </c>
      <c r="J158" t="s">
        <v>3814</v>
      </c>
      <c r="K158" t="b">
        <f t="shared" si="7"/>
        <v>1</v>
      </c>
    </row>
    <row r="159" spans="2:11">
      <c r="B159" s="2" t="s">
        <v>542</v>
      </c>
      <c r="C159" s="3"/>
      <c r="D159" s="3"/>
      <c r="E159" s="23"/>
      <c r="F159" s="23"/>
      <c r="G159" s="23"/>
      <c r="H159" s="23"/>
      <c r="I159" s="23"/>
      <c r="K159" t="b">
        <f t="shared" si="7"/>
        <v>1</v>
      </c>
    </row>
    <row r="160" spans="2:11">
      <c r="B160" s="2"/>
      <c r="C160" s="3" t="s">
        <v>2433</v>
      </c>
      <c r="D160" s="3"/>
      <c r="E160" s="23">
        <f>IFERROR(VLOOKUP(cap!E771,adj!$C$210:$R$301,16,0),0)</f>
        <v>0</v>
      </c>
      <c r="F160" s="23">
        <f>IFERROR(VLOOKUP(cap!F771,adj!$C$210:$R$301,16,0),0)</f>
        <v>0</v>
      </c>
      <c r="G160" s="23">
        <f>IFERROR(VLOOKUP(cap!G771,adj!$C$210:$R$301,16,0),0)</f>
        <v>0</v>
      </c>
      <c r="H160" s="23">
        <f>IFERROR(VLOOKUP(cap!H771,adj!$C$210:$R$301,16,0),0)</f>
        <v>0</v>
      </c>
      <c r="I160" s="23">
        <f>IFERROR(VLOOKUP(cap!I771,adj!$C$210:$R$301,16,0),0)</f>
        <v>0</v>
      </c>
      <c r="K160" t="b">
        <f t="shared" si="7"/>
        <v>1</v>
      </c>
    </row>
    <row r="161" spans="1:11">
      <c r="B161" s="2"/>
      <c r="C161" s="3" t="s">
        <v>2434</v>
      </c>
      <c r="D161" s="3"/>
      <c r="E161" s="23">
        <f>IFERROR(VLOOKUP(cap!E772,adj!$C$210:$R$301,16,0),0)</f>
        <v>0</v>
      </c>
      <c r="F161" s="23">
        <f>IFERROR(VLOOKUP(cap!F772,adj!$C$210:$R$301,16,0),0)</f>
        <v>0</v>
      </c>
      <c r="G161" s="23">
        <f>IFERROR(VLOOKUP(cap!G772,adj!$C$210:$R$301,16,0),0)</f>
        <v>0</v>
      </c>
      <c r="H161" s="23">
        <f>IFERROR(VLOOKUP(cap!H772,adj!$C$210:$R$301,16,0),0)</f>
        <v>0</v>
      </c>
      <c r="I161" s="23">
        <f>IFERROR(VLOOKUP(cap!I772,adj!$C$210:$R$301,16,0),0)</f>
        <v>0</v>
      </c>
      <c r="K161" t="b">
        <f t="shared" si="7"/>
        <v>1</v>
      </c>
    </row>
    <row r="162" spans="1:11">
      <c r="B162" s="2"/>
      <c r="C162" s="3" t="s">
        <v>2435</v>
      </c>
      <c r="D162" s="3"/>
      <c r="E162" s="23">
        <f>IFERROR(VLOOKUP(cap!E773,adj!$C$210:$R$301,16,0),0)</f>
        <v>0</v>
      </c>
      <c r="F162" s="23">
        <f>IFERROR(VLOOKUP(cap!F773,adj!$C$210:$R$301,16,0),0)</f>
        <v>0</v>
      </c>
      <c r="G162" s="23">
        <f>IFERROR(VLOOKUP(cap!G773,adj!$C$210:$R$301,16,0),0)</f>
        <v>0</v>
      </c>
      <c r="H162" s="23">
        <f>IFERROR(VLOOKUP(cap!H773,adj!$C$210:$R$301,16,0),0)</f>
        <v>0</v>
      </c>
      <c r="I162" s="23">
        <f>IFERROR(VLOOKUP(cap!I773,adj!$C$210:$R$301,16,0),0)</f>
        <v>0</v>
      </c>
      <c r="K162" t="b">
        <f t="shared" si="7"/>
        <v>1</v>
      </c>
    </row>
    <row r="163" spans="1:11">
      <c r="B163" s="2"/>
      <c r="C163" s="3" t="s">
        <v>2436</v>
      </c>
      <c r="D163" s="3"/>
      <c r="E163" s="23">
        <f>IFERROR(VLOOKUP(cap!E774,adj!$C$210:$R$301,16,0),0)</f>
        <v>0</v>
      </c>
      <c r="F163" s="23">
        <f>IFERROR(VLOOKUP(cap!F774,adj!$C$210:$R$301,16,0),0)</f>
        <v>0</v>
      </c>
      <c r="G163" s="23">
        <f>IFERROR(VLOOKUP(cap!G774,adj!$C$210:$R$301,16,0),0)</f>
        <v>0</v>
      </c>
      <c r="H163" s="23">
        <f>IFERROR(VLOOKUP(cap!H774,adj!$C$210:$R$301,16,0),0)</f>
        <v>0</v>
      </c>
      <c r="I163" s="23">
        <f>IFERROR(VLOOKUP(cap!I774,adj!$C$210:$R$301,16,0),0)</f>
        <v>0</v>
      </c>
      <c r="K163" t="b">
        <f t="shared" si="7"/>
        <v>1</v>
      </c>
    </row>
    <row r="164" spans="1:11">
      <c r="B164" s="2" t="s">
        <v>541</v>
      </c>
      <c r="C164" s="3"/>
      <c r="D164" s="3"/>
      <c r="E164" s="23"/>
      <c r="F164" s="23"/>
      <c r="G164" s="23"/>
      <c r="H164" s="23"/>
      <c r="I164" s="23"/>
      <c r="K164" t="b">
        <f t="shared" si="7"/>
        <v>1</v>
      </c>
    </row>
    <row r="165" spans="1:11">
      <c r="B165" s="2"/>
      <c r="C165" s="905" t="s">
        <v>845</v>
      </c>
      <c r="D165" s="3"/>
      <c r="E165" s="23">
        <f>SUMIF(E$160:E$163,$C165,E$145:E$148)</f>
        <v>0</v>
      </c>
      <c r="F165" s="23">
        <f t="shared" ref="F165:I168" si="9">SUMIF(F$160:F$163,$C165,F$145:F$148)</f>
        <v>0</v>
      </c>
      <c r="G165" s="23">
        <f t="shared" si="9"/>
        <v>0</v>
      </c>
      <c r="H165" s="23">
        <f t="shared" si="9"/>
        <v>0</v>
      </c>
      <c r="I165" s="23">
        <f t="shared" si="9"/>
        <v>0</v>
      </c>
      <c r="J165" t="s">
        <v>543</v>
      </c>
      <c r="K165" t="b">
        <f t="shared" si="7"/>
        <v>1</v>
      </c>
    </row>
    <row r="166" spans="1:11">
      <c r="B166" s="2"/>
      <c r="C166" s="905" t="s">
        <v>4095</v>
      </c>
      <c r="D166" s="3"/>
      <c r="E166" s="23">
        <f>SUMIF(E$160:E$163,$C166,E$145:E$148)</f>
        <v>0</v>
      </c>
      <c r="F166" s="23">
        <f t="shared" si="9"/>
        <v>0</v>
      </c>
      <c r="G166" s="23">
        <f t="shared" si="9"/>
        <v>0</v>
      </c>
      <c r="H166" s="23">
        <f t="shared" si="9"/>
        <v>0</v>
      </c>
      <c r="I166" s="23">
        <f t="shared" si="9"/>
        <v>0</v>
      </c>
      <c r="J166" t="s">
        <v>544</v>
      </c>
      <c r="K166" t="b">
        <f t="shared" si="7"/>
        <v>1</v>
      </c>
    </row>
    <row r="167" spans="1:11">
      <c r="B167" s="2"/>
      <c r="C167" s="905" t="s">
        <v>846</v>
      </c>
      <c r="D167" s="3"/>
      <c r="E167" s="23">
        <f>SUMIF(E$160:E$163,$C167,E$145:E$148)</f>
        <v>0</v>
      </c>
      <c r="F167" s="23">
        <f t="shared" si="9"/>
        <v>0</v>
      </c>
      <c r="G167" s="23">
        <f t="shared" si="9"/>
        <v>0</v>
      </c>
      <c r="H167" s="23">
        <f t="shared" si="9"/>
        <v>0</v>
      </c>
      <c r="I167" s="23">
        <f t="shared" si="9"/>
        <v>0</v>
      </c>
      <c r="J167" t="s">
        <v>545</v>
      </c>
      <c r="K167" t="b">
        <f t="shared" si="7"/>
        <v>1</v>
      </c>
    </row>
    <row r="168" spans="1:11">
      <c r="B168" s="2"/>
      <c r="C168" s="3" t="s">
        <v>1155</v>
      </c>
      <c r="D168" s="3"/>
      <c r="E168" s="23">
        <f>SUMIF(E$160:E$163,$C168,E$145:E$148)</f>
        <v>0</v>
      </c>
      <c r="F168" s="23">
        <f t="shared" si="9"/>
        <v>0</v>
      </c>
      <c r="G168" s="23">
        <f t="shared" si="9"/>
        <v>0</v>
      </c>
      <c r="H168" s="23">
        <f t="shared" si="9"/>
        <v>0</v>
      </c>
      <c r="I168" s="23">
        <f t="shared" si="9"/>
        <v>0</v>
      </c>
      <c r="J168" t="s">
        <v>1307</v>
      </c>
      <c r="K168" t="b">
        <f t="shared" si="7"/>
        <v>1</v>
      </c>
    </row>
    <row r="169" spans="1:11">
      <c r="B169" s="2"/>
      <c r="C169" s="2"/>
      <c r="D169" s="2"/>
      <c r="E169" s="13"/>
      <c r="F169" s="13"/>
      <c r="G169" s="13"/>
      <c r="H169" s="13"/>
      <c r="I169" s="13"/>
      <c r="K169" t="b">
        <f t="shared" si="7"/>
        <v>1</v>
      </c>
    </row>
    <row r="170" spans="1:11" ht="15.75">
      <c r="A170" s="24" t="s">
        <v>1981</v>
      </c>
      <c r="B170" s="25"/>
      <c r="C170" s="25"/>
      <c r="D170" s="25"/>
      <c r="E170" s="25"/>
      <c r="F170" s="25"/>
      <c r="G170" s="25"/>
      <c r="H170" s="25"/>
      <c r="I170" s="25"/>
      <c r="K170" t="b">
        <f t="shared" si="7"/>
        <v>1</v>
      </c>
    </row>
    <row r="171" spans="1:11">
      <c r="K171" t="b">
        <f t="shared" si="7"/>
        <v>1</v>
      </c>
    </row>
    <row r="172" spans="1:11">
      <c r="A172" s="354" t="str">
        <f>DataNameProd1&amp;" Material Costs"</f>
        <v>CSD Material Costs</v>
      </c>
      <c r="B172" s="354"/>
      <c r="C172" s="354"/>
      <c r="D172" s="354"/>
      <c r="E172" s="354"/>
      <c r="F172" s="354"/>
      <c r="G172" s="354"/>
      <c r="H172" s="354"/>
      <c r="I172" s="354"/>
      <c r="K172" t="b">
        <f t="shared" si="7"/>
        <v>1</v>
      </c>
    </row>
    <row r="173" spans="1:11">
      <c r="A173" s="2"/>
      <c r="B173" t="str">
        <f>DataNameProd1 &amp; " Base Cost Per Unit"</f>
        <v>CSD Base Cost Per Unit</v>
      </c>
      <c r="E173" s="399">
        <f>paramProd1MatCostPUnit</f>
        <v>2.3189045275850999</v>
      </c>
      <c r="F173" s="399">
        <f>paramProd1MatCostPUnit</f>
        <v>2.3189045275850999</v>
      </c>
      <c r="G173" s="399">
        <f>paramProd1MatCostPUnit</f>
        <v>2.3189045275850999</v>
      </c>
      <c r="H173" s="399">
        <f>paramProd1MatCostPUnit</f>
        <v>2.3189045275850999</v>
      </c>
      <c r="I173" s="399">
        <f>paramProd1MatCostPUnit</f>
        <v>2.3189045275850999</v>
      </c>
      <c r="K173" t="b">
        <f t="shared" ref="K173:K186" si="10">MAX(E173:I173)=MIN(E173:I173)</f>
        <v>1</v>
      </c>
    </row>
    <row r="174" spans="1:11">
      <c r="B174" s="207"/>
      <c r="C174" s="207"/>
      <c r="D174" s="207"/>
      <c r="E174" s="207"/>
      <c r="F174" s="207"/>
      <c r="G174" s="207"/>
      <c r="H174" s="207"/>
      <c r="I174" s="207"/>
      <c r="K174" t="b">
        <f t="shared" si="10"/>
        <v>1</v>
      </c>
    </row>
    <row r="175" spans="1:11">
      <c r="B175" s="2" t="str">
        <f>DataNameProd1 &amp; " Total Material Cost Per Unit"</f>
        <v>CSD Total Material Cost Per Unit</v>
      </c>
      <c r="C175" s="2"/>
      <c r="D175" s="2"/>
      <c r="E175" s="417">
        <f>SUM(E173:E173)</f>
        <v>2.3189045275850999</v>
      </c>
      <c r="F175" s="417">
        <f>SUM(F173:F173)</f>
        <v>2.3189045275850999</v>
      </c>
      <c r="G175" s="417">
        <f>SUM(G173:G173)</f>
        <v>2.3189045275850999</v>
      </c>
      <c r="H175" s="417">
        <f>SUM(H173:H173)</f>
        <v>2.3189045275850999</v>
      </c>
      <c r="I175" s="417">
        <f>SUM(I173:I173)</f>
        <v>2.3189045275850999</v>
      </c>
      <c r="J175" t="s">
        <v>535</v>
      </c>
      <c r="K175" t="b">
        <f t="shared" si="10"/>
        <v>1</v>
      </c>
    </row>
    <row r="176" spans="1:11">
      <c r="K176" t="b">
        <f t="shared" si="10"/>
        <v>1</v>
      </c>
    </row>
    <row r="177" spans="1:11">
      <c r="A177" s="354" t="str">
        <f>DataNameProd2&amp;" Material Costs"</f>
        <v>Breakthrough Material Costs</v>
      </c>
      <c r="B177" s="354"/>
      <c r="C177" s="354"/>
      <c r="D177" s="354"/>
      <c r="E177" s="354"/>
      <c r="F177" s="354"/>
      <c r="G177" s="354"/>
      <c r="H177" s="354"/>
      <c r="I177" s="354"/>
      <c r="K177" t="b">
        <f t="shared" si="10"/>
        <v>1</v>
      </c>
    </row>
    <row r="178" spans="1:11">
      <c r="A178" s="2"/>
      <c r="B178" t="str">
        <f>DataNameProd2 &amp; " 1 Base Cost Per Unit"</f>
        <v>Breakthrough 1 Base Cost Per Unit</v>
      </c>
      <c r="E178" s="399">
        <f>IF((capReg1Prod2UnitsProduction+capReg2Prod2UnitsProduction)=0,0,paramProd21MatCostPUnit)</f>
        <v>0</v>
      </c>
      <c r="F178" s="399">
        <f>IF((capReg1Prod2UnitsProduction+capReg2Prod2UnitsProduction)=0,0,paramProd21MatCostPUnit)</f>
        <v>0</v>
      </c>
      <c r="G178" s="399">
        <f>IF((capReg1Prod2UnitsProduction+capReg2Prod2UnitsProduction)=0,0,paramProd21MatCostPUnit)</f>
        <v>0</v>
      </c>
      <c r="H178" s="399">
        <f>IF((capReg1Prod2UnitsProduction+capReg2Prod2UnitsProduction)=0,0,paramProd21MatCostPUnit)</f>
        <v>0</v>
      </c>
      <c r="I178" s="399">
        <f>IF((capReg1Prod2UnitsProduction+capReg2Prod2UnitsProduction)=0,0,paramProd21MatCostPUnit)</f>
        <v>0</v>
      </c>
      <c r="J178" t="s">
        <v>2489</v>
      </c>
      <c r="K178" t="b">
        <f>MAX(E178:I178)=MIN(E178:I178)</f>
        <v>1</v>
      </c>
    </row>
    <row r="179" spans="1:11">
      <c r="A179" s="2"/>
      <c r="B179" t="str">
        <f>DataNameProd2 &amp; " 2 Base Cost Per Unit"</f>
        <v>Breakthrough 2 Base Cost Per Unit</v>
      </c>
      <c r="E179" s="399">
        <f>IF((capReg1Prod2UnitsProduction+capReg2Prod2UnitsProduction)=0,0,paramProd22MatCostPUnit)</f>
        <v>0</v>
      </c>
      <c r="F179" s="399">
        <f>IF((capReg1Prod2UnitsProduction+capReg2Prod2UnitsProduction)=0,0,paramProd22MatCostPUnit)</f>
        <v>0</v>
      </c>
      <c r="G179" s="399">
        <f>IF((capReg1Prod2UnitsProduction+capReg2Prod2UnitsProduction)=0,0,paramProd22MatCostPUnit)</f>
        <v>0</v>
      </c>
      <c r="H179" s="399">
        <f>IF((capReg1Prod2UnitsProduction+capReg2Prod2UnitsProduction)=0,0,paramProd22MatCostPUnit)</f>
        <v>0</v>
      </c>
      <c r="I179" s="399">
        <f>IF((capReg1Prod2UnitsProduction+capReg2Prod2UnitsProduction)=0,0,paramProd22MatCostPUnit)</f>
        <v>0</v>
      </c>
      <c r="J179" t="s">
        <v>2490</v>
      </c>
      <c r="K179" t="b">
        <f t="shared" si="10"/>
        <v>1</v>
      </c>
    </row>
    <row r="180" spans="1:11">
      <c r="B180" s="207"/>
      <c r="C180" s="207"/>
      <c r="D180" s="207"/>
      <c r="E180" s="207"/>
      <c r="F180" s="207"/>
      <c r="G180" s="207"/>
      <c r="H180" s="207"/>
      <c r="I180" s="207"/>
      <c r="K180" t="b">
        <f t="shared" si="10"/>
        <v>1</v>
      </c>
    </row>
    <row r="181" spans="1:11" s="33" customFormat="1">
      <c r="B181" s="344" t="str">
        <f>DataNameProd2 &amp; " Weighted Avg Mat Cost Per Unit"</f>
        <v>Breakthrough Weighted Avg Mat Cost Per Unit</v>
      </c>
      <c r="C181" s="344"/>
      <c r="D181" s="344"/>
      <c r="E181" s="1119">
        <f>IFERROR((capReg1Prod2UnitsSoldNewProd*capProd21COGSPUnitMat+capReg2Prod2UnitsSoldNewProd*capProd22COGSPUnitMat)/(capReg1Prod2UnitsSoldNewProd+capReg2Prod2UnitsSoldNewProd),0)</f>
        <v>0</v>
      </c>
      <c r="F181" s="1119">
        <f>IFERROR((capReg1Prod2UnitsSoldNewProd*capProd21COGSPUnitMat+capReg2Prod2UnitsSoldNewProd*capProd22COGSPUnitMat)/(capReg1Prod2UnitsSoldNewProd+capReg2Prod2UnitsSoldNewProd),0)</f>
        <v>0</v>
      </c>
      <c r="G181" s="1119">
        <f>IFERROR((capReg1Prod2UnitsSoldNewProd*capProd21COGSPUnitMat+capReg2Prod2UnitsSoldNewProd*capProd22COGSPUnitMat)/(capReg1Prod2UnitsSoldNewProd+capReg2Prod2UnitsSoldNewProd),0)</f>
        <v>0</v>
      </c>
      <c r="H181" s="1119">
        <f>IFERROR((capReg1Prod2UnitsSoldNewProd*capProd21COGSPUnitMat+capReg2Prod2UnitsSoldNewProd*capProd22COGSPUnitMat)/(capReg1Prod2UnitsSoldNewProd+capReg2Prod2UnitsSoldNewProd),0)</f>
        <v>0</v>
      </c>
      <c r="I181" s="1119">
        <f>IFERROR((capReg1Prod2UnitsSoldNewProd*capProd21COGSPUnitMat+capReg2Prod2UnitsSoldNewProd*capProd22COGSPUnitMat)/(capReg1Prod2UnitsSoldNewProd+capReg2Prod2UnitsSoldNewProd),0)</f>
        <v>0</v>
      </c>
      <c r="J181" s="33" t="s">
        <v>1982</v>
      </c>
      <c r="K181" s="33" t="b">
        <f t="shared" si="10"/>
        <v>1</v>
      </c>
    </row>
    <row r="182" spans="1:11">
      <c r="K182" t="b">
        <f t="shared" si="10"/>
        <v>1</v>
      </c>
    </row>
    <row r="183" spans="1:11">
      <c r="A183" s="354" t="str">
        <f>DataNameProd3&amp;" Material Costs"</f>
        <v>NCB Material Costs</v>
      </c>
      <c r="B183" s="354"/>
      <c r="C183" s="354"/>
      <c r="D183" s="354"/>
      <c r="E183" s="354"/>
      <c r="F183" s="354"/>
      <c r="G183" s="354"/>
      <c r="H183" s="354"/>
      <c r="I183" s="354"/>
      <c r="K183" t="b">
        <f t="shared" si="10"/>
        <v>1</v>
      </c>
    </row>
    <row r="184" spans="1:11">
      <c r="A184" s="2"/>
      <c r="B184" t="str">
        <f>DataNameProd3 &amp; " Base Cost Per Unit"</f>
        <v>NCB Base Cost Per Unit</v>
      </c>
      <c r="E184" s="438">
        <f>paramProd3MatCostPUnit</f>
        <v>4.004969096</v>
      </c>
      <c r="F184" s="438">
        <f>paramProd3MatCostPUnit</f>
        <v>4.004969096</v>
      </c>
      <c r="G184" s="438">
        <f>paramProd3MatCostPUnit</f>
        <v>4.004969096</v>
      </c>
      <c r="H184" s="438">
        <f>paramProd3MatCostPUnit</f>
        <v>4.004969096</v>
      </c>
      <c r="I184" s="438">
        <f>paramProd3MatCostPUnit</f>
        <v>4.004969096</v>
      </c>
      <c r="K184" t="b">
        <f t="shared" si="10"/>
        <v>1</v>
      </c>
    </row>
    <row r="185" spans="1:11">
      <c r="B185" s="207"/>
      <c r="C185" s="207"/>
      <c r="D185" s="207"/>
      <c r="E185" s="207"/>
      <c r="F185" s="207"/>
      <c r="G185" s="207"/>
      <c r="H185" s="207"/>
      <c r="I185" s="207"/>
      <c r="K185" t="b">
        <f t="shared" si="10"/>
        <v>1</v>
      </c>
    </row>
    <row r="186" spans="1:11">
      <c r="B186" s="2" t="str">
        <f>DataNameProd3 &amp; " Total Material Cost Per Unit"</f>
        <v>NCB Total Material Cost Per Unit</v>
      </c>
      <c r="C186" s="2"/>
      <c r="D186" s="2"/>
      <c r="E186" s="429">
        <f>SUM(E184:E184)</f>
        <v>4.004969096</v>
      </c>
      <c r="F186" s="429">
        <f>SUM(F184:F184)</f>
        <v>4.004969096</v>
      </c>
      <c r="G186" s="429">
        <f>SUM(G184:G184)</f>
        <v>4.004969096</v>
      </c>
      <c r="H186" s="429">
        <f>SUM(H184:H184)</f>
        <v>4.004969096</v>
      </c>
      <c r="I186" s="429">
        <f>SUM(I184:I184)</f>
        <v>4.004969096</v>
      </c>
      <c r="J186" t="s">
        <v>687</v>
      </c>
      <c r="K186" t="b">
        <f t="shared" si="10"/>
        <v>1</v>
      </c>
    </row>
    <row r="187" spans="1:11">
      <c r="B187" s="2"/>
      <c r="C187" s="2"/>
      <c r="D187" s="2"/>
      <c r="E187" s="2"/>
      <c r="F187" s="2"/>
      <c r="G187" s="2"/>
      <c r="H187" s="2"/>
      <c r="I187" s="2"/>
      <c r="K187" t="b">
        <f t="shared" ref="K187:K265" si="11">MAX(E187:I187)=MIN(E187:I187)</f>
        <v>1</v>
      </c>
    </row>
    <row r="188" spans="1:11">
      <c r="A188" s="354" t="str">
        <f>DataNameProd4&amp;" Material Costs"</f>
        <v>F&amp;S Material Costs</v>
      </c>
      <c r="B188" s="354"/>
      <c r="C188" s="354"/>
      <c r="D188" s="354"/>
      <c r="E188" s="354"/>
      <c r="F188" s="354"/>
      <c r="G188" s="354"/>
      <c r="H188" s="354"/>
      <c r="I188" s="354"/>
      <c r="K188" t="b">
        <f t="shared" si="11"/>
        <v>1</v>
      </c>
    </row>
    <row r="189" spans="1:11">
      <c r="A189" s="2"/>
      <c r="B189" t="str">
        <f>DataNameProd4 &amp; " Base Cost Per Unit"</f>
        <v>F&amp;S Base Cost Per Unit</v>
      </c>
      <c r="E189" s="399">
        <f>paramProd4MatCostPUnit</f>
        <v>3.3147265540000004</v>
      </c>
      <c r="F189" s="399">
        <f>paramProd4MatCostPUnit</f>
        <v>3.3147265540000004</v>
      </c>
      <c r="G189" s="399">
        <f>paramProd4MatCostPUnit</f>
        <v>3.3147265540000004</v>
      </c>
      <c r="H189" s="399">
        <f>paramProd4MatCostPUnit</f>
        <v>3.3147265540000004</v>
      </c>
      <c r="I189" s="399">
        <f>paramProd4MatCostPUnit</f>
        <v>3.3147265540000004</v>
      </c>
      <c r="K189" t="b">
        <f t="shared" si="11"/>
        <v>1</v>
      </c>
    </row>
    <row r="190" spans="1:11">
      <c r="B190" s="207"/>
      <c r="C190" s="207"/>
      <c r="D190" s="207"/>
      <c r="E190" s="207"/>
      <c r="F190" s="207"/>
      <c r="G190" s="207"/>
      <c r="H190" s="207"/>
      <c r="I190" s="207"/>
      <c r="K190" t="b">
        <f t="shared" si="11"/>
        <v>1</v>
      </c>
    </row>
    <row r="191" spans="1:11">
      <c r="B191" s="2" t="str">
        <f>DataNameProd4 &amp; " Total Material Cost Per Unit"</f>
        <v>F&amp;S Total Material Cost Per Unit</v>
      </c>
      <c r="C191" s="2"/>
      <c r="D191" s="2"/>
      <c r="E191" s="429">
        <f>SUM(E189:E189)</f>
        <v>3.3147265540000004</v>
      </c>
      <c r="F191" s="429">
        <f>SUM(F189:F189)</f>
        <v>3.3147265540000004</v>
      </c>
      <c r="G191" s="429">
        <f>SUM(G189:G189)</f>
        <v>3.3147265540000004</v>
      </c>
      <c r="H191" s="429">
        <f>SUM(H189:H189)</f>
        <v>3.3147265540000004</v>
      </c>
      <c r="I191" s="429">
        <f>SUM(I189:I189)</f>
        <v>3.3147265540000004</v>
      </c>
      <c r="J191" t="s">
        <v>1958</v>
      </c>
      <c r="K191" t="b">
        <f t="shared" si="11"/>
        <v>1</v>
      </c>
    </row>
    <row r="192" spans="1:11">
      <c r="K192" t="b">
        <f t="shared" si="11"/>
        <v>1</v>
      </c>
    </row>
    <row r="193" spans="1:11">
      <c r="K193" t="b">
        <f t="shared" si="11"/>
        <v>1</v>
      </c>
    </row>
    <row r="194" spans="1:11" ht="15.75">
      <c r="A194" s="24" t="s">
        <v>940</v>
      </c>
      <c r="B194" s="25"/>
      <c r="C194" s="25"/>
      <c r="D194" s="25"/>
      <c r="E194" s="25"/>
      <c r="F194" s="25"/>
      <c r="G194" s="25"/>
      <c r="H194" s="25"/>
      <c r="I194" s="25"/>
      <c r="K194" t="b">
        <f t="shared" si="11"/>
        <v>1</v>
      </c>
    </row>
    <row r="195" spans="1:11">
      <c r="K195" t="b">
        <f t="shared" si="11"/>
        <v>1</v>
      </c>
    </row>
    <row r="196" spans="1:11">
      <c r="A196" s="354" t="str">
        <f>DataNamePlant1&amp;" Hours Required"</f>
        <v>Plant Hours Required</v>
      </c>
      <c r="B196" s="354"/>
      <c r="C196" s="354"/>
      <c r="D196" s="354"/>
      <c r="E196" s="354"/>
      <c r="F196" s="354"/>
      <c r="G196" s="354"/>
      <c r="H196" s="354"/>
      <c r="I196" s="354"/>
      <c r="K196" t="b">
        <f t="shared" si="11"/>
        <v>1</v>
      </c>
    </row>
    <row r="197" spans="1:11" s="33" customFormat="1">
      <c r="A197" s="450"/>
      <c r="B197" s="451" t="s">
        <v>3791</v>
      </c>
      <c r="C197" s="450"/>
      <c r="D197" s="450"/>
      <c r="E197" s="450"/>
      <c r="F197" s="450"/>
      <c r="G197" s="450"/>
      <c r="H197" s="450"/>
      <c r="I197" s="450"/>
      <c r="K197" t="b">
        <f t="shared" si="11"/>
        <v>1</v>
      </c>
    </row>
    <row r="198" spans="1:11" s="33" customFormat="1">
      <c r="A198" s="450"/>
      <c r="B198" t="str">
        <f>DataNameProd1 &amp; " Plant Hours Required"</f>
        <v>CSD Plant Hours Required</v>
      </c>
      <c r="C198" s="450"/>
      <c r="D198" s="450"/>
      <c r="E198" s="14">
        <f>capReg1Prod1UnitsProduction*paramProd1MachHrsReqPUnit</f>
        <v>788484.95161608886</v>
      </c>
      <c r="F198" s="14">
        <f>capReg1Prod1UnitsProduction*paramProd1MachHrsReqPUnit</f>
        <v>788484.95161608886</v>
      </c>
      <c r="G198" s="14">
        <f>capReg1Prod1UnitsProduction*paramProd1MachHrsReqPUnit</f>
        <v>788484.95161608886</v>
      </c>
      <c r="H198" s="14">
        <f>capReg1Prod1UnitsProduction*paramProd1MachHrsReqPUnit</f>
        <v>788484.95161608886</v>
      </c>
      <c r="I198" s="14">
        <f>capReg1Prod1UnitsProduction*paramProd1MachHrsReqPUnit</f>
        <v>788484.95161608886</v>
      </c>
      <c r="K198" t="b">
        <f t="shared" si="11"/>
        <v>1</v>
      </c>
    </row>
    <row r="199" spans="1:11" s="33" customFormat="1">
      <c r="A199" s="450"/>
      <c r="B199" t="str">
        <f>DataNameProd3 &amp; " Plant Hours Required"</f>
        <v>NCB Plant Hours Required</v>
      </c>
      <c r="C199" s="450"/>
      <c r="D199" s="450"/>
      <c r="E199" s="14">
        <f>(capReg1Prod3UnitsProduction*paramProd3MachHrsReqPUnit)</f>
        <v>772729.71218657377</v>
      </c>
      <c r="F199" s="14">
        <f>(capReg1Prod3UnitsProduction*paramProd3MachHrsReqPUnit)</f>
        <v>772729.71218657377</v>
      </c>
      <c r="G199" s="14">
        <f>(capReg1Prod3UnitsProduction*paramProd3MachHrsReqPUnit)</f>
        <v>772729.71218657377</v>
      </c>
      <c r="H199" s="14">
        <f>(capReg1Prod3UnitsProduction*paramProd3MachHrsReqPUnit)</f>
        <v>772729.71218657377</v>
      </c>
      <c r="I199" s="14">
        <f>(capReg1Prod3UnitsProduction*paramProd3MachHrsReqPUnit)</f>
        <v>772729.71218657377</v>
      </c>
      <c r="K199" t="b">
        <f t="shared" si="11"/>
        <v>1</v>
      </c>
    </row>
    <row r="200" spans="1:11" s="33" customFormat="1">
      <c r="A200" s="450"/>
      <c r="B200" t="str">
        <f>DataNameProd4 &amp; " Plant Hours Required"</f>
        <v>F&amp;S Plant Hours Required</v>
      </c>
      <c r="C200" s="450"/>
      <c r="D200" s="450"/>
      <c r="E200" s="14">
        <f>capReg1Prod4UnitsProduction*paramProd4MachHrsReqPUnit</f>
        <v>1013252.4551373887</v>
      </c>
      <c r="F200" s="14">
        <f>capReg1Prod4UnitsProduction*paramProd4MachHrsReqPUnit</f>
        <v>1013252.4551373887</v>
      </c>
      <c r="G200" s="14">
        <f>capReg1Prod4UnitsProduction*paramProd4MachHrsReqPUnit</f>
        <v>1013252.4551373887</v>
      </c>
      <c r="H200" s="14">
        <f>capReg1Prod4UnitsProduction*paramProd4MachHrsReqPUnit</f>
        <v>1013252.4551373887</v>
      </c>
      <c r="I200" s="14">
        <f>capReg1Prod4UnitsProduction*paramProd4MachHrsReqPUnit</f>
        <v>1013252.4551373887</v>
      </c>
      <c r="K200" t="b">
        <f t="shared" si="11"/>
        <v>1</v>
      </c>
    </row>
    <row r="201" spans="1:11" s="33" customFormat="1">
      <c r="A201" s="450"/>
      <c r="B201" s="207"/>
      <c r="C201" s="207"/>
      <c r="D201" s="207"/>
      <c r="E201" s="207"/>
      <c r="F201" s="207"/>
      <c r="G201" s="207"/>
      <c r="H201" s="207"/>
      <c r="I201" s="207"/>
      <c r="K201" t="b">
        <f t="shared" si="11"/>
        <v>1</v>
      </c>
    </row>
    <row r="202" spans="1:11" s="33" customFormat="1">
      <c r="A202" s="450"/>
      <c r="B202" s="451" t="s">
        <v>3792</v>
      </c>
      <c r="C202" s="450"/>
      <c r="D202" s="450"/>
      <c r="E202" s="450"/>
      <c r="F202" s="450"/>
      <c r="G202" s="450"/>
      <c r="H202" s="450"/>
      <c r="I202" s="450"/>
      <c r="K202" t="b">
        <f t="shared" si="11"/>
        <v>1</v>
      </c>
    </row>
    <row r="203" spans="1:11">
      <c r="B203" t="str">
        <f>DataNameProd1 &amp; " Plant Hours Required"</f>
        <v>CSD Plant Hours Required</v>
      </c>
      <c r="E203" s="14">
        <f>capReg2Prod1UnitsProduction*paramProd1MachHrsReqPUnit</f>
        <v>379301.00116829557</v>
      </c>
      <c r="F203" s="14">
        <f>capReg2Prod1UnitsProduction*paramProd1MachHrsReqPUnit</f>
        <v>379301.00116829557</v>
      </c>
      <c r="G203" s="14">
        <f>capReg2Prod1UnitsProduction*paramProd1MachHrsReqPUnit</f>
        <v>379301.00116829557</v>
      </c>
      <c r="H203" s="14">
        <f>capReg2Prod1UnitsProduction*paramProd1MachHrsReqPUnit</f>
        <v>379301.00116829557</v>
      </c>
      <c r="I203" s="14">
        <f>capReg2Prod1UnitsProduction*paramProd1MachHrsReqPUnit</f>
        <v>379301.00116829557</v>
      </c>
      <c r="K203" t="b">
        <f t="shared" si="11"/>
        <v>1</v>
      </c>
    </row>
    <row r="204" spans="1:11">
      <c r="B204" t="str">
        <f>DataNameProd3 &amp; " Plant Hours Required"</f>
        <v>NCB Plant Hours Required</v>
      </c>
      <c r="E204" s="14">
        <f>(capReg2Prod3UnitsProduction*paramProd3MachHrsReqPUnit)</f>
        <v>530606.61075374682</v>
      </c>
      <c r="F204" s="14">
        <f>(capReg2Prod3UnitsProduction*paramProd3MachHrsReqPUnit)</f>
        <v>530606.61075374682</v>
      </c>
      <c r="G204" s="14">
        <f>(capReg2Prod3UnitsProduction*paramProd3MachHrsReqPUnit)</f>
        <v>530606.61075374682</v>
      </c>
      <c r="H204" s="14">
        <f>(capReg2Prod3UnitsProduction*paramProd3MachHrsReqPUnit)</f>
        <v>530606.61075374682</v>
      </c>
      <c r="I204" s="14">
        <f>(capReg2Prod3UnitsProduction*paramProd3MachHrsReqPUnit)</f>
        <v>530606.61075374682</v>
      </c>
      <c r="K204" t="b">
        <f>MAX(E204:I204)=MIN(E204:I204)</f>
        <v>1</v>
      </c>
    </row>
    <row r="205" spans="1:11">
      <c r="B205" t="str">
        <f>DataNameProd4 &amp; " Plant Hours Required"</f>
        <v>F&amp;S Plant Hours Required</v>
      </c>
      <c r="E205" s="14">
        <f>capReg2Prod4UnitsProduction*paramProd4MachHrsReqPUnit</f>
        <v>421319.30094170925</v>
      </c>
      <c r="F205" s="14">
        <f>capReg2Prod4UnitsProduction*paramProd4MachHrsReqPUnit</f>
        <v>421319.30094170925</v>
      </c>
      <c r="G205" s="14">
        <f>capReg2Prod4UnitsProduction*paramProd4MachHrsReqPUnit</f>
        <v>421319.30094170925</v>
      </c>
      <c r="H205" s="14">
        <f>capReg2Prod4UnitsProduction*paramProd4MachHrsReqPUnit</f>
        <v>421319.30094170925</v>
      </c>
      <c r="I205" s="14">
        <f>capReg2Prod4UnitsProduction*paramProd4MachHrsReqPUnit</f>
        <v>421319.30094170925</v>
      </c>
      <c r="K205" t="b">
        <f>MAX(E205:I205)=MIN(E205:I205)</f>
        <v>1</v>
      </c>
    </row>
    <row r="206" spans="1:11">
      <c r="B206" s="207"/>
      <c r="C206" s="207"/>
      <c r="D206" s="207"/>
      <c r="E206" s="207"/>
      <c r="F206" s="207"/>
      <c r="G206" s="207"/>
      <c r="H206" s="207"/>
      <c r="I206" s="207"/>
      <c r="K206" t="b">
        <f t="shared" si="11"/>
        <v>1</v>
      </c>
    </row>
    <row r="207" spans="1:11" s="33" customFormat="1">
      <c r="A207" s="450"/>
      <c r="B207" s="2" t="str">
        <f>DataNameProd2&amp;" Slot 1 Plant Hours Required"</f>
        <v>Breakthrough Slot 1 Plant Hours Required</v>
      </c>
      <c r="C207" s="450"/>
      <c r="D207" s="450"/>
      <c r="E207" s="14">
        <f>capReg1Prod2UnitsProduction*paramProd2MachHrsReqPUnit</f>
        <v>0</v>
      </c>
      <c r="F207" s="14">
        <f>capReg1Prod2UnitsProduction*paramProd2MachHrsReqPUnit</f>
        <v>0</v>
      </c>
      <c r="G207" s="14">
        <f>capReg1Prod2UnitsProduction*paramProd2MachHrsReqPUnit</f>
        <v>0</v>
      </c>
      <c r="H207" s="14">
        <f>capReg1Prod2UnitsProduction*paramProd2MachHrsReqPUnit</f>
        <v>0</v>
      </c>
      <c r="I207" s="14">
        <f>capReg1Prod2UnitsProduction*paramProd2MachHrsReqPUnit</f>
        <v>0</v>
      </c>
      <c r="J207" s="33" t="s">
        <v>1489</v>
      </c>
      <c r="K207" t="b">
        <f t="shared" ref="K207:K215" si="12">MAX(E207:I207)=MIN(E207:I207)</f>
        <v>1</v>
      </c>
    </row>
    <row r="208" spans="1:11">
      <c r="C208" t="s">
        <v>3791</v>
      </c>
      <c r="E208" s="14">
        <f>IF(cbalDisrupt1=0,0,HLOOKUP(cbalDisrupt1,dataDisruptWeight,2,0)*E207)</f>
        <v>0</v>
      </c>
      <c r="F208" s="14">
        <f>IF(cbalDisrupt1=0,0,HLOOKUP(cbalDisrupt1,dataDisruptWeight,2,0)*F207)</f>
        <v>0</v>
      </c>
      <c r="G208" s="14">
        <f>IF(cbalDisrupt1=0,0,HLOOKUP(cbalDisrupt1,dataDisruptWeight,2,0)*G207)</f>
        <v>0</v>
      </c>
      <c r="H208" s="14">
        <f>IF(cbalDisrupt1=0,0,HLOOKUP(cbalDisrupt1,dataDisruptWeight,2,0)*H207)</f>
        <v>0</v>
      </c>
      <c r="I208" s="14">
        <f>IF(cbalDisrupt1=0,0,HLOOKUP(cbalDisrupt1,dataDisruptWeight,2,0)*I207)</f>
        <v>0</v>
      </c>
      <c r="K208" t="b">
        <f t="shared" si="12"/>
        <v>1</v>
      </c>
    </row>
    <row r="209" spans="1:11">
      <c r="C209" t="s">
        <v>3792</v>
      </c>
      <c r="E209" s="14">
        <f>IF(cbalDisrupt1=0,0,E207-E208)</f>
        <v>0</v>
      </c>
      <c r="F209" s="14">
        <f>IF(cbalDisrupt1=0,0,F207-F208)</f>
        <v>0</v>
      </c>
      <c r="G209" s="14">
        <f>IF(cbalDisrupt1=0,0,G207-G208)</f>
        <v>0</v>
      </c>
      <c r="H209" s="14">
        <f>IF(cbalDisrupt1=0,0,H207-H208)</f>
        <v>0</v>
      </c>
      <c r="I209" s="14">
        <f>IF(cbalDisrupt1=0,0,I207-I208)</f>
        <v>0</v>
      </c>
      <c r="K209" t="b">
        <f t="shared" si="12"/>
        <v>1</v>
      </c>
    </row>
    <row r="210" spans="1:11">
      <c r="B210" s="2" t="str">
        <f>DataNameProd2&amp;" Slot 2 Plant Hours Required"</f>
        <v>Breakthrough Slot 2 Plant Hours Required</v>
      </c>
      <c r="E210" s="14">
        <f>capReg2Prod2UnitsProduction*paramProd2MachHrsReqPUnit</f>
        <v>0</v>
      </c>
      <c r="F210" s="14">
        <f>capReg2Prod2UnitsProduction*paramProd2MachHrsReqPUnit</f>
        <v>0</v>
      </c>
      <c r="G210" s="14">
        <f>capReg2Prod2UnitsProduction*paramProd2MachHrsReqPUnit</f>
        <v>0</v>
      </c>
      <c r="H210" s="14">
        <f>capReg2Prod2UnitsProduction*paramProd2MachHrsReqPUnit</f>
        <v>0</v>
      </c>
      <c r="I210" s="14">
        <f>capReg2Prod2UnitsProduction*paramProd2MachHrsReqPUnit</f>
        <v>0</v>
      </c>
      <c r="J210" s="33" t="s">
        <v>1490</v>
      </c>
      <c r="K210" t="b">
        <f t="shared" si="12"/>
        <v>1</v>
      </c>
    </row>
    <row r="211" spans="1:11">
      <c r="C211" t="s">
        <v>3791</v>
      </c>
      <c r="E211" s="14">
        <f>IF(cbalDisrupt2=0,0,HLOOKUP(cbalDisrupt2,dataDisruptWeight,2,0)*E210)</f>
        <v>0</v>
      </c>
      <c r="F211" s="14">
        <f>IF(cbalDisrupt2=0,0,HLOOKUP(cbalDisrupt2,dataDisruptWeight,2,0)*F210)</f>
        <v>0</v>
      </c>
      <c r="G211" s="14">
        <f>IF(cbalDisrupt2=0,0,HLOOKUP(cbalDisrupt2,dataDisruptWeight,2,0)*G210)</f>
        <v>0</v>
      </c>
      <c r="H211" s="14">
        <f>IF(cbalDisrupt2=0,0,HLOOKUP(cbalDisrupt2,dataDisruptWeight,2,0)*H210)</f>
        <v>0</v>
      </c>
      <c r="I211" s="14">
        <f>IF(cbalDisrupt2=0,0,HLOOKUP(cbalDisrupt2,dataDisruptWeight,2,0)*I210)</f>
        <v>0</v>
      </c>
      <c r="K211" t="b">
        <f t="shared" si="12"/>
        <v>1</v>
      </c>
    </row>
    <row r="212" spans="1:11" s="33" customFormat="1">
      <c r="B212" s="452"/>
      <c r="C212" t="s">
        <v>3792</v>
      </c>
      <c r="D212" s="149"/>
      <c r="E212" s="14">
        <f>IF(cbalDisrupt2=0,0,E210-E211)</f>
        <v>0</v>
      </c>
      <c r="F212" s="14">
        <f>IF(cbalDisrupt2=0,0,F210-F211)</f>
        <v>0</v>
      </c>
      <c r="G212" s="14">
        <f>IF(cbalDisrupt2=0,0,G210-G211)</f>
        <v>0</v>
      </c>
      <c r="H212" s="14">
        <f>IF(cbalDisrupt2=0,0,H210-H211)</f>
        <v>0</v>
      </c>
      <c r="I212" s="14">
        <f>IF(cbalDisrupt2=0,0,I210-I211)</f>
        <v>0</v>
      </c>
      <c r="K212" t="b">
        <f t="shared" si="12"/>
        <v>1</v>
      </c>
    </row>
    <row r="213" spans="1:11" s="33" customFormat="1">
      <c r="B213" s="452"/>
      <c r="C213"/>
      <c r="D213" s="149"/>
      <c r="E213" s="453"/>
      <c r="F213" s="453"/>
      <c r="G213" s="453"/>
      <c r="H213" s="453"/>
      <c r="I213" s="453"/>
      <c r="K213" t="b">
        <f t="shared" si="12"/>
        <v>1</v>
      </c>
    </row>
    <row r="214" spans="1:11" s="33" customFormat="1">
      <c r="A214" s="450"/>
      <c r="B214" s="452" t="s">
        <v>1271</v>
      </c>
      <c r="C214" s="149"/>
      <c r="D214" s="149"/>
      <c r="E214" s="453">
        <f>SUM(E198:E200)</f>
        <v>2574467.1189400512</v>
      </c>
      <c r="F214" s="453">
        <f>SUM(F198:F200)</f>
        <v>2574467.1189400512</v>
      </c>
      <c r="G214" s="453">
        <f>SUM(G198:G200)</f>
        <v>2574467.1189400512</v>
      </c>
      <c r="H214" s="453">
        <f>SUM(H198:H200)</f>
        <v>2574467.1189400512</v>
      </c>
      <c r="I214" s="453">
        <f>SUM(I198:I200)</f>
        <v>2574467.1189400512</v>
      </c>
      <c r="J214" s="33" t="s">
        <v>1273</v>
      </c>
      <c r="K214" t="b">
        <f t="shared" si="12"/>
        <v>1</v>
      </c>
    </row>
    <row r="215" spans="1:11" s="33" customFormat="1">
      <c r="B215" s="452" t="s">
        <v>1272</v>
      </c>
      <c r="C215" s="149"/>
      <c r="D215" s="149"/>
      <c r="E215" s="453">
        <f>SUM(E203:E205)</f>
        <v>1331226.9128637516</v>
      </c>
      <c r="F215" s="453">
        <f>SUM(F203:F205)</f>
        <v>1331226.9128637516</v>
      </c>
      <c r="G215" s="453">
        <f>SUM(G203:G205)</f>
        <v>1331226.9128637516</v>
      </c>
      <c r="H215" s="453">
        <f>SUM(H203:H205)</f>
        <v>1331226.9128637516</v>
      </c>
      <c r="I215" s="453">
        <f>SUM(I203:I205)</f>
        <v>1331226.9128637516</v>
      </c>
      <c r="J215" s="33" t="s">
        <v>1277</v>
      </c>
      <c r="K215" t="b">
        <f t="shared" si="12"/>
        <v>1</v>
      </c>
    </row>
    <row r="216" spans="1:11" s="33" customFormat="1">
      <c r="B216" s="149"/>
      <c r="C216" s="149"/>
      <c r="D216" s="149"/>
      <c r="E216" s="149"/>
      <c r="F216" s="149"/>
      <c r="G216" s="149"/>
      <c r="H216" s="149"/>
      <c r="I216" s="149"/>
      <c r="K216" t="b">
        <f t="shared" si="11"/>
        <v>1</v>
      </c>
    </row>
    <row r="217" spans="1:11">
      <c r="B217" s="2" t="s">
        <v>2571</v>
      </c>
      <c r="C217" s="2"/>
      <c r="D217" s="2"/>
      <c r="E217" s="17">
        <f>(E214+E215)*paramPlant1HoursReq</f>
        <v>3905694.0318038026</v>
      </c>
      <c r="F217" s="17">
        <f>(F214+F215)*paramPlant1HoursReq</f>
        <v>3905694.0318038026</v>
      </c>
      <c r="G217" s="17">
        <f>(G214+G215)*paramPlant1HoursReq</f>
        <v>3905694.0318038026</v>
      </c>
      <c r="H217" s="17">
        <f>(H214+H215)*paramPlant1HoursReq</f>
        <v>3905694.0318038026</v>
      </c>
      <c r="I217" s="17">
        <f>(I214+I215)*paramPlant1HoursReq</f>
        <v>3905694.0318038026</v>
      </c>
      <c r="J217" t="s">
        <v>338</v>
      </c>
      <c r="K217" t="b">
        <f t="shared" si="11"/>
        <v>1</v>
      </c>
    </row>
    <row r="218" spans="1:11">
      <c r="E218" s="14"/>
      <c r="F218" s="14"/>
      <c r="G218" s="14"/>
      <c r="H218" s="14"/>
      <c r="I218" s="14"/>
      <c r="K218" t="b">
        <f t="shared" si="11"/>
        <v>1</v>
      </c>
    </row>
    <row r="219" spans="1:11">
      <c r="B219" t="str">
        <f>DataNamePlant1&amp;" Units Sold"</f>
        <v>Plant Units Sold</v>
      </c>
      <c r="E219">
        <f>-MIN(0,capPlant1UnitsChange+0)</f>
        <v>0</v>
      </c>
      <c r="F219">
        <f>-MIN(0,capPlant1UnitsChange+0)</f>
        <v>0</v>
      </c>
      <c r="G219">
        <f>-MIN(0,capPlant1UnitsChange+0)</f>
        <v>0</v>
      </c>
      <c r="H219">
        <f>-MIN(0,capPlant1UnitsChange+0)</f>
        <v>0</v>
      </c>
      <c r="I219">
        <f>-MIN(0,capPlant1UnitsChange+0)</f>
        <v>0</v>
      </c>
      <c r="K219" t="b">
        <f t="shared" si="11"/>
        <v>1</v>
      </c>
    </row>
    <row r="220" spans="1:11">
      <c r="B220" t="str">
        <f>DataNamePlant1&amp;" Units Bought"</f>
        <v>Plant Units Bought</v>
      </c>
      <c r="E220">
        <f>MAX(0,capPlant1UnitsChange+0)</f>
        <v>20</v>
      </c>
      <c r="F220">
        <f>MAX(0,capPlant1UnitsChange+0)</f>
        <v>20</v>
      </c>
      <c r="G220">
        <f>MAX(0,capPlant1UnitsChange+0)</f>
        <v>20</v>
      </c>
      <c r="H220">
        <f>MAX(0,capPlant1UnitsChange+0)</f>
        <v>20</v>
      </c>
      <c r="I220">
        <f>MAX(0,capPlant1UnitsChange+0)</f>
        <v>20</v>
      </c>
      <c r="K220" t="b">
        <f t="shared" si="11"/>
        <v>1</v>
      </c>
    </row>
    <row r="221" spans="1:11">
      <c r="B221" t="str">
        <f>DataNamePlant1&amp;" Units leased"</f>
        <v>Plant Units leased</v>
      </c>
      <c r="D221" s="582" t="s">
        <v>1276</v>
      </c>
      <c r="E221">
        <f>paramPlant1LeasedLines</f>
        <v>0</v>
      </c>
      <c r="F221">
        <f>paramPlant1LeasedLines</f>
        <v>0</v>
      </c>
      <c r="G221">
        <f>paramPlant1LeasedLines</f>
        <v>0</v>
      </c>
      <c r="H221">
        <f>paramPlant1LeasedLines</f>
        <v>0</v>
      </c>
      <c r="I221">
        <f>paramPlant1LeasedLines</f>
        <v>0</v>
      </c>
      <c r="K221" t="b">
        <f t="shared" si="11"/>
        <v>1</v>
      </c>
    </row>
    <row r="222" spans="1:11">
      <c r="B222" s="2" t="str">
        <f>DataNamePlant1&amp;" Plant Ending Units"</f>
        <v>Plant Plant Ending Units</v>
      </c>
      <c r="C222" s="2"/>
      <c r="D222" s="2"/>
      <c r="E222" s="2">
        <f>obalPlant1Units+E220-E219</f>
        <v>931</v>
      </c>
      <c r="F222" s="2">
        <f>obalPlant1Units+F220-F219</f>
        <v>931</v>
      </c>
      <c r="G222" s="2">
        <f>obalPlant1Units+G220-G219</f>
        <v>931</v>
      </c>
      <c r="H222" s="2">
        <f>obalPlant1Units+H220-H219</f>
        <v>931</v>
      </c>
      <c r="I222" s="2">
        <f>obalPlant1Units+I220-I219</f>
        <v>931</v>
      </c>
      <c r="J222" t="s">
        <v>2566</v>
      </c>
      <c r="K222" t="b">
        <f t="shared" si="11"/>
        <v>1</v>
      </c>
    </row>
    <row r="223" spans="1:11">
      <c r="B223" s="3" t="str">
        <f>DataNamePlant1&amp;" Units Available"</f>
        <v>Plant Units Available</v>
      </c>
      <c r="C223" s="2"/>
      <c r="D223" s="425"/>
      <c r="E223" s="3">
        <f>(obalPlant1Units-E219)+(E220*paramPlant1RampUpPct)+E221</f>
        <v>931</v>
      </c>
      <c r="F223" s="3">
        <f>(obalPlant1Units-F219)+(F220*paramPlant1RampUpPct)+F221</f>
        <v>931</v>
      </c>
      <c r="G223" s="3">
        <f>(obalPlant1Units-G219)+(G220*paramPlant1RampUpPct)+G221</f>
        <v>931</v>
      </c>
      <c r="H223" s="3">
        <f>(obalPlant1Units-H219)+(H220*paramPlant1RampUpPct)+H221</f>
        <v>931</v>
      </c>
      <c r="I223" s="3">
        <f>(obalPlant1Units-I219)+(I220*paramPlant1RampUpPct)+I221</f>
        <v>931</v>
      </c>
      <c r="J223" s="3" t="s">
        <v>2469</v>
      </c>
      <c r="K223" t="b">
        <f t="shared" si="11"/>
        <v>1</v>
      </c>
    </row>
    <row r="224" spans="1:11">
      <c r="B224" t="s">
        <v>1561</v>
      </c>
      <c r="E224" s="11">
        <f ca="1">paramPlant1MachHrsPUnit*E223*paramPlant1Efficiency</f>
        <v>4273290</v>
      </c>
      <c r="F224" s="11">
        <f ca="1">paramPlant1MachHrsPUnit*F223*paramPlant1Efficiency</f>
        <v>4273290</v>
      </c>
      <c r="G224" s="11">
        <f ca="1">paramPlant1MachHrsPUnit*G223*paramPlant1Efficiency</f>
        <v>4273290</v>
      </c>
      <c r="H224" s="11">
        <f ca="1">paramPlant1MachHrsPUnit*H223*paramPlant1Efficiency</f>
        <v>4273290</v>
      </c>
      <c r="I224" s="11">
        <f ca="1">paramPlant1MachHrsPUnit*I223*paramPlant1Efficiency</f>
        <v>4273290</v>
      </c>
      <c r="J224" t="s">
        <v>2470</v>
      </c>
      <c r="K224" t="b">
        <f t="shared" ca="1" si="11"/>
        <v>1</v>
      </c>
    </row>
    <row r="225" spans="1:14">
      <c r="B225" t="s">
        <v>3641</v>
      </c>
      <c r="E225" s="460">
        <f ca="1">ROUNDUP(E217/E224,3)</f>
        <v>0.91400000000000003</v>
      </c>
      <c r="F225" s="460">
        <f ca="1">ROUNDUP(F217/F224,3)</f>
        <v>0.91400000000000003</v>
      </c>
      <c r="G225" s="460">
        <f ca="1">ROUNDUP(G217/G224,3)</f>
        <v>0.91400000000000003</v>
      </c>
      <c r="H225" s="460">
        <f ca="1">ROUNDUP(H217/H224,3)</f>
        <v>0.91400000000000003</v>
      </c>
      <c r="I225" s="460">
        <f ca="1">ROUNDUP(I217/I224,3)</f>
        <v>0.91400000000000003</v>
      </c>
      <c r="J225" t="s">
        <v>2471</v>
      </c>
      <c r="K225" t="b">
        <f t="shared" ca="1" si="11"/>
        <v>1</v>
      </c>
      <c r="N225">
        <f>2/0.098</f>
        <v>20.408163265306122</v>
      </c>
    </row>
    <row r="226" spans="1:14">
      <c r="B226" t="s">
        <v>1562</v>
      </c>
      <c r="E226" s="11">
        <f>obalPlant1Value/obalPlant1Units*E219</f>
        <v>0</v>
      </c>
      <c r="F226" s="11">
        <f>obalPlant1Value/obalPlant1Units*F219</f>
        <v>0</v>
      </c>
      <c r="G226" s="11">
        <f>obalPlant1Value/obalPlant1Units*G219</f>
        <v>0</v>
      </c>
      <c r="H226" s="11">
        <f>obalPlant1Value/obalPlant1Units*H219</f>
        <v>0</v>
      </c>
      <c r="I226" s="11">
        <f>obalPlant1Value/obalPlant1Units*I219</f>
        <v>0</v>
      </c>
      <c r="J226" t="s">
        <v>1997</v>
      </c>
      <c r="K226" t="b">
        <f t="shared" si="11"/>
        <v>1</v>
      </c>
    </row>
    <row r="227" spans="1:14">
      <c r="B227" t="s">
        <v>383</v>
      </c>
      <c r="E227" s="11">
        <f>E219*paramPlant1DivRevenue</f>
        <v>0</v>
      </c>
      <c r="F227" s="11">
        <f>F219*paramPlant1DivRevenue</f>
        <v>0</v>
      </c>
      <c r="G227" s="11">
        <f>G219*paramPlant1DivRevenue</f>
        <v>0</v>
      </c>
      <c r="H227" s="11">
        <f>H219*paramPlant1DivRevenue</f>
        <v>0</v>
      </c>
      <c r="I227" s="11">
        <f>I219*paramPlant1DivRevenue</f>
        <v>0</v>
      </c>
      <c r="J227" t="s">
        <v>775</v>
      </c>
      <c r="K227" t="b">
        <f t="shared" si="11"/>
        <v>1</v>
      </c>
    </row>
    <row r="228" spans="1:14">
      <c r="B228" t="s">
        <v>384</v>
      </c>
      <c r="E228" s="11">
        <f>E226-E227</f>
        <v>0</v>
      </c>
      <c r="F228" s="11">
        <f>F226-F227</f>
        <v>0</v>
      </c>
      <c r="G228" s="11">
        <f>G226-G227</f>
        <v>0</v>
      </c>
      <c r="H228" s="11">
        <f>H226-H227</f>
        <v>0</v>
      </c>
      <c r="I228" s="11">
        <f>I226-I227</f>
        <v>0</v>
      </c>
      <c r="J228" t="s">
        <v>3670</v>
      </c>
      <c r="K228" t="b">
        <f t="shared" si="11"/>
        <v>1</v>
      </c>
    </row>
    <row r="229" spans="1:14">
      <c r="B229" t="s">
        <v>1667</v>
      </c>
      <c r="E229" s="11">
        <f>paramPlantFlexRamp</f>
        <v>0</v>
      </c>
      <c r="F229" s="11">
        <f>paramPlantFlexRamp</f>
        <v>0</v>
      </c>
      <c r="G229" s="11">
        <f>paramPlantFlexRamp</f>
        <v>0</v>
      </c>
      <c r="H229" s="11">
        <f>paramPlantFlexRamp</f>
        <v>0</v>
      </c>
      <c r="I229" s="11">
        <f>paramPlantFlexRamp</f>
        <v>0</v>
      </c>
      <c r="J229" t="s">
        <v>1668</v>
      </c>
      <c r="K229" t="b">
        <f t="shared" si="11"/>
        <v>1</v>
      </c>
    </row>
    <row r="230" spans="1:14">
      <c r="A230" s="2"/>
      <c r="B230" t="s">
        <v>385</v>
      </c>
      <c r="E230" s="11">
        <f>E220*paramPlant1InvCost</f>
        <v>160000000</v>
      </c>
      <c r="F230" s="11">
        <f>F220*paramPlant1InvCost</f>
        <v>160000000</v>
      </c>
      <c r="G230" s="11">
        <f>G220*paramPlant1InvCost</f>
        <v>160000000</v>
      </c>
      <c r="H230" s="11">
        <f>H220*paramPlant1InvCost</f>
        <v>160000000</v>
      </c>
      <c r="I230" s="11">
        <f>I220*paramPlant1InvCost</f>
        <v>160000000</v>
      </c>
      <c r="J230" t="s">
        <v>3570</v>
      </c>
      <c r="K230" t="b">
        <f t="shared" si="11"/>
        <v>1</v>
      </c>
    </row>
    <row r="231" spans="1:14">
      <c r="A231" s="2"/>
      <c r="B231" t="s">
        <v>1856</v>
      </c>
      <c r="E231" s="903">
        <f>E268</f>
        <v>818084000</v>
      </c>
      <c r="F231" s="903">
        <f>F268</f>
        <v>818084000</v>
      </c>
      <c r="G231" s="903">
        <f>G268</f>
        <v>818084000</v>
      </c>
      <c r="H231" s="903">
        <f>H268</f>
        <v>818084000</v>
      </c>
      <c r="I231" s="903">
        <f>I268</f>
        <v>818084000</v>
      </c>
      <c r="J231" t="s">
        <v>3571</v>
      </c>
      <c r="K231" t="b">
        <f t="shared" si="11"/>
        <v>1</v>
      </c>
    </row>
    <row r="232" spans="1:14">
      <c r="A232" s="2"/>
      <c r="B232" s="905" t="s">
        <v>4738</v>
      </c>
      <c r="E232" s="903">
        <f>paramITlevelCost+paramGTMDigitalLevelCost</f>
        <v>21472000.000000007</v>
      </c>
      <c r="F232" s="903">
        <f>paramITlevelCost+paramGTMDigitalLevelCost</f>
        <v>21472000.000000007</v>
      </c>
      <c r="G232" s="903">
        <f>paramITlevelCost+paramGTMDigitalLevelCost</f>
        <v>21472000.000000007</v>
      </c>
      <c r="H232" s="903">
        <f>paramITlevelCost+paramGTMDigitalLevelCost</f>
        <v>21472000.000000007</v>
      </c>
      <c r="I232" s="903">
        <f>paramITlevelCost+paramGTMDigitalLevelCost</f>
        <v>21472000.000000007</v>
      </c>
      <c r="J232" s="905" t="s">
        <v>4739</v>
      </c>
      <c r="K232" t="b">
        <f t="shared" ref="K232" si="13">MAX(E232:I232)=MIN(E232:I232)</f>
        <v>1</v>
      </c>
    </row>
    <row r="233" spans="1:14">
      <c r="A233" s="2"/>
      <c r="B233" s="2" t="s">
        <v>386</v>
      </c>
      <c r="C233" s="2"/>
      <c r="D233" s="2"/>
      <c r="E233" s="13">
        <f>SUM(E230:E232)</f>
        <v>999556000</v>
      </c>
      <c r="F233" s="13">
        <f t="shared" ref="F233:I233" si="14">SUM(F230:F232)</f>
        <v>999556000</v>
      </c>
      <c r="G233" s="13">
        <f t="shared" si="14"/>
        <v>999556000</v>
      </c>
      <c r="H233" s="13">
        <f t="shared" si="14"/>
        <v>999556000</v>
      </c>
      <c r="I233" s="13">
        <f t="shared" si="14"/>
        <v>999556000</v>
      </c>
      <c r="J233" t="s">
        <v>2567</v>
      </c>
      <c r="K233" t="b">
        <f t="shared" si="11"/>
        <v>1</v>
      </c>
    </row>
    <row r="234" spans="1:14">
      <c r="K234" t="b">
        <f t="shared" si="11"/>
        <v>1</v>
      </c>
    </row>
    <row r="235" spans="1:14">
      <c r="B235" s="2" t="s">
        <v>2410</v>
      </c>
      <c r="C235" s="2"/>
      <c r="D235" s="2"/>
      <c r="E235" s="17">
        <f ca="1">(paramPlant1MachCostPHr*E224)</f>
        <v>4273290</v>
      </c>
      <c r="F235" s="17">
        <f ca="1">(paramPlant1MachCostPHr*F224)</f>
        <v>4273290</v>
      </c>
      <c r="G235" s="17">
        <f ca="1">(paramPlant1MachCostPHr*G224)</f>
        <v>4273290</v>
      </c>
      <c r="H235" s="17">
        <f ca="1">(paramPlant1MachCostPHr*H224)</f>
        <v>4273290</v>
      </c>
      <c r="I235" s="17">
        <f ca="1">(paramPlant1MachCostPHr*I224)</f>
        <v>4273290</v>
      </c>
      <c r="J235" t="s">
        <v>339</v>
      </c>
      <c r="K235" t="b">
        <f t="shared" ca="1" si="11"/>
        <v>1</v>
      </c>
    </row>
    <row r="236" spans="1:14">
      <c r="B236" s="2" t="s">
        <v>3296</v>
      </c>
      <c r="E236" s="13">
        <f>E221*paramPlant1LeasingCost</f>
        <v>0</v>
      </c>
      <c r="F236" s="13">
        <f>F221*paramPlant1LeasingCost</f>
        <v>0</v>
      </c>
      <c r="G236" s="13">
        <f>G221*paramPlant1LeasingCost</f>
        <v>0</v>
      </c>
      <c r="H236" s="13">
        <f>H221*paramPlant1LeasingCost</f>
        <v>0</v>
      </c>
      <c r="I236" s="13">
        <f>I221*paramPlant1LeasingCost</f>
        <v>0</v>
      </c>
      <c r="J236" t="s">
        <v>3297</v>
      </c>
      <c r="K236" t="b">
        <f>MAX(E236:I236)=MIN(E236:I236)</f>
        <v>1</v>
      </c>
    </row>
    <row r="237" spans="1:14">
      <c r="B237" s="2" t="s">
        <v>2413</v>
      </c>
      <c r="C237" s="2"/>
      <c r="D237" s="2"/>
      <c r="E237" s="429">
        <f ca="1">MAX((1-paramPlant1Efficiency)*E235,0)</f>
        <v>1004223.1499999999</v>
      </c>
      <c r="F237" s="429">
        <f ca="1">MAX((1-paramPlant1Efficiency)*F235,0)</f>
        <v>1004223.1499999999</v>
      </c>
      <c r="G237" s="429">
        <f ca="1">MAX((1-paramPlant1Efficiency)*G235,0)</f>
        <v>1004223.1499999999</v>
      </c>
      <c r="H237" s="429">
        <f ca="1">MAX((1-paramPlant1Efficiency)*H235,0)</f>
        <v>1004223.1499999999</v>
      </c>
      <c r="I237" s="429">
        <f ca="1">MAX((1-paramPlant1Efficiency)*I235,0)</f>
        <v>1004223.1499999999</v>
      </c>
      <c r="J237" t="s">
        <v>617</v>
      </c>
      <c r="K237" t="b">
        <f t="shared" ca="1" si="11"/>
        <v>1</v>
      </c>
    </row>
    <row r="238" spans="1:14">
      <c r="B238" s="2" t="s">
        <v>2414</v>
      </c>
      <c r="C238" s="2"/>
      <c r="D238" s="2"/>
      <c r="E238" s="429">
        <f ca="1">MAX((paramPlant1Efficiency-E225)*E235,0)</f>
        <v>0</v>
      </c>
      <c r="F238" s="429">
        <f ca="1">MAX((paramPlant1Efficiency-F225)*F235,0)</f>
        <v>0</v>
      </c>
      <c r="G238" s="429">
        <f ca="1">MAX((paramPlant1Efficiency-G225)*G235,0)</f>
        <v>0</v>
      </c>
      <c r="H238" s="429">
        <f ca="1">MAX((paramPlant1Efficiency-H225)*H235,0)</f>
        <v>0</v>
      </c>
      <c r="I238" s="429">
        <f ca="1">MAX((paramPlant1Efficiency-I225)*I235,0)</f>
        <v>0</v>
      </c>
      <c r="J238" t="s">
        <v>618</v>
      </c>
      <c r="K238" t="b">
        <f t="shared" ca="1" si="11"/>
        <v>1</v>
      </c>
    </row>
    <row r="239" spans="1:14">
      <c r="B239" s="2"/>
      <c r="C239" s="2"/>
      <c r="D239" s="2"/>
      <c r="E239" s="429"/>
      <c r="F239" s="429"/>
      <c r="G239" s="429"/>
      <c r="H239" s="429"/>
      <c r="I239" s="429"/>
      <c r="K239" t="b">
        <f t="shared" si="11"/>
        <v>1</v>
      </c>
    </row>
    <row r="240" spans="1:14">
      <c r="B240" s="2" t="s">
        <v>44</v>
      </c>
      <c r="C240" s="2"/>
      <c r="D240" s="2"/>
      <c r="E240" s="429"/>
      <c r="F240" s="429"/>
      <c r="G240" s="429"/>
      <c r="H240" s="429"/>
      <c r="I240" s="429"/>
      <c r="K240" t="b">
        <f t="shared" si="11"/>
        <v>1</v>
      </c>
    </row>
    <row r="241" spans="2:11">
      <c r="B241" s="2"/>
      <c r="C241" s="3" t="s">
        <v>3791</v>
      </c>
      <c r="D241" s="2"/>
      <c r="E241" s="426">
        <f>capPlant1Reg1HoursReq/(capPlant1Reg1HoursReq+capPlant1Reg2HoursReq)</f>
        <v>0.65915739890947411</v>
      </c>
      <c r="F241" s="426">
        <f>capPlant1Reg1HoursReq/(capPlant1Reg1HoursReq+capPlant1Reg2HoursReq)</f>
        <v>0.65915739890947411</v>
      </c>
      <c r="G241" s="426">
        <f>capPlant1Reg1HoursReq/(capPlant1Reg1HoursReq+capPlant1Reg2HoursReq)</f>
        <v>0.65915739890947411</v>
      </c>
      <c r="H241" s="426">
        <f>capPlant1Reg1HoursReq/(capPlant1Reg1HoursReq+capPlant1Reg2HoursReq)</f>
        <v>0.65915739890947411</v>
      </c>
      <c r="I241" s="426">
        <f>capPlant1Reg1HoursReq/(capPlant1Reg1HoursReq+capPlant1Reg2HoursReq)</f>
        <v>0.65915739890947411</v>
      </c>
      <c r="J241" t="s">
        <v>3159</v>
      </c>
      <c r="K241" t="b">
        <f t="shared" si="11"/>
        <v>1</v>
      </c>
    </row>
    <row r="242" spans="2:11">
      <c r="C242" t="s">
        <v>3792</v>
      </c>
      <c r="E242" s="426">
        <f>capPlant1Reg2HoursReq/(capPlant1Reg1HoursReq+capPlant1Reg2HoursReq)</f>
        <v>0.340842601090526</v>
      </c>
      <c r="F242" s="426">
        <f>capPlant1Reg2HoursReq/(capPlant1Reg1HoursReq+capPlant1Reg2HoursReq)</f>
        <v>0.340842601090526</v>
      </c>
      <c r="G242" s="426">
        <f>capPlant1Reg2HoursReq/(capPlant1Reg1HoursReq+capPlant1Reg2HoursReq)</f>
        <v>0.340842601090526</v>
      </c>
      <c r="H242" s="426">
        <f>capPlant1Reg2HoursReq/(capPlant1Reg1HoursReq+capPlant1Reg2HoursReq)</f>
        <v>0.340842601090526</v>
      </c>
      <c r="I242" s="426">
        <f>capPlant1Reg2HoursReq/(capPlant1Reg1HoursReq+capPlant1Reg2HoursReq)</f>
        <v>0.340842601090526</v>
      </c>
      <c r="J242" t="s">
        <v>3160</v>
      </c>
      <c r="K242" t="b">
        <f t="shared" si="11"/>
        <v>1</v>
      </c>
    </row>
    <row r="243" spans="2:11">
      <c r="B243" s="119"/>
      <c r="C243" s="119"/>
      <c r="D243" s="119"/>
      <c r="E243" s="341"/>
      <c r="F243" s="341"/>
      <c r="G243" s="341"/>
      <c r="H243" s="341"/>
      <c r="I243" s="341"/>
      <c r="K243" t="b">
        <f t="shared" si="11"/>
        <v>1</v>
      </c>
    </row>
    <row r="244" spans="2:11">
      <c r="B244" s="2" t="s">
        <v>1270</v>
      </c>
      <c r="E244" s="10"/>
      <c r="F244" s="10"/>
      <c r="G244" s="10"/>
      <c r="H244" s="10"/>
      <c r="I244" s="10"/>
      <c r="K244" t="b">
        <f t="shared" si="11"/>
        <v>1</v>
      </c>
    </row>
    <row r="245" spans="2:11">
      <c r="B245" t="str">
        <f>DataNameProd1 &amp; " Product"</f>
        <v>CSD Product</v>
      </c>
      <c r="E245" s="15">
        <f>IF(capPlant1HoursReq=0,0,(E198+E203)/capPlant1HoursReq)</f>
        <v>0.29899575933884792</v>
      </c>
      <c r="F245" s="15">
        <f>IF(capPlant1HoursReq=0,0,(F198+F203)/capPlant1HoursReq)</f>
        <v>0.29899575933884792</v>
      </c>
      <c r="G245" s="15">
        <f>IF(capPlant1HoursReq=0,0,(G198+G203)/capPlant1HoursReq)</f>
        <v>0.29899575933884792</v>
      </c>
      <c r="H245" s="15">
        <f>IF(capPlant1HoursReq=0,0,(H198+H203)/capPlant1HoursReq)</f>
        <v>0.29899575933884792</v>
      </c>
      <c r="I245" s="15">
        <f>IF(capPlant1HoursReq=0,0,(I198+I203)/capPlant1HoursReq)</f>
        <v>0.29899575933884792</v>
      </c>
      <c r="J245" t="s">
        <v>1998</v>
      </c>
      <c r="K245" t="b">
        <f t="shared" si="11"/>
        <v>1</v>
      </c>
    </row>
    <row r="246" spans="2:11">
      <c r="B246" t="str">
        <f>DataNameProd2 &amp; " Product 1"</f>
        <v>Breakthrough Product 1</v>
      </c>
      <c r="E246" s="15">
        <f>IF(capPlant1HoursReq=0,0,capPlant1Prod21HoursReq/capPlant1HoursReq)</f>
        <v>0</v>
      </c>
      <c r="F246" s="15">
        <f>IF(capPlant1HoursReq=0,0,capPlant1Prod21HoursReq/capPlant1HoursReq)</f>
        <v>0</v>
      </c>
      <c r="G246" s="15">
        <f>IF(capPlant1HoursReq=0,0,capPlant1Prod21HoursReq/capPlant1HoursReq)</f>
        <v>0</v>
      </c>
      <c r="H246" s="15">
        <f>IF(capPlant1HoursReq=0,0,capPlant1Prod21HoursReq/capPlant1HoursReq)</f>
        <v>0</v>
      </c>
      <c r="I246" s="15">
        <f>IF(capPlant1HoursReq=0,0,capPlant1Prod21HoursReq/capPlant1HoursReq)</f>
        <v>0</v>
      </c>
      <c r="J246" t="s">
        <v>1491</v>
      </c>
      <c r="K246" t="b">
        <f t="shared" si="11"/>
        <v>1</v>
      </c>
    </row>
    <row r="247" spans="2:11">
      <c r="B247" t="str">
        <f>DataNameProd2 &amp; " Product 2"</f>
        <v>Breakthrough Product 2</v>
      </c>
      <c r="E247" s="15">
        <f>IF(capPlant1HoursReq=0,0,capPlant1Prod22HoursReq/capPlant1HoursReq)</f>
        <v>0</v>
      </c>
      <c r="F247" s="15">
        <f>IF(capPlant1HoursReq=0,0,capPlant1Prod22HoursReq/capPlant1HoursReq)</f>
        <v>0</v>
      </c>
      <c r="G247" s="15">
        <f>IF(capPlant1HoursReq=0,0,capPlant1Prod22HoursReq/capPlant1HoursReq)</f>
        <v>0</v>
      </c>
      <c r="H247" s="15">
        <f>IF(capPlant1HoursReq=0,0,capPlant1Prod22HoursReq/capPlant1HoursReq)</f>
        <v>0</v>
      </c>
      <c r="I247" s="15">
        <f>IF(capPlant1HoursReq=0,0,capPlant1Prod22HoursReq/capPlant1HoursReq)</f>
        <v>0</v>
      </c>
      <c r="J247" t="s">
        <v>1514</v>
      </c>
      <c r="K247" t="b">
        <f t="shared" si="11"/>
        <v>1</v>
      </c>
    </row>
    <row r="248" spans="2:11">
      <c r="B248" t="str">
        <f>DataNameProd3&amp; " Product"</f>
        <v>NCB Product</v>
      </c>
      <c r="E248" s="15">
        <f t="shared" ref="E248:I249" si="15">IF(capPlant1HoursReq=0,0,(E199+E204)/capPlant1HoursReq)</f>
        <v>0.33370159370584102</v>
      </c>
      <c r="F248" s="15">
        <f t="shared" si="15"/>
        <v>0.33370159370584102</v>
      </c>
      <c r="G248" s="15">
        <f t="shared" si="15"/>
        <v>0.33370159370584102</v>
      </c>
      <c r="H248" s="15">
        <f t="shared" si="15"/>
        <v>0.33370159370584102</v>
      </c>
      <c r="I248" s="15">
        <f t="shared" si="15"/>
        <v>0.33370159370584102</v>
      </c>
      <c r="J248" t="s">
        <v>465</v>
      </c>
      <c r="K248" t="b">
        <f t="shared" si="11"/>
        <v>1</v>
      </c>
    </row>
    <row r="249" spans="2:11">
      <c r="B249" t="str">
        <f>DataNameProd4 &amp; " Product"</f>
        <v>F&amp;S Product</v>
      </c>
      <c r="E249" s="15">
        <f t="shared" si="15"/>
        <v>0.36730264695531117</v>
      </c>
      <c r="F249" s="15">
        <f t="shared" si="15"/>
        <v>0.36730264695531117</v>
      </c>
      <c r="G249" s="15">
        <f t="shared" si="15"/>
        <v>0.36730264695531117</v>
      </c>
      <c r="H249" s="15">
        <f t="shared" si="15"/>
        <v>0.36730264695531117</v>
      </c>
      <c r="I249" s="15">
        <f t="shared" si="15"/>
        <v>0.36730264695531117</v>
      </c>
      <c r="J249" t="s">
        <v>466</v>
      </c>
      <c r="K249" t="b">
        <f t="shared" si="11"/>
        <v>1</v>
      </c>
    </row>
    <row r="250" spans="2:11">
      <c r="B250" s="119"/>
      <c r="C250" s="119"/>
      <c r="D250" s="119"/>
      <c r="E250" s="341"/>
      <c r="F250" s="341"/>
      <c r="G250" s="341"/>
      <c r="H250" s="341"/>
      <c r="I250" s="341"/>
      <c r="K250" t="b">
        <f t="shared" si="11"/>
        <v>1</v>
      </c>
    </row>
    <row r="251" spans="2:11">
      <c r="B251" s="2" t="s">
        <v>3416</v>
      </c>
      <c r="K251" t="b">
        <f t="shared" si="11"/>
        <v>1</v>
      </c>
    </row>
    <row r="252" spans="2:11">
      <c r="B252" t="str">
        <f>DataNameProd1 &amp; " Product"</f>
        <v>CSD Product</v>
      </c>
      <c r="E252" s="19">
        <f ca="1">(capPlant1MachCost+capPlant1Leasing-capPlant1MachInEffCost-capPlant1MachExCapCost)*capPlant1AllocProd1</f>
        <v>977437.12514520565</v>
      </c>
      <c r="F252" s="19">
        <f ca="1">(capPlant1MachCost+capPlant1Leasing-capPlant1MachInEffCost-capPlant1MachExCapCost)*capPlant1AllocProd1</f>
        <v>977437.12514520565</v>
      </c>
      <c r="G252" s="19">
        <f ca="1">(capPlant1MachCost+capPlant1Leasing-capPlant1MachInEffCost-capPlant1MachExCapCost)*capPlant1AllocProd1</f>
        <v>977437.12514520565</v>
      </c>
      <c r="H252" s="19">
        <f ca="1">(capPlant1MachCost+capPlant1Leasing-capPlant1MachInEffCost-capPlant1MachExCapCost)*capPlant1AllocProd1</f>
        <v>977437.12514520565</v>
      </c>
      <c r="I252" s="19">
        <f ca="1">(capPlant1MachCost+capPlant1Leasing-capPlant1MachInEffCost-capPlant1MachExCapCost)*capPlant1AllocProd1</f>
        <v>977437.12514520565</v>
      </c>
      <c r="K252" t="b">
        <f t="shared" ca="1" si="11"/>
        <v>1</v>
      </c>
    </row>
    <row r="253" spans="2:11">
      <c r="B253" t="str">
        <f>DataNameProd2 &amp; " Product 1"</f>
        <v>Breakthrough Product 1</v>
      </c>
      <c r="E253" s="19">
        <f ca="1">(capPlant1MachCost+capPlant1Leasing-capPlant1MachInEffCost-capPlant1MachExCapCost)*capPlant1AllocProd21</f>
        <v>0</v>
      </c>
      <c r="F253" s="19">
        <f ca="1">(capPlant1MachCost+capPlant1Leasing-capPlant1MachInEffCost-capPlant1MachExCapCost)*capPlant1AllocProd21</f>
        <v>0</v>
      </c>
      <c r="G253" s="19">
        <f ca="1">(capPlant1MachCost+capPlant1Leasing-capPlant1MachInEffCost-capPlant1MachExCapCost)*capPlant1AllocProd21</f>
        <v>0</v>
      </c>
      <c r="H253" s="19">
        <f ca="1">(capPlant1MachCost+capPlant1Leasing-capPlant1MachInEffCost-capPlant1MachExCapCost)*capPlant1AllocProd21</f>
        <v>0</v>
      </c>
      <c r="I253" s="19">
        <f ca="1">(capPlant1MachCost+capPlant1Leasing-capPlant1MachInEffCost-capPlant1MachExCapCost)*capPlant1AllocProd21</f>
        <v>0</v>
      </c>
      <c r="K253" t="b">
        <f t="shared" ca="1" si="11"/>
        <v>1</v>
      </c>
    </row>
    <row r="254" spans="2:11">
      <c r="B254" t="str">
        <f>DataNameProd2 &amp; " Product 2"</f>
        <v>Breakthrough Product 2</v>
      </c>
      <c r="E254" s="19">
        <f ca="1">(capPlant1MachCost+capPlant1Leasing-capPlant1MachInEffCost-capPlant1MachExCapCost)*capPlant1AllocProd22</f>
        <v>0</v>
      </c>
      <c r="F254" s="19">
        <f ca="1">(capPlant1MachCost+capPlant1Leasing-capPlant1MachInEffCost-capPlant1MachExCapCost)*capPlant1AllocProd22</f>
        <v>0</v>
      </c>
      <c r="G254" s="19">
        <f ca="1">(capPlant1MachCost+capPlant1Leasing-capPlant1MachInEffCost-capPlant1MachExCapCost)*capPlant1AllocProd22</f>
        <v>0</v>
      </c>
      <c r="H254" s="19">
        <f ca="1">(capPlant1MachCost+capPlant1Leasing-capPlant1MachInEffCost-capPlant1MachExCapCost)*capPlant1AllocProd22</f>
        <v>0</v>
      </c>
      <c r="I254" s="19">
        <f ca="1">(capPlant1MachCost+capPlant1Leasing-capPlant1MachInEffCost-capPlant1MachExCapCost)*capPlant1AllocProd22</f>
        <v>0</v>
      </c>
      <c r="K254" t="b">
        <f t="shared" ca="1" si="11"/>
        <v>1</v>
      </c>
    </row>
    <row r="255" spans="2:11">
      <c r="B255" t="str">
        <f>DataNameProd3 &amp; " Product"</f>
        <v>NCB Product</v>
      </c>
      <c r="E255" s="19">
        <f ca="1">(capPlant1MachCost+capPlant1Leasing-capPlant1MachInEffCost-capPlant1MachExCapCost)*capPlant1AllocProd3</f>
        <v>1090892.8177759335</v>
      </c>
      <c r="F255" s="19">
        <f ca="1">(capPlant1MachCost+capPlant1Leasing-capPlant1MachInEffCost-capPlant1MachExCapCost)*capPlant1AllocProd3</f>
        <v>1090892.8177759335</v>
      </c>
      <c r="G255" s="19">
        <f ca="1">(capPlant1MachCost+capPlant1Leasing-capPlant1MachInEffCost-capPlant1MachExCapCost)*capPlant1AllocProd3</f>
        <v>1090892.8177759335</v>
      </c>
      <c r="H255" s="19">
        <f ca="1">(capPlant1MachCost+capPlant1Leasing-capPlant1MachInEffCost-capPlant1MachExCapCost)*capPlant1AllocProd3</f>
        <v>1090892.8177759335</v>
      </c>
      <c r="I255" s="19">
        <f ca="1">(capPlant1MachCost+capPlant1Leasing-capPlant1MachInEffCost-capPlant1MachExCapCost)*capPlant1AllocProd3</f>
        <v>1090892.8177759335</v>
      </c>
      <c r="K255" t="b">
        <f t="shared" ca="1" si="11"/>
        <v>1</v>
      </c>
    </row>
    <row r="256" spans="2:11">
      <c r="B256" t="str">
        <f>DataNameProd4 &amp; " Product"</f>
        <v>F&amp;S Product</v>
      </c>
      <c r="E256" s="19">
        <f ca="1">(capPlant1MachCost+capPlant1Leasing-capPlant1MachInEffCost-capPlant1MachExCapCost)*capPlant1AllocProd4</f>
        <v>1200736.9070788613</v>
      </c>
      <c r="F256" s="19">
        <f ca="1">(capPlant1MachCost+capPlant1Leasing-capPlant1MachInEffCost-capPlant1MachExCapCost)*capPlant1AllocProd4</f>
        <v>1200736.9070788613</v>
      </c>
      <c r="G256" s="19">
        <f ca="1">(capPlant1MachCost+capPlant1Leasing-capPlant1MachInEffCost-capPlant1MachExCapCost)*capPlant1AllocProd4</f>
        <v>1200736.9070788613</v>
      </c>
      <c r="H256" s="19">
        <f ca="1">(capPlant1MachCost+capPlant1Leasing-capPlant1MachInEffCost-capPlant1MachExCapCost)*capPlant1AllocProd4</f>
        <v>1200736.9070788613</v>
      </c>
      <c r="I256" s="19">
        <f ca="1">(capPlant1MachCost+capPlant1Leasing-capPlant1MachInEffCost-capPlant1MachExCapCost)*capPlant1AllocProd4</f>
        <v>1200736.9070788613</v>
      </c>
      <c r="K256" t="b">
        <f t="shared" ca="1" si="11"/>
        <v>1</v>
      </c>
    </row>
    <row r="257" spans="1:11">
      <c r="B257" s="119"/>
      <c r="C257" s="119"/>
      <c r="D257" s="119"/>
      <c r="E257" s="342"/>
      <c r="F257" s="342"/>
      <c r="G257" s="342"/>
      <c r="H257" s="342"/>
      <c r="I257" s="342"/>
      <c r="K257" t="b">
        <f t="shared" si="11"/>
        <v>1</v>
      </c>
    </row>
    <row r="258" spans="1:11">
      <c r="B258" s="2" t="s">
        <v>3417</v>
      </c>
      <c r="E258" s="11"/>
      <c r="F258" s="11"/>
      <c r="G258" s="11"/>
      <c r="H258" s="11"/>
      <c r="I258" s="11"/>
      <c r="K258" t="b">
        <f t="shared" si="11"/>
        <v>1</v>
      </c>
    </row>
    <row r="259" spans="1:11">
      <c r="B259" t="str">
        <f>DataNameProd1 &amp; " Product"</f>
        <v>CSD Product</v>
      </c>
      <c r="C259" s="3"/>
      <c r="D259" s="3"/>
      <c r="E259" s="123">
        <f ca="1">IF(capPlant1HoursReq=0,0,E252/(capReg1Prod1UnitsProduction+capReg2Prod1UnitsProduction))</f>
        <v>8.8978198203173986E-4</v>
      </c>
      <c r="F259" s="123">
        <f ca="1">IF(capPlant1HoursReq=0,0,F252/(capReg1Prod1UnitsProduction+capReg2Prod1UnitsProduction))</f>
        <v>8.8978198203173986E-4</v>
      </c>
      <c r="G259" s="123">
        <f ca="1">IF(capPlant1HoursReq=0,0,G252/(capReg1Prod1UnitsProduction+capReg2Prod1UnitsProduction))</f>
        <v>8.8978198203173986E-4</v>
      </c>
      <c r="H259" s="123">
        <f ca="1">IF(capPlant1HoursReq=0,0,H252/(capReg1Prod1UnitsProduction+capReg2Prod1UnitsProduction))</f>
        <v>8.8978198203173986E-4</v>
      </c>
      <c r="I259" s="123">
        <f ca="1">IF(capPlant1HoursReq=0,0,I252/(capReg1Prod1UnitsProduction+capReg2Prod1UnitsProduction))</f>
        <v>8.8978198203173986E-4</v>
      </c>
      <c r="J259" t="s">
        <v>3855</v>
      </c>
      <c r="K259" t="b">
        <f t="shared" ca="1" si="11"/>
        <v>1</v>
      </c>
    </row>
    <row r="260" spans="1:11">
      <c r="B260" t="str">
        <f>DataNameProd2 &amp; " Product 1"</f>
        <v>Breakthrough Product 1</v>
      </c>
      <c r="C260" s="3"/>
      <c r="D260" s="3"/>
      <c r="E260" s="123">
        <f t="shared" ref="E260:I261" si="16">IF(capReg1Prod2UnitsProduction=0,0,IF(capPlant1HoursReq=0,0,E253/(capReg1Prod2UnitsProduction+capReg2Prod2UnitsProduction)))</f>
        <v>0</v>
      </c>
      <c r="F260" s="123">
        <f t="shared" si="16"/>
        <v>0</v>
      </c>
      <c r="G260" s="123">
        <f t="shared" si="16"/>
        <v>0</v>
      </c>
      <c r="H260" s="123">
        <f t="shared" si="16"/>
        <v>0</v>
      </c>
      <c r="I260" s="123">
        <f t="shared" si="16"/>
        <v>0</v>
      </c>
      <c r="J260" t="s">
        <v>1515</v>
      </c>
      <c r="K260" t="b">
        <f t="shared" si="11"/>
        <v>1</v>
      </c>
    </row>
    <row r="261" spans="1:11">
      <c r="B261" t="str">
        <f>DataNameProd2 &amp; " Product 2"</f>
        <v>Breakthrough Product 2</v>
      </c>
      <c r="C261" s="3"/>
      <c r="D261" s="3"/>
      <c r="E261" s="123">
        <f t="shared" si="16"/>
        <v>0</v>
      </c>
      <c r="F261" s="123">
        <f t="shared" si="16"/>
        <v>0</v>
      </c>
      <c r="G261" s="123">
        <f t="shared" si="16"/>
        <v>0</v>
      </c>
      <c r="H261" s="123">
        <f t="shared" si="16"/>
        <v>0</v>
      </c>
      <c r="I261" s="123">
        <f t="shared" si="16"/>
        <v>0</v>
      </c>
      <c r="J261" t="s">
        <v>1516</v>
      </c>
      <c r="K261" t="b">
        <f t="shared" si="11"/>
        <v>1</v>
      </c>
    </row>
    <row r="262" spans="1:11">
      <c r="B262" t="str">
        <f>DataNameProd3 &amp; " Product"</f>
        <v>NCB Product</v>
      </c>
      <c r="C262" s="3"/>
      <c r="D262" s="3"/>
      <c r="E262" s="123">
        <f ca="1">IF(capPlant1HoursReq=0,0,E255/(capReg1Prod3UnitsProduction+capReg2Prod3UnitsProduction))</f>
        <v>1.8127090373750471E-3</v>
      </c>
      <c r="F262" s="123">
        <f ca="1">IF(capPlant1HoursReq=0,0,F255/(capReg1Prod3UnitsProduction+capReg2Prod3UnitsProduction))</f>
        <v>1.8127090373750471E-3</v>
      </c>
      <c r="G262" s="123">
        <f ca="1">IF(capPlant1HoursReq=0,0,G255/(capReg1Prod3UnitsProduction+capReg2Prod3UnitsProduction))</f>
        <v>1.8127090373750471E-3</v>
      </c>
      <c r="H262" s="123">
        <f ca="1">IF(capPlant1HoursReq=0,0,H255/(capReg1Prod3UnitsProduction+capReg2Prod3UnitsProduction))</f>
        <v>1.8127090373750471E-3</v>
      </c>
      <c r="I262" s="123">
        <f ca="1">IF(capPlant1HoursReq=0,0,I255/(capReg1Prod3UnitsProduction+capReg2Prod3UnitsProduction))</f>
        <v>1.8127090373750471E-3</v>
      </c>
      <c r="J262" t="s">
        <v>1124</v>
      </c>
      <c r="K262" t="b">
        <f ca="1">MAX(E262:I262)=MIN(E262:I262)</f>
        <v>1</v>
      </c>
    </row>
    <row r="263" spans="1:11">
      <c r="B263" t="str">
        <f>DataNameProd4 &amp; " Product"</f>
        <v>F&amp;S Product</v>
      </c>
      <c r="C263" s="3"/>
      <c r="D263" s="3"/>
      <c r="E263" s="123">
        <f ca="1">IF(capPlant1HoursReq=0,0,E256/(capReg1Prod4UnitsProduction+capReg2Prod4UnitsProduction))</f>
        <v>1.5686905131130217E-3</v>
      </c>
      <c r="F263" s="123">
        <f ca="1">IF(capPlant1HoursReq=0,0,F256/(capReg1Prod4UnitsProduction+capReg2Prod4UnitsProduction))</f>
        <v>1.5686905131130217E-3</v>
      </c>
      <c r="G263" s="123">
        <f ca="1">IF(capPlant1HoursReq=0,0,G256/(capReg1Prod4UnitsProduction+capReg2Prod4UnitsProduction))</f>
        <v>1.5686905131130217E-3</v>
      </c>
      <c r="H263" s="123">
        <f ca="1">IF(capPlant1HoursReq=0,0,H256/(capReg1Prod4UnitsProduction+capReg2Prod4UnitsProduction))</f>
        <v>1.5686905131130217E-3</v>
      </c>
      <c r="I263" s="123">
        <f ca="1">IF(capPlant1HoursReq=0,0,I256/(capReg1Prod4UnitsProduction+capReg2Prod4UnitsProduction))</f>
        <v>1.5686905131130217E-3</v>
      </c>
      <c r="J263" t="s">
        <v>3223</v>
      </c>
      <c r="K263" t="b">
        <f ca="1">MAX(E263:I263)=MIN(E263:I263)</f>
        <v>1</v>
      </c>
    </row>
    <row r="264" spans="1:11">
      <c r="B264" s="119"/>
      <c r="C264" s="266"/>
      <c r="D264" s="266"/>
      <c r="E264" s="343"/>
      <c r="F264" s="343"/>
      <c r="G264" s="343"/>
      <c r="H264" s="343"/>
      <c r="I264" s="343"/>
      <c r="K264" t="b">
        <f t="shared" si="11"/>
        <v>1</v>
      </c>
    </row>
    <row r="265" spans="1:11">
      <c r="K265" t="b">
        <f t="shared" si="11"/>
        <v>1</v>
      </c>
    </row>
    <row r="266" spans="1:11" ht="15.75">
      <c r="A266" s="24" t="s">
        <v>941</v>
      </c>
      <c r="B266" s="25"/>
      <c r="C266" s="25"/>
      <c r="D266" s="25"/>
      <c r="E266" s="25"/>
      <c r="F266" s="25"/>
      <c r="G266" s="25"/>
      <c r="H266" s="25"/>
      <c r="I266" s="25"/>
      <c r="K266" t="b">
        <f t="shared" ref="K266:K287" si="17">MAX(E266:I266)=MIN(E266:I266)</f>
        <v>1</v>
      </c>
    </row>
    <row r="267" spans="1:11">
      <c r="A267" s="344" t="s">
        <v>343</v>
      </c>
      <c r="B267" s="33"/>
      <c r="C267" s="33"/>
      <c r="D267" s="33"/>
      <c r="E267" s="33"/>
      <c r="F267" s="33"/>
      <c r="G267" s="33"/>
      <c r="H267" s="33"/>
      <c r="I267" s="33"/>
      <c r="K267" t="b">
        <f t="shared" si="17"/>
        <v>1</v>
      </c>
    </row>
    <row r="268" spans="1:11">
      <c r="B268" t="str">
        <f>DataNamePlant1 &amp; " Depreciation"</f>
        <v>Plant Depreciation</v>
      </c>
      <c r="E268" s="11">
        <f>(obalPlant1Value+capPlant1InvestmentNew-capPlant1DivestmentValue)*paramPlant1DepRate</f>
        <v>818084000</v>
      </c>
      <c r="F268" s="11">
        <f>(obalPlant1Value+capPlant1InvestmentNew-capPlant1DivestmentValue)*paramPlant1DepRate</f>
        <v>818084000</v>
      </c>
      <c r="G268" s="11">
        <f>(obalPlant1Value+capPlant1InvestmentNew-capPlant1DivestmentValue)*paramPlant1DepRate</f>
        <v>818084000</v>
      </c>
      <c r="H268" s="11">
        <f>(obalPlant1Value+capPlant1InvestmentNew-capPlant1DivestmentValue)*paramPlant1DepRate</f>
        <v>818084000</v>
      </c>
      <c r="I268" s="11">
        <f>(obalPlant1Value+capPlant1InvestmentNew-capPlant1DivestmentValue)*paramPlant1DepRate</f>
        <v>818084000</v>
      </c>
      <c r="J268" s="3"/>
      <c r="K268" t="b">
        <f t="shared" si="17"/>
        <v>1</v>
      </c>
    </row>
    <row r="269" spans="1:11">
      <c r="B269" s="207"/>
      <c r="C269" s="207"/>
      <c r="D269" s="207"/>
      <c r="E269" s="257"/>
      <c r="F269" s="257"/>
      <c r="G269" s="257"/>
      <c r="H269" s="257"/>
      <c r="I269" s="257"/>
      <c r="J269" s="3"/>
      <c r="K269" t="b">
        <f t="shared" si="17"/>
        <v>1</v>
      </c>
    </row>
    <row r="270" spans="1:11">
      <c r="B270" t="s">
        <v>777</v>
      </c>
      <c r="E270" s="14">
        <f>SUM(E268)</f>
        <v>818084000</v>
      </c>
      <c r="F270" s="14">
        <f>SUM(F268)</f>
        <v>818084000</v>
      </c>
      <c r="G270" s="14">
        <f>SUM(G268)</f>
        <v>818084000</v>
      </c>
      <c r="H270" s="14">
        <f>SUM(H268)</f>
        <v>818084000</v>
      </c>
      <c r="I270" s="14">
        <f>SUM(I268)</f>
        <v>818084000</v>
      </c>
      <c r="J270" s="3" t="s">
        <v>3856</v>
      </c>
      <c r="K270" t="b">
        <f t="shared" si="17"/>
        <v>1</v>
      </c>
    </row>
    <row r="271" spans="1:11">
      <c r="E271" s="14"/>
      <c r="F271" s="14"/>
      <c r="G271" s="14"/>
      <c r="H271" s="14"/>
      <c r="I271" s="14"/>
      <c r="K271" t="b">
        <f t="shared" si="17"/>
        <v>1</v>
      </c>
    </row>
    <row r="272" spans="1:11">
      <c r="B272" s="2" t="s">
        <v>2411</v>
      </c>
      <c r="C272" s="2"/>
      <c r="D272" s="2"/>
      <c r="E272" s="429">
        <f ca="1">MAX((1-paramPlant1Efficiency)*capPlant1Depreciation,0)</f>
        <v>192249740</v>
      </c>
      <c r="F272" s="429">
        <f ca="1">MAX((1-paramPlant1Efficiency)*capPlant1Depreciation,0)</f>
        <v>192249740</v>
      </c>
      <c r="G272" s="429">
        <f ca="1">MAX((1-paramPlant1Efficiency)*capPlant1Depreciation,0)</f>
        <v>192249740</v>
      </c>
      <c r="H272" s="429">
        <f ca="1">MAX((1-paramPlant1Efficiency)*capPlant1Depreciation,0)</f>
        <v>192249740</v>
      </c>
      <c r="I272" s="429">
        <f ca="1">MAX((1-paramPlant1Efficiency)*capPlant1Depreciation,0)</f>
        <v>192249740</v>
      </c>
      <c r="J272" t="s">
        <v>619</v>
      </c>
      <c r="K272" t="b">
        <f t="shared" ca="1" si="17"/>
        <v>1</v>
      </c>
    </row>
    <row r="273" spans="2:11">
      <c r="B273" s="2" t="s">
        <v>2412</v>
      </c>
      <c r="C273" s="2"/>
      <c r="D273" s="2"/>
      <c r="E273" s="429">
        <f ca="1">MAX((paramPlant1Efficiency-capPlant1Utiliz)*capPlant1Depreciation,0)</f>
        <v>0</v>
      </c>
      <c r="F273" s="429">
        <f ca="1">MAX((paramPlant1Efficiency-capPlant1Utiliz)*capPlant1Depreciation,0)</f>
        <v>0</v>
      </c>
      <c r="G273" s="429">
        <f ca="1">MAX((paramPlant1Efficiency-capPlant1Utiliz)*capPlant1Depreciation,0)</f>
        <v>0</v>
      </c>
      <c r="H273" s="429">
        <f ca="1">MAX((paramPlant1Efficiency-capPlant1Utiliz)*capPlant1Depreciation,0)</f>
        <v>0</v>
      </c>
      <c r="I273" s="429">
        <f ca="1">MAX((paramPlant1Efficiency-capPlant1Utiliz)*capPlant1Depreciation,0)</f>
        <v>0</v>
      </c>
      <c r="J273" t="s">
        <v>620</v>
      </c>
      <c r="K273" t="b">
        <f t="shared" ca="1" si="17"/>
        <v>1</v>
      </c>
    </row>
    <row r="274" spans="2:11">
      <c r="K274" t="b">
        <f t="shared" si="17"/>
        <v>1</v>
      </c>
    </row>
    <row r="275" spans="2:11">
      <c r="B275" t="str">
        <f>DataNameProd1&amp;" Deprecation"</f>
        <v>CSD Deprecation</v>
      </c>
      <c r="E275" s="11">
        <f>IF(capPlant1AllocProd1=0,0,capPlant1AllocProd1*capPlant1Depreciation)</f>
        <v>244603646.78296205</v>
      </c>
      <c r="F275" s="11">
        <f>IF(capPlant1AllocProd1=0,0,capPlant1AllocProd1*capPlant1Depreciation)</f>
        <v>244603646.78296205</v>
      </c>
      <c r="G275" s="11">
        <f>IF(capPlant1AllocProd1=0,0,capPlant1AllocProd1*capPlant1Depreciation)</f>
        <v>244603646.78296205</v>
      </c>
      <c r="H275" s="11">
        <f>IF(capPlant1AllocProd1=0,0,capPlant1AllocProd1*capPlant1Depreciation)</f>
        <v>244603646.78296205</v>
      </c>
      <c r="I275" s="11">
        <f>IF(capPlant1AllocProd1=0,0,capPlant1AllocProd1*capPlant1Depreciation)</f>
        <v>244603646.78296205</v>
      </c>
      <c r="J275" t="s">
        <v>2101</v>
      </c>
      <c r="K275" t="b">
        <f t="shared" si="17"/>
        <v>1</v>
      </c>
    </row>
    <row r="276" spans="2:11">
      <c r="B276" t="str">
        <f>DataNameProd2&amp;" 1 Deprecation"</f>
        <v>Breakthrough 1 Deprecation</v>
      </c>
      <c r="E276" s="11">
        <f>IF(capPlant1AllocProd1=0,0,capPlant1AllocProd21*capPlant1Depreciation)</f>
        <v>0</v>
      </c>
      <c r="F276" s="11">
        <f>IF(capPlant1AllocProd1=0,0,capPlant1AllocProd21*capPlant1Depreciation)</f>
        <v>0</v>
      </c>
      <c r="G276" s="11">
        <f>IF(capPlant1AllocProd1=0,0,capPlant1AllocProd21*capPlant1Depreciation)</f>
        <v>0</v>
      </c>
      <c r="H276" s="11">
        <f>IF(capPlant1AllocProd1=0,0,capPlant1AllocProd21*capPlant1Depreciation)</f>
        <v>0</v>
      </c>
      <c r="I276" s="11">
        <f>IF(capPlant1AllocProd1=0,0,capPlant1AllocProd21*capPlant1Depreciation)</f>
        <v>0</v>
      </c>
      <c r="J276" t="s">
        <v>1517</v>
      </c>
      <c r="K276" t="b">
        <f t="shared" si="17"/>
        <v>1</v>
      </c>
    </row>
    <row r="277" spans="2:11">
      <c r="B277" t="str">
        <f>DataNameProd2&amp;" 2 Deprecation"</f>
        <v>Breakthrough 2 Deprecation</v>
      </c>
      <c r="E277" s="11">
        <f>IF(capPlant1AllocProd1=0,0,capPlant1AllocProd22*capPlant1Depreciation)</f>
        <v>0</v>
      </c>
      <c r="F277" s="11">
        <f>IF(capPlant1AllocProd1=0,0,capPlant1AllocProd22*capPlant1Depreciation)</f>
        <v>0</v>
      </c>
      <c r="G277" s="11">
        <f>IF(capPlant1AllocProd1=0,0,capPlant1AllocProd22*capPlant1Depreciation)</f>
        <v>0</v>
      </c>
      <c r="H277" s="11">
        <f>IF(capPlant1AllocProd1=0,0,capPlant1AllocProd22*capPlant1Depreciation)</f>
        <v>0</v>
      </c>
      <c r="I277" s="11">
        <f>IF(capPlant1AllocProd1=0,0,capPlant1AllocProd22*capPlant1Depreciation)</f>
        <v>0</v>
      </c>
      <c r="J277" t="s">
        <v>1518</v>
      </c>
      <c r="K277" t="b">
        <f t="shared" si="17"/>
        <v>1</v>
      </c>
    </row>
    <row r="278" spans="2:11">
      <c r="B278" t="str">
        <f>DataNameProd3&amp;" Deprecation"</f>
        <v>NCB Deprecation</v>
      </c>
      <c r="E278" s="11">
        <f>IF(capPlant1AllocProd1=0,0,capPlant1AllocProd3*capPlant1Depreciation)</f>
        <v>272995934.58524925</v>
      </c>
      <c r="F278" s="11">
        <f>IF(capPlant1AllocProd1=0,0,capPlant1AllocProd3*capPlant1Depreciation)</f>
        <v>272995934.58524925</v>
      </c>
      <c r="G278" s="11">
        <f>IF(capPlant1AllocProd1=0,0,capPlant1AllocProd3*capPlant1Depreciation)</f>
        <v>272995934.58524925</v>
      </c>
      <c r="H278" s="11">
        <f>IF(capPlant1AllocProd1=0,0,capPlant1AllocProd3*capPlant1Depreciation)</f>
        <v>272995934.58524925</v>
      </c>
      <c r="I278" s="11">
        <f>IF(capPlant1AllocProd1=0,0,capPlant1AllocProd3*capPlant1Depreciation)</f>
        <v>272995934.58524925</v>
      </c>
      <c r="J278" t="s">
        <v>2102</v>
      </c>
      <c r="K278" t="b">
        <f t="shared" si="17"/>
        <v>1</v>
      </c>
    </row>
    <row r="279" spans="2:11">
      <c r="B279" t="str">
        <f>DataNameProd4&amp;" Deprecation"</f>
        <v>F&amp;S Deprecation</v>
      </c>
      <c r="E279" s="11">
        <f>IF(capPlant1AllocProd1=0,0,capPlant1AllocProd4*capPlant1Depreciation)</f>
        <v>300484418.63178879</v>
      </c>
      <c r="F279" s="11">
        <f>IF(capPlant1AllocProd1=0,0,capPlant1AllocProd4*capPlant1Depreciation)</f>
        <v>300484418.63178879</v>
      </c>
      <c r="G279" s="11">
        <f>IF(capPlant1AllocProd1=0,0,capPlant1AllocProd4*capPlant1Depreciation)</f>
        <v>300484418.63178879</v>
      </c>
      <c r="H279" s="11">
        <f>IF(capPlant1AllocProd1=0,0,capPlant1AllocProd4*capPlant1Depreciation)</f>
        <v>300484418.63178879</v>
      </c>
      <c r="I279" s="11">
        <f>IF(capPlant1AllocProd1=0,0,capPlant1AllocProd4*capPlant1Depreciation)</f>
        <v>300484418.63178879</v>
      </c>
      <c r="J279" t="s">
        <v>2103</v>
      </c>
      <c r="K279" t="b">
        <f t="shared" si="17"/>
        <v>1</v>
      </c>
    </row>
    <row r="280" spans="2:11">
      <c r="B280" s="119"/>
      <c r="C280" s="119"/>
      <c r="D280" s="119"/>
      <c r="E280" s="342"/>
      <c r="F280" s="342"/>
      <c r="G280" s="342"/>
      <c r="H280" s="342"/>
      <c r="I280" s="342"/>
      <c r="K280" t="b">
        <f t="shared" si="17"/>
        <v>1</v>
      </c>
    </row>
    <row r="281" spans="2:11">
      <c r="K281" t="b">
        <f t="shared" si="17"/>
        <v>1</v>
      </c>
    </row>
    <row r="282" spans="2:11">
      <c r="B282" s="2" t="str">
        <f>DataNameProd1 &amp; " Depreciation Per Unit"</f>
        <v>CSD Depreciation Per Unit</v>
      </c>
      <c r="C282" s="2"/>
      <c r="D282" s="344"/>
      <c r="E282" s="20">
        <f>IF((capReg1Prod1UnitsProduction+capReg2Prod1UnitsProduction)=0,0,E275/(capReg1Prod1UnitsSold+capReg2Prod1UnitsSold))</f>
        <v>0.22266795395861044</v>
      </c>
      <c r="F282" s="20">
        <f>IF((capReg1Prod1UnitsProduction+capReg2Prod1UnitsProduction)=0,0,F275/(capReg1Prod1UnitsSold+capReg2Prod1UnitsSold))</f>
        <v>0.22266795395861044</v>
      </c>
      <c r="G282" s="20">
        <f>IF((capReg1Prod1UnitsProduction+capReg2Prod1UnitsProduction)=0,0,G275/(capReg1Prod1UnitsSold+capReg2Prod1UnitsSold))</f>
        <v>0.22266795395861044</v>
      </c>
      <c r="H282" s="20">
        <f>IF((capReg1Prod1UnitsProduction+capReg2Prod1UnitsProduction)=0,0,H275/(capReg1Prod1UnitsSold+capReg2Prod1UnitsSold))</f>
        <v>0.22266795395861044</v>
      </c>
      <c r="I282" s="20">
        <f>IF((capReg1Prod1UnitsProduction+capReg2Prod1UnitsProduction)=0,0,I275/(capReg1Prod1UnitsSold+capReg2Prod1UnitsSold))</f>
        <v>0.22266795395861044</v>
      </c>
      <c r="J282" t="s">
        <v>3857</v>
      </c>
      <c r="K282" t="b">
        <f t="shared" si="17"/>
        <v>1</v>
      </c>
    </row>
    <row r="283" spans="2:11">
      <c r="B283" s="2" t="str">
        <f>DataNameProd2 &amp; " 1 Depreciation Per Unit"</f>
        <v>Breakthrough 1 Depreciation Per Unit</v>
      </c>
      <c r="C283" s="2"/>
      <c r="D283" s="2"/>
      <c r="E283" s="20">
        <f t="shared" ref="E283:I284" si="18">IF((capReg1Prod2UnitsProduction+capReg2Prod2UnitsProduction)=0,0,E276/(capReg1Prod2UnitsSold+capReg2Prod2UnitsSold))</f>
        <v>0</v>
      </c>
      <c r="F283" s="20">
        <f t="shared" si="18"/>
        <v>0</v>
      </c>
      <c r="G283" s="20">
        <f t="shared" si="18"/>
        <v>0</v>
      </c>
      <c r="H283" s="20">
        <f t="shared" si="18"/>
        <v>0</v>
      </c>
      <c r="I283" s="20">
        <f t="shared" si="18"/>
        <v>0</v>
      </c>
      <c r="J283" t="s">
        <v>1519</v>
      </c>
      <c r="K283" t="b">
        <f t="shared" si="17"/>
        <v>1</v>
      </c>
    </row>
    <row r="284" spans="2:11">
      <c r="B284" s="2" t="str">
        <f>DataNameProd2 &amp; " 2 Depreciation Per Unit"</f>
        <v>Breakthrough 2 Depreciation Per Unit</v>
      </c>
      <c r="C284" s="2"/>
      <c r="D284" s="2"/>
      <c r="E284" s="20">
        <f t="shared" si="18"/>
        <v>0</v>
      </c>
      <c r="F284" s="20">
        <f t="shared" si="18"/>
        <v>0</v>
      </c>
      <c r="G284" s="20">
        <f t="shared" si="18"/>
        <v>0</v>
      </c>
      <c r="H284" s="20">
        <f t="shared" si="18"/>
        <v>0</v>
      </c>
      <c r="I284" s="20">
        <f t="shared" si="18"/>
        <v>0</v>
      </c>
      <c r="J284" t="s">
        <v>1520</v>
      </c>
      <c r="K284" t="b">
        <f t="shared" si="17"/>
        <v>1</v>
      </c>
    </row>
    <row r="285" spans="2:11">
      <c r="B285" s="2" t="str">
        <f>DataNameProd3 &amp; " Depreciation Per Unit"</f>
        <v>NCB Depreciation Per Unit</v>
      </c>
      <c r="C285" s="2"/>
      <c r="D285" s="2"/>
      <c r="E285" s="20">
        <f>IF((capReg1Prod3UnitsProduction+capReg2Prod3UnitsProduction)=0,0,E278/(capReg1Prod3UnitsSold+capReg2Prod3UnitsSold))</f>
        <v>0.45363232732676845</v>
      </c>
      <c r="F285" s="20">
        <f>IF((capReg1Prod3UnitsProduction+capReg2Prod3UnitsProduction)=0,0,F278/(capReg1Prod3UnitsSold+capReg2Prod3UnitsSold))</f>
        <v>0.45363232732676845</v>
      </c>
      <c r="G285" s="20">
        <f>IF((capReg1Prod3UnitsProduction+capReg2Prod3UnitsProduction)=0,0,G278/(capReg1Prod3UnitsSold+capReg2Prod3UnitsSold))</f>
        <v>0.45363232732676845</v>
      </c>
      <c r="H285" s="20">
        <f>IF((capReg1Prod3UnitsProduction+capReg2Prod3UnitsProduction)=0,0,H278/(capReg1Prod3UnitsSold+capReg2Prod3UnitsSold))</f>
        <v>0.45363232732676845</v>
      </c>
      <c r="I285" s="20">
        <f>IF((capReg1Prod3UnitsProduction+capReg2Prod3UnitsProduction)=0,0,I278/(capReg1Prod3UnitsSold+capReg2Prod3UnitsSold))</f>
        <v>0.45363232732676845</v>
      </c>
      <c r="J285" t="s">
        <v>943</v>
      </c>
      <c r="K285" t="b">
        <f t="shared" si="17"/>
        <v>1</v>
      </c>
    </row>
    <row r="286" spans="2:11">
      <c r="B286" s="2" t="str">
        <f>DataNameProd4 &amp; " Depreciation Per Unit"</f>
        <v>F&amp;S Depreciation Per Unit</v>
      </c>
      <c r="C286" s="2"/>
      <c r="D286" s="2"/>
      <c r="E286" s="20">
        <f>IF((capReg1Prod4UnitsProduction+capReg2Prod4UnitsProduction)=0,0,E279/(capReg1Prod4UnitsSold+capReg2Prod4UnitsSold))</f>
        <v>0.39191915825197443</v>
      </c>
      <c r="F286" s="20">
        <f>IF((capReg1Prod4UnitsProduction+capReg2Prod4UnitsProduction)=0,0,F279/(capReg1Prod4UnitsSold+capReg2Prod4UnitsSold))</f>
        <v>0.39191915825197443</v>
      </c>
      <c r="G286" s="20">
        <f>IF((capReg1Prod4UnitsProduction+capReg2Prod4UnitsProduction)=0,0,G279/(capReg1Prod4UnitsSold+capReg2Prod4UnitsSold))</f>
        <v>0.39191915825197443</v>
      </c>
      <c r="H286" s="20">
        <f>IF((capReg1Prod4UnitsProduction+capReg2Prod4UnitsProduction)=0,0,H279/(capReg1Prod4UnitsSold+capReg2Prod4UnitsSold))</f>
        <v>0.39191915825197443</v>
      </c>
      <c r="I286" s="20">
        <f>IF((capReg1Prod4UnitsProduction+capReg2Prod4UnitsProduction)=0,0,I279/(capReg1Prod4UnitsSold+capReg2Prod4UnitsSold))</f>
        <v>0.39191915825197443</v>
      </c>
      <c r="J286" t="s">
        <v>942</v>
      </c>
      <c r="K286" t="b">
        <f t="shared" si="17"/>
        <v>1</v>
      </c>
    </row>
    <row r="287" spans="2:11">
      <c r="B287" s="119"/>
      <c r="C287" s="119"/>
      <c r="D287" s="119"/>
      <c r="E287" s="119"/>
      <c r="F287" s="119"/>
      <c r="G287" s="119"/>
      <c r="H287" s="119"/>
      <c r="I287" s="119"/>
      <c r="K287" t="b">
        <f t="shared" si="17"/>
        <v>1</v>
      </c>
    </row>
    <row r="288" spans="2:11">
      <c r="K288" t="b">
        <f t="shared" ref="K288:K393" si="19">MAX(E288:I288)=MIN(E288:I288)</f>
        <v>1</v>
      </c>
    </row>
    <row r="289" spans="1:11" ht="15.75">
      <c r="A289" s="24" t="s">
        <v>1767</v>
      </c>
      <c r="B289" s="25"/>
      <c r="C289" s="25"/>
      <c r="D289" s="25"/>
      <c r="E289" s="25"/>
      <c r="F289" s="25"/>
      <c r="G289" s="25"/>
      <c r="H289" s="25"/>
      <c r="I289" s="25"/>
      <c r="K289" t="b">
        <f t="shared" ref="K289:K302" si="20">MAX(E289:I289)=MIN(E289:I289)</f>
        <v>1</v>
      </c>
    </row>
    <row r="290" spans="1:11">
      <c r="K290" t="b">
        <f t="shared" si="20"/>
        <v>1</v>
      </c>
    </row>
    <row r="291" spans="1:11">
      <c r="B291" s="2" t="s">
        <v>1444</v>
      </c>
      <c r="E291">
        <f ca="1">AVERAGE(param!E235:E237)</f>
        <v>101.47698543969102</v>
      </c>
      <c r="F291">
        <f ca="1">AVERAGE(param!F235:F237)</f>
        <v>101.47698543969102</v>
      </c>
      <c r="G291">
        <f ca="1">AVERAGE(param!G235:G237)</f>
        <v>101.47698543969102</v>
      </c>
      <c r="H291">
        <f ca="1">AVERAGE(param!H235:H237)</f>
        <v>101.47698543969102</v>
      </c>
      <c r="I291">
        <f ca="1">AVERAGE(param!I235:I237)</f>
        <v>101.47698543969102</v>
      </c>
      <c r="J291" t="s">
        <v>3445</v>
      </c>
      <c r="K291" t="b">
        <f t="shared" ca="1" si="20"/>
        <v>1</v>
      </c>
    </row>
    <row r="292" spans="1:11">
      <c r="B292" s="2" t="s">
        <v>1445</v>
      </c>
      <c r="E292">
        <f>AVERAGE(param!E238:E240)</f>
        <v>100</v>
      </c>
      <c r="F292">
        <f>AVERAGE(param!F238:F240)</f>
        <v>100</v>
      </c>
      <c r="G292">
        <f>AVERAGE(param!G238:G240)</f>
        <v>100</v>
      </c>
      <c r="H292">
        <f>AVERAGE(param!H238:H240)</f>
        <v>100</v>
      </c>
      <c r="I292">
        <f>AVERAGE(param!I238:I240)</f>
        <v>100</v>
      </c>
      <c r="J292" t="s">
        <v>500</v>
      </c>
      <c r="K292" t="b">
        <f t="shared" si="20"/>
        <v>1</v>
      </c>
    </row>
    <row r="293" spans="1:11">
      <c r="B293" s="2" t="s">
        <v>1446</v>
      </c>
      <c r="E293">
        <f>AVERAGE(param!E241:E243)</f>
        <v>99.915162526483627</v>
      </c>
      <c r="F293">
        <f>AVERAGE(param!F241:F243)</f>
        <v>99.915162526483627</v>
      </c>
      <c r="G293">
        <f>AVERAGE(param!G241:G243)</f>
        <v>99.915162526483627</v>
      </c>
      <c r="H293">
        <f>AVERAGE(param!H241:H243)</f>
        <v>99.915162526483627</v>
      </c>
      <c r="I293">
        <f>AVERAGE(param!I241:I243)</f>
        <v>99.915162526483627</v>
      </c>
      <c r="J293" t="s">
        <v>501</v>
      </c>
      <c r="K293" t="b">
        <f t="shared" si="20"/>
        <v>1</v>
      </c>
    </row>
    <row r="294" spans="1:11">
      <c r="B294" s="269"/>
      <c r="C294" s="119"/>
      <c r="D294" s="119"/>
      <c r="E294" s="119"/>
      <c r="F294" s="119"/>
      <c r="G294" s="119"/>
      <c r="H294" s="119"/>
      <c r="I294" s="119"/>
      <c r="K294" t="b">
        <f t="shared" si="20"/>
        <v>1</v>
      </c>
    </row>
    <row r="295" spans="1:11">
      <c r="B295" s="2" t="s">
        <v>3444</v>
      </c>
      <c r="E295">
        <f ca="1">paramSustainability</f>
        <v>100.46404932205822</v>
      </c>
      <c r="F295">
        <f ca="1">paramSustainability</f>
        <v>100.46404932205822</v>
      </c>
      <c r="G295">
        <f ca="1">paramSustainability</f>
        <v>100.46404932205822</v>
      </c>
      <c r="H295">
        <f ca="1">paramSustainability</f>
        <v>100.46404932205822</v>
      </c>
      <c r="I295">
        <f ca="1">paramSustainability</f>
        <v>100.46404932205822</v>
      </c>
      <c r="J295" t="s">
        <v>502</v>
      </c>
      <c r="K295" t="b">
        <f t="shared" ca="1" si="20"/>
        <v>1</v>
      </c>
    </row>
    <row r="296" spans="1:11">
      <c r="K296" t="b">
        <f t="shared" si="20"/>
        <v>1</v>
      </c>
    </row>
    <row r="297" spans="1:11" ht="15.75">
      <c r="A297" s="24" t="s">
        <v>14</v>
      </c>
      <c r="B297" s="25"/>
      <c r="C297" s="25"/>
      <c r="D297" s="25"/>
      <c r="E297" s="25"/>
      <c r="F297" s="25"/>
      <c r="G297" s="25"/>
      <c r="H297" s="25"/>
      <c r="I297" s="25"/>
      <c r="K297" t="b">
        <f t="shared" si="20"/>
        <v>1</v>
      </c>
    </row>
    <row r="298" spans="1:11">
      <c r="A298" s="354"/>
      <c r="B298" s="354"/>
      <c r="C298" s="354"/>
      <c r="D298" s="354"/>
      <c r="E298" s="354"/>
      <c r="F298" s="354"/>
      <c r="G298" s="354"/>
      <c r="H298" s="354"/>
      <c r="I298" s="354"/>
      <c r="K298" t="b">
        <f t="shared" si="20"/>
        <v>1</v>
      </c>
    </row>
    <row r="299" spans="1:11">
      <c r="A299" s="354" t="str">
        <f>DataNameEmp1</f>
        <v>Lower Region Sales Force</v>
      </c>
      <c r="B299" s="354"/>
      <c r="C299" s="354"/>
      <c r="D299" s="354"/>
      <c r="E299" s="354"/>
      <c r="F299" s="354"/>
      <c r="G299" s="354"/>
      <c r="H299" s="354"/>
      <c r="I299" s="354"/>
      <c r="K299" t="b">
        <f t="shared" si="20"/>
        <v>1</v>
      </c>
    </row>
    <row r="300" spans="1:11">
      <c r="K300" t="b">
        <f t="shared" si="20"/>
        <v>1</v>
      </c>
    </row>
    <row r="301" spans="1:11">
      <c r="B301" t="str">
        <f>DataNameEmp1 &amp; " Recruited"</f>
        <v>Lower Region Sales Force Recruited</v>
      </c>
      <c r="E301" s="11">
        <f>MAX(0,capEmp1Change+0)</f>
        <v>400</v>
      </c>
      <c r="F301" s="11">
        <f>MAX(0,capEmp1Change+0)</f>
        <v>400</v>
      </c>
      <c r="G301" s="11">
        <f>MAX(0,capEmp1Change+0)</f>
        <v>400</v>
      </c>
      <c r="H301" s="11">
        <f>MAX(0,capEmp1Change+0)</f>
        <v>400</v>
      </c>
      <c r="I301" s="11">
        <f>MAX(0,capEmp1Change+0)</f>
        <v>400</v>
      </c>
      <c r="K301" t="b">
        <f t="shared" si="20"/>
        <v>1</v>
      </c>
    </row>
    <row r="302" spans="1:11">
      <c r="B302" t="str">
        <f>DataNameEmp1&amp;" Dismissed"</f>
        <v>Lower Region Sales Force Dismissed</v>
      </c>
      <c r="E302" s="11">
        <f>-MIN(0,capEmp1Change+0)</f>
        <v>0</v>
      </c>
      <c r="F302" s="11">
        <f>-MIN(0,capEmp1Change+0)</f>
        <v>0</v>
      </c>
      <c r="G302" s="11">
        <f>-MIN(0,capEmp1Change+0)</f>
        <v>0</v>
      </c>
      <c r="H302" s="11">
        <f>-MIN(0,capEmp1Change+0)</f>
        <v>0</v>
      </c>
      <c r="I302" s="11">
        <f>-MIN(0,capEmp1Change+0)</f>
        <v>0</v>
      </c>
      <c r="K302" t="b">
        <f t="shared" si="20"/>
        <v>1</v>
      </c>
    </row>
    <row r="303" spans="1:11">
      <c r="B303" t="str">
        <f>DataNameEmp1&amp;" Attrition"</f>
        <v>Lower Region Sales Force Attrition</v>
      </c>
      <c r="E303" s="11">
        <f>ROUNDUP(obalEmp1*paramEmp1AttRate,0)</f>
        <v>400</v>
      </c>
      <c r="F303" s="11">
        <f>ROUNDUP(obalEmp1*paramEmp1AttRate,0)</f>
        <v>400</v>
      </c>
      <c r="G303" s="11">
        <f>ROUNDUP(obalEmp1*paramEmp1AttRate,0)</f>
        <v>400</v>
      </c>
      <c r="H303" s="11">
        <f>ROUNDUP(obalEmp1*paramEmp1AttRate,0)</f>
        <v>400</v>
      </c>
      <c r="I303" s="11">
        <f>ROUNDUP(obalEmp1*paramEmp1AttRate,0)</f>
        <v>400</v>
      </c>
      <c r="J303" t="s">
        <v>2473</v>
      </c>
      <c r="K303" t="b">
        <f t="shared" si="19"/>
        <v>1</v>
      </c>
    </row>
    <row r="304" spans="1:11">
      <c r="B304" s="3" t="str">
        <f>DataNameEmp1 &amp; " Ending"</f>
        <v>Lower Region Sales Force Ending</v>
      </c>
      <c r="C304" s="2"/>
      <c r="D304" s="2"/>
      <c r="E304" s="23">
        <f>obalEmp1+E301-E302-E303</f>
        <v>4000</v>
      </c>
      <c r="F304" s="23">
        <f>obalEmp1+F301-F302-F303</f>
        <v>4000</v>
      </c>
      <c r="G304" s="23">
        <f>obalEmp1+G301-G302-G303</f>
        <v>4000</v>
      </c>
      <c r="H304" s="23">
        <f>obalEmp1+H301-H302-H303</f>
        <v>4000</v>
      </c>
      <c r="I304" s="23">
        <f>obalEmp1+I301-I302-I303</f>
        <v>4000</v>
      </c>
      <c r="J304" t="s">
        <v>3004</v>
      </c>
      <c r="K304" t="b">
        <f t="shared" si="19"/>
        <v>1</v>
      </c>
    </row>
    <row r="305" spans="2:11">
      <c r="B305" s="2" t="str">
        <f>DataNameEmp1 &amp; " Hours Available"</f>
        <v>Lower Region Sales Force Hours Available</v>
      </c>
      <c r="C305" s="2"/>
      <c r="D305" s="2"/>
      <c r="E305" s="13">
        <f>capEmp1End*paramEmp1HoursPYear</f>
        <v>12000000</v>
      </c>
      <c r="F305" s="13">
        <f>capEmp1End*paramEmp1HoursPYear</f>
        <v>12000000</v>
      </c>
      <c r="G305" s="13">
        <f>capEmp1End*paramEmp1HoursPYear</f>
        <v>12000000</v>
      </c>
      <c r="H305" s="13">
        <f>capEmp1End*paramEmp1HoursPYear</f>
        <v>12000000</v>
      </c>
      <c r="I305" s="13">
        <f>capEmp1End*paramEmp1HoursPYear</f>
        <v>12000000</v>
      </c>
      <c r="K305" t="b">
        <f t="shared" si="19"/>
        <v>1</v>
      </c>
    </row>
    <row r="306" spans="2:11">
      <c r="B306" s="3"/>
      <c r="C306" s="2"/>
      <c r="D306" s="2"/>
      <c r="E306" s="13"/>
      <c r="F306" s="13"/>
      <c r="G306" s="13"/>
      <c r="H306" s="13"/>
      <c r="I306" s="13"/>
      <c r="K306" t="b">
        <f t="shared" si="19"/>
        <v>1</v>
      </c>
    </row>
    <row r="307" spans="2:11">
      <c r="B307" t="str">
        <f>DataNameProd1 &amp; " Sales Force Hrs. Required"</f>
        <v>CSD Sales Force Hrs. Required</v>
      </c>
      <c r="C307" s="2"/>
      <c r="D307" s="2"/>
      <c r="E307" s="23">
        <f>IF(xxSim0Tool1=0,mmProd1Reg1UnitsSold*paramProd1Emp1HrsReq,capProd1Reg1Units*paramProd1Emp1HrsReq)</f>
        <v>3337708.5944999997</v>
      </c>
      <c r="F307" s="23">
        <f>IF(xxSim0Tool1=0,mmProd1Reg1UnitsSold*paramProd1Emp1HrsReq,capProd1Reg1Units*paramProd1Emp1HrsReq)</f>
        <v>3337708.5944999997</v>
      </c>
      <c r="G307" s="23">
        <f>IF(xxSim0Tool1=0,mmProd1Reg1UnitsSold*paramProd1Emp1HrsReq,capProd1Reg1Units*paramProd1Emp1HrsReq)</f>
        <v>3337708.5944999997</v>
      </c>
      <c r="H307" s="23">
        <f>IF(xxSim0Tool1=0,mmProd1Reg1UnitsSold*paramProd1Emp1HrsReq,capProd1Reg1Units*paramProd1Emp1HrsReq)</f>
        <v>3337708.5944999997</v>
      </c>
      <c r="I307" s="23">
        <f>IF(xxSim0Tool1=0,mmProd1Reg1UnitsSold*paramProd1Emp1HrsReq,capProd1Reg1Units*paramProd1Emp1HrsReq)</f>
        <v>3337708.5944999997</v>
      </c>
      <c r="K307" t="b">
        <f t="shared" si="19"/>
        <v>1</v>
      </c>
    </row>
    <row r="308" spans="2:11">
      <c r="B308" t="str">
        <f>DataNameProd2 &amp; " Sales Force Hrs. Required"</f>
        <v>Breakthrough Sales Force Hrs. Required</v>
      </c>
      <c r="C308" s="2"/>
      <c r="D308" s="2"/>
      <c r="E308" s="23">
        <v>0</v>
      </c>
      <c r="F308" s="23">
        <v>0</v>
      </c>
      <c r="G308" s="23">
        <v>0</v>
      </c>
      <c r="H308" s="23">
        <v>0</v>
      </c>
      <c r="I308" s="23">
        <v>0</v>
      </c>
      <c r="K308" t="b">
        <f t="shared" si="19"/>
        <v>1</v>
      </c>
    </row>
    <row r="309" spans="2:11">
      <c r="B309" t="str">
        <f>DataNameProd3 &amp; " Sales Force Hrs. Required"</f>
        <v>NCB Sales Force Hrs. Required</v>
      </c>
      <c r="C309" s="2"/>
      <c r="D309" s="2"/>
      <c r="E309" s="23">
        <f>IF(xxSim0Tool1=0,mmProd3Reg1UnitsSold*paramProd3Emp1HrsReq,capProd3Reg1Units*paramProd3Emp1HrsReq)</f>
        <v>2604640</v>
      </c>
      <c r="F309" s="23">
        <f>IF(xxSim0Tool1=0,mmProd3Reg1UnitsSold*paramProd3Emp1HrsReq,capProd3Reg1Units*paramProd3Emp1HrsReq)</f>
        <v>2604640</v>
      </c>
      <c r="G309" s="23">
        <f>IF(xxSim0Tool1=0,mmProd3Reg1UnitsSold*paramProd3Emp1HrsReq,capProd3Reg1Units*paramProd3Emp1HrsReq)</f>
        <v>2604640</v>
      </c>
      <c r="H309" s="23">
        <f>IF(xxSim0Tool1=0,mmProd3Reg1UnitsSold*paramProd3Emp1HrsReq,capProd3Reg1Units*paramProd3Emp1HrsReq)</f>
        <v>2604640</v>
      </c>
      <c r="I309" s="23">
        <f>IF(xxSim0Tool1=0,mmProd3Reg1UnitsSold*paramProd3Emp1HrsReq,capProd3Reg1Units*paramProd3Emp1HrsReq)</f>
        <v>2604640</v>
      </c>
      <c r="K309" t="b">
        <f t="shared" si="19"/>
        <v>1</v>
      </c>
    </row>
    <row r="310" spans="2:11">
      <c r="B310" t="str">
        <f>DataNameProd4 &amp; " Sales Force Hrs. Required"</f>
        <v>F&amp;S Sales Force Hrs. Required</v>
      </c>
      <c r="C310" s="2"/>
      <c r="D310" s="2"/>
      <c r="E310" s="23">
        <f>IF(xxSim0Tool1=0,mmProd4Reg1UnitsSold*paramProd4Emp1HrsReq,capProd4Reg1Units*paramProd4Emp1HrsReq)</f>
        <v>4062750</v>
      </c>
      <c r="F310" s="23">
        <f>IF(xxSim0Tool1=0,mmProd4Reg1UnitsSold*paramProd4Emp1HrsReq,capProd4Reg1Units*paramProd4Emp1HrsReq)</f>
        <v>4062750</v>
      </c>
      <c r="G310" s="23">
        <f>IF(xxSim0Tool1=0,mmProd4Reg1UnitsSold*paramProd4Emp1HrsReq,capProd4Reg1Units*paramProd4Emp1HrsReq)</f>
        <v>4062750</v>
      </c>
      <c r="H310" s="23">
        <f>IF(xxSim0Tool1=0,mmProd4Reg1UnitsSold*paramProd4Emp1HrsReq,capProd4Reg1Units*paramProd4Emp1HrsReq)</f>
        <v>4062750</v>
      </c>
      <c r="I310" s="23">
        <f>IF(xxSim0Tool1=0,mmProd4Reg1UnitsSold*paramProd4Emp1HrsReq,capProd4Reg1Units*paramProd4Emp1HrsReq)</f>
        <v>4062750</v>
      </c>
      <c r="K310" t="b">
        <f t="shared" si="19"/>
        <v>1</v>
      </c>
    </row>
    <row r="311" spans="2:11">
      <c r="B311" s="2" t="str">
        <f>DataNameEmp1 &amp; " Required"</f>
        <v>Lower Region Sales Force Required</v>
      </c>
      <c r="C311" s="2"/>
      <c r="D311" s="2"/>
      <c r="E311" s="417">
        <f>SUM(E307:E310)</f>
        <v>10005098.5945</v>
      </c>
      <c r="F311" s="417">
        <f>SUM(F307:F310)</f>
        <v>10005098.5945</v>
      </c>
      <c r="G311" s="417">
        <f>SUM(G307:G310)</f>
        <v>10005098.5945</v>
      </c>
      <c r="H311" s="417">
        <f>SUM(H307:H310)</f>
        <v>10005098.5945</v>
      </c>
      <c r="I311" s="417">
        <f>SUM(I307:I310)</f>
        <v>10005098.5945</v>
      </c>
      <c r="J311" t="s">
        <v>15</v>
      </c>
      <c r="K311" t="b">
        <f t="shared" si="19"/>
        <v>1</v>
      </c>
    </row>
    <row r="312" spans="2:11">
      <c r="B312" s="2"/>
      <c r="C312" s="2"/>
      <c r="D312" s="2"/>
      <c r="E312" s="417"/>
      <c r="F312" s="417"/>
      <c r="G312" s="417"/>
      <c r="H312" s="417"/>
      <c r="I312" s="417"/>
      <c r="K312" t="b">
        <f t="shared" si="19"/>
        <v>1</v>
      </c>
    </row>
    <row r="313" spans="2:11">
      <c r="B313" t="str">
        <f>DataNameEmp1&amp;" Utilization"</f>
        <v>Lower Region Sales Force Utilization</v>
      </c>
      <c r="E313" s="15">
        <f>E311/E305</f>
        <v>0.83375821620833335</v>
      </c>
      <c r="F313" s="15">
        <f>F311/F305</f>
        <v>0.83375821620833335</v>
      </c>
      <c r="G313" s="15">
        <f>G311/G305</f>
        <v>0.83375821620833335</v>
      </c>
      <c r="H313" s="15">
        <f>H311/H305</f>
        <v>0.83375821620833335</v>
      </c>
      <c r="I313" s="15">
        <f>I311/I305</f>
        <v>0.83375821620833335</v>
      </c>
      <c r="J313" t="s">
        <v>2474</v>
      </c>
      <c r="K313" t="b">
        <f t="shared" si="19"/>
        <v>1</v>
      </c>
    </row>
    <row r="314" spans="2:11">
      <c r="B314" t="str">
        <f>DataNameEmp1&amp;" Base Expense"</f>
        <v>Lower Region Sales Force Base Expense</v>
      </c>
      <c r="E314" s="11">
        <f>E304*paramEmp1Exp</f>
        <v>320000000</v>
      </c>
      <c r="F314" s="11">
        <f>F304*paramEmp1Exp</f>
        <v>320000000</v>
      </c>
      <c r="G314" s="11">
        <f>G304*paramEmp1Exp</f>
        <v>320000000</v>
      </c>
      <c r="H314" s="11">
        <f>H304*paramEmp1Exp</f>
        <v>320000000</v>
      </c>
      <c r="I314" s="11">
        <f>I304*paramEmp1Exp</f>
        <v>320000000</v>
      </c>
      <c r="K314" t="b">
        <f t="shared" si="19"/>
        <v>1</v>
      </c>
    </row>
    <row r="315" spans="2:11">
      <c r="B315" t="str">
        <f>DataNameEmp1&amp;" Overtime Expense"</f>
        <v>Lower Region Sales Force Overtime Expense</v>
      </c>
      <c r="E315" s="11">
        <f>MAX(0,E313-1)*E314*paramEmp1OTRate</f>
        <v>0</v>
      </c>
      <c r="F315" s="11">
        <f>MAX(0,F313-1)*F314*paramEmp1OTRate</f>
        <v>0</v>
      </c>
      <c r="G315" s="11">
        <f>MAX(0,G313-1)*G314*paramEmp1OTRate</f>
        <v>0</v>
      </c>
      <c r="H315" s="11">
        <f>MAX(0,H313-1)*H314*paramEmp1OTRate</f>
        <v>0</v>
      </c>
      <c r="I315" s="11">
        <f>MAX(0,I313-1)*I314*paramEmp1OTRate</f>
        <v>0</v>
      </c>
      <c r="J315" t="s">
        <v>600</v>
      </c>
      <c r="K315" t="b">
        <f t="shared" si="19"/>
        <v>1</v>
      </c>
    </row>
    <row r="316" spans="2:11">
      <c r="B316" s="2" t="str">
        <f>DataNameEmp1 &amp; " Total Expense"</f>
        <v>Lower Region Sales Force Total Expense</v>
      </c>
      <c r="C316" s="2"/>
      <c r="D316" s="2"/>
      <c r="E316" s="13">
        <f>SUM(E314:E315)</f>
        <v>320000000</v>
      </c>
      <c r="F316" s="13">
        <f>SUM(F314:F315)</f>
        <v>320000000</v>
      </c>
      <c r="G316" s="13">
        <f>SUM(G314:G315)</f>
        <v>320000000</v>
      </c>
      <c r="H316" s="13">
        <f>SUM(H314:H315)</f>
        <v>320000000</v>
      </c>
      <c r="I316" s="13">
        <f>SUM(I314:I315)</f>
        <v>320000000</v>
      </c>
      <c r="J316" t="s">
        <v>412</v>
      </c>
      <c r="K316" t="b">
        <f t="shared" si="19"/>
        <v>1</v>
      </c>
    </row>
    <row r="317" spans="2:11">
      <c r="B317" t="str">
        <f>DataNameEmp1&amp;" Excess Capacity Cost"</f>
        <v>Lower Region Sales Force Excess Capacity Cost</v>
      </c>
      <c r="E317" s="11">
        <f>(E313&lt;1)*(1-E313)*E316</f>
        <v>53197370.813333333</v>
      </c>
      <c r="F317" s="11">
        <f>(F313&lt;1)*(1-F313)*F316</f>
        <v>53197370.813333333</v>
      </c>
      <c r="G317" s="11">
        <f>(G313&lt;1)*(1-G313)*G316</f>
        <v>53197370.813333333</v>
      </c>
      <c r="H317" s="11">
        <f>(H313&lt;1)*(1-H313)*H316</f>
        <v>53197370.813333333</v>
      </c>
      <c r="I317" s="11">
        <f>(I313&lt;1)*(1-I313)*I316</f>
        <v>53197370.813333333</v>
      </c>
      <c r="J317" t="s">
        <v>599</v>
      </c>
      <c r="K317" t="b">
        <f t="shared" si="19"/>
        <v>1</v>
      </c>
    </row>
    <row r="318" spans="2:11">
      <c r="B318" s="2"/>
      <c r="K318" t="b">
        <f t="shared" si="19"/>
        <v>1</v>
      </c>
    </row>
    <row r="319" spans="2:11">
      <c r="B319" t="str">
        <f>DataNameEmp1&amp;" Recruitment/Dismissal Costs"</f>
        <v>Lower Region Sales Force Recruitment/Dismissal Costs</v>
      </c>
      <c r="E319" s="418">
        <f>ABS(paramEmp1RecDismCost*paramEmp1Exp*capEmp1Change)</f>
        <v>12160000</v>
      </c>
      <c r="F319" s="418">
        <f>ABS(paramEmp1RecDismCost*paramEmp1Exp*capEmp1Change)</f>
        <v>12160000</v>
      </c>
      <c r="G319" s="418">
        <f>ABS(paramEmp1RecDismCost*paramEmp1Exp*capEmp1Change)</f>
        <v>12160000</v>
      </c>
      <c r="H319" s="418">
        <f>ABS(paramEmp1RecDismCost*paramEmp1Exp*capEmp1Change)</f>
        <v>12160000</v>
      </c>
      <c r="I319" s="418">
        <f>ABS(paramEmp1RecDismCost*paramEmp1Exp*capEmp1Change)</f>
        <v>12160000</v>
      </c>
      <c r="J319" t="s">
        <v>413</v>
      </c>
      <c r="K319" t="b">
        <f t="shared" si="19"/>
        <v>1</v>
      </c>
    </row>
    <row r="320" spans="2:11">
      <c r="B320" t="str">
        <f>DataNameEmp1&amp;" Admin Cost"</f>
        <v>Lower Region Sales Force Admin Cost</v>
      </c>
      <c r="E320" s="259">
        <f>cap!E316*paramEmp1AdminCostPct</f>
        <v>64000000</v>
      </c>
      <c r="F320" s="259">
        <f>cap!F316*paramEmp1AdminCostPct</f>
        <v>64000000</v>
      </c>
      <c r="G320" s="259">
        <f>cap!G316*paramEmp1AdminCostPct</f>
        <v>64000000</v>
      </c>
      <c r="H320" s="259">
        <f>cap!H316*paramEmp1AdminCostPct</f>
        <v>64000000</v>
      </c>
      <c r="I320" s="259">
        <f>cap!I316*paramEmp1AdminCostPct</f>
        <v>64000000</v>
      </c>
      <c r="J320" t="s">
        <v>16</v>
      </c>
      <c r="K320" t="b">
        <f t="shared" si="19"/>
        <v>1</v>
      </c>
    </row>
    <row r="321" spans="2:11">
      <c r="K321" t="b">
        <f t="shared" si="19"/>
        <v>1</v>
      </c>
    </row>
    <row r="322" spans="2:11">
      <c r="B322" s="2" t="str">
        <f>DataNameEmp1 &amp; " % Product Allocation"</f>
        <v>Lower Region Sales Force % Product Allocation</v>
      </c>
      <c r="K322" t="b">
        <f t="shared" si="19"/>
        <v>1</v>
      </c>
    </row>
    <row r="323" spans="2:11">
      <c r="B323" t="str">
        <f>DataNameProd1 &amp; " " &amp; DataNameEmp1 &amp; " Allocation"</f>
        <v>CSD Lower Region Sales Force Allocation</v>
      </c>
      <c r="E323" s="15">
        <f t="shared" ref="E323:I326" si="21">E307/E$311</f>
        <v>0.33360076994491628</v>
      </c>
      <c r="F323" s="15">
        <f t="shared" si="21"/>
        <v>0.33360076994491628</v>
      </c>
      <c r="G323" s="15">
        <f t="shared" si="21"/>
        <v>0.33360076994491628</v>
      </c>
      <c r="H323" s="15">
        <f t="shared" si="21"/>
        <v>0.33360076994491628</v>
      </c>
      <c r="I323" s="15">
        <f t="shared" si="21"/>
        <v>0.33360076994491628</v>
      </c>
      <c r="J323" t="s">
        <v>3003</v>
      </c>
      <c r="K323" t="b">
        <f t="shared" si="19"/>
        <v>1</v>
      </c>
    </row>
    <row r="324" spans="2:11">
      <c r="B324" t="str">
        <f>DataNameProd2 &amp; " " &amp; DataNameEmp1 &amp; " Allocation"</f>
        <v>Breakthrough Lower Region Sales Force Allocation</v>
      </c>
      <c r="E324" s="15">
        <f t="shared" si="21"/>
        <v>0</v>
      </c>
      <c r="F324" s="15">
        <f t="shared" si="21"/>
        <v>0</v>
      </c>
      <c r="G324" s="15">
        <f t="shared" si="21"/>
        <v>0</v>
      </c>
      <c r="H324" s="15">
        <f t="shared" si="21"/>
        <v>0</v>
      </c>
      <c r="I324" s="15">
        <f t="shared" si="21"/>
        <v>0</v>
      </c>
      <c r="J324" t="s">
        <v>3502</v>
      </c>
      <c r="K324" t="b">
        <f t="shared" si="19"/>
        <v>1</v>
      </c>
    </row>
    <row r="325" spans="2:11">
      <c r="B325" t="str">
        <f>DataNameProd3 &amp; " " &amp; DataNameEmp1 &amp; " Allocation"</f>
        <v>NCB Lower Region Sales Force Allocation</v>
      </c>
      <c r="E325" s="15">
        <f t="shared" si="21"/>
        <v>0.26033126764306169</v>
      </c>
      <c r="F325" s="15">
        <f t="shared" si="21"/>
        <v>0.26033126764306169</v>
      </c>
      <c r="G325" s="15">
        <f t="shared" si="21"/>
        <v>0.26033126764306169</v>
      </c>
      <c r="H325" s="15">
        <f t="shared" si="21"/>
        <v>0.26033126764306169</v>
      </c>
      <c r="I325" s="15">
        <f t="shared" si="21"/>
        <v>0.26033126764306169</v>
      </c>
      <c r="J325" t="s">
        <v>3503</v>
      </c>
      <c r="K325" t="b">
        <f t="shared" si="19"/>
        <v>1</v>
      </c>
    </row>
    <row r="326" spans="2:11">
      <c r="B326" t="str">
        <f>DataNameProd4 &amp; " " &amp; DataNameEmp1 &amp; " Allocation"</f>
        <v>F&amp;S Lower Region Sales Force Allocation</v>
      </c>
      <c r="E326" s="15">
        <f t="shared" si="21"/>
        <v>0.40606796241202198</v>
      </c>
      <c r="F326" s="15">
        <f t="shared" si="21"/>
        <v>0.40606796241202198</v>
      </c>
      <c r="G326" s="15">
        <f t="shared" si="21"/>
        <v>0.40606796241202198</v>
      </c>
      <c r="H326" s="15">
        <f t="shared" si="21"/>
        <v>0.40606796241202198</v>
      </c>
      <c r="I326" s="15">
        <f t="shared" si="21"/>
        <v>0.40606796241202198</v>
      </c>
      <c r="J326" t="s">
        <v>3504</v>
      </c>
      <c r="K326" t="b">
        <f t="shared" si="19"/>
        <v>1</v>
      </c>
    </row>
    <row r="327" spans="2:11">
      <c r="B327" s="119"/>
      <c r="C327" s="119"/>
      <c r="D327" s="119"/>
      <c r="E327" s="119"/>
      <c r="F327" s="119"/>
      <c r="G327" s="119"/>
      <c r="H327" s="119"/>
      <c r="I327" s="119"/>
      <c r="K327" t="b">
        <f t="shared" si="19"/>
        <v>1</v>
      </c>
    </row>
    <row r="328" spans="2:11">
      <c r="K328" t="b">
        <f t="shared" si="19"/>
        <v>1</v>
      </c>
    </row>
    <row r="329" spans="2:11">
      <c r="B329" s="2" t="str">
        <f>DataNameEmp1 &amp; " Expense Allocation"</f>
        <v>Lower Region Sales Force Expense Allocation</v>
      </c>
      <c r="K329" t="b">
        <f t="shared" si="19"/>
        <v>1</v>
      </c>
    </row>
    <row r="330" spans="2:11">
      <c r="B330" t="str">
        <f>DataNameProd1 &amp; " " &amp; DataNameEmp1 &amp; " Slary Expense"</f>
        <v>CSD Lower Region Sales Force Slary Expense</v>
      </c>
      <c r="E330" s="419">
        <f>capEmp1Exp*capEmp1AllocProd1</f>
        <v>106752246.38237321</v>
      </c>
      <c r="F330" s="419">
        <f>capEmp1Exp*capEmp1AllocProd1</f>
        <v>106752246.38237321</v>
      </c>
      <c r="G330" s="419">
        <f>capEmp1Exp*capEmp1AllocProd1</f>
        <v>106752246.38237321</v>
      </c>
      <c r="H330" s="419">
        <f>capEmp1Exp*capEmp1AllocProd1</f>
        <v>106752246.38237321</v>
      </c>
      <c r="I330" s="419">
        <f>capEmp1Exp*capEmp1AllocProd1</f>
        <v>106752246.38237321</v>
      </c>
      <c r="J330" t="s">
        <v>329</v>
      </c>
      <c r="K330" t="b">
        <f t="shared" si="19"/>
        <v>1</v>
      </c>
    </row>
    <row r="331" spans="2:11">
      <c r="B331" t="str">
        <f>DataNameProd2 &amp; " " &amp; DataNameEmp1 &amp; " Slary Expense"</f>
        <v>Breakthrough Lower Region Sales Force Slary Expense</v>
      </c>
      <c r="E331" s="419">
        <f>capEmp1Exp*capEmp1AllocProd2</f>
        <v>0</v>
      </c>
      <c r="F331" s="419">
        <f>capEmp1Exp*capEmp1AllocProd2</f>
        <v>0</v>
      </c>
      <c r="G331" s="419">
        <f>capEmp1Exp*capEmp1AllocProd2</f>
        <v>0</v>
      </c>
      <c r="H331" s="419">
        <f>capEmp1Exp*capEmp1AllocProd2</f>
        <v>0</v>
      </c>
      <c r="I331" s="419">
        <f>capEmp1Exp*capEmp1AllocProd2</f>
        <v>0</v>
      </c>
      <c r="J331" t="s">
        <v>330</v>
      </c>
      <c r="K331" t="b">
        <f t="shared" si="19"/>
        <v>1</v>
      </c>
    </row>
    <row r="332" spans="2:11">
      <c r="B332" t="str">
        <f>DataNameProd3&amp; " " &amp; DataNameEmp1 &amp; " Slary Expense"</f>
        <v>NCB Lower Region Sales Force Slary Expense</v>
      </c>
      <c r="E332" s="419">
        <f>capEmp1Exp*capEmp1AllocProd3</f>
        <v>83306005.645779744</v>
      </c>
      <c r="F332" s="419">
        <f>capEmp1Exp*capEmp1AllocProd3</f>
        <v>83306005.645779744</v>
      </c>
      <c r="G332" s="419">
        <f>capEmp1Exp*capEmp1AllocProd3</f>
        <v>83306005.645779744</v>
      </c>
      <c r="H332" s="419">
        <f>capEmp1Exp*capEmp1AllocProd3</f>
        <v>83306005.645779744</v>
      </c>
      <c r="I332" s="419">
        <f>capEmp1Exp*capEmp1AllocProd3</f>
        <v>83306005.645779744</v>
      </c>
      <c r="J332" t="s">
        <v>2346</v>
      </c>
      <c r="K332" t="b">
        <f t="shared" si="19"/>
        <v>1</v>
      </c>
    </row>
    <row r="333" spans="2:11">
      <c r="B333" t="str">
        <f>DataNameProd4 &amp; " " &amp; DataNameEmp1 &amp; " Slary Expense"</f>
        <v>F&amp;S Lower Region Sales Force Slary Expense</v>
      </c>
      <c r="E333" s="419">
        <f>capEmp1Exp*capEmp1AllocProd4</f>
        <v>129941747.97184703</v>
      </c>
      <c r="F333" s="419">
        <f>capEmp1Exp*capEmp1AllocProd4</f>
        <v>129941747.97184703</v>
      </c>
      <c r="G333" s="419">
        <f>capEmp1Exp*capEmp1AllocProd4</f>
        <v>129941747.97184703</v>
      </c>
      <c r="H333" s="419">
        <f>capEmp1Exp*capEmp1AllocProd4</f>
        <v>129941747.97184703</v>
      </c>
      <c r="I333" s="419">
        <f>capEmp1Exp*capEmp1AllocProd4</f>
        <v>129941747.97184703</v>
      </c>
      <c r="J333" t="s">
        <v>2347</v>
      </c>
      <c r="K333" t="b">
        <f t="shared" si="19"/>
        <v>1</v>
      </c>
    </row>
    <row r="334" spans="2:11">
      <c r="B334" s="119"/>
      <c r="C334" s="119"/>
      <c r="D334" s="119"/>
      <c r="E334" s="342"/>
      <c r="F334" s="342"/>
      <c r="G334" s="342"/>
      <c r="H334" s="342"/>
      <c r="I334" s="342"/>
      <c r="K334" t="b">
        <f t="shared" si="19"/>
        <v>1</v>
      </c>
    </row>
    <row r="335" spans="2:11">
      <c r="E335" s="11"/>
      <c r="F335" s="11"/>
      <c r="G335" s="11"/>
      <c r="H335" s="11"/>
      <c r="I335" s="11"/>
      <c r="K335" t="b">
        <f t="shared" si="19"/>
        <v>1</v>
      </c>
    </row>
    <row r="336" spans="2:11">
      <c r="B336" t="str">
        <f>DataNameProd1 &amp; " " &amp; DataNameEmp1 &amp; " Recruit/Dismissal Expense"</f>
        <v>CSD Lower Region Sales Force Recruit/Dismissal Expense</v>
      </c>
      <c r="E336" s="11">
        <f>capEmp1AllocProd1*capEmp1RecDismExp</f>
        <v>4056585.3625301821</v>
      </c>
      <c r="F336" s="11">
        <f>capEmp1AllocProd1*capEmp1RecDismExp</f>
        <v>4056585.3625301821</v>
      </c>
      <c r="G336" s="11">
        <f>capEmp1AllocProd1*capEmp1RecDismExp</f>
        <v>4056585.3625301821</v>
      </c>
      <c r="H336" s="11">
        <f>capEmp1AllocProd1*capEmp1RecDismExp</f>
        <v>4056585.3625301821</v>
      </c>
      <c r="I336" s="11">
        <f>capEmp1AllocProd1*capEmp1RecDismExp</f>
        <v>4056585.3625301821</v>
      </c>
      <c r="J336" t="s">
        <v>493</v>
      </c>
      <c r="K336" t="b">
        <f t="shared" si="19"/>
        <v>1</v>
      </c>
    </row>
    <row r="337" spans="2:11">
      <c r="B337" t="str">
        <f>DataNameProd2 &amp; " " &amp; DataNameEmp1 &amp; " Recruit/Dismissal Expense"</f>
        <v>Breakthrough Lower Region Sales Force Recruit/Dismissal Expense</v>
      </c>
      <c r="E337" s="11">
        <f>capEmp1AllocProd2*capEmp1RecDismExp</f>
        <v>0</v>
      </c>
      <c r="F337" s="11">
        <f>capEmp1AllocProd2*capEmp1RecDismExp</f>
        <v>0</v>
      </c>
      <c r="G337" s="11">
        <f>capEmp1AllocProd2*capEmp1RecDismExp</f>
        <v>0</v>
      </c>
      <c r="H337" s="11">
        <f>capEmp1AllocProd2*capEmp1RecDismExp</f>
        <v>0</v>
      </c>
      <c r="I337" s="11">
        <f>capEmp1AllocProd2*capEmp1RecDismExp</f>
        <v>0</v>
      </c>
      <c r="J337" t="s">
        <v>1907</v>
      </c>
      <c r="K337" t="b">
        <f t="shared" si="19"/>
        <v>1</v>
      </c>
    </row>
    <row r="338" spans="2:11">
      <c r="B338" t="str">
        <f>DataNameProd3 &amp; " " &amp; DataNameEmp1 &amp; " Recruit/Dismissal Expense"</f>
        <v>NCB Lower Region Sales Force Recruit/Dismissal Expense</v>
      </c>
      <c r="E338" s="11">
        <f>capEmp1AllocProd3*capEmp1RecDismExp</f>
        <v>3165628.2145396303</v>
      </c>
      <c r="F338" s="11">
        <f>capEmp1AllocProd3*capEmp1RecDismExp</f>
        <v>3165628.2145396303</v>
      </c>
      <c r="G338" s="11">
        <f>capEmp1AllocProd3*capEmp1RecDismExp</f>
        <v>3165628.2145396303</v>
      </c>
      <c r="H338" s="11">
        <f>capEmp1AllocProd3*capEmp1RecDismExp</f>
        <v>3165628.2145396303</v>
      </c>
      <c r="I338" s="11">
        <f>capEmp1AllocProd3*capEmp1RecDismExp</f>
        <v>3165628.2145396303</v>
      </c>
      <c r="J338" t="s">
        <v>2723</v>
      </c>
      <c r="K338" t="b">
        <f t="shared" si="19"/>
        <v>1</v>
      </c>
    </row>
    <row r="339" spans="2:11">
      <c r="B339" t="str">
        <f>DataNameProd4 &amp; " " &amp; DataNameEmp1 &amp; " Recruit/Dismissal Expense"</f>
        <v>F&amp;S Lower Region Sales Force Recruit/Dismissal Expense</v>
      </c>
      <c r="E339" s="11">
        <f>capEmp1AllocProd4*capEmp1RecDismExp</f>
        <v>4937786.4229301875</v>
      </c>
      <c r="F339" s="11">
        <f>capEmp1AllocProd4*capEmp1RecDismExp</f>
        <v>4937786.4229301875</v>
      </c>
      <c r="G339" s="11">
        <f>capEmp1AllocProd4*capEmp1RecDismExp</f>
        <v>4937786.4229301875</v>
      </c>
      <c r="H339" s="11">
        <f>capEmp1AllocProd4*capEmp1RecDismExp</f>
        <v>4937786.4229301875</v>
      </c>
      <c r="I339" s="11">
        <f>capEmp1AllocProd4*capEmp1RecDismExp</f>
        <v>4937786.4229301875</v>
      </c>
      <c r="J339" t="s">
        <v>274</v>
      </c>
      <c r="K339" t="b">
        <f t="shared" si="19"/>
        <v>1</v>
      </c>
    </row>
    <row r="340" spans="2:11">
      <c r="B340" s="269"/>
      <c r="C340" s="119"/>
      <c r="D340" s="119"/>
      <c r="E340" s="119"/>
      <c r="F340" s="119"/>
      <c r="G340" s="119"/>
      <c r="H340" s="119"/>
      <c r="I340" s="119"/>
      <c r="K340" t="b">
        <f t="shared" si="19"/>
        <v>1</v>
      </c>
    </row>
    <row r="341" spans="2:11">
      <c r="B341" s="2"/>
      <c r="K341" t="b">
        <f t="shared" si="19"/>
        <v>1</v>
      </c>
    </row>
    <row r="342" spans="2:11">
      <c r="B342" t="str">
        <f>DataNameProd1&amp;" "&amp;DataNameEmp1&amp;" Admin Expense"</f>
        <v>CSD Lower Region Sales Force Admin Expense</v>
      </c>
      <c r="E342" s="11">
        <f>capEmp1AllocProd1*capEmp1AdminExp</f>
        <v>21350449.27647464</v>
      </c>
      <c r="F342" s="11">
        <f>capEmp1AllocProd1*capEmp1AdminExp</f>
        <v>21350449.27647464</v>
      </c>
      <c r="G342" s="11">
        <f>capEmp1AllocProd1*capEmp1AdminExp</f>
        <v>21350449.27647464</v>
      </c>
      <c r="H342" s="11">
        <f>capEmp1AllocProd1*capEmp1AdminExp</f>
        <v>21350449.27647464</v>
      </c>
      <c r="I342" s="11">
        <f>capEmp1AllocProd1*capEmp1AdminExp</f>
        <v>21350449.27647464</v>
      </c>
      <c r="J342" t="s">
        <v>496</v>
      </c>
      <c r="K342" t="b">
        <f t="shared" si="19"/>
        <v>1</v>
      </c>
    </row>
    <row r="343" spans="2:11">
      <c r="B343" t="str">
        <f>DataNameProd2&amp;" "&amp;DataNameEmp1&amp;" Admin Expense"</f>
        <v>Breakthrough Lower Region Sales Force Admin Expense</v>
      </c>
      <c r="E343" s="11">
        <f>capEmp1AllocProd2*capEmp1AdminExp</f>
        <v>0</v>
      </c>
      <c r="F343" s="11">
        <f>capEmp1AllocProd2*capEmp1AdminExp</f>
        <v>0</v>
      </c>
      <c r="G343" s="11">
        <f>capEmp1AllocProd2*capEmp1AdminExp</f>
        <v>0</v>
      </c>
      <c r="H343" s="11">
        <f>capEmp1AllocProd2*capEmp1AdminExp</f>
        <v>0</v>
      </c>
      <c r="I343" s="11">
        <f>capEmp1AllocProd2*capEmp1AdminExp</f>
        <v>0</v>
      </c>
      <c r="J343" t="s">
        <v>275</v>
      </c>
      <c r="K343" t="b">
        <f t="shared" si="19"/>
        <v>1</v>
      </c>
    </row>
    <row r="344" spans="2:11">
      <c r="B344" t="str">
        <f>DataNameProd3&amp;" "&amp;DataNameEmp1&amp;" Admin Expense"</f>
        <v>NCB Lower Region Sales Force Admin Expense</v>
      </c>
      <c r="E344" s="11">
        <f>capEmp1AllocProd3*capEmp1AdminExp</f>
        <v>16661201.129155949</v>
      </c>
      <c r="F344" s="11">
        <f>capEmp1AllocProd3*capEmp1AdminExp</f>
        <v>16661201.129155949</v>
      </c>
      <c r="G344" s="11">
        <f>capEmp1AllocProd3*capEmp1AdminExp</f>
        <v>16661201.129155949</v>
      </c>
      <c r="H344" s="11">
        <f>capEmp1AllocProd3*capEmp1AdminExp</f>
        <v>16661201.129155949</v>
      </c>
      <c r="I344" s="11">
        <f>capEmp1AllocProd3*capEmp1AdminExp</f>
        <v>16661201.129155949</v>
      </c>
      <c r="J344" t="s">
        <v>276</v>
      </c>
      <c r="K344" t="b">
        <f t="shared" si="19"/>
        <v>1</v>
      </c>
    </row>
    <row r="345" spans="2:11">
      <c r="B345" t="str">
        <f>DataNameProd4&amp;" "&amp;DataNameEmp1&amp;" Admin Expense"</f>
        <v>F&amp;S Lower Region Sales Force Admin Expense</v>
      </c>
      <c r="E345" s="11">
        <f>capEmp1AllocProd4*capEmp1AdminExp</f>
        <v>25988349.594369408</v>
      </c>
      <c r="F345" s="11">
        <f>capEmp1AllocProd4*capEmp1AdminExp</f>
        <v>25988349.594369408</v>
      </c>
      <c r="G345" s="11">
        <f>capEmp1AllocProd4*capEmp1AdminExp</f>
        <v>25988349.594369408</v>
      </c>
      <c r="H345" s="11">
        <f>capEmp1AllocProd4*capEmp1AdminExp</f>
        <v>25988349.594369408</v>
      </c>
      <c r="I345" s="11">
        <f>capEmp1AllocProd4*capEmp1AdminExp</f>
        <v>25988349.594369408</v>
      </c>
      <c r="J345" t="s">
        <v>1797</v>
      </c>
      <c r="K345" t="b">
        <f t="shared" si="19"/>
        <v>1</v>
      </c>
    </row>
    <row r="346" spans="2:11">
      <c r="B346" s="119"/>
      <c r="C346" s="119"/>
      <c r="D346" s="119"/>
      <c r="E346" s="342"/>
      <c r="F346" s="342"/>
      <c r="G346" s="342"/>
      <c r="H346" s="342"/>
      <c r="I346" s="342"/>
      <c r="K346" t="b">
        <f t="shared" si="19"/>
        <v>1</v>
      </c>
    </row>
    <row r="347" spans="2:11">
      <c r="B347" s="2"/>
      <c r="K347" t="b">
        <f t="shared" ref="K347:K352" si="22">MAX(E347:I347)=MIN(E347:I347)</f>
        <v>1</v>
      </c>
    </row>
    <row r="348" spans="2:11">
      <c r="B348" t="str">
        <f>DataNameProd1&amp;" "&amp;DataNameEmp1&amp;" Channel Ramp Expense"</f>
        <v>CSD Lower Region Sales Force Channel Ramp Expense</v>
      </c>
      <c r="E348" s="11">
        <f>capEmp1AllocProd1*paramChanLevelRamp</f>
        <v>0</v>
      </c>
      <c r="F348" s="11">
        <f>capEmp1AllocProd1*paramChanLevelRamp</f>
        <v>0</v>
      </c>
      <c r="G348" s="11">
        <f>capEmp1AllocProd1*paramChanLevelRamp</f>
        <v>0</v>
      </c>
      <c r="H348" s="11">
        <f>capEmp1AllocProd1*paramChanLevelRamp</f>
        <v>0</v>
      </c>
      <c r="I348" s="11">
        <f>capEmp1AllocProd1*paramChanLevelRamp</f>
        <v>0</v>
      </c>
      <c r="J348" t="s">
        <v>2763</v>
      </c>
      <c r="K348" t="b">
        <f t="shared" si="22"/>
        <v>1</v>
      </c>
    </row>
    <row r="349" spans="2:11">
      <c r="B349" t="str">
        <f>DataNameProd2&amp;" "&amp;DataNameEmp1&amp;" Channel Ramp Expense"</f>
        <v>Breakthrough Lower Region Sales Force Channel Ramp Expense</v>
      </c>
      <c r="E349" s="11">
        <f>capEmp1AllocProd2*paramChanLevelRamp</f>
        <v>0</v>
      </c>
      <c r="F349" s="11">
        <f>capEmp1AllocProd2*paramChanLevelRamp</f>
        <v>0</v>
      </c>
      <c r="G349" s="11">
        <f>capEmp1AllocProd2*paramChanLevelRamp</f>
        <v>0</v>
      </c>
      <c r="H349" s="11">
        <f>capEmp1AllocProd2*paramChanLevelRamp</f>
        <v>0</v>
      </c>
      <c r="I349" s="11">
        <f>capEmp1AllocProd2*paramChanLevelRamp</f>
        <v>0</v>
      </c>
      <c r="J349" t="s">
        <v>2764</v>
      </c>
      <c r="K349" t="b">
        <f t="shared" si="22"/>
        <v>1</v>
      </c>
    </row>
    <row r="350" spans="2:11">
      <c r="B350" t="str">
        <f>DataNameProd3&amp;" "&amp;DataNameEmp1&amp;" Channel Ramp Expense"</f>
        <v>NCB Lower Region Sales Force Channel Ramp Expense</v>
      </c>
      <c r="E350" s="11">
        <f>capEmp1AllocProd3*paramChanLevelRamp</f>
        <v>0</v>
      </c>
      <c r="F350" s="11">
        <f>capEmp1AllocProd3*paramChanLevelRamp</f>
        <v>0</v>
      </c>
      <c r="G350" s="11">
        <f>capEmp1AllocProd3*paramChanLevelRamp</f>
        <v>0</v>
      </c>
      <c r="H350" s="11">
        <f>capEmp1AllocProd3*paramChanLevelRamp</f>
        <v>0</v>
      </c>
      <c r="I350" s="11">
        <f>capEmp1AllocProd3*paramChanLevelRamp</f>
        <v>0</v>
      </c>
      <c r="J350" t="s">
        <v>2765</v>
      </c>
      <c r="K350" t="b">
        <f t="shared" si="22"/>
        <v>1</v>
      </c>
    </row>
    <row r="351" spans="2:11">
      <c r="B351" t="str">
        <f>DataNameProd4&amp;" "&amp;DataNameEmp1&amp;" Channel Ramp Expense"</f>
        <v>F&amp;S Lower Region Sales Force Channel Ramp Expense</v>
      </c>
      <c r="E351" s="11">
        <f>capEmp1AllocProd4*paramChanLevelRamp</f>
        <v>0</v>
      </c>
      <c r="F351" s="11">
        <f>capEmp1AllocProd4*paramChanLevelRamp</f>
        <v>0</v>
      </c>
      <c r="G351" s="11">
        <f>capEmp1AllocProd4*paramChanLevelRamp</f>
        <v>0</v>
      </c>
      <c r="H351" s="11">
        <f>capEmp1AllocProd4*paramChanLevelRamp</f>
        <v>0</v>
      </c>
      <c r="I351" s="11">
        <f>capEmp1AllocProd4*paramChanLevelRamp</f>
        <v>0</v>
      </c>
      <c r="J351" t="s">
        <v>2766</v>
      </c>
      <c r="K351" t="b">
        <f t="shared" si="22"/>
        <v>1</v>
      </c>
    </row>
    <row r="352" spans="2:11">
      <c r="B352" s="119"/>
      <c r="C352" s="119"/>
      <c r="D352" s="119"/>
      <c r="E352" s="342"/>
      <c r="F352" s="342"/>
      <c r="G352" s="342"/>
      <c r="H352" s="342"/>
      <c r="I352" s="342"/>
      <c r="K352" t="b">
        <f t="shared" si="22"/>
        <v>1</v>
      </c>
    </row>
    <row r="353" spans="1:12">
      <c r="B353" s="33"/>
      <c r="C353" s="33"/>
      <c r="D353" s="33"/>
      <c r="E353" s="139"/>
      <c r="F353" s="139"/>
      <c r="G353" s="139"/>
      <c r="H353" s="139"/>
      <c r="I353" s="139"/>
      <c r="K353" t="b">
        <f t="shared" si="19"/>
        <v>1</v>
      </c>
    </row>
    <row r="354" spans="1:12">
      <c r="B354" s="2" t="str">
        <f>DataNameEmp1 &amp; " Expense Per Unit"</f>
        <v>Lower Region Sales Force Expense Per Unit</v>
      </c>
      <c r="C354" s="33"/>
      <c r="D354" s="33"/>
      <c r="E354" s="139"/>
      <c r="F354" s="139"/>
      <c r="G354" s="139"/>
      <c r="H354" s="139"/>
      <c r="I354" s="139"/>
      <c r="J354" s="33"/>
      <c r="K354" t="b">
        <f t="shared" si="19"/>
        <v>1</v>
      </c>
    </row>
    <row r="355" spans="1:12">
      <c r="B355" s="3" t="str">
        <f>DataNameProd1 &amp; " " &amp; DataNameEmp1 &amp; " Expense Per Unit"</f>
        <v>CSD Lower Region Sales Force Expense Per Unit</v>
      </c>
      <c r="C355" s="33"/>
      <c r="D355" s="33"/>
      <c r="E355" s="420">
        <f>(capProd1Emp1SalExp+capProd1Emp1RecDismExp+capProd1Emp1AdminExp)/capProd1Reg1Units</f>
        <v>0.17818115265550669</v>
      </c>
      <c r="F355" s="420">
        <f>(capProd1Emp1SalExp+capProd1Emp1RecDismExp+capProd1Emp1AdminExp)/capProd1Reg1Units</f>
        <v>0.17818115265550669</v>
      </c>
      <c r="G355" s="420">
        <f>(capProd1Emp1SalExp+capProd1Emp1RecDismExp+capProd1Emp1AdminExp)/capProd1Reg1Units</f>
        <v>0.17818115265550669</v>
      </c>
      <c r="H355" s="420">
        <f>(capProd1Emp1SalExp+capProd1Emp1RecDismExp+capProd1Emp1AdminExp)/capProd1Reg1Units</f>
        <v>0.17818115265550669</v>
      </c>
      <c r="I355" s="420">
        <f>(capProd1Emp1SalExp+capProd1Emp1RecDismExp+capProd1Emp1AdminExp)/capProd1Reg1Units</f>
        <v>0.17818115265550669</v>
      </c>
      <c r="J355" t="s">
        <v>566</v>
      </c>
      <c r="K355" t="b">
        <f t="shared" si="19"/>
        <v>1</v>
      </c>
    </row>
    <row r="356" spans="1:12">
      <c r="B356" s="3" t="str">
        <f>DataNameProd2 &amp; " " &amp; DataNameEmp1 &amp; " Expense Per Unit"</f>
        <v>Breakthrough Lower Region Sales Force Expense Per Unit</v>
      </c>
      <c r="C356" s="33"/>
      <c r="D356" s="33"/>
      <c r="E356" s="420">
        <f>IF(capProd2Reg1Units=0,0,(capProd2Emp1SalExp+capProd2Emp1RecDismExp+capProd2Emp1AdminExp)/capProd2Reg1Units)</f>
        <v>0</v>
      </c>
      <c r="F356" s="420">
        <f>IF(capProd2Reg1Units=0,0,(capProd2Emp1SalExp+capProd2Emp1RecDismExp+capProd2Emp1AdminExp)/capProd2Reg1Units)</f>
        <v>0</v>
      </c>
      <c r="G356" s="420">
        <f>IF(capProd2Reg1Units=0,0,(capProd2Emp1SalExp+capProd2Emp1RecDismExp+capProd2Emp1AdminExp)/capProd2Reg1Units)</f>
        <v>0</v>
      </c>
      <c r="H356" s="420">
        <f>IF(capProd2Reg1Units=0,0,(capProd2Emp1SalExp+capProd2Emp1RecDismExp+capProd2Emp1AdminExp)/capProd2Reg1Units)</f>
        <v>0</v>
      </c>
      <c r="I356" s="420">
        <f>IF(capProd2Reg1Units=0,0,(capProd2Emp1SalExp+capProd2Emp1RecDismExp+capProd2Emp1AdminExp)/capProd2Reg1Units)</f>
        <v>0</v>
      </c>
      <c r="J356" t="s">
        <v>2817</v>
      </c>
      <c r="K356" t="b">
        <f t="shared" si="19"/>
        <v>1</v>
      </c>
    </row>
    <row r="357" spans="1:12">
      <c r="B357" s="3" t="str">
        <f>DataNameProd3 &amp; " " &amp; DataNameEmp1 &amp; " Expense Per Unit"</f>
        <v>NCB Lower Region Sales Force Expense Per Unit</v>
      </c>
      <c r="C357" s="33"/>
      <c r="D357" s="33"/>
      <c r="E357" s="420">
        <f>(capProd3Emp1SalExp+capProd3Emp1RecDismExp+capProd3Emp1AdminExp)/capProd3Reg1Units</f>
        <v>0.27597510482771986</v>
      </c>
      <c r="F357" s="420">
        <f>(capProd3Emp1SalExp+capProd3Emp1RecDismExp+capProd3Emp1AdminExp)/capProd3Reg1Units</f>
        <v>0.27597510482771986</v>
      </c>
      <c r="G357" s="420">
        <f>(capProd3Emp1SalExp+capProd3Emp1RecDismExp+capProd3Emp1AdminExp)/capProd3Reg1Units</f>
        <v>0.27597510482771986</v>
      </c>
      <c r="H357" s="420">
        <f>(capProd3Emp1SalExp+capProd3Emp1RecDismExp+capProd3Emp1AdminExp)/capProd3Reg1Units</f>
        <v>0.27597510482771986</v>
      </c>
      <c r="I357" s="420">
        <f>(capProd3Emp1SalExp+capProd3Emp1RecDismExp+capProd3Emp1AdminExp)/capProd3Reg1Units</f>
        <v>0.27597510482771986</v>
      </c>
      <c r="J357" t="s">
        <v>2818</v>
      </c>
      <c r="K357" t="b">
        <f t="shared" si="19"/>
        <v>1</v>
      </c>
    </row>
    <row r="358" spans="1:12">
      <c r="B358" s="3" t="str">
        <f>DataNameProd4 &amp; " " &amp; DataNameEmp1 &amp; " Expense Per Unit"</f>
        <v>F&amp;S Lower Region Sales Force Expense Per Unit</v>
      </c>
      <c r="E358" s="420">
        <f>(capProd4Emp1SalExp+capProd4Emp1RecDismExp+capProd4Emp1AdminExp)/capProd4Reg1Units</f>
        <v>0.29114567427370375</v>
      </c>
      <c r="F358" s="420">
        <f>(capProd4Emp1SalExp+capProd4Emp1RecDismExp+capProd4Emp1AdminExp)/capProd4Reg1Units</f>
        <v>0.29114567427370375</v>
      </c>
      <c r="G358" s="420">
        <f>(capProd4Emp1SalExp+capProd4Emp1RecDismExp+capProd4Emp1AdminExp)/capProd4Reg1Units</f>
        <v>0.29114567427370375</v>
      </c>
      <c r="H358" s="420">
        <f>(capProd4Emp1SalExp+capProd4Emp1RecDismExp+capProd4Emp1AdminExp)/capProd4Reg1Units</f>
        <v>0.29114567427370375</v>
      </c>
      <c r="I358" s="420">
        <f>(capProd4Emp1SalExp+capProd4Emp1RecDismExp+capProd4Emp1AdminExp)/capProd4Reg1Units</f>
        <v>0.29114567427370375</v>
      </c>
      <c r="J358" t="s">
        <v>2819</v>
      </c>
      <c r="K358" t="b">
        <f t="shared" si="19"/>
        <v>1</v>
      </c>
    </row>
    <row r="359" spans="1:12">
      <c r="A359" s="354" t="str">
        <f>DataNameEmp2 &amp; " Required"</f>
        <v>Upper Region Sales Force Required</v>
      </c>
      <c r="B359" s="354"/>
      <c r="C359" s="354"/>
      <c r="D359" s="354"/>
      <c r="E359" s="354"/>
      <c r="F359" s="354"/>
      <c r="G359" s="354"/>
      <c r="H359" s="354"/>
      <c r="I359" s="354"/>
      <c r="K359" t="b">
        <f t="shared" si="19"/>
        <v>1</v>
      </c>
    </row>
    <row r="360" spans="1:12">
      <c r="E360" s="14"/>
      <c r="F360" s="14"/>
      <c r="G360" s="14"/>
      <c r="H360" s="14"/>
      <c r="I360" s="14"/>
      <c r="K360" t="b">
        <f t="shared" si="19"/>
        <v>1</v>
      </c>
    </row>
    <row r="361" spans="1:12">
      <c r="B361" t="str">
        <f>DataNameEmp2 &amp; " Recruited"</f>
        <v>Upper Region Sales Force Recruited</v>
      </c>
      <c r="E361" s="398">
        <f>MAX(0,capEmp2Change+0)</f>
        <v>245</v>
      </c>
      <c r="F361" s="398">
        <f>MAX(0,capEmp2Change+0)</f>
        <v>245</v>
      </c>
      <c r="G361" s="398">
        <f>MAX(0,capEmp2Change+0)</f>
        <v>245</v>
      </c>
      <c r="H361" s="398">
        <f>MAX(0,capEmp2Change+0)</f>
        <v>245</v>
      </c>
      <c r="I361" s="398">
        <f>MAX(0,capEmp2Change+0)</f>
        <v>245</v>
      </c>
      <c r="K361" t="b">
        <f t="shared" si="19"/>
        <v>1</v>
      </c>
    </row>
    <row r="362" spans="1:12">
      <c r="B362" t="str">
        <f>DataNameEmp2&amp;" Dismissed"</f>
        <v>Upper Region Sales Force Dismissed</v>
      </c>
      <c r="E362" s="10">
        <f>-MIN(0,capEmp2Change+0)</f>
        <v>0</v>
      </c>
      <c r="F362" s="10">
        <f>-MIN(0,capEmp2Change+0)</f>
        <v>0</v>
      </c>
      <c r="G362" s="10">
        <f>-MIN(0,capEmp2Change+0)</f>
        <v>0</v>
      </c>
      <c r="H362" s="10">
        <f>-MIN(0,capEmp2Change+0)</f>
        <v>0</v>
      </c>
      <c r="I362" s="10">
        <f>-MIN(0,capEmp2Change+0)</f>
        <v>0</v>
      </c>
      <c r="K362" t="b">
        <f t="shared" si="19"/>
        <v>1</v>
      </c>
    </row>
    <row r="363" spans="1:12">
      <c r="B363" t="str">
        <f>DataNameEmp2&amp;" Attrition"</f>
        <v>Upper Region Sales Force Attrition</v>
      </c>
      <c r="E363" s="11">
        <f>ROUNDUP(obalEmp2*paramEmp2AttRate,0)</f>
        <v>245</v>
      </c>
      <c r="F363" s="11">
        <f>ROUNDUP(obalEmp2*paramEmp2AttRate,0)</f>
        <v>245</v>
      </c>
      <c r="G363" s="11">
        <f>ROUNDUP(obalEmp2*paramEmp2AttRate,0)</f>
        <v>245</v>
      </c>
      <c r="H363" s="11">
        <f>ROUNDUP(obalEmp2*paramEmp2AttRate,0)</f>
        <v>245</v>
      </c>
      <c r="I363" s="11">
        <f>ROUNDUP(obalEmp2*paramEmp2AttRate,0)</f>
        <v>245</v>
      </c>
      <c r="J363" t="s">
        <v>2475</v>
      </c>
      <c r="K363" t="b">
        <f t="shared" si="19"/>
        <v>1</v>
      </c>
    </row>
    <row r="364" spans="1:12">
      <c r="B364" s="3" t="str">
        <f>DataNameEmp2 &amp; " Ending"</f>
        <v>Upper Region Sales Force Ending</v>
      </c>
      <c r="E364" s="13">
        <f>obalEmp2+E361-E362-E363</f>
        <v>2100</v>
      </c>
      <c r="F364" s="13">
        <f>obalEmp2+F361-F362-F363</f>
        <v>2100</v>
      </c>
      <c r="G364" s="13">
        <f>obalEmp2+G361-G362-G363</f>
        <v>2100</v>
      </c>
      <c r="H364" s="13">
        <f>obalEmp2+H361-H362-H363</f>
        <v>2100</v>
      </c>
      <c r="I364" s="13">
        <f>obalEmp2+I361-I362-I363</f>
        <v>2100</v>
      </c>
      <c r="J364" t="s">
        <v>3006</v>
      </c>
      <c r="K364" t="b">
        <f t="shared" si="19"/>
        <v>1</v>
      </c>
      <c r="L364" s="2"/>
    </row>
    <row r="365" spans="1:12">
      <c r="B365" s="2" t="str">
        <f>DataNameEmp2 &amp; " Hours Available"</f>
        <v>Upper Region Sales Force Hours Available</v>
      </c>
      <c r="E365" s="13">
        <f>capEmp2End*paramEmp2HoursPYear</f>
        <v>6300000</v>
      </c>
      <c r="F365" s="13">
        <f>capEmp2End*paramEmp2HoursPYear</f>
        <v>6300000</v>
      </c>
      <c r="G365" s="13">
        <f>capEmp2End*paramEmp2HoursPYear</f>
        <v>6300000</v>
      </c>
      <c r="H365" s="13">
        <f>capEmp2End*paramEmp2HoursPYear</f>
        <v>6300000</v>
      </c>
      <c r="I365" s="13">
        <f>capEmp2End*paramEmp2HoursPYear</f>
        <v>6300000</v>
      </c>
      <c r="K365" t="b">
        <f t="shared" si="19"/>
        <v>1</v>
      </c>
      <c r="L365" s="2"/>
    </row>
    <row r="366" spans="1:12">
      <c r="B366" s="2"/>
      <c r="E366" s="13"/>
      <c r="F366" s="13"/>
      <c r="G366" s="13"/>
      <c r="H366" s="13"/>
      <c r="I366" s="13"/>
      <c r="K366" t="b">
        <f t="shared" si="19"/>
        <v>1</v>
      </c>
      <c r="L366" s="2"/>
    </row>
    <row r="367" spans="1:12">
      <c r="B367" t="str">
        <f>DataNameProd1 &amp; " Sales Force Hrs. Required"</f>
        <v>CSD Sales Force Hrs. Required</v>
      </c>
      <c r="C367" s="2"/>
      <c r="D367" s="2"/>
      <c r="E367" s="23">
        <f>IF(xxSim0Tool1=0,mmProd1Reg2UnitsSold*paramProd1Emp2HrsReq,capProd1Reg2Units*paramProd1Emp2HrsReq)</f>
        <v>2067896.84</v>
      </c>
      <c r="F367" s="23">
        <f>IF(xxSim0Tool1=0,mmProd1Reg2UnitsSold*paramProd1Emp2HrsReq,capProd1Reg2Units*paramProd1Emp2HrsReq)</f>
        <v>2067896.84</v>
      </c>
      <c r="G367" s="23">
        <f>IF(xxSim0Tool1=0,mmProd1Reg2UnitsSold*paramProd1Emp2HrsReq,capProd1Reg2Units*paramProd1Emp2HrsReq)</f>
        <v>2067896.84</v>
      </c>
      <c r="H367" s="23">
        <f>IF(xxSim0Tool1=0,mmProd1Reg2UnitsSold*paramProd1Emp2HrsReq,capProd1Reg2Units*paramProd1Emp2HrsReq)</f>
        <v>2067896.84</v>
      </c>
      <c r="I367" s="23">
        <f>IF(xxSim0Tool1=0,mmProd1Reg2UnitsSold*paramProd1Emp2HrsReq,capProd1Reg2Units*paramProd1Emp2HrsReq)</f>
        <v>2067896.84</v>
      </c>
      <c r="K367" t="b">
        <f>MAX(E367:I367)=MIN(E367:I367)</f>
        <v>1</v>
      </c>
    </row>
    <row r="368" spans="1:12">
      <c r="B368" t="str">
        <f>DataNameProd2 &amp; " Sales Force Hrs. Required"</f>
        <v>Breakthrough Sales Force Hrs. Required</v>
      </c>
      <c r="C368" s="2"/>
      <c r="D368" s="2"/>
      <c r="E368" s="23">
        <v>0</v>
      </c>
      <c r="F368" s="23">
        <v>0</v>
      </c>
      <c r="G368" s="23">
        <v>0</v>
      </c>
      <c r="H368" s="23">
        <v>0</v>
      </c>
      <c r="I368" s="23">
        <v>0</v>
      </c>
      <c r="K368" t="b">
        <f>MAX(E368:I368)=MIN(E368:I368)</f>
        <v>1</v>
      </c>
    </row>
    <row r="369" spans="2:12">
      <c r="B369" t="str">
        <f>DataNameProd3 &amp; " Sales Force Hrs. Required"</f>
        <v>NCB Sales Force Hrs. Required</v>
      </c>
      <c r="C369" s="2"/>
      <c r="D369" s="2"/>
      <c r="E369" s="23">
        <f>IF(xxSim0Tool1=0,mmProd3Reg2UnitsSold*paramProd3Emp2HrsReq,capProd3Reg2Units*paramProd3Emp2HrsReq)</f>
        <v>2158309.37</v>
      </c>
      <c r="F369" s="23">
        <f>IF(xxSim0Tool1=0,mmProd3Reg2UnitsSold*paramProd3Emp2HrsReq,capProd3Reg2Units*paramProd3Emp2HrsReq)</f>
        <v>2158309.37</v>
      </c>
      <c r="G369" s="23">
        <f>IF(xxSim0Tool1=0,mmProd3Reg2UnitsSold*paramProd3Emp2HrsReq,capProd3Reg2Units*paramProd3Emp2HrsReq)</f>
        <v>2158309.37</v>
      </c>
      <c r="H369" s="23">
        <f>IF(xxSim0Tool1=0,mmProd3Reg2UnitsSold*paramProd3Emp2HrsReq,capProd3Reg2Units*paramProd3Emp2HrsReq)</f>
        <v>2158309.37</v>
      </c>
      <c r="I369" s="23">
        <f>IF(xxSim0Tool1=0,mmProd3Reg2UnitsSold*paramProd3Emp2HrsReq,capProd3Reg2Units*paramProd3Emp2HrsReq)</f>
        <v>2158309.37</v>
      </c>
      <c r="K369" t="b">
        <f>MAX(E369:I369)=MIN(E369:I369)</f>
        <v>1</v>
      </c>
    </row>
    <row r="370" spans="2:12">
      <c r="B370" t="str">
        <f>DataNameProd4 &amp; " Sales Force Hrs. Required"</f>
        <v>F&amp;S Sales Force Hrs. Required</v>
      </c>
      <c r="C370" s="2"/>
      <c r="D370" s="2"/>
      <c r="E370" s="23">
        <f>IF(xxSim0Tool1=0,mmProd4Reg2UnitsSold*paramProd4Emp2HrsReq,capProd4Reg2Units*paramProd4Emp2HrsReq)</f>
        <v>2034281.9249999998</v>
      </c>
      <c r="F370" s="23">
        <f>IF(xxSim0Tool1=0,mmProd4Reg2UnitsSold*paramProd4Emp2HrsReq,capProd4Reg2Units*paramProd4Emp2HrsReq)</f>
        <v>2034281.9249999998</v>
      </c>
      <c r="G370" s="23">
        <f>IF(xxSim0Tool1=0,mmProd4Reg2UnitsSold*paramProd4Emp2HrsReq,capProd4Reg2Units*paramProd4Emp2HrsReq)</f>
        <v>2034281.9249999998</v>
      </c>
      <c r="H370" s="23">
        <f>IF(xxSim0Tool1=0,mmProd4Reg2UnitsSold*paramProd4Emp2HrsReq,capProd4Reg2Units*paramProd4Emp2HrsReq)</f>
        <v>2034281.9249999998</v>
      </c>
      <c r="I370" s="23">
        <f>IF(xxSim0Tool1=0,mmProd4Reg2UnitsSold*paramProd4Emp2HrsReq,capProd4Reg2Units*paramProd4Emp2HrsReq)</f>
        <v>2034281.9249999998</v>
      </c>
      <c r="K370" t="b">
        <f>MAX(E370:I370)=MIN(E370:I370)</f>
        <v>1</v>
      </c>
    </row>
    <row r="371" spans="2:12">
      <c r="B371" s="2" t="str">
        <f>DataNameEmp2 &amp; " Required"</f>
        <v>Upper Region Sales Force Required</v>
      </c>
      <c r="E371" s="13">
        <f>SUM(E367:E370)</f>
        <v>6260488.1349999998</v>
      </c>
      <c r="F371" s="13">
        <f>SUM(F367:F370)</f>
        <v>6260488.1349999998</v>
      </c>
      <c r="G371" s="13">
        <f>SUM(G367:G370)</f>
        <v>6260488.1349999998</v>
      </c>
      <c r="H371" s="13">
        <f>SUM(H367:H370)</f>
        <v>6260488.1349999998</v>
      </c>
      <c r="I371" s="13">
        <f>SUM(I367:I370)</f>
        <v>6260488.1349999998</v>
      </c>
      <c r="K371" t="b">
        <f t="shared" si="19"/>
        <v>1</v>
      </c>
    </row>
    <row r="372" spans="2:12">
      <c r="B372" s="2"/>
      <c r="E372" s="13"/>
      <c r="F372" s="13"/>
      <c r="G372" s="13"/>
      <c r="H372" s="13"/>
      <c r="I372" s="13"/>
      <c r="K372" t="b">
        <f t="shared" si="19"/>
        <v>1</v>
      </c>
    </row>
    <row r="373" spans="2:12">
      <c r="B373" t="str">
        <f>DataNameEmp2&amp;" Utilization"</f>
        <v>Upper Region Sales Force Utilization</v>
      </c>
      <c r="E373" s="15">
        <f>E371/E365</f>
        <v>0.9937282753968254</v>
      </c>
      <c r="F373" s="15">
        <f>F371/F365</f>
        <v>0.9937282753968254</v>
      </c>
      <c r="G373" s="15">
        <f>G371/G365</f>
        <v>0.9937282753968254</v>
      </c>
      <c r="H373" s="15">
        <f>H371/H365</f>
        <v>0.9937282753968254</v>
      </c>
      <c r="I373" s="15">
        <f>I371/I365</f>
        <v>0.9937282753968254</v>
      </c>
      <c r="J373" t="s">
        <v>2476</v>
      </c>
      <c r="K373" t="b">
        <f t="shared" si="19"/>
        <v>1</v>
      </c>
    </row>
    <row r="374" spans="2:12">
      <c r="B374" t="str">
        <f>DataNameEmp2&amp;" Base Expense"</f>
        <v>Upper Region Sales Force Base Expense</v>
      </c>
      <c r="E374" s="11">
        <f>E364*paramEmp2Exp</f>
        <v>115500000</v>
      </c>
      <c r="F374" s="11">
        <f>F364*paramEmp2Exp</f>
        <v>115500000</v>
      </c>
      <c r="G374" s="11">
        <f>G364*paramEmp2Exp</f>
        <v>115500000</v>
      </c>
      <c r="H374" s="11">
        <f>H364*paramEmp2Exp</f>
        <v>115500000</v>
      </c>
      <c r="I374" s="11">
        <f>I364*paramEmp2Exp</f>
        <v>115500000</v>
      </c>
      <c r="K374" t="b">
        <f t="shared" si="19"/>
        <v>1</v>
      </c>
    </row>
    <row r="375" spans="2:12">
      <c r="B375" t="str">
        <f>DataNameEmp2&amp;" Overtime Expense"</f>
        <v>Upper Region Sales Force Overtime Expense</v>
      </c>
      <c r="E375" s="11">
        <f>MAX(0,E373-1)*E374*paramEmp2OTRate</f>
        <v>0</v>
      </c>
      <c r="F375" s="11">
        <f>MAX(0,F373-1)*F374*paramEmp2OTRate</f>
        <v>0</v>
      </c>
      <c r="G375" s="11">
        <f>MAX(0,G373-1)*G374*paramEmp2OTRate</f>
        <v>0</v>
      </c>
      <c r="H375" s="11">
        <f>MAX(0,H373-1)*H374*paramEmp2OTRate</f>
        <v>0</v>
      </c>
      <c r="I375" s="11">
        <f>MAX(0,I373-1)*I374*paramEmp2OTRate</f>
        <v>0</v>
      </c>
      <c r="J375" t="s">
        <v>417</v>
      </c>
      <c r="K375" t="b">
        <f t="shared" si="19"/>
        <v>1</v>
      </c>
    </row>
    <row r="376" spans="2:12">
      <c r="B376" s="2" t="str">
        <f>DataNameEmp2 &amp; " Total Expense"</f>
        <v>Upper Region Sales Force Total Expense</v>
      </c>
      <c r="C376" s="2"/>
      <c r="D376" s="2"/>
      <c r="E376" s="13">
        <f>SUM(E374:E375)</f>
        <v>115500000</v>
      </c>
      <c r="F376" s="13">
        <f>SUM(F374:F375)</f>
        <v>115500000</v>
      </c>
      <c r="G376" s="13">
        <f>SUM(G374:G375)</f>
        <v>115500000</v>
      </c>
      <c r="H376" s="13">
        <f>SUM(H374:H375)</f>
        <v>115500000</v>
      </c>
      <c r="I376" s="13">
        <f>SUM(I374:I375)</f>
        <v>115500000</v>
      </c>
      <c r="J376" t="s">
        <v>414</v>
      </c>
      <c r="K376" t="b">
        <f t="shared" si="19"/>
        <v>1</v>
      </c>
      <c r="L376" s="2"/>
    </row>
    <row r="377" spans="2:12">
      <c r="B377" t="str">
        <f>DataNameEmp2&amp;" Excess Capacity Cost"</f>
        <v>Upper Region Sales Force Excess Capacity Cost</v>
      </c>
      <c r="E377" s="11">
        <f>(paramEmp2OTRate&gt;0)*(E373&lt;1)*(1-E373)*E376</f>
        <v>0</v>
      </c>
      <c r="F377" s="11">
        <f>(paramEmp2OTRate&gt;0)*(F373&lt;1)*(1-F373)*F376</f>
        <v>0</v>
      </c>
      <c r="G377" s="11">
        <f>(paramEmp2OTRate&gt;0)*(G373&lt;1)*(1-G373)*G376</f>
        <v>0</v>
      </c>
      <c r="H377" s="11">
        <f>(paramEmp2OTRate&gt;0)*(H373&lt;1)*(1-H373)*H376</f>
        <v>0</v>
      </c>
      <c r="I377" s="11">
        <f>(paramEmp2OTRate&gt;0)*(I373&lt;1)*(1-I373)*I376</f>
        <v>0</v>
      </c>
      <c r="J377" t="s">
        <v>416</v>
      </c>
      <c r="K377" t="b">
        <f t="shared" si="19"/>
        <v>1</v>
      </c>
    </row>
    <row r="378" spans="2:12">
      <c r="B378" s="2"/>
      <c r="E378" s="10"/>
      <c r="F378" s="10"/>
      <c r="G378" s="10"/>
      <c r="H378" s="10"/>
      <c r="I378" s="10"/>
      <c r="K378" t="b">
        <f t="shared" si="19"/>
        <v>1</v>
      </c>
      <c r="L378" s="2"/>
    </row>
    <row r="379" spans="2:12">
      <c r="B379" t="str">
        <f>DataNameEmp2&amp;" Recruitment/Dismissal Costs"</f>
        <v>Upper Region Sales Force Recruitment/Dismissal Costs</v>
      </c>
      <c r="E379" s="139">
        <f>ABS(paramEmp2RecDismCost*paramEmp2Exp*capEmp2Change)</f>
        <v>5120500</v>
      </c>
      <c r="F379" s="139">
        <f>ABS(paramEmp2RecDismCost*paramEmp2Exp*capEmp2Change)</f>
        <v>5120500</v>
      </c>
      <c r="G379" s="139">
        <f>ABS(paramEmp2RecDismCost*paramEmp2Exp*capEmp2Change)</f>
        <v>5120500</v>
      </c>
      <c r="H379" s="139">
        <f>ABS(paramEmp2RecDismCost*paramEmp2Exp*capEmp2Change)</f>
        <v>5120500</v>
      </c>
      <c r="I379" s="139">
        <f>ABS(paramEmp2RecDismCost*paramEmp2Exp*capEmp2Change)</f>
        <v>5120500</v>
      </c>
      <c r="J379" t="s">
        <v>1119</v>
      </c>
      <c r="K379" t="b">
        <f t="shared" si="19"/>
        <v>1</v>
      </c>
    </row>
    <row r="380" spans="2:12">
      <c r="B380" t="str">
        <f>DataNameEmp2&amp;" Admin Cost"</f>
        <v>Upper Region Sales Force Admin Cost</v>
      </c>
      <c r="E380" s="259">
        <f>E376*paramEmp2AdminCostPct</f>
        <v>19635000</v>
      </c>
      <c r="F380" s="259">
        <f>cap!F376*paramEmp2AdminCostPct</f>
        <v>19635000</v>
      </c>
      <c r="G380" s="259">
        <f>cap!G376*paramEmp2AdminCostPct</f>
        <v>19635000</v>
      </c>
      <c r="H380" s="259">
        <f>cap!H376*paramEmp2AdminCostPct</f>
        <v>19635000</v>
      </c>
      <c r="I380" s="259">
        <f>cap!I376*paramEmp2AdminCostPct</f>
        <v>19635000</v>
      </c>
      <c r="J380" t="s">
        <v>1118</v>
      </c>
      <c r="K380" t="b">
        <f t="shared" si="19"/>
        <v>1</v>
      </c>
    </row>
    <row r="381" spans="2:12">
      <c r="E381" s="259"/>
      <c r="F381" s="259"/>
      <c r="G381" s="259"/>
      <c r="H381" s="259"/>
      <c r="I381" s="259"/>
      <c r="K381" t="b">
        <f t="shared" si="19"/>
        <v>1</v>
      </c>
    </row>
    <row r="382" spans="2:12">
      <c r="B382" s="2" t="str">
        <f>DataNameEmp2 &amp; " % Product Allocation"</f>
        <v>Upper Region Sales Force % Product Allocation</v>
      </c>
      <c r="E382" s="10"/>
      <c r="F382" s="10"/>
      <c r="G382" s="10"/>
      <c r="H382" s="10"/>
      <c r="I382" s="10"/>
      <c r="K382" t="b">
        <f t="shared" si="19"/>
        <v>1</v>
      </c>
      <c r="L382" s="2"/>
    </row>
    <row r="383" spans="2:12">
      <c r="B383" t="str">
        <f>DataNameProd1 &amp; " " &amp; DataNameEmp2 &amp; " Allocation"</f>
        <v>CSD Upper Region Sales Force Allocation</v>
      </c>
      <c r="E383" s="15">
        <f t="shared" ref="E383:I386" si="23">E367/E$371</f>
        <v>0.33030920199962971</v>
      </c>
      <c r="F383" s="15">
        <f t="shared" si="23"/>
        <v>0.33030920199962971</v>
      </c>
      <c r="G383" s="15">
        <f t="shared" si="23"/>
        <v>0.33030920199962971</v>
      </c>
      <c r="H383" s="15">
        <f t="shared" si="23"/>
        <v>0.33030920199962971</v>
      </c>
      <c r="I383" s="15">
        <f t="shared" si="23"/>
        <v>0.33030920199962971</v>
      </c>
      <c r="J383" t="s">
        <v>3005</v>
      </c>
      <c r="K383" t="b">
        <f t="shared" si="19"/>
        <v>1</v>
      </c>
    </row>
    <row r="384" spans="2:12">
      <c r="B384" t="str">
        <f>DataNameProd2 &amp; " " &amp; DataNameEmp2 &amp; " Allocation"</f>
        <v>Breakthrough Upper Region Sales Force Allocation</v>
      </c>
      <c r="E384" s="15">
        <f t="shared" si="23"/>
        <v>0</v>
      </c>
      <c r="F384" s="15">
        <f t="shared" si="23"/>
        <v>0</v>
      </c>
      <c r="G384" s="15">
        <f t="shared" si="23"/>
        <v>0</v>
      </c>
      <c r="H384" s="15">
        <f t="shared" si="23"/>
        <v>0</v>
      </c>
      <c r="I384" s="15">
        <f t="shared" si="23"/>
        <v>0</v>
      </c>
      <c r="J384" t="s">
        <v>3852</v>
      </c>
      <c r="K384" t="b">
        <f t="shared" si="19"/>
        <v>1</v>
      </c>
    </row>
    <row r="385" spans="2:12">
      <c r="B385" t="str">
        <f>DataNameProd2 &amp; " " &amp; DataNameEmp2 &amp; " Allocation"</f>
        <v>Breakthrough Upper Region Sales Force Allocation</v>
      </c>
      <c r="E385" s="15">
        <f t="shared" si="23"/>
        <v>0.34475097204221444</v>
      </c>
      <c r="F385" s="15">
        <f t="shared" si="23"/>
        <v>0.34475097204221444</v>
      </c>
      <c r="G385" s="15">
        <f t="shared" si="23"/>
        <v>0.34475097204221444</v>
      </c>
      <c r="H385" s="15">
        <f t="shared" si="23"/>
        <v>0.34475097204221444</v>
      </c>
      <c r="I385" s="15">
        <f t="shared" si="23"/>
        <v>0.34475097204221444</v>
      </c>
      <c r="J385" t="s">
        <v>3853</v>
      </c>
      <c r="K385" t="b">
        <f t="shared" si="19"/>
        <v>1</v>
      </c>
    </row>
    <row r="386" spans="2:12">
      <c r="B386" t="str">
        <f>DataNameProd2 &amp; " " &amp; DataNameEmp2 &amp; " Allocation"</f>
        <v>Breakthrough Upper Region Sales Force Allocation</v>
      </c>
      <c r="E386" s="15">
        <f t="shared" si="23"/>
        <v>0.3249398259581559</v>
      </c>
      <c r="F386" s="15">
        <f t="shared" si="23"/>
        <v>0.3249398259581559</v>
      </c>
      <c r="G386" s="15">
        <f t="shared" si="23"/>
        <v>0.3249398259581559</v>
      </c>
      <c r="H386" s="15">
        <f t="shared" si="23"/>
        <v>0.3249398259581559</v>
      </c>
      <c r="I386" s="15">
        <f t="shared" si="23"/>
        <v>0.3249398259581559</v>
      </c>
      <c r="J386" t="s">
        <v>3854</v>
      </c>
      <c r="K386" t="b">
        <f t="shared" si="19"/>
        <v>1</v>
      </c>
    </row>
    <row r="387" spans="2:12">
      <c r="B387" s="119"/>
      <c r="C387" s="119"/>
      <c r="D387" s="119"/>
      <c r="E387" s="341"/>
      <c r="F387" s="341"/>
      <c r="G387" s="341"/>
      <c r="H387" s="341"/>
      <c r="I387" s="341"/>
      <c r="K387" t="b">
        <f t="shared" si="19"/>
        <v>1</v>
      </c>
    </row>
    <row r="388" spans="2:12">
      <c r="E388" s="10"/>
      <c r="F388" s="10"/>
      <c r="G388" s="10"/>
      <c r="H388" s="10"/>
      <c r="I388" s="10"/>
      <c r="K388" t="b">
        <f t="shared" si="19"/>
        <v>1</v>
      </c>
    </row>
    <row r="389" spans="2:12">
      <c r="B389" s="2" t="str">
        <f>DataNameEmp2 &amp; " Expense Allocation"</f>
        <v>Upper Region Sales Force Expense Allocation</v>
      </c>
      <c r="E389" s="10"/>
      <c r="F389" s="10"/>
      <c r="G389" s="10"/>
      <c r="H389" s="10"/>
      <c r="I389" s="10"/>
      <c r="K389" t="b">
        <f t="shared" si="19"/>
        <v>1</v>
      </c>
      <c r="L389" s="2"/>
    </row>
    <row r="390" spans="2:12">
      <c r="B390" t="str">
        <f>DataNameProd1 &amp; " " &amp; DataNameEmp2 &amp; " Slary Expense"</f>
        <v>CSD Upper Region Sales Force Slary Expense</v>
      </c>
      <c r="E390" s="19">
        <f t="shared" ref="E390:I393" si="24">capEmp2Exp*E383</f>
        <v>38150712.830957234</v>
      </c>
      <c r="F390" s="19">
        <f t="shared" si="24"/>
        <v>38150712.830957234</v>
      </c>
      <c r="G390" s="19">
        <f t="shared" si="24"/>
        <v>38150712.830957234</v>
      </c>
      <c r="H390" s="19">
        <f t="shared" si="24"/>
        <v>38150712.830957234</v>
      </c>
      <c r="I390" s="19">
        <f t="shared" si="24"/>
        <v>38150712.830957234</v>
      </c>
      <c r="J390" t="s">
        <v>1738</v>
      </c>
      <c r="K390" t="b">
        <f t="shared" si="19"/>
        <v>1</v>
      </c>
    </row>
    <row r="391" spans="2:12">
      <c r="B391" t="str">
        <f>DataNameProd2 &amp; " " &amp; DataNameEmp2 &amp; " Slary Expense"</f>
        <v>Breakthrough Upper Region Sales Force Slary Expense</v>
      </c>
      <c r="E391" s="19">
        <f t="shared" si="24"/>
        <v>0</v>
      </c>
      <c r="F391" s="19">
        <f t="shared" si="24"/>
        <v>0</v>
      </c>
      <c r="G391" s="19">
        <f t="shared" si="24"/>
        <v>0</v>
      </c>
      <c r="H391" s="19">
        <f t="shared" si="24"/>
        <v>0</v>
      </c>
      <c r="I391" s="19">
        <f t="shared" si="24"/>
        <v>0</v>
      </c>
      <c r="J391" t="s">
        <v>1739</v>
      </c>
      <c r="K391" t="b">
        <f t="shared" si="19"/>
        <v>1</v>
      </c>
    </row>
    <row r="392" spans="2:12">
      <c r="B392" t="str">
        <f>DataNameProd4 &amp; " " &amp; DataNameEmp2 &amp; " Slary Expense"</f>
        <v>F&amp;S Upper Region Sales Force Slary Expense</v>
      </c>
      <c r="E392" s="19">
        <f t="shared" si="24"/>
        <v>39818737.270875767</v>
      </c>
      <c r="F392" s="19">
        <f t="shared" si="24"/>
        <v>39818737.270875767</v>
      </c>
      <c r="G392" s="19">
        <f t="shared" si="24"/>
        <v>39818737.270875767</v>
      </c>
      <c r="H392" s="19">
        <f t="shared" si="24"/>
        <v>39818737.270875767</v>
      </c>
      <c r="I392" s="19">
        <f t="shared" si="24"/>
        <v>39818737.270875767</v>
      </c>
      <c r="J392" t="s">
        <v>1740</v>
      </c>
      <c r="K392" t="b">
        <f t="shared" si="19"/>
        <v>1</v>
      </c>
    </row>
    <row r="393" spans="2:12">
      <c r="B393" t="str">
        <f>DataNameProd4 &amp; " " &amp; DataNameEmp2 &amp; " Slary Expense"</f>
        <v>F&amp;S Upper Region Sales Force Slary Expense</v>
      </c>
      <c r="E393" s="19">
        <f t="shared" si="24"/>
        <v>37530549.898167007</v>
      </c>
      <c r="F393" s="19">
        <f t="shared" si="24"/>
        <v>37530549.898167007</v>
      </c>
      <c r="G393" s="19">
        <f t="shared" si="24"/>
        <v>37530549.898167007</v>
      </c>
      <c r="H393" s="19">
        <f t="shared" si="24"/>
        <v>37530549.898167007</v>
      </c>
      <c r="I393" s="19">
        <f t="shared" si="24"/>
        <v>37530549.898167007</v>
      </c>
      <c r="J393" t="s">
        <v>1741</v>
      </c>
      <c r="K393" t="b">
        <f t="shared" si="19"/>
        <v>1</v>
      </c>
    </row>
    <row r="394" spans="2:12">
      <c r="B394" s="119"/>
      <c r="C394" s="119"/>
      <c r="D394" s="119"/>
      <c r="E394" s="345"/>
      <c r="F394" s="345"/>
      <c r="G394" s="345"/>
      <c r="H394" s="345"/>
      <c r="I394" s="345"/>
      <c r="K394" t="b">
        <f t="shared" ref="K394:K474" si="25">MAX(E394:I394)=MIN(E394:I394)</f>
        <v>1</v>
      </c>
    </row>
    <row r="395" spans="2:12">
      <c r="E395" s="10"/>
      <c r="F395" s="10"/>
      <c r="G395" s="10"/>
      <c r="H395" s="10"/>
      <c r="I395" s="10"/>
      <c r="K395" t="b">
        <f t="shared" si="25"/>
        <v>1</v>
      </c>
    </row>
    <row r="396" spans="2:12">
      <c r="B396" t="str">
        <f>DataNameProd1 &amp; " " &amp; DataNameEmp2 &amp; " Recruit/Dismissal Expense"</f>
        <v>CSD Upper Region Sales Force Recruit/Dismissal Expense</v>
      </c>
      <c r="E396" s="398">
        <f>capEmp2RecDismExp*capEmp2AllocProd1</f>
        <v>1691348.2688391039</v>
      </c>
      <c r="F396" s="398">
        <f>capEmp2RecDismExp*capEmp2AllocProd1</f>
        <v>1691348.2688391039</v>
      </c>
      <c r="G396" s="398">
        <f>capEmp2RecDismExp*capEmp2AllocProd1</f>
        <v>1691348.2688391039</v>
      </c>
      <c r="H396" s="398">
        <f>capEmp2RecDismExp*capEmp2AllocProd1</f>
        <v>1691348.2688391039</v>
      </c>
      <c r="I396" s="398">
        <f>capEmp2RecDismExp*capEmp2AllocProd1</f>
        <v>1691348.2688391039</v>
      </c>
      <c r="J396" t="s">
        <v>494</v>
      </c>
      <c r="K396" t="b">
        <f t="shared" si="25"/>
        <v>1</v>
      </c>
    </row>
    <row r="397" spans="2:12">
      <c r="B397" t="str">
        <f>DataNameProd2 &amp; " " &amp; DataNameEmp2 &amp; " Recruit/Dismissal Expense"</f>
        <v>Breakthrough Upper Region Sales Force Recruit/Dismissal Expense</v>
      </c>
      <c r="E397" s="398">
        <f>capEmp2RecDismExp*capEmp2AllocProd2</f>
        <v>0</v>
      </c>
      <c r="F397" s="398">
        <f>capEmp2RecDismExp*capEmp2AllocProd2</f>
        <v>0</v>
      </c>
      <c r="G397" s="398">
        <f>capEmp2RecDismExp*capEmp2AllocProd2</f>
        <v>0</v>
      </c>
      <c r="H397" s="398">
        <f>capEmp2RecDismExp*capEmp2AllocProd2</f>
        <v>0</v>
      </c>
      <c r="I397" s="398">
        <f>capEmp2RecDismExp*capEmp2AllocProd2</f>
        <v>0</v>
      </c>
      <c r="J397" t="s">
        <v>2725</v>
      </c>
      <c r="K397" t="b">
        <f t="shared" si="25"/>
        <v>1</v>
      </c>
    </row>
    <row r="398" spans="2:12">
      <c r="B398" t="str">
        <f>DataNameProd3 &amp; " " &amp; DataNameEmp2 &amp; " Recruit/Dismissal Expense"</f>
        <v>NCB Upper Region Sales Force Recruit/Dismissal Expense</v>
      </c>
      <c r="E398" s="398">
        <f>capEmp2RecDismExp*capEmp2AllocProd3</f>
        <v>1765297.352342159</v>
      </c>
      <c r="F398" s="398">
        <f>capEmp2RecDismExp*capEmp2AllocProd3</f>
        <v>1765297.352342159</v>
      </c>
      <c r="G398" s="398">
        <f>capEmp2RecDismExp*capEmp2AllocProd3</f>
        <v>1765297.352342159</v>
      </c>
      <c r="H398" s="398">
        <f>capEmp2RecDismExp*capEmp2AllocProd3</f>
        <v>1765297.352342159</v>
      </c>
      <c r="I398" s="398">
        <f>capEmp2RecDismExp*capEmp2AllocProd3</f>
        <v>1765297.352342159</v>
      </c>
      <c r="J398" t="s">
        <v>2726</v>
      </c>
      <c r="K398" t="b">
        <f t="shared" si="25"/>
        <v>1</v>
      </c>
    </row>
    <row r="399" spans="2:12">
      <c r="B399" t="str">
        <f>DataNameProd4 &amp; " " &amp; DataNameEmp2 &amp; " Recruit/Dismissal Expense"</f>
        <v>F&amp;S Upper Region Sales Force Recruit/Dismissal Expense</v>
      </c>
      <c r="E399" s="398">
        <f>capEmp2RecDismExp*capEmp2AllocProd4</f>
        <v>1663854.3788187373</v>
      </c>
      <c r="F399" s="398">
        <f>capEmp2RecDismExp*capEmp2AllocProd4</f>
        <v>1663854.3788187373</v>
      </c>
      <c r="G399" s="398">
        <f>capEmp2RecDismExp*capEmp2AllocProd4</f>
        <v>1663854.3788187373</v>
      </c>
      <c r="H399" s="398">
        <f>capEmp2RecDismExp*capEmp2AllocProd4</f>
        <v>1663854.3788187373</v>
      </c>
      <c r="I399" s="398">
        <f>capEmp2RecDismExp*capEmp2AllocProd4</f>
        <v>1663854.3788187373</v>
      </c>
      <c r="J399" t="s">
        <v>2727</v>
      </c>
      <c r="K399" t="b">
        <f t="shared" si="25"/>
        <v>1</v>
      </c>
    </row>
    <row r="400" spans="2:12">
      <c r="B400" s="119"/>
      <c r="C400" s="119"/>
      <c r="D400" s="119"/>
      <c r="E400" s="119"/>
      <c r="F400" s="119"/>
      <c r="G400" s="119"/>
      <c r="H400" s="119"/>
      <c r="I400" s="119"/>
      <c r="K400" t="b">
        <f t="shared" si="25"/>
        <v>1</v>
      </c>
    </row>
    <row r="401" spans="1:12">
      <c r="B401" s="2"/>
      <c r="E401" s="33"/>
      <c r="F401" s="33"/>
      <c r="G401" s="33"/>
      <c r="H401" s="33"/>
      <c r="I401" s="33"/>
      <c r="K401" t="b">
        <f t="shared" si="25"/>
        <v>1</v>
      </c>
      <c r="L401" s="2"/>
    </row>
    <row r="402" spans="1:12">
      <c r="B402" t="str">
        <f>DataNameProd1&amp;" "&amp;DataNameEmp2&amp;" Admin Expense"</f>
        <v>CSD Upper Region Sales Force Admin Expense</v>
      </c>
      <c r="E402" s="14">
        <f>capEmp2AdminExp*capEmp2AllocProd1</f>
        <v>6485621.1812627297</v>
      </c>
      <c r="F402" s="14">
        <f>capEmp2AdminExp*capEmp2AllocProd1</f>
        <v>6485621.1812627297</v>
      </c>
      <c r="G402" s="14">
        <f>capEmp2AdminExp*capEmp2AllocProd1</f>
        <v>6485621.1812627297</v>
      </c>
      <c r="H402" s="14">
        <f>capEmp2AdminExp*capEmp2AllocProd1</f>
        <v>6485621.1812627297</v>
      </c>
      <c r="I402" s="14">
        <f>capEmp2AdminExp*capEmp2AllocProd1</f>
        <v>6485621.1812627297</v>
      </c>
      <c r="J402" t="s">
        <v>495</v>
      </c>
      <c r="K402" t="b">
        <f t="shared" si="25"/>
        <v>1</v>
      </c>
    </row>
    <row r="403" spans="1:12">
      <c r="B403" t="str">
        <f>DataNameProd2&amp;" "&amp;DataNameEmp2&amp;" Admin Expense"</f>
        <v>Breakthrough Upper Region Sales Force Admin Expense</v>
      </c>
      <c r="E403" s="14">
        <f>capEmp2AdminExp*capEmp2AllocProd2</f>
        <v>0</v>
      </c>
      <c r="F403" s="14">
        <f>capEmp2AdminExp*capEmp2AllocProd2</f>
        <v>0</v>
      </c>
      <c r="G403" s="14">
        <f>capEmp2AdminExp*capEmp2AllocProd2</f>
        <v>0</v>
      </c>
      <c r="H403" s="14">
        <f>capEmp2AdminExp*capEmp2AllocProd2</f>
        <v>0</v>
      </c>
      <c r="I403" s="14">
        <f>capEmp2AdminExp*capEmp2AllocProd2</f>
        <v>0</v>
      </c>
      <c r="J403" t="s">
        <v>2728</v>
      </c>
      <c r="K403" t="b">
        <f t="shared" si="25"/>
        <v>1</v>
      </c>
    </row>
    <row r="404" spans="1:12">
      <c r="B404" t="str">
        <f>DataNameProd3&amp;" "&amp;DataNameEmp2&amp;" Admin Expense"</f>
        <v>NCB Upper Region Sales Force Admin Expense</v>
      </c>
      <c r="E404" s="14">
        <f>capEmp2AdminExp*capEmp2AllocProd3</f>
        <v>6769185.3360488806</v>
      </c>
      <c r="F404" s="14">
        <f>capEmp2AdminExp*capEmp2AllocProd3</f>
        <v>6769185.3360488806</v>
      </c>
      <c r="G404" s="14">
        <f>capEmp2AdminExp*capEmp2AllocProd3</f>
        <v>6769185.3360488806</v>
      </c>
      <c r="H404" s="14">
        <f>capEmp2AdminExp*capEmp2AllocProd3</f>
        <v>6769185.3360488806</v>
      </c>
      <c r="I404" s="14">
        <f>capEmp2AdminExp*capEmp2AllocProd3</f>
        <v>6769185.3360488806</v>
      </c>
      <c r="J404" t="s">
        <v>2729</v>
      </c>
      <c r="K404" t="b">
        <f t="shared" si="25"/>
        <v>1</v>
      </c>
    </row>
    <row r="405" spans="1:12">
      <c r="B405" t="str">
        <f>DataNameProd4&amp;" "&amp;DataNameEmp2&amp;" Admin Expense"</f>
        <v>F&amp;S Upper Region Sales Force Admin Expense</v>
      </c>
      <c r="E405" s="14">
        <f>capEmp2AdminExp*capEmp2AllocProd4</f>
        <v>6380193.4826883916</v>
      </c>
      <c r="F405" s="14">
        <f>capEmp2AdminExp*capEmp2AllocProd4</f>
        <v>6380193.4826883916</v>
      </c>
      <c r="G405" s="14">
        <f>capEmp2AdminExp*capEmp2AllocProd4</f>
        <v>6380193.4826883916</v>
      </c>
      <c r="H405" s="14">
        <f>capEmp2AdminExp*capEmp2AllocProd4</f>
        <v>6380193.4826883916</v>
      </c>
      <c r="I405" s="14">
        <f>capEmp2AdminExp*capEmp2AllocProd4</f>
        <v>6380193.4826883916</v>
      </c>
      <c r="J405" t="s">
        <v>2730</v>
      </c>
      <c r="K405" t="b">
        <f t="shared" si="25"/>
        <v>1</v>
      </c>
    </row>
    <row r="406" spans="1:12">
      <c r="B406" s="269"/>
      <c r="C406" s="119"/>
      <c r="D406" s="119"/>
      <c r="E406" s="119"/>
      <c r="F406" s="119"/>
      <c r="G406" s="119"/>
      <c r="H406" s="119"/>
      <c r="I406" s="119"/>
      <c r="K406" t="b">
        <f t="shared" si="25"/>
        <v>1</v>
      </c>
      <c r="L406" s="2"/>
    </row>
    <row r="407" spans="1:12">
      <c r="E407" s="19"/>
      <c r="F407" s="19"/>
      <c r="G407" s="19"/>
      <c r="H407" s="19"/>
      <c r="I407" s="19"/>
      <c r="K407" t="b">
        <f t="shared" si="25"/>
        <v>1</v>
      </c>
    </row>
    <row r="408" spans="1:12">
      <c r="B408" s="2" t="str">
        <f>DataNameEmp2 &amp; " Expense Per Unit"</f>
        <v>Upper Region Sales Force Expense Per Unit</v>
      </c>
      <c r="E408" s="19"/>
      <c r="F408" s="19"/>
      <c r="G408" s="19"/>
      <c r="H408" s="19"/>
      <c r="I408" s="19"/>
      <c r="K408" t="b">
        <f t="shared" si="25"/>
        <v>1</v>
      </c>
    </row>
    <row r="409" spans="1:12">
      <c r="B409" s="3" t="str">
        <f>DataNameProd1 &amp; " " &amp; DataNameEmp2 &amp; " Expense Per Unit"</f>
        <v>CSD Upper Region Sales Force Expense Per Unit</v>
      </c>
      <c r="C409" s="3"/>
      <c r="D409" s="3"/>
      <c r="E409" s="123">
        <f>(capProd1Emp2SalExp+capProd1Emp2RecDismExp+capProd1Emp2AdminExp)/capProd1Reg2Units</f>
        <v>0.12770890930994291</v>
      </c>
      <c r="F409" s="123">
        <f>(capProd1Emp2SalExp+capProd1Emp2RecDismExp+capProd1Emp2AdminExp)/capProd1Reg2Units</f>
        <v>0.12770890930994291</v>
      </c>
      <c r="G409" s="123">
        <f>(capProd1Emp2SalExp+capProd1Emp2RecDismExp+capProd1Emp2AdminExp)/capProd1Reg2Units</f>
        <v>0.12770890930994291</v>
      </c>
      <c r="H409" s="123">
        <f>(capProd1Emp2SalExp+capProd1Emp2RecDismExp+capProd1Emp2AdminExp)/capProd1Reg2Units</f>
        <v>0.12770890930994291</v>
      </c>
      <c r="I409" s="123">
        <f>(capProd1Emp2SalExp+capProd1Emp2RecDismExp+capProd1Emp2AdminExp)/capProd1Reg2Units</f>
        <v>0.12770890930994291</v>
      </c>
      <c r="J409" t="s">
        <v>2731</v>
      </c>
      <c r="K409" t="b">
        <f t="shared" si="25"/>
        <v>1</v>
      </c>
    </row>
    <row r="410" spans="1:12">
      <c r="B410" s="3" t="str">
        <f>DataNameProd2 &amp; " " &amp; DataNameEmp2 &amp; " Expense Per Unit"</f>
        <v>Breakthrough Upper Region Sales Force Expense Per Unit</v>
      </c>
      <c r="C410" s="3"/>
      <c r="D410" s="3"/>
      <c r="E410" s="123">
        <f>IF(capProd2Reg2Units=0,0,(capProd2Emp2SalExp+capProd2Emp2RecDismExp+403:403)/capProd2Reg2Units)</f>
        <v>0</v>
      </c>
      <c r="F410" s="123">
        <f>IF(capProd2Reg2Units=0,0,(capProd2Emp2SalExp+capProd2Emp2RecDismExp+403:403)/capProd2Reg2Units)</f>
        <v>0</v>
      </c>
      <c r="G410" s="123">
        <f>IF(capProd2Reg2Units=0,0,(capProd2Emp2SalExp+capProd2Emp2RecDismExp+403:403)/capProd2Reg2Units)</f>
        <v>0</v>
      </c>
      <c r="H410" s="123">
        <f>IF(capProd2Reg2Units=0,0,(capProd2Emp2SalExp+capProd2Emp2RecDismExp+403:403)/capProd2Reg2Units)</f>
        <v>0</v>
      </c>
      <c r="I410" s="123">
        <f>IF(capProd2Reg2Units=0,0,(capProd2Emp2SalExp+capProd2Emp2RecDismExp+403:403)/capProd2Reg2Units)</f>
        <v>0</v>
      </c>
      <c r="J410" t="s">
        <v>2732</v>
      </c>
      <c r="K410" t="b">
        <f t="shared" si="25"/>
        <v>1</v>
      </c>
    </row>
    <row r="411" spans="1:12">
      <c r="B411" s="3" t="str">
        <f>DataNameProd3 &amp; " " &amp; DataNameEmp2 &amp; " Expense Per Unit"</f>
        <v>NCB Upper Region Sales Force Expense Per Unit</v>
      </c>
      <c r="C411" s="3"/>
      <c r="D411" s="3"/>
      <c r="E411" s="123">
        <f>(capProd3Emp2SalExp+capProd3Emp2RecDismExp+404:404)/capProd3Reg2Units</f>
        <v>0.18534943789105476</v>
      </c>
      <c r="F411" s="123">
        <f>(capProd3Emp2SalExp+capProd3Emp2RecDismExp+404:404)/capProd3Reg2Units</f>
        <v>0.18534943789105476</v>
      </c>
      <c r="G411" s="123">
        <f>(capProd3Emp2SalExp+capProd3Emp2RecDismExp+404:404)/capProd3Reg2Units</f>
        <v>0.18534943789105476</v>
      </c>
      <c r="H411" s="123">
        <f>(capProd3Emp2SalExp+capProd3Emp2RecDismExp+404:404)/capProd3Reg2Units</f>
        <v>0.18534943789105476</v>
      </c>
      <c r="I411" s="123">
        <f>(capProd3Emp2SalExp+capProd3Emp2RecDismExp+404:404)/capProd3Reg2Units</f>
        <v>0.18534943789105476</v>
      </c>
      <c r="J411" t="s">
        <v>2733</v>
      </c>
      <c r="K411" t="b">
        <f t="shared" si="25"/>
        <v>1</v>
      </c>
    </row>
    <row r="412" spans="1:12">
      <c r="B412" s="3" t="str">
        <f>DataNameProd4 &amp; " " &amp; DataNameEmp2 &amp; " Expense Per Unit"</f>
        <v>F&amp;S Upper Region Sales Force Expense Per Unit</v>
      </c>
      <c r="C412" s="3"/>
      <c r="D412" s="3"/>
      <c r="E412" s="123">
        <f>(capProd4Emp2SalExp+capProd4Emp2RecDismExp+405:405)/capProd4Reg2Units</f>
        <v>0.18754978501923511</v>
      </c>
      <c r="F412" s="123">
        <f>(capProd4Emp2SalExp+capProd4Emp2RecDismExp+405:405)/capProd4Reg2Units</f>
        <v>0.18754978501923511</v>
      </c>
      <c r="G412" s="123">
        <f>(capProd4Emp2SalExp+capProd4Emp2RecDismExp+405:405)/capProd4Reg2Units</f>
        <v>0.18754978501923511</v>
      </c>
      <c r="H412" s="123">
        <f>(capProd4Emp2SalExp+capProd4Emp2RecDismExp+405:405)/capProd4Reg2Units</f>
        <v>0.18754978501923511</v>
      </c>
      <c r="I412" s="123">
        <f>(capProd4Emp2SalExp+capProd4Emp2RecDismExp+405:405)/capProd4Reg2Units</f>
        <v>0.18754978501923511</v>
      </c>
      <c r="J412" t="s">
        <v>3915</v>
      </c>
      <c r="K412" t="b">
        <f t="shared" si="25"/>
        <v>1</v>
      </c>
    </row>
    <row r="413" spans="1:12">
      <c r="B413" s="266"/>
      <c r="C413" s="266"/>
      <c r="D413" s="266"/>
      <c r="E413" s="343"/>
      <c r="F413" s="343"/>
      <c r="G413" s="343"/>
      <c r="H413" s="343"/>
      <c r="I413" s="343"/>
      <c r="K413" t="b">
        <f t="shared" si="25"/>
        <v>1</v>
      </c>
    </row>
    <row r="414" spans="1:12" ht="15.75">
      <c r="A414" s="24" t="str">
        <f>DataNameEmp3</f>
        <v>Labor</v>
      </c>
      <c r="B414" s="25"/>
      <c r="C414" s="25"/>
      <c r="D414" s="25"/>
      <c r="E414" s="25"/>
      <c r="F414" s="25"/>
      <c r="G414" s="25"/>
      <c r="H414" s="25"/>
      <c r="I414" s="25"/>
      <c r="K414" t="b">
        <f>MAX(E414:I414)=MIN(E414:I414)</f>
        <v>1</v>
      </c>
    </row>
    <row r="415" spans="1:12">
      <c r="B415" t="str">
        <f>DataNameEmp3 &amp; " Recruited"</f>
        <v>Labor Recruited</v>
      </c>
      <c r="E415" s="11">
        <f>MAX(0,capEmp3Change+0)</f>
        <v>1000</v>
      </c>
      <c r="F415" s="11">
        <f>MAX(0,capEmp3Change+0)</f>
        <v>1000</v>
      </c>
      <c r="G415" s="11">
        <f>MAX(0,capEmp3Change+0)</f>
        <v>1000</v>
      </c>
      <c r="H415" s="11">
        <f>MAX(0,capEmp3Change+0)</f>
        <v>1000</v>
      </c>
      <c r="I415" s="11">
        <f>MAX(0,capEmp3Change+0)</f>
        <v>1000</v>
      </c>
      <c r="K415" t="b">
        <f t="shared" si="25"/>
        <v>1</v>
      </c>
    </row>
    <row r="416" spans="1:12">
      <c r="B416" t="str">
        <f>DataNameEmp3&amp;" Dismissed"</f>
        <v>Labor Dismissed</v>
      </c>
      <c r="E416" s="11">
        <f>-MIN(0,capEmp3Change+0)</f>
        <v>0</v>
      </c>
      <c r="F416" s="11">
        <f>-MIN(0,capEmp3Change+0)</f>
        <v>0</v>
      </c>
      <c r="G416" s="11">
        <f>-MIN(0,capEmp3Change+0)</f>
        <v>0</v>
      </c>
      <c r="H416" s="11">
        <f>-MIN(0,capEmp3Change+0)</f>
        <v>0</v>
      </c>
      <c r="I416" s="11">
        <f>-MIN(0,capEmp3Change+0)</f>
        <v>0</v>
      </c>
      <c r="K416" t="b">
        <f t="shared" si="25"/>
        <v>1</v>
      </c>
    </row>
    <row r="417" spans="1:15">
      <c r="B417" t="str">
        <f>DataNameEmp3&amp;" Attrition"</f>
        <v>Labor Attrition</v>
      </c>
      <c r="E417" s="11">
        <f>ROUNDUP(obalEmp3*paramEmp3AttRate,0)</f>
        <v>7657</v>
      </c>
      <c r="F417" s="11">
        <f>ROUNDUP(obalEmp3*paramEmp3AttRate,0)</f>
        <v>7657</v>
      </c>
      <c r="G417" s="11">
        <f>ROUNDUP(obalEmp3*paramEmp3AttRate,0)</f>
        <v>7657</v>
      </c>
      <c r="H417" s="11">
        <f>ROUNDUP(obalEmp3*paramEmp3AttRate,0)</f>
        <v>7657</v>
      </c>
      <c r="I417" s="11">
        <f>ROUNDUP(obalEmp3*paramEmp3AttRate,0)</f>
        <v>7657</v>
      </c>
      <c r="J417" t="s">
        <v>2477</v>
      </c>
      <c r="K417" t="b">
        <f t="shared" si="25"/>
        <v>1</v>
      </c>
    </row>
    <row r="418" spans="1:15">
      <c r="B418" s="3" t="str">
        <f>DataNameEmp3 &amp; " Ending"</f>
        <v>Labor Ending</v>
      </c>
      <c r="C418" s="2"/>
      <c r="D418" s="2"/>
      <c r="E418" s="13">
        <f>obalEmp3+E415-E416-E417</f>
        <v>69909</v>
      </c>
      <c r="F418" s="13">
        <f>obalEmp3+F415-F416-F417</f>
        <v>69909</v>
      </c>
      <c r="G418" s="13">
        <f>obalEmp3+G415-G416-G417</f>
        <v>69909</v>
      </c>
      <c r="H418" s="13">
        <f>obalEmp3+H415-H416-H417</f>
        <v>69909</v>
      </c>
      <c r="I418" s="13">
        <f>obalEmp3+I415-I416-I417</f>
        <v>69909</v>
      </c>
      <c r="J418" t="s">
        <v>3007</v>
      </c>
      <c r="K418" t="b">
        <f t="shared" si="25"/>
        <v>1</v>
      </c>
    </row>
    <row r="419" spans="1:15">
      <c r="B419" s="2" t="s">
        <v>3916</v>
      </c>
      <c r="C419" s="2"/>
      <c r="D419" s="2"/>
      <c r="E419" s="13">
        <f>E418*paramEmp3HoursPYear</f>
        <v>202106919</v>
      </c>
      <c r="F419" s="13">
        <f>F418*paramEmp3HoursPYear</f>
        <v>202106919</v>
      </c>
      <c r="G419" s="13">
        <f>G418*paramEmp3HoursPYear</f>
        <v>202106919</v>
      </c>
      <c r="H419" s="13">
        <f>H418*paramEmp3HoursPYear</f>
        <v>202106919</v>
      </c>
      <c r="I419" s="13">
        <f>I418*paramEmp3HoursPYear</f>
        <v>202106919</v>
      </c>
      <c r="J419" t="s">
        <v>3451</v>
      </c>
      <c r="K419" t="b">
        <f t="shared" si="25"/>
        <v>1</v>
      </c>
    </row>
    <row r="420" spans="1:15">
      <c r="B420" s="2"/>
      <c r="C420" s="2"/>
      <c r="D420" s="2"/>
      <c r="E420" s="13"/>
      <c r="F420" s="13"/>
      <c r="G420" s="13"/>
      <c r="H420" s="13"/>
      <c r="I420" s="13"/>
      <c r="K420" t="b">
        <f t="shared" si="25"/>
        <v>1</v>
      </c>
    </row>
    <row r="421" spans="1:15">
      <c r="B421" t="str">
        <f>DataNameProd1 &amp; " Labor Force Hrs. Required"</f>
        <v>CSD Labor Force Hrs. Required</v>
      </c>
      <c r="C421" s="2"/>
      <c r="D421" s="2"/>
      <c r="E421" s="13">
        <f>(capReg1Prod1UnitsProduction+capReg2Prod1UnitsProduction)*paramProd1LabHrsReqPUnit</f>
        <v>89919518.3643976</v>
      </c>
      <c r="F421" s="13">
        <f>(capReg1Prod1UnitsProduction+capReg2Prod1UnitsProduction)*paramProd1LabHrsReqPUnit</f>
        <v>89919518.3643976</v>
      </c>
      <c r="G421" s="13">
        <f>(capReg1Prod1UnitsProduction+capReg2Prod1UnitsProduction)*paramProd1LabHrsReqPUnit</f>
        <v>89919518.3643976</v>
      </c>
      <c r="H421" s="13">
        <f>(capReg1Prod1UnitsProduction+capReg2Prod1UnitsProduction)*paramProd1LabHrsReqPUnit</f>
        <v>89919518.3643976</v>
      </c>
      <c r="I421" s="13">
        <f>(capReg1Prod1UnitsProduction+capReg2Prod1UnitsProduction)*paramProd1LabHrsReqPUnit</f>
        <v>89919518.3643976</v>
      </c>
      <c r="K421" t="b">
        <f t="shared" si="25"/>
        <v>1</v>
      </c>
    </row>
    <row r="422" spans="1:15">
      <c r="B422" t="str">
        <f>DataNameProd2 &amp; " Labor Force Hrs. Required"</f>
        <v>Breakthrough Labor Force Hrs. Required</v>
      </c>
      <c r="C422" s="2"/>
      <c r="D422" s="2"/>
      <c r="E422" s="13">
        <f>(capReg1Prod2UnitsProduction+capReg2Prod2UnitsProduction)*paramProd2LabHrsReqPUnit</f>
        <v>0</v>
      </c>
      <c r="F422" s="13">
        <f>(capReg1Prod2UnitsProduction+capReg2Prod2UnitsProduction)*paramProd2LabHrsReqPUnit</f>
        <v>0</v>
      </c>
      <c r="G422" s="13">
        <f>(capReg1Prod2UnitsProduction+capReg2Prod2UnitsProduction)*paramProd2LabHrsReqPUnit</f>
        <v>0</v>
      </c>
      <c r="H422" s="13">
        <f>(capReg1Prod2UnitsProduction+capReg2Prod2UnitsProduction)*paramProd2LabHrsReqPUnit</f>
        <v>0</v>
      </c>
      <c r="I422" s="13">
        <f>(capReg1Prod2UnitsProduction+capReg2Prod2UnitsProduction)*paramProd2LabHrsReqPUnit</f>
        <v>0</v>
      </c>
      <c r="K422" t="b">
        <f t="shared" si="25"/>
        <v>1</v>
      </c>
    </row>
    <row r="423" spans="1:15">
      <c r="B423" t="str">
        <f>DataNameProd3 &amp; " Labor Force Hrs. Required"</f>
        <v>NCB Labor Force Hrs. Required</v>
      </c>
      <c r="C423" s="2"/>
      <c r="D423" s="2"/>
      <c r="E423" s="13">
        <f>(capReg1Prod3UnitsProduction+capReg2Prod3UnitsProduction)*paramProd3LabHrsReqPUnit</f>
        <v>55141152.124398187</v>
      </c>
      <c r="F423" s="13">
        <f>(capReg1Prod3UnitsProduction+capReg2Prod3UnitsProduction)*paramProd3LabHrsReqPUnit</f>
        <v>55141152.124398187</v>
      </c>
      <c r="G423" s="13">
        <f>(capReg1Prod3UnitsProduction+capReg2Prod3UnitsProduction)*paramProd3LabHrsReqPUnit</f>
        <v>55141152.124398187</v>
      </c>
      <c r="H423" s="13">
        <f>(capReg1Prod3UnitsProduction+capReg2Prod3UnitsProduction)*paramProd3LabHrsReqPUnit</f>
        <v>55141152.124398187</v>
      </c>
      <c r="I423" s="13">
        <f>(capReg1Prod3UnitsProduction+capReg2Prod3UnitsProduction)*paramProd3LabHrsReqPUnit</f>
        <v>55141152.124398187</v>
      </c>
      <c r="K423" t="b">
        <f t="shared" si="25"/>
        <v>1</v>
      </c>
    </row>
    <row r="424" spans="1:15">
      <c r="B424" t="str">
        <f>DataNameProd4 &amp; " Labor Force Hrs. Required"</f>
        <v>F&amp;S Labor Force Hrs. Required</v>
      </c>
      <c r="C424" s="2"/>
      <c r="D424" s="2"/>
      <c r="E424" s="13">
        <f>(capReg1Prod4UnitsProduction+capReg2Prod4UnitsProduction)*paramProd4LabHrsReqPUnit</f>
        <v>64555729.023559414</v>
      </c>
      <c r="F424" s="13">
        <f>(capReg1Prod4UnitsProduction+capReg2Prod4UnitsProduction)*paramProd4LabHrsReqPUnit</f>
        <v>64555729.023559414</v>
      </c>
      <c r="G424" s="13">
        <f>(capReg1Prod4UnitsProduction+capReg2Prod4UnitsProduction)*paramProd4LabHrsReqPUnit</f>
        <v>64555729.023559414</v>
      </c>
      <c r="H424" s="13">
        <f>(capReg1Prod4UnitsProduction+capReg2Prod4UnitsProduction)*paramProd4LabHrsReqPUnit</f>
        <v>64555729.023559414</v>
      </c>
      <c r="I424" s="13">
        <f>(capReg1Prod4UnitsProduction+capReg2Prod4UnitsProduction)*paramProd4LabHrsReqPUnit</f>
        <v>64555729.023559414</v>
      </c>
      <c r="K424" t="b">
        <f t="shared" si="25"/>
        <v>1</v>
      </c>
      <c r="O424" s="18"/>
    </row>
    <row r="425" spans="1:15">
      <c r="B425" s="2" t="str">
        <f>DataNameEmp3 &amp; " Required"</f>
        <v>Labor Required</v>
      </c>
      <c r="E425" s="13">
        <f>SUM(E423:E424,E421)</f>
        <v>209616399.51235521</v>
      </c>
      <c r="F425" s="13">
        <f>SUM(F423:F424,F421)</f>
        <v>209616399.51235521</v>
      </c>
      <c r="G425" s="13">
        <f>SUM(G423:G424,G421)</f>
        <v>209616399.51235521</v>
      </c>
      <c r="H425" s="13">
        <f>SUM(H423:H424,H421)</f>
        <v>209616399.51235521</v>
      </c>
      <c r="I425" s="13">
        <f>SUM(I423:I424,I421)</f>
        <v>209616399.51235521</v>
      </c>
      <c r="K425" t="b">
        <f t="shared" si="25"/>
        <v>1</v>
      </c>
    </row>
    <row r="426" spans="1:15">
      <c r="B426" s="2"/>
      <c r="E426" s="13"/>
      <c r="F426" s="13"/>
      <c r="G426" s="13"/>
      <c r="H426" s="13"/>
      <c r="I426" s="13"/>
      <c r="K426" t="b">
        <f t="shared" si="25"/>
        <v>1</v>
      </c>
    </row>
    <row r="427" spans="1:15">
      <c r="B427" t="str">
        <f>DataNameEmp3&amp;" Utilization"</f>
        <v>Labor Utilization</v>
      </c>
      <c r="E427" s="435">
        <f>E425/E419</f>
        <v>1.0371559793673131</v>
      </c>
      <c r="F427" s="435">
        <f>F425/F419</f>
        <v>1.0371559793673131</v>
      </c>
      <c r="G427" s="435">
        <f>G425/G419</f>
        <v>1.0371559793673131</v>
      </c>
      <c r="H427" s="435">
        <f>H425/H419</f>
        <v>1.0371559793673131</v>
      </c>
      <c r="I427" s="435">
        <f>I425/I419</f>
        <v>1.0371559793673131</v>
      </c>
      <c r="J427" t="s">
        <v>2478</v>
      </c>
      <c r="K427" t="b">
        <f t="shared" si="25"/>
        <v>1</v>
      </c>
    </row>
    <row r="428" spans="1:15">
      <c r="E428" s="435"/>
      <c r="F428" s="435"/>
      <c r="G428" s="435"/>
      <c r="H428" s="435"/>
      <c r="I428" s="435"/>
      <c r="K428" t="b">
        <f t="shared" si="25"/>
        <v>1</v>
      </c>
    </row>
    <row r="429" spans="1:15">
      <c r="A429" s="354" t="str">
        <f>"Region 1 "&amp;DataNameEmp3 &amp; " Required"</f>
        <v>Region 1 Labor Required</v>
      </c>
      <c r="B429" s="354"/>
      <c r="C429" s="354"/>
      <c r="D429" s="354"/>
      <c r="E429" s="354"/>
      <c r="F429" s="354"/>
      <c r="G429" s="354"/>
      <c r="H429" s="354"/>
      <c r="I429" s="354"/>
      <c r="K429" t="b">
        <f t="shared" si="25"/>
        <v>1</v>
      </c>
    </row>
    <row r="430" spans="1:15">
      <c r="A430" s="2"/>
      <c r="K430" t="b">
        <f t="shared" si="25"/>
        <v>1</v>
      </c>
    </row>
    <row r="431" spans="1:15">
      <c r="A431" s="2"/>
      <c r="B431" t="s">
        <v>1081</v>
      </c>
      <c r="E431" s="11">
        <f>capEmp3Change</f>
        <v>1000</v>
      </c>
      <c r="F431" s="11">
        <f>capEmp3Change</f>
        <v>1000</v>
      </c>
      <c r="G431" s="11">
        <f>capEmp3Change</f>
        <v>1000</v>
      </c>
      <c r="H431" s="11">
        <f>capEmp3Change</f>
        <v>1000</v>
      </c>
      <c r="I431" s="11">
        <f>capEmp3Change</f>
        <v>1000</v>
      </c>
      <c r="K431" t="b">
        <f t="shared" si="25"/>
        <v>1</v>
      </c>
    </row>
    <row r="432" spans="1:15">
      <c r="B432" t="str">
        <f>DataNameEmp3 &amp; " Recruited/Dismissed"</f>
        <v>Labor Recruited/Dismissed</v>
      </c>
      <c r="E432" s="11">
        <f>E431*capPlant1Reg1Alloc</f>
        <v>659.15739890947407</v>
      </c>
      <c r="F432" s="11">
        <f>F431*capPlant1Reg1Alloc</f>
        <v>659.15739890947407</v>
      </c>
      <c r="G432" s="11">
        <f>G431*capPlant1Reg1Alloc</f>
        <v>659.15739890947407</v>
      </c>
      <c r="H432" s="11">
        <f>H431*capPlant1Reg1Alloc</f>
        <v>659.15739890947407</v>
      </c>
      <c r="I432" s="11">
        <f>I431*capPlant1Reg1Alloc</f>
        <v>659.15739890947407</v>
      </c>
      <c r="J432" t="s">
        <v>1082</v>
      </c>
      <c r="K432" t="b">
        <f t="shared" si="25"/>
        <v>1</v>
      </c>
    </row>
    <row r="433" spans="2:15">
      <c r="B433" t="str">
        <f>DataNameEmp3&amp;" Attrition"</f>
        <v>Labor Attrition</v>
      </c>
      <c r="E433" s="11">
        <f>ROUNDUP(obalEmp3*paramEmp3AttRate,0)*capPlant1Reg1Alloc</f>
        <v>5047.1682034498435</v>
      </c>
      <c r="F433" s="11">
        <f>ROUNDUP(obalEmp3*paramEmp3AttRate,0)*capPlant1Reg1Alloc</f>
        <v>5047.1682034498435</v>
      </c>
      <c r="G433" s="11">
        <f>ROUNDUP(obalEmp3*paramEmp3AttRate,0)*capPlant1Reg1Alloc</f>
        <v>5047.1682034498435</v>
      </c>
      <c r="H433" s="11">
        <f>ROUNDUP(obalEmp3*paramEmp3AttRate,0)*capPlant1Reg1Alloc</f>
        <v>5047.1682034498435</v>
      </c>
      <c r="I433" s="11">
        <f>ROUNDUP(obalEmp3*paramEmp3AttRate,0)*capPlant1Reg1Alloc</f>
        <v>5047.1682034498435</v>
      </c>
      <c r="J433" t="s">
        <v>2477</v>
      </c>
      <c r="K433" t="b">
        <f t="shared" si="25"/>
        <v>1</v>
      </c>
    </row>
    <row r="434" spans="2:15">
      <c r="B434" s="3" t="str">
        <f>DataNameEmp3 &amp; " Ending"</f>
        <v>Labor Ending</v>
      </c>
      <c r="C434" s="2"/>
      <c r="D434" s="2"/>
      <c r="E434" s="13">
        <f>obalEmp3*capPlant1Reg1Alloc+E432-E433</f>
        <v>46081.034600362429</v>
      </c>
      <c r="F434" s="13">
        <f>obalEmp3*capPlant1Reg1Alloc+F432-F433</f>
        <v>46081.034600362429</v>
      </c>
      <c r="G434" s="13">
        <f>obalEmp3*capPlant1Reg1Alloc+G432-G433</f>
        <v>46081.034600362429</v>
      </c>
      <c r="H434" s="13">
        <f>obalEmp3*capPlant1Reg1Alloc+H432-H433</f>
        <v>46081.034600362429</v>
      </c>
      <c r="I434" s="13">
        <f>obalEmp3*capPlant1Reg1Alloc+I432-I433</f>
        <v>46081.034600362429</v>
      </c>
      <c r="J434" t="s">
        <v>3007</v>
      </c>
      <c r="K434" t="b">
        <f t="shared" si="25"/>
        <v>1</v>
      </c>
    </row>
    <row r="435" spans="2:15">
      <c r="B435" s="2" t="s">
        <v>3916</v>
      </c>
      <c r="C435" s="2"/>
      <c r="D435" s="2"/>
      <c r="E435" s="13">
        <f>E434*paramEmp3HoursPYear</f>
        <v>133220271.02964778</v>
      </c>
      <c r="F435" s="13">
        <f>F434*paramEmp3HoursPYear</f>
        <v>133220271.02964778</v>
      </c>
      <c r="G435" s="13">
        <f>G434*paramEmp3HoursPYear</f>
        <v>133220271.02964778</v>
      </c>
      <c r="H435" s="13">
        <f>H434*paramEmp3HoursPYear</f>
        <v>133220271.02964778</v>
      </c>
      <c r="I435" s="13">
        <f>I434*paramEmp3HoursPYear</f>
        <v>133220271.02964778</v>
      </c>
      <c r="J435" t="s">
        <v>3451</v>
      </c>
      <c r="K435" t="b">
        <f t="shared" si="25"/>
        <v>1</v>
      </c>
    </row>
    <row r="436" spans="2:15">
      <c r="B436" s="2"/>
      <c r="C436" s="2"/>
      <c r="D436" s="2"/>
      <c r="E436" s="13"/>
      <c r="F436" s="13"/>
      <c r="G436" s="13"/>
      <c r="H436" s="13"/>
      <c r="I436" s="13"/>
      <c r="K436" t="b">
        <f t="shared" si="25"/>
        <v>1</v>
      </c>
    </row>
    <row r="437" spans="2:15">
      <c r="B437" t="str">
        <f>DataNameProd1 &amp; " Labor Force Hrs. Required"</f>
        <v>CSD Labor Force Hrs. Required</v>
      </c>
      <c r="C437" s="2"/>
      <c r="D437" s="2"/>
      <c r="E437" s="13">
        <f>capReg1Prod1UnitsProduction*paramProd1LabHrsReqPUnit</f>
        <v>60713341.274438843</v>
      </c>
      <c r="F437" s="13">
        <f>capReg1Prod1UnitsProduction*paramProd1LabHrsReqPUnit</f>
        <v>60713341.274438843</v>
      </c>
      <c r="G437" s="13">
        <f>capReg1Prod1UnitsProduction*paramProd1LabHrsReqPUnit</f>
        <v>60713341.274438843</v>
      </c>
      <c r="H437" s="13">
        <f>capReg1Prod1UnitsProduction*paramProd1LabHrsReqPUnit</f>
        <v>60713341.274438843</v>
      </c>
      <c r="I437" s="13">
        <f>capReg1Prod1UnitsProduction*paramProd1LabHrsReqPUnit</f>
        <v>60713341.274438843</v>
      </c>
      <c r="K437" t="b">
        <f t="shared" si="25"/>
        <v>1</v>
      </c>
    </row>
    <row r="438" spans="2:15">
      <c r="B438" t="str">
        <f>DataNameProd3 &amp; " Labor Force Hrs. Required"</f>
        <v>NCB Labor Force Hrs. Required</v>
      </c>
      <c r="C438" s="2"/>
      <c r="D438" s="2"/>
      <c r="E438" s="13">
        <f>capReg1Prod3UnitsProduction*paramProd3LabHrsReqPUnit</f>
        <v>32692410.900201201</v>
      </c>
      <c r="F438" s="13">
        <f>capReg1Prod3UnitsProduction*paramProd3LabHrsReqPUnit</f>
        <v>32692410.900201201</v>
      </c>
      <c r="G438" s="13">
        <f>capReg1Prod3UnitsProduction*paramProd3LabHrsReqPUnit</f>
        <v>32692410.900201201</v>
      </c>
      <c r="H438" s="13">
        <f>capReg1Prod3UnitsProduction*paramProd3LabHrsReqPUnit</f>
        <v>32692410.900201201</v>
      </c>
      <c r="I438" s="13">
        <f>capReg1Prod3UnitsProduction*paramProd3LabHrsReqPUnit</f>
        <v>32692410.900201201</v>
      </c>
      <c r="K438" t="b">
        <f t="shared" si="25"/>
        <v>1</v>
      </c>
    </row>
    <row r="439" spans="2:15">
      <c r="B439" t="str">
        <f>DataNameProd4 &amp; " Labor Force Hrs. Required"</f>
        <v>F&amp;S Labor Force Hrs. Required</v>
      </c>
      <c r="C439" s="2"/>
      <c r="D439" s="2"/>
      <c r="E439" s="13">
        <f>capReg1Prod4UnitsProduction*paramProd4LabHrsReqPUnit</f>
        <v>45596360.481182501</v>
      </c>
      <c r="F439" s="13">
        <f>capReg1Prod4UnitsProduction*paramProd4LabHrsReqPUnit</f>
        <v>45596360.481182501</v>
      </c>
      <c r="G439" s="13">
        <f>capReg1Prod4UnitsProduction*paramProd4LabHrsReqPUnit</f>
        <v>45596360.481182501</v>
      </c>
      <c r="H439" s="13">
        <f>capReg1Prod4UnitsProduction*paramProd4LabHrsReqPUnit</f>
        <v>45596360.481182501</v>
      </c>
      <c r="I439" s="13">
        <f>capReg1Prod4UnitsProduction*paramProd4LabHrsReqPUnit</f>
        <v>45596360.481182501</v>
      </c>
      <c r="K439" t="b">
        <f t="shared" si="25"/>
        <v>1</v>
      </c>
      <c r="O439" s="18"/>
    </row>
    <row r="440" spans="2:15">
      <c r="B440" s="2" t="str">
        <f>DataNameEmp3 &amp; " Required"</f>
        <v>Labor Required</v>
      </c>
      <c r="E440" s="13">
        <f>SUM(E437:E439)</f>
        <v>139002112.65582255</v>
      </c>
      <c r="F440" s="13">
        <f>SUM(F437:F439)</f>
        <v>139002112.65582255</v>
      </c>
      <c r="G440" s="13">
        <f>SUM(G437:G439)</f>
        <v>139002112.65582255</v>
      </c>
      <c r="H440" s="13">
        <f>SUM(H437:H439)</f>
        <v>139002112.65582255</v>
      </c>
      <c r="I440" s="13">
        <f>SUM(I437:I439)</f>
        <v>139002112.65582255</v>
      </c>
      <c r="K440" t="b">
        <f t="shared" si="25"/>
        <v>1</v>
      </c>
    </row>
    <row r="441" spans="2:15">
      <c r="B441" s="2"/>
      <c r="E441" s="13"/>
      <c r="F441" s="13"/>
      <c r="G441" s="13"/>
      <c r="H441" s="13"/>
      <c r="I441" s="13"/>
      <c r="K441" t="b">
        <f t="shared" si="25"/>
        <v>1</v>
      </c>
    </row>
    <row r="442" spans="2:15">
      <c r="B442" t="str">
        <f>DataNameEmp3&amp;" Utilization"</f>
        <v>Labor Utilization</v>
      </c>
      <c r="E442" s="435">
        <f>E440/E435</f>
        <v>1.0434006144972339</v>
      </c>
      <c r="F442" s="435">
        <f>F440/F435</f>
        <v>1.0434006144972339</v>
      </c>
      <c r="G442" s="435">
        <f>G440/G435</f>
        <v>1.0434006144972339</v>
      </c>
      <c r="H442" s="435">
        <f>H440/H435</f>
        <v>1.0434006144972339</v>
      </c>
      <c r="I442" s="435">
        <f>I440/I435</f>
        <v>1.0434006144972339</v>
      </c>
      <c r="K442" t="b">
        <f t="shared" si="25"/>
        <v>1</v>
      </c>
    </row>
    <row r="443" spans="2:15">
      <c r="B443" t="str">
        <f>DataNameEmp3&amp;" Base Expense"</f>
        <v>Labor Base Expense</v>
      </c>
      <c r="E443" s="11">
        <f>E434*paramReg1Emp3Exp</f>
        <v>2418361496.4736457</v>
      </c>
      <c r="F443" s="11">
        <f>F434*paramReg1Emp3Exp</f>
        <v>2418361496.4736457</v>
      </c>
      <c r="G443" s="11">
        <f>G434*paramReg1Emp3Exp</f>
        <v>2418361496.4736457</v>
      </c>
      <c r="H443" s="11">
        <f>H434*paramReg1Emp3Exp</f>
        <v>2418361496.4736457</v>
      </c>
      <c r="I443" s="11">
        <f>I434*paramReg1Emp3Exp</f>
        <v>2418361496.4736457</v>
      </c>
      <c r="K443" t="b">
        <f t="shared" si="25"/>
        <v>1</v>
      </c>
    </row>
    <row r="444" spans="2:15">
      <c r="B444" t="str">
        <f>DataNameEmp3&amp;" Overtime Expense"</f>
        <v>Labor Overtime Expense</v>
      </c>
      <c r="E444" s="11">
        <f>MAX(0,E442-1)*E443*paramEmp3OTRate</f>
        <v>157437562.53510946</v>
      </c>
      <c r="F444" s="11">
        <f>MAX(0,F442-1)*F443*paramEmp3OTRate</f>
        <v>157437562.53510946</v>
      </c>
      <c r="G444" s="11">
        <f>MAX(0,G442-1)*G443*paramEmp3OTRate</f>
        <v>157437562.53510946</v>
      </c>
      <c r="H444" s="11">
        <f>MAX(0,H442-1)*H443*paramEmp3OTRate</f>
        <v>157437562.53510946</v>
      </c>
      <c r="I444" s="11">
        <f>MAX(0,I442-1)*I443*paramEmp3OTRate</f>
        <v>157437562.53510946</v>
      </c>
      <c r="J444" t="s">
        <v>1084</v>
      </c>
      <c r="K444" t="b">
        <f t="shared" si="25"/>
        <v>1</v>
      </c>
    </row>
    <row r="445" spans="2:15">
      <c r="B445" s="2" t="str">
        <f>DataNameEmp3 &amp; " Total Expense"</f>
        <v>Labor Total Expense</v>
      </c>
      <c r="C445" s="2"/>
      <c r="D445" s="2"/>
      <c r="E445" s="13">
        <f>SUM(E443:E444)</f>
        <v>2575799059.0087552</v>
      </c>
      <c r="F445" s="13">
        <f>SUM(F443:F444)</f>
        <v>2575799059.0087552</v>
      </c>
      <c r="G445" s="13">
        <f>SUM(G443:G444)</f>
        <v>2575799059.0087552</v>
      </c>
      <c r="H445" s="13">
        <f>SUM(H443:H444)</f>
        <v>2575799059.0087552</v>
      </c>
      <c r="I445" s="13">
        <f>SUM(I443:I444)</f>
        <v>2575799059.0087552</v>
      </c>
      <c r="J445" t="s">
        <v>1083</v>
      </c>
      <c r="K445" t="b">
        <f t="shared" si="25"/>
        <v>1</v>
      </c>
    </row>
    <row r="446" spans="2:15">
      <c r="B446" t="str">
        <f>DataNameEmp3&amp;" Excess Capacity Cost"</f>
        <v>Labor Excess Capacity Cost</v>
      </c>
      <c r="E446" s="11">
        <f>(paramEmp3OTRate&gt;0)*(E442&lt;1)*(1-E442)*E445</f>
        <v>0</v>
      </c>
      <c r="F446" s="11">
        <f>(paramEmp3OTRate&gt;0)*(F442&lt;1)*(1-F442)*F445</f>
        <v>0</v>
      </c>
      <c r="G446" s="11">
        <f>(paramEmp3OTRate&gt;0)*(G442&lt;1)*(1-G442)*G445</f>
        <v>0</v>
      </c>
      <c r="H446" s="11">
        <f>(paramEmp3OTRate&gt;0)*(H442&lt;1)*(1-H442)*H445</f>
        <v>0</v>
      </c>
      <c r="I446" s="11">
        <f>(paramEmp3OTRate&gt;0)*(I442&lt;1)*(1-I442)*I445</f>
        <v>0</v>
      </c>
      <c r="J446" t="s">
        <v>1085</v>
      </c>
      <c r="K446" t="b">
        <f t="shared" si="25"/>
        <v>1</v>
      </c>
    </row>
    <row r="447" spans="2:15">
      <c r="B447" s="2"/>
      <c r="C447" s="2"/>
      <c r="D447" s="2"/>
      <c r="E447" s="13"/>
      <c r="F447" s="13"/>
      <c r="G447" s="13"/>
      <c r="H447" s="13"/>
      <c r="I447" s="13"/>
      <c r="K447" t="b">
        <f t="shared" si="25"/>
        <v>1</v>
      </c>
    </row>
    <row r="448" spans="2:15">
      <c r="B448" t="str">
        <f>DataNameEmp3&amp;" Recruitment/Dismissal Costs"</f>
        <v>Labor Recruitment/Dismissal Costs</v>
      </c>
      <c r="E448" s="141">
        <f>ABS(paramEmp3RecDismCost*paramReg1Emp3Exp*capReg1Emp3Recruit)</f>
        <v>13145337.061894538</v>
      </c>
      <c r="F448" s="141">
        <f>ABS(paramEmp3RecDismCost*paramReg1Emp3Exp*capReg1Emp3Recruit)</f>
        <v>13145337.061894538</v>
      </c>
      <c r="G448" s="141">
        <f>ABS(paramEmp3RecDismCost*paramReg1Emp3Exp*capReg1Emp3Recruit)</f>
        <v>13145337.061894538</v>
      </c>
      <c r="H448" s="141">
        <f>ABS(paramEmp3RecDismCost*paramReg1Emp3Exp*capReg1Emp3Recruit)</f>
        <v>13145337.061894538</v>
      </c>
      <c r="I448" s="141">
        <f>ABS(paramEmp3RecDismCost*paramReg1Emp3Exp*capReg1Emp3Recruit)</f>
        <v>13145337.061894538</v>
      </c>
      <c r="J448" t="s">
        <v>1086</v>
      </c>
      <c r="K448" t="b">
        <f t="shared" si="25"/>
        <v>1</v>
      </c>
    </row>
    <row r="449" spans="2:12">
      <c r="B449" t="str">
        <f>DataNameEmp3&amp;" Admin Cost"</f>
        <v>Labor Admin Cost</v>
      </c>
      <c r="E449" s="260">
        <f>cap!E445*paramEmp3AdminCostPct</f>
        <v>437885840.03148842</v>
      </c>
      <c r="F449" s="260">
        <f>cap!F445*paramEmp3AdminCostPct</f>
        <v>437885840.03148842</v>
      </c>
      <c r="G449" s="260">
        <f>cap!G445*paramEmp3AdminCostPct</f>
        <v>437885840.03148842</v>
      </c>
      <c r="H449" s="260">
        <f>cap!H445*paramEmp3AdminCostPct</f>
        <v>437885840.03148842</v>
      </c>
      <c r="I449" s="260">
        <f>cap!I445*paramEmp3AdminCostPct</f>
        <v>437885840.03148842</v>
      </c>
      <c r="J449" t="s">
        <v>1087</v>
      </c>
      <c r="K449" t="b">
        <f t="shared" si="25"/>
        <v>1</v>
      </c>
    </row>
    <row r="450" spans="2:12">
      <c r="E450" s="260"/>
      <c r="F450" s="260"/>
      <c r="G450" s="260"/>
      <c r="H450" s="260"/>
      <c r="I450" s="260"/>
      <c r="K450" t="b">
        <f t="shared" si="25"/>
        <v>1</v>
      </c>
    </row>
    <row r="451" spans="2:12">
      <c r="B451" s="2" t="str">
        <f>DataNameEmp3 &amp; " % Product Allocation"</f>
        <v>Labor % Product Allocation</v>
      </c>
      <c r="K451" t="b">
        <f t="shared" si="25"/>
        <v>1</v>
      </c>
    </row>
    <row r="452" spans="2:12">
      <c r="B452" t="str">
        <f>DataNameProd1 &amp; " " &amp; DataNameEmp3 &amp; " Allocation"</f>
        <v>CSD Labor Allocation</v>
      </c>
      <c r="E452" s="12">
        <f t="shared" ref="E452:I454" si="26">E437/$E$440</f>
        <v>0.43677998927087291</v>
      </c>
      <c r="F452" s="12">
        <f t="shared" si="26"/>
        <v>0.43677998927087291</v>
      </c>
      <c r="G452" s="12">
        <f t="shared" si="26"/>
        <v>0.43677998927087291</v>
      </c>
      <c r="H452" s="12">
        <f t="shared" si="26"/>
        <v>0.43677998927087291</v>
      </c>
      <c r="I452" s="12">
        <f t="shared" si="26"/>
        <v>0.43677998927087291</v>
      </c>
      <c r="J452" t="s">
        <v>1088</v>
      </c>
      <c r="K452" t="b">
        <f t="shared" si="25"/>
        <v>1</v>
      </c>
    </row>
    <row r="453" spans="2:12">
      <c r="B453" t="str">
        <f>DataNameProd3 &amp; " " &amp; DataNameEmp3 &amp; " Allocation"</f>
        <v>NCB Labor Allocation</v>
      </c>
      <c r="E453" s="12">
        <f t="shared" si="26"/>
        <v>0.23519362602171051</v>
      </c>
      <c r="F453" s="12">
        <f t="shared" si="26"/>
        <v>0.23519362602171051</v>
      </c>
      <c r="G453" s="12">
        <f t="shared" si="26"/>
        <v>0.23519362602171051</v>
      </c>
      <c r="H453" s="12">
        <f t="shared" si="26"/>
        <v>0.23519362602171051</v>
      </c>
      <c r="I453" s="12">
        <f t="shared" si="26"/>
        <v>0.23519362602171051</v>
      </c>
      <c r="J453" t="s">
        <v>1089</v>
      </c>
      <c r="K453" t="b">
        <f t="shared" si="25"/>
        <v>1</v>
      </c>
    </row>
    <row r="454" spans="2:12">
      <c r="B454" t="str">
        <f>DataNameProd4 &amp; " " &amp; DataNameEmp3 &amp; " Allocation"</f>
        <v>F&amp;S Labor Allocation</v>
      </c>
      <c r="E454" s="12">
        <f t="shared" si="26"/>
        <v>0.32802638470741657</v>
      </c>
      <c r="F454" s="12">
        <f t="shared" si="26"/>
        <v>0.32802638470741657</v>
      </c>
      <c r="G454" s="12">
        <f t="shared" si="26"/>
        <v>0.32802638470741657</v>
      </c>
      <c r="H454" s="12">
        <f t="shared" si="26"/>
        <v>0.32802638470741657</v>
      </c>
      <c r="I454" s="12">
        <f t="shared" si="26"/>
        <v>0.32802638470741657</v>
      </c>
      <c r="J454" t="s">
        <v>1090</v>
      </c>
      <c r="K454" t="b">
        <f t="shared" si="25"/>
        <v>1</v>
      </c>
    </row>
    <row r="455" spans="2:12">
      <c r="B455" s="119"/>
      <c r="C455" s="119"/>
      <c r="D455" s="119"/>
      <c r="E455" s="347"/>
      <c r="F455" s="347"/>
      <c r="G455" s="347"/>
      <c r="H455" s="347"/>
      <c r="I455" s="347"/>
      <c r="K455" t="b">
        <f t="shared" si="25"/>
        <v>1</v>
      </c>
    </row>
    <row r="456" spans="2:12">
      <c r="B456" s="2" t="str">
        <f>DataNameEmp3 &amp; " Expense Allocation"</f>
        <v>Labor Expense Allocation</v>
      </c>
      <c r="K456" t="b">
        <f t="shared" si="25"/>
        <v>1</v>
      </c>
    </row>
    <row r="457" spans="2:12">
      <c r="B457" t="str">
        <f>DataNameProd1 &amp; " " &amp; DataNameEmp3 &amp; " Salary Expense"</f>
        <v>CSD Labor Salary Expense</v>
      </c>
      <c r="E457" s="14">
        <f>capReg1Emp3AllocProd1*capReg1Emp3Exp</f>
        <v>1125057485.3577685</v>
      </c>
      <c r="F457" s="14">
        <f>capReg1Emp3AllocProd1*capReg1Emp3Exp</f>
        <v>1125057485.3577685</v>
      </c>
      <c r="G457" s="14">
        <f>capReg1Emp3AllocProd1*capReg1Emp3Exp</f>
        <v>1125057485.3577685</v>
      </c>
      <c r="H457" s="14">
        <f>capReg1Emp3AllocProd1*capReg1Emp3Exp</f>
        <v>1125057485.3577685</v>
      </c>
      <c r="I457" s="14">
        <f>capReg1Emp3AllocProd1*capReg1Emp3Exp</f>
        <v>1125057485.3577685</v>
      </c>
      <c r="J457" t="s">
        <v>1091</v>
      </c>
      <c r="K457" t="b">
        <f t="shared" si="25"/>
        <v>1</v>
      </c>
    </row>
    <row r="458" spans="2:12">
      <c r="B458" t="str">
        <f>DataNameProd3 &amp; " " &amp; DataNameEmp3 &amp; " Salary Expense"</f>
        <v>NCB Labor Salary Expense</v>
      </c>
      <c r="E458" s="14">
        <f>capReg1Emp3AllocProd3*capReg1Emp3Exp</f>
        <v>605811520.59157896</v>
      </c>
      <c r="F458" s="14">
        <f>capReg1Emp3AllocProd3*capReg1Emp3Exp</f>
        <v>605811520.59157896</v>
      </c>
      <c r="G458" s="14">
        <f>capReg1Emp3AllocProd3*capReg1Emp3Exp</f>
        <v>605811520.59157896</v>
      </c>
      <c r="H458" s="14">
        <f>capReg1Emp3AllocProd3*capReg1Emp3Exp</f>
        <v>605811520.59157896</v>
      </c>
      <c r="I458" s="14">
        <f>capReg1Emp3AllocProd3*capReg1Emp3Exp</f>
        <v>605811520.59157896</v>
      </c>
      <c r="J458" t="s">
        <v>1092</v>
      </c>
      <c r="K458" t="b">
        <f t="shared" si="25"/>
        <v>1</v>
      </c>
    </row>
    <row r="459" spans="2:12">
      <c r="B459" t="str">
        <f>DataNameProd4 &amp; " " &amp; DataNameEmp3 &amp; " Salary Expense"</f>
        <v>F&amp;S Labor Salary Expense</v>
      </c>
      <c r="E459" s="14">
        <f>capReg1Emp3AllocProd4*capReg1Emp3Exp</f>
        <v>844930053.05940759</v>
      </c>
      <c r="F459" s="14">
        <f>capReg1Emp3AllocProd4*capReg1Emp3Exp</f>
        <v>844930053.05940759</v>
      </c>
      <c r="G459" s="14">
        <f>capReg1Emp3AllocProd4*capReg1Emp3Exp</f>
        <v>844930053.05940759</v>
      </c>
      <c r="H459" s="14">
        <f>capReg1Emp3AllocProd4*capReg1Emp3Exp</f>
        <v>844930053.05940759</v>
      </c>
      <c r="I459" s="14">
        <f>capReg1Emp3AllocProd4*capReg1Emp3Exp</f>
        <v>844930053.05940759</v>
      </c>
      <c r="J459" t="s">
        <v>3489</v>
      </c>
      <c r="K459" t="b">
        <f t="shared" si="25"/>
        <v>1</v>
      </c>
      <c r="L459" s="10"/>
    </row>
    <row r="460" spans="2:12">
      <c r="B460" s="119"/>
      <c r="C460" s="119"/>
      <c r="D460" s="119"/>
      <c r="E460" s="346"/>
      <c r="F460" s="346"/>
      <c r="G460" s="346"/>
      <c r="H460" s="346"/>
      <c r="I460" s="346"/>
      <c r="K460" t="b">
        <f t="shared" si="25"/>
        <v>1</v>
      </c>
      <c r="L460" s="18"/>
    </row>
    <row r="461" spans="2:12">
      <c r="B461" s="2" t="str">
        <f>DataNameEmp3 &amp; " Recruit Dismiss Cost"</f>
        <v>Labor Recruit Dismiss Cost</v>
      </c>
      <c r="K461" t="b">
        <f t="shared" si="25"/>
        <v>1</v>
      </c>
    </row>
    <row r="462" spans="2:12">
      <c r="B462" t="str">
        <f>DataNameProd1 &amp; " " &amp; DataNameEmp3 &amp; " Recruit/Dismissal Expense"</f>
        <v>CSD Labor Recruit/Dismissal Expense</v>
      </c>
      <c r="E462" s="398">
        <f>capReg1Emp3RecDismExp*capReg1Emp3AllocProd1</f>
        <v>5741620.1808563042</v>
      </c>
      <c r="F462" s="398">
        <f>capReg1Emp3RecDismExp*capReg1Emp3AllocProd1</f>
        <v>5741620.1808563042</v>
      </c>
      <c r="G462" s="398">
        <f>capReg1Emp3RecDismExp*capReg1Emp3AllocProd1</f>
        <v>5741620.1808563042</v>
      </c>
      <c r="H462" s="398">
        <f>capReg1Emp3RecDismExp*capReg1Emp3AllocProd1</f>
        <v>5741620.1808563042</v>
      </c>
      <c r="I462" s="398">
        <f>capReg1Emp3RecDismExp*capReg1Emp3AllocProd1</f>
        <v>5741620.1808563042</v>
      </c>
      <c r="J462" t="s">
        <v>3490</v>
      </c>
      <c r="K462" t="b">
        <f t="shared" si="25"/>
        <v>1</v>
      </c>
    </row>
    <row r="463" spans="2:12">
      <c r="B463" t="str">
        <f>DataNameProd3 &amp; " " &amp; DataNameEmp3 &amp; " Recruit/Dismissal Expense"</f>
        <v>NCB Labor Recruit/Dismissal Expense</v>
      </c>
      <c r="E463" s="398">
        <f>capReg1Emp3RecDismExp*capReg1Emp3AllocProd3</f>
        <v>3091699.4888645546</v>
      </c>
      <c r="F463" s="398">
        <f>capReg1Emp3RecDismExp*capReg1Emp3AllocProd3</f>
        <v>3091699.4888645546</v>
      </c>
      <c r="G463" s="398">
        <f>capReg1Emp3RecDismExp*capReg1Emp3AllocProd3</f>
        <v>3091699.4888645546</v>
      </c>
      <c r="H463" s="398">
        <f>capReg1Emp3RecDismExp*capReg1Emp3AllocProd3</f>
        <v>3091699.4888645546</v>
      </c>
      <c r="I463" s="398">
        <f>capReg1Emp3RecDismExp*capReg1Emp3AllocProd3</f>
        <v>3091699.4888645546</v>
      </c>
      <c r="J463" t="s">
        <v>2905</v>
      </c>
      <c r="K463" t="b">
        <f t="shared" si="25"/>
        <v>1</v>
      </c>
    </row>
    <row r="464" spans="2:12">
      <c r="B464" t="str">
        <f>DataNameProd4 &amp; " " &amp; DataNameEmp3 &amp; " Recruit/Dismissal Expense"</f>
        <v>F&amp;S Labor Recruit/Dismissal Expense</v>
      </c>
      <c r="E464" s="398">
        <f>capReg1Emp3RecDismExp*capReg1Emp3AllocProd4</f>
        <v>4312017.3921736786</v>
      </c>
      <c r="F464" s="398">
        <f>capReg1Emp3RecDismExp*capReg1Emp3AllocProd4</f>
        <v>4312017.3921736786</v>
      </c>
      <c r="G464" s="398">
        <f>capReg1Emp3RecDismExp*capReg1Emp3AllocProd4</f>
        <v>4312017.3921736786</v>
      </c>
      <c r="H464" s="398">
        <f>capReg1Emp3RecDismExp*capReg1Emp3AllocProd4</f>
        <v>4312017.3921736786</v>
      </c>
      <c r="I464" s="398">
        <f>capReg1Emp3RecDismExp*capReg1Emp3AllocProd4</f>
        <v>4312017.3921736786</v>
      </c>
      <c r="J464" t="s">
        <v>2906</v>
      </c>
      <c r="K464" t="b">
        <f t="shared" si="25"/>
        <v>1</v>
      </c>
    </row>
    <row r="465" spans="1:13">
      <c r="B465" s="119"/>
      <c r="C465" s="119"/>
      <c r="D465" s="119"/>
      <c r="E465" s="119"/>
      <c r="F465" s="119"/>
      <c r="G465" s="119"/>
      <c r="H465" s="119"/>
      <c r="I465" s="119"/>
      <c r="K465" t="b">
        <f t="shared" si="25"/>
        <v>1</v>
      </c>
    </row>
    <row r="466" spans="1:13">
      <c r="B466" s="2" t="str">
        <f>DataNameEmp3 &amp; " Admin Cost"</f>
        <v>Labor Admin Cost</v>
      </c>
      <c r="K466" t="b">
        <f t="shared" si="25"/>
        <v>1</v>
      </c>
    </row>
    <row r="467" spans="1:13">
      <c r="B467" t="str">
        <f>DataNameProd1&amp;" "&amp;DataNameEmp3&amp;" Admin Expense"</f>
        <v>CSD Labor Admin Expense</v>
      </c>
      <c r="E467" s="14">
        <f>capReg1Emp3AdminExp*capReg1Emp3AllocProd1</f>
        <v>191259772.51082069</v>
      </c>
      <c r="F467" s="14">
        <f>capReg1Emp3AdminExp*capReg1Emp3AllocProd1</f>
        <v>191259772.51082069</v>
      </c>
      <c r="G467" s="14">
        <f>capReg1Emp3AdminExp*capReg1Emp3AllocProd1</f>
        <v>191259772.51082069</v>
      </c>
      <c r="H467" s="14">
        <f>capReg1Emp3AdminExp*capReg1Emp3AllocProd1</f>
        <v>191259772.51082069</v>
      </c>
      <c r="I467" s="14">
        <f>capReg1Emp3AdminExp*capReg1Emp3AllocProd1</f>
        <v>191259772.51082069</v>
      </c>
      <c r="J467" t="s">
        <v>2907</v>
      </c>
      <c r="K467" t="b">
        <f t="shared" si="25"/>
        <v>1</v>
      </c>
    </row>
    <row r="468" spans="1:13">
      <c r="B468" t="str">
        <f>DataNameProd3&amp;" "&amp;DataNameEmp3&amp;" Admin Expense"</f>
        <v>NCB Labor Admin Expense</v>
      </c>
      <c r="E468" s="14">
        <f>capReg1Emp3AdminExp*capReg1Emp3AllocProd3</f>
        <v>102987958.50056843</v>
      </c>
      <c r="F468" s="14">
        <f>capReg1Emp3AdminExp*capReg1Emp3AllocProd3</f>
        <v>102987958.50056843</v>
      </c>
      <c r="G468" s="14">
        <f>capReg1Emp3AdminExp*capReg1Emp3AllocProd3</f>
        <v>102987958.50056843</v>
      </c>
      <c r="H468" s="14">
        <f>capReg1Emp3AdminExp*capReg1Emp3AllocProd3</f>
        <v>102987958.50056843</v>
      </c>
      <c r="I468" s="14">
        <f>capReg1Emp3AdminExp*capReg1Emp3AllocProd3</f>
        <v>102987958.50056843</v>
      </c>
      <c r="J468" t="s">
        <v>2908</v>
      </c>
      <c r="K468" t="b">
        <f t="shared" si="25"/>
        <v>1</v>
      </c>
    </row>
    <row r="469" spans="1:13">
      <c r="B469" t="str">
        <f>DataNameProd4&amp;" "&amp;DataNameEmp3&amp;" Admin Expense"</f>
        <v>F&amp;S Labor Admin Expense</v>
      </c>
      <c r="E469" s="14">
        <f>capReg1Emp3AdminExp*capReg1Emp3AllocProd4</f>
        <v>143638109.02009928</v>
      </c>
      <c r="F469" s="14">
        <f>capReg1Emp3AdminExp*capReg1Emp3AllocProd4</f>
        <v>143638109.02009928</v>
      </c>
      <c r="G469" s="14">
        <f>capReg1Emp3AdminExp*capReg1Emp3AllocProd4</f>
        <v>143638109.02009928</v>
      </c>
      <c r="H469" s="14">
        <f>capReg1Emp3AdminExp*capReg1Emp3AllocProd4</f>
        <v>143638109.02009928</v>
      </c>
      <c r="I469" s="14">
        <f>capReg1Emp3AdminExp*capReg1Emp3AllocProd4</f>
        <v>143638109.02009928</v>
      </c>
      <c r="J469" t="s">
        <v>1808</v>
      </c>
      <c r="K469" t="b">
        <f t="shared" si="25"/>
        <v>1</v>
      </c>
    </row>
    <row r="470" spans="1:13">
      <c r="B470" s="119"/>
      <c r="C470" s="119"/>
      <c r="D470" s="119"/>
      <c r="E470" s="119"/>
      <c r="F470" s="119"/>
      <c r="G470" s="119"/>
      <c r="H470" s="119"/>
      <c r="I470" s="119"/>
      <c r="K470" t="b">
        <f t="shared" si="25"/>
        <v>1</v>
      </c>
    </row>
    <row r="471" spans="1:13" s="33" customFormat="1">
      <c r="B471" s="2" t="str">
        <f>DataNameEmp3 &amp; " Expense Per Unit"</f>
        <v>Labor Expense Per Unit</v>
      </c>
      <c r="K471" t="b">
        <f t="shared" si="25"/>
        <v>1</v>
      </c>
    </row>
    <row r="472" spans="1:13" s="33" customFormat="1">
      <c r="B472" s="3" t="str">
        <f>DataNameProd1 &amp; " " &amp; DataNameEmp3 &amp; " Expense Per Unit"</f>
        <v>CSD Labor Expense Per Unit</v>
      </c>
      <c r="E472" s="421">
        <f>capReg1Prod1Emp3Exp/capReg1Prod1UnitsProduction</f>
        <v>1.5168384461231603</v>
      </c>
      <c r="F472" s="421">
        <f>capReg1Prod1Emp3Exp/capReg1Prod1UnitsProduction</f>
        <v>1.5168384461231603</v>
      </c>
      <c r="G472" s="421">
        <f>capReg1Prod1Emp3Exp/capReg1Prod1UnitsProduction</f>
        <v>1.5168384461231603</v>
      </c>
      <c r="H472" s="421">
        <f>capReg1Prod1Emp3Exp/capReg1Prod1UnitsProduction</f>
        <v>1.5168384461231603</v>
      </c>
      <c r="I472" s="421">
        <f>capReg1Prod1Emp3Exp/capReg1Prod1UnitsProduction</f>
        <v>1.5168384461231603</v>
      </c>
      <c r="J472" t="s">
        <v>2909</v>
      </c>
      <c r="K472" t="b">
        <f t="shared" si="25"/>
        <v>1</v>
      </c>
    </row>
    <row r="473" spans="1:13" s="33" customFormat="1">
      <c r="B473" s="3" t="str">
        <f>DataNameProd3 &amp; " " &amp; DataNameEmp3 &amp; " Expense Per Unit"</f>
        <v>NCB Labor Expense Per Unit</v>
      </c>
      <c r="E473" s="421">
        <f>capReg1Prod3Emp3Exp/capReg1Prod3UnitsProduction</f>
        <v>1.6979012682786405</v>
      </c>
      <c r="F473" s="421">
        <f>capReg1Prod3Emp3Exp/capReg1Prod3UnitsProduction</f>
        <v>1.6979012682786405</v>
      </c>
      <c r="G473" s="421">
        <f>capReg1Prod3Emp3Exp/capReg1Prod3UnitsProduction</f>
        <v>1.6979012682786405</v>
      </c>
      <c r="H473" s="421">
        <f>capReg1Prod3Emp3Exp/capReg1Prod3UnitsProduction</f>
        <v>1.6979012682786405</v>
      </c>
      <c r="I473" s="421">
        <f>capReg1Prod3Emp3Exp/capReg1Prod3UnitsProduction</f>
        <v>1.6979012682786405</v>
      </c>
      <c r="J473" t="s">
        <v>2910</v>
      </c>
      <c r="K473" t="b">
        <f t="shared" si="25"/>
        <v>1</v>
      </c>
    </row>
    <row r="474" spans="1:13">
      <c r="B474" s="3" t="str">
        <f>DataNameProd4 &amp; " " &amp; DataNameEmp3 &amp; " Expense Per Unit"</f>
        <v>F&amp;S Labor Expense Per Unit</v>
      </c>
      <c r="E474" s="421">
        <f>capReg1Prod4Emp3Exp/capReg1Prod4UnitsProduction</f>
        <v>1.5628409401201129</v>
      </c>
      <c r="F474" s="421">
        <f>capReg1Prod4Emp3Exp/capReg1Prod4UnitsProduction</f>
        <v>1.5628409401201129</v>
      </c>
      <c r="G474" s="421">
        <f>capReg1Prod4Emp3Exp/capReg1Prod4UnitsProduction</f>
        <v>1.5628409401201129</v>
      </c>
      <c r="H474" s="421">
        <f>capReg1Prod4Emp3Exp/capReg1Prod4UnitsProduction</f>
        <v>1.5628409401201129</v>
      </c>
      <c r="I474" s="421">
        <f>capReg1Prod4Emp3Exp/capReg1Prod4UnitsProduction</f>
        <v>1.5628409401201129</v>
      </c>
      <c r="J474" t="s">
        <v>1757</v>
      </c>
      <c r="K474" t="b">
        <f t="shared" si="25"/>
        <v>1</v>
      </c>
    </row>
    <row r="475" spans="1:13">
      <c r="A475" s="1371" t="str">
        <f>"Breakthrough 1 "&amp;DataNameEmp3 &amp; " Required"</f>
        <v>Breakthrough 1 Labor Required</v>
      </c>
      <c r="B475" s="1371"/>
      <c r="C475" s="1371"/>
      <c r="D475" s="1371"/>
      <c r="E475" s="1371"/>
      <c r="F475" s="1371"/>
      <c r="G475" s="1371"/>
      <c r="H475" s="1371"/>
      <c r="I475" s="1371"/>
      <c r="K475" t="b">
        <f t="shared" ref="K475:K482" si="27">MAX(E475:I475)=MIN(E475:I475)</f>
        <v>1</v>
      </c>
    </row>
    <row r="476" spans="1:13">
      <c r="B476" t="str">
        <f>DataNameProd2 &amp; " Labor Force Hrs. Required"</f>
        <v>Breakthrough Labor Force Hrs. Required</v>
      </c>
      <c r="C476" s="2"/>
      <c r="D476" s="2"/>
      <c r="E476" s="13">
        <f>capReg1Prod2UnitsProduction*paramProd2LabHrsReqPUnit*HLOOKUP(decDisrupt1,dataDisruptWeight,2,0)</f>
        <v>0</v>
      </c>
      <c r="F476" s="13">
        <f>capReg1Prod2UnitsProduction*paramProd2LabHrsReqPUnit*HLOOKUP(decDisrupt1,dataDisruptWeight,2,0)</f>
        <v>0</v>
      </c>
      <c r="G476" s="13">
        <f>capReg1Prod2UnitsProduction*paramProd2LabHrsReqPUnit*HLOOKUP(decDisrupt1,dataDisruptWeight,2,0)</f>
        <v>0</v>
      </c>
      <c r="H476" s="13">
        <f>capReg1Prod2UnitsProduction*paramProd2LabHrsReqPUnit*HLOOKUP(decDisrupt1,dataDisruptWeight,2,0)</f>
        <v>0</v>
      </c>
      <c r="I476" s="13">
        <f>capReg1Prod2UnitsProduction*paramProd2LabHrsReqPUnit*HLOOKUP(decDisrupt1,dataDisruptWeight,2,0)</f>
        <v>0</v>
      </c>
      <c r="K476" t="b">
        <f t="shared" si="27"/>
        <v>1</v>
      </c>
    </row>
    <row r="477" spans="1:13">
      <c r="B477" t="str">
        <f>DataNameProd2 &amp; " " &amp; DataNameEmp3 &amp; " Required"</f>
        <v>Breakthrough Labor Required</v>
      </c>
      <c r="E477" s="398">
        <f>E476/paramEmp3HoursPYear</f>
        <v>0</v>
      </c>
      <c r="F477" s="398">
        <f>F476/paramEmp3HoursPYear</f>
        <v>0</v>
      </c>
      <c r="G477" s="398">
        <f>G476/paramEmp3HoursPYear</f>
        <v>0</v>
      </c>
      <c r="H477" s="398">
        <f>H476/paramEmp3HoursPYear</f>
        <v>0</v>
      </c>
      <c r="I477" s="398">
        <f>I476/paramEmp3HoursPYear</f>
        <v>0</v>
      </c>
      <c r="J477" t="s">
        <v>2022</v>
      </c>
      <c r="K477" t="b">
        <f t="shared" si="27"/>
        <v>1</v>
      </c>
    </row>
    <row r="478" spans="1:13">
      <c r="B478" t="str">
        <f>DataNameProd2 &amp; " " &amp; DataNameEmp3 &amp; " Salary Expense"</f>
        <v>Breakthrough Labor Salary Expense</v>
      </c>
      <c r="E478" s="14">
        <f>capReg1Emp3AllocProd21*paramReg1Emp3Exp</f>
        <v>0</v>
      </c>
      <c r="F478" s="14">
        <f>capReg1Emp3AllocProd21*paramReg1Emp3Exp</f>
        <v>0</v>
      </c>
      <c r="G478" s="14">
        <f>capReg1Emp3AllocProd21*paramReg1Emp3Exp</f>
        <v>0</v>
      </c>
      <c r="H478" s="14">
        <f>capReg1Emp3AllocProd21*paramReg1Emp3Exp</f>
        <v>0</v>
      </c>
      <c r="I478" s="14">
        <f>capReg1Emp3AllocProd21*paramReg1Emp3Exp</f>
        <v>0</v>
      </c>
      <c r="J478" t="s">
        <v>2023</v>
      </c>
      <c r="K478" t="b">
        <f t="shared" si="27"/>
        <v>1</v>
      </c>
    </row>
    <row r="479" spans="1:13" s="33" customFormat="1">
      <c r="B479" s="3" t="str">
        <f>DataNameProd2 &amp; " " &amp; DataNameEmp3 &amp; " Expense Per Unit"</f>
        <v>Breakthrough Labor Expense Per Unit</v>
      </c>
      <c r="E479" s="421">
        <f>IF(capReg1Prod2UnitsProduction=0,0,(capReg1Prod21Emp3Exp/capReg1Prod2UnitsProduction)*HLOOKUP(decDisrupt1,dataDisruptWeight,2,0))</f>
        <v>0</v>
      </c>
      <c r="F479" s="421">
        <f>IF(capReg1Prod2UnitsProduction=0,0,(capReg1Prod21Emp3Exp/capReg1Prod2UnitsProduction)*HLOOKUP(decDisrupt1,dataDisruptWeight,2,0))</f>
        <v>0</v>
      </c>
      <c r="G479" s="421">
        <f>IF(capReg1Prod2UnitsProduction=0,0,(capReg1Prod21Emp3Exp/capReg1Prod2UnitsProduction)*HLOOKUP(decDisrupt1,dataDisruptWeight,2,0))</f>
        <v>0</v>
      </c>
      <c r="H479" s="421">
        <f>IF(capReg1Prod2UnitsProduction=0,0,(capReg1Prod21Emp3Exp/capReg1Prod2UnitsProduction)*HLOOKUP(decDisrupt1,dataDisruptWeight,2,0))</f>
        <v>0</v>
      </c>
      <c r="I479" s="421">
        <f>IF(capReg1Prod2UnitsProduction=0,0,(capReg1Prod21Emp3Exp/capReg1Prod2UnitsProduction)*HLOOKUP(decDisrupt1,dataDisruptWeight,2,0))</f>
        <v>0</v>
      </c>
      <c r="J479" t="s">
        <v>2024</v>
      </c>
      <c r="K479" t="b">
        <f t="shared" si="27"/>
        <v>1</v>
      </c>
      <c r="M479"/>
    </row>
    <row r="480" spans="1:13">
      <c r="A480" s="1371" t="str">
        <f>"Breakthrough 2 "&amp;DataNameEmp3 &amp; " Required"</f>
        <v>Breakthrough 2 Labor Required</v>
      </c>
      <c r="B480" s="1371"/>
      <c r="C480" s="1371"/>
      <c r="D480" s="1371"/>
      <c r="E480" s="1371"/>
      <c r="F480" s="1371"/>
      <c r="G480" s="1371"/>
      <c r="H480" s="1371"/>
      <c r="I480" s="1371"/>
      <c r="K480" t="b">
        <f t="shared" si="27"/>
        <v>1</v>
      </c>
    </row>
    <row r="481" spans="1:15">
      <c r="B481" t="str">
        <f>DataNameProd2 &amp; " Labor Force Hrs. Required"</f>
        <v>Breakthrough Labor Force Hrs. Required</v>
      </c>
      <c r="C481" s="2"/>
      <c r="D481" s="2"/>
      <c r="E481" s="13">
        <f>capReg2Prod2UnitsProduction*paramProd2LabHrsReqPUnit*HLOOKUP(decDisrupt2,dataDisruptWeight,2,0)</f>
        <v>0</v>
      </c>
      <c r="F481" s="13">
        <f>capReg2Prod2UnitsProduction*paramProd2LabHrsReqPUnit*HLOOKUP(decDisrupt2,dataDisruptWeight,2,0)</f>
        <v>0</v>
      </c>
      <c r="G481" s="13">
        <f>capReg2Prod2UnitsProduction*paramProd2LabHrsReqPUnit*HLOOKUP(decDisrupt2,dataDisruptWeight,2,0)</f>
        <v>0</v>
      </c>
      <c r="H481" s="13">
        <f>capReg2Prod2UnitsProduction*paramProd2LabHrsReqPUnit*HLOOKUP(decDisrupt2,dataDisruptWeight,2,0)</f>
        <v>0</v>
      </c>
      <c r="I481" s="13">
        <f>capReg2Prod2UnitsProduction*paramProd2LabHrsReqPUnit*HLOOKUP(decDisrupt2,dataDisruptWeight,2,0)</f>
        <v>0</v>
      </c>
      <c r="K481" t="b">
        <f t="shared" si="27"/>
        <v>1</v>
      </c>
    </row>
    <row r="482" spans="1:15">
      <c r="B482" t="str">
        <f>DataNameProd2 &amp; " " &amp; DataNameEmp3 &amp; " Required"</f>
        <v>Breakthrough Labor Required</v>
      </c>
      <c r="E482" s="398">
        <f>E481/paramEmp3HoursPYear</f>
        <v>0</v>
      </c>
      <c r="F482" s="398">
        <f>F481/paramEmp3HoursPYear</f>
        <v>0</v>
      </c>
      <c r="G482" s="398">
        <f>G481/paramEmp3HoursPYear</f>
        <v>0</v>
      </c>
      <c r="H482" s="398">
        <f>H481/paramEmp3HoursPYear</f>
        <v>0</v>
      </c>
      <c r="I482" s="398">
        <f>I481/paramEmp3HoursPYear</f>
        <v>0</v>
      </c>
      <c r="J482" t="s">
        <v>2019</v>
      </c>
      <c r="K482" t="b">
        <f t="shared" si="27"/>
        <v>1</v>
      </c>
    </row>
    <row r="483" spans="1:15">
      <c r="B483" t="str">
        <f>DataNameProd2 &amp; " " &amp; DataNameEmp3 &amp; " Salary Expense"</f>
        <v>Breakthrough Labor Salary Expense</v>
      </c>
      <c r="E483" s="14">
        <f>capReg1Emp3AllocProd22*paramReg1Emp3Exp</f>
        <v>0</v>
      </c>
      <c r="F483" s="14">
        <f>capReg1Emp3AllocProd22*paramReg1Emp3Exp</f>
        <v>0</v>
      </c>
      <c r="G483" s="14">
        <f>capReg1Emp3AllocProd22*paramReg1Emp3Exp</f>
        <v>0</v>
      </c>
      <c r="H483" s="14">
        <f>capReg1Emp3AllocProd22*paramReg1Emp3Exp</f>
        <v>0</v>
      </c>
      <c r="I483" s="14">
        <f>capReg1Emp3AllocProd22*paramReg1Emp3Exp</f>
        <v>0</v>
      </c>
      <c r="J483" t="s">
        <v>2020</v>
      </c>
      <c r="K483" t="b">
        <f t="shared" ref="K483:K490" si="28">MAX(E483:I483)=MIN(E483:I483)</f>
        <v>1</v>
      </c>
    </row>
    <row r="484" spans="1:15" s="33" customFormat="1">
      <c r="B484" s="3" t="str">
        <f>DataNameProd2 &amp; " " &amp; DataNameEmp3 &amp; " Expense Per Unit"</f>
        <v>Breakthrough Labor Expense Per Unit</v>
      </c>
      <c r="E484" s="421">
        <f>IF(capReg2Prod2UnitsProduction=0,0,(capReg2Prod22Emp3Exp/capReg2Prod2UnitsProduction)*HLOOKUP(decDisrupt2,dataDisruptWeight,2,0))</f>
        <v>0</v>
      </c>
      <c r="F484" s="421">
        <f>IF(capReg2Prod2UnitsProduction=0,0,(capReg2Prod22Emp3Exp/capReg2Prod2UnitsProduction)*HLOOKUP(decDisrupt2,dataDisruptWeight,2,0))</f>
        <v>0</v>
      </c>
      <c r="G484" s="421">
        <f>IF(capReg2Prod2UnitsProduction=0,0,(capReg2Prod22Emp3Exp/capReg2Prod2UnitsProduction)*HLOOKUP(decDisrupt2,dataDisruptWeight,2,0))</f>
        <v>0</v>
      </c>
      <c r="H484" s="421">
        <f>IF(capReg2Prod2UnitsProduction=0,0,(capReg2Prod22Emp3Exp/capReg2Prod2UnitsProduction)*HLOOKUP(decDisrupt2,dataDisruptWeight,2,0))</f>
        <v>0</v>
      </c>
      <c r="I484" s="421">
        <f>IF(capReg2Prod2UnitsProduction=0,0,(capReg2Prod22Emp3Exp/capReg2Prod2UnitsProduction)*HLOOKUP(decDisrupt2,dataDisruptWeight,2,0))</f>
        <v>0</v>
      </c>
      <c r="J484" t="s">
        <v>2021</v>
      </c>
      <c r="K484" t="b">
        <f t="shared" si="28"/>
        <v>1</v>
      </c>
      <c r="M484"/>
    </row>
    <row r="485" spans="1:15" s="33" customFormat="1">
      <c r="B485" s="3"/>
      <c r="E485" s="421"/>
      <c r="F485" s="421"/>
      <c r="G485" s="421"/>
      <c r="H485" s="421"/>
      <c r="I485" s="421"/>
      <c r="J485"/>
      <c r="K485" t="b">
        <f t="shared" si="28"/>
        <v>1</v>
      </c>
    </row>
    <row r="486" spans="1:15">
      <c r="A486" s="354" t="str">
        <f>"Region 2 "&amp;DataNameEmp3 &amp; " Required"</f>
        <v>Region 2 Labor Required</v>
      </c>
      <c r="B486" s="354"/>
      <c r="C486" s="354"/>
      <c r="D486" s="354"/>
      <c r="E486" s="354"/>
      <c r="F486" s="354"/>
      <c r="G486" s="354"/>
      <c r="H486" s="354"/>
      <c r="I486" s="354"/>
      <c r="K486" t="b">
        <f t="shared" si="28"/>
        <v>1</v>
      </c>
    </row>
    <row r="487" spans="1:15">
      <c r="A487" s="2"/>
      <c r="K487" t="b">
        <f t="shared" si="28"/>
        <v>1</v>
      </c>
    </row>
    <row r="488" spans="1:15">
      <c r="A488" s="2"/>
      <c r="B488" t="s">
        <v>1081</v>
      </c>
      <c r="E488" s="11">
        <f>capEmp3Change</f>
        <v>1000</v>
      </c>
      <c r="F488" s="11">
        <f>capEmp3Change</f>
        <v>1000</v>
      </c>
      <c r="G488" s="11">
        <f>capEmp3Change</f>
        <v>1000</v>
      </c>
      <c r="H488" s="11">
        <f>capEmp3Change</f>
        <v>1000</v>
      </c>
      <c r="I488" s="11">
        <f>capEmp3Change</f>
        <v>1000</v>
      </c>
      <c r="K488" t="b">
        <f t="shared" si="28"/>
        <v>1</v>
      </c>
    </row>
    <row r="489" spans="1:15">
      <c r="B489" t="str">
        <f>DataNameEmp3 &amp; " Recruited/Dismissed"</f>
        <v>Labor Recruited/Dismissed</v>
      </c>
      <c r="E489" s="11">
        <f>E488*capPlant1Reg2Alloc</f>
        <v>340.84260109052599</v>
      </c>
      <c r="F489" s="11">
        <f>F488*capPlant1Reg2Alloc</f>
        <v>340.84260109052599</v>
      </c>
      <c r="G489" s="11">
        <f>G488*capPlant1Reg2Alloc</f>
        <v>340.84260109052599</v>
      </c>
      <c r="H489" s="11">
        <f>H488*capPlant1Reg2Alloc</f>
        <v>340.84260109052599</v>
      </c>
      <c r="I489" s="11">
        <f>I488*capPlant1Reg2Alloc</f>
        <v>340.84260109052599</v>
      </c>
      <c r="J489" t="s">
        <v>2600</v>
      </c>
      <c r="K489" t="b">
        <f t="shared" si="28"/>
        <v>1</v>
      </c>
    </row>
    <row r="490" spans="1:15">
      <c r="B490" t="str">
        <f>DataNameEmp3&amp;" Attrition"</f>
        <v>Labor Attrition</v>
      </c>
      <c r="E490" s="11">
        <f>ROUNDUP(obalEmp3*paramEmp3AttRate,0)*capPlant1Reg2Alloc</f>
        <v>2609.8317965501574</v>
      </c>
      <c r="F490" s="11">
        <f>ROUNDUP(obalEmp3*paramEmp3AttRate,0)*capPlant1Reg2Alloc</f>
        <v>2609.8317965501574</v>
      </c>
      <c r="G490" s="11">
        <f>ROUNDUP(obalEmp3*paramEmp3AttRate,0)*capPlant1Reg2Alloc</f>
        <v>2609.8317965501574</v>
      </c>
      <c r="H490" s="11">
        <f>ROUNDUP(obalEmp3*paramEmp3AttRate,0)*capPlant1Reg2Alloc</f>
        <v>2609.8317965501574</v>
      </c>
      <c r="I490" s="11">
        <f>ROUNDUP(obalEmp3*paramEmp3AttRate,0)*capPlant1Reg2Alloc</f>
        <v>2609.8317965501574</v>
      </c>
      <c r="J490" t="s">
        <v>2477</v>
      </c>
      <c r="K490" t="b">
        <f t="shared" si="28"/>
        <v>1</v>
      </c>
    </row>
    <row r="491" spans="1:15">
      <c r="B491" s="3" t="str">
        <f>DataNameEmp3 &amp; " Ending"</f>
        <v>Labor Ending</v>
      </c>
      <c r="C491" s="2"/>
      <c r="D491" s="2"/>
      <c r="E491" s="13">
        <f>obalEmp3*capPlant1Reg2Alloc+E489-E490</f>
        <v>23827.965399637586</v>
      </c>
      <c r="F491" s="13">
        <f>obalEmp3*capPlant1Reg2Alloc+F489-F490</f>
        <v>23827.965399637586</v>
      </c>
      <c r="G491" s="13">
        <f>obalEmp3*capPlant1Reg2Alloc+G489-G490</f>
        <v>23827.965399637586</v>
      </c>
      <c r="H491" s="13">
        <f>obalEmp3*capPlant1Reg2Alloc+H489-H490</f>
        <v>23827.965399637586</v>
      </c>
      <c r="I491" s="13">
        <f>obalEmp3*capPlant1Reg2Alloc+I489-I490</f>
        <v>23827.965399637586</v>
      </c>
      <c r="J491" t="s">
        <v>3007</v>
      </c>
      <c r="K491" t="b">
        <f t="shared" ref="K491:K531" si="29">MAX(E491:I491)=MIN(E491:I491)</f>
        <v>1</v>
      </c>
    </row>
    <row r="492" spans="1:15">
      <c r="B492" s="2" t="s">
        <v>3916</v>
      </c>
      <c r="C492" s="2"/>
      <c r="D492" s="2"/>
      <c r="E492" s="13">
        <f>E491*paramEmp3HoursPYear</f>
        <v>68886647.970352262</v>
      </c>
      <c r="F492" s="13">
        <f>F491*paramEmp3HoursPYear</f>
        <v>68886647.970352262</v>
      </c>
      <c r="G492" s="13">
        <f>G491*paramEmp3HoursPYear</f>
        <v>68886647.970352262</v>
      </c>
      <c r="H492" s="13">
        <f>H491*paramEmp3HoursPYear</f>
        <v>68886647.970352262</v>
      </c>
      <c r="I492" s="13">
        <f>I491*paramEmp3HoursPYear</f>
        <v>68886647.970352262</v>
      </c>
      <c r="J492" t="s">
        <v>3451</v>
      </c>
      <c r="K492" t="b">
        <f t="shared" si="29"/>
        <v>1</v>
      </c>
    </row>
    <row r="493" spans="1:15">
      <c r="B493" s="2"/>
      <c r="C493" s="2"/>
      <c r="D493" s="2"/>
      <c r="E493" s="13"/>
      <c r="F493" s="13"/>
      <c r="G493" s="13"/>
      <c r="H493" s="13"/>
      <c r="I493" s="13"/>
      <c r="K493" t="b">
        <f t="shared" si="29"/>
        <v>1</v>
      </c>
    </row>
    <row r="494" spans="1:15">
      <c r="B494" t="str">
        <f>DataNameProd1 &amp; " Labor Force Hrs. Required"</f>
        <v>CSD Labor Force Hrs. Required</v>
      </c>
      <c r="C494" s="2"/>
      <c r="D494" s="2"/>
      <c r="E494" s="13">
        <f>capReg2Prod1UnitsProduction*paramProd1LabHrsReqPUnit</f>
        <v>29206177.089958757</v>
      </c>
      <c r="F494" s="13">
        <f>capReg2Prod1UnitsProduction*paramProd1LabHrsReqPUnit</f>
        <v>29206177.089958757</v>
      </c>
      <c r="G494" s="13">
        <f>capReg2Prod1UnitsProduction*paramProd1LabHrsReqPUnit</f>
        <v>29206177.089958757</v>
      </c>
      <c r="H494" s="13">
        <f>capReg2Prod1UnitsProduction*paramProd1LabHrsReqPUnit</f>
        <v>29206177.089958757</v>
      </c>
      <c r="I494" s="13">
        <f>capReg2Prod1UnitsProduction*paramProd1LabHrsReqPUnit</f>
        <v>29206177.089958757</v>
      </c>
      <c r="K494" t="b">
        <f t="shared" si="29"/>
        <v>1</v>
      </c>
    </row>
    <row r="495" spans="1:15">
      <c r="B495" t="str">
        <f>DataNameProd3 &amp; " Labor Force Hrs. Required"</f>
        <v>NCB Labor Force Hrs. Required</v>
      </c>
      <c r="C495" s="2"/>
      <c r="D495" s="2"/>
      <c r="E495" s="13">
        <f>capReg2Prod3UnitsProduction*paramProd3LabHrsReqPUnit</f>
        <v>22448741.224196982</v>
      </c>
      <c r="F495" s="13">
        <f>capReg2Prod3UnitsProduction*paramProd3LabHrsReqPUnit</f>
        <v>22448741.224196982</v>
      </c>
      <c r="G495" s="13">
        <f>capReg2Prod3UnitsProduction*paramProd3LabHrsReqPUnit</f>
        <v>22448741.224196982</v>
      </c>
      <c r="H495" s="13">
        <f>capReg2Prod3UnitsProduction*paramProd3LabHrsReqPUnit</f>
        <v>22448741.224196982</v>
      </c>
      <c r="I495" s="13">
        <f>capReg2Prod3UnitsProduction*paramProd3LabHrsReqPUnit</f>
        <v>22448741.224196982</v>
      </c>
      <c r="K495" t="b">
        <f t="shared" si="29"/>
        <v>1</v>
      </c>
    </row>
    <row r="496" spans="1:15">
      <c r="B496" t="str">
        <f>DataNameProd4 &amp; " Labor Force Hrs. Required"</f>
        <v>F&amp;S Labor Force Hrs. Required</v>
      </c>
      <c r="C496" s="2"/>
      <c r="D496" s="2"/>
      <c r="E496" s="13">
        <f>capReg2Prod4UnitsProduction*paramProd4LabHrsReqPUnit</f>
        <v>18959368.542376921</v>
      </c>
      <c r="F496" s="13">
        <f>capReg2Prod4UnitsProduction*paramProd4LabHrsReqPUnit</f>
        <v>18959368.542376921</v>
      </c>
      <c r="G496" s="13">
        <f>capReg2Prod4UnitsProduction*paramProd4LabHrsReqPUnit</f>
        <v>18959368.542376921</v>
      </c>
      <c r="H496" s="13">
        <f>capReg2Prod4UnitsProduction*paramProd4LabHrsReqPUnit</f>
        <v>18959368.542376921</v>
      </c>
      <c r="I496" s="13">
        <f>capReg2Prod4UnitsProduction*paramProd4LabHrsReqPUnit</f>
        <v>18959368.542376921</v>
      </c>
      <c r="K496" t="b">
        <f t="shared" si="29"/>
        <v>1</v>
      </c>
      <c r="O496" s="18"/>
    </row>
    <row r="497" spans="2:11">
      <c r="B497" s="2" t="str">
        <f>DataNameEmp3 &amp; " Required"</f>
        <v>Labor Required</v>
      </c>
      <c r="E497" s="13">
        <f>SUM(E494:E496)</f>
        <v>70614286.856532663</v>
      </c>
      <c r="F497" s="13">
        <f>SUM(F494:F496)</f>
        <v>70614286.856532663</v>
      </c>
      <c r="G497" s="13">
        <f>SUM(G494:G496)</f>
        <v>70614286.856532663</v>
      </c>
      <c r="H497" s="13">
        <f>SUM(H494:H496)</f>
        <v>70614286.856532663</v>
      </c>
      <c r="I497" s="13">
        <f>SUM(I494:I496)</f>
        <v>70614286.856532663</v>
      </c>
      <c r="K497" t="b">
        <f t="shared" si="29"/>
        <v>1</v>
      </c>
    </row>
    <row r="498" spans="2:11">
      <c r="B498" s="2"/>
      <c r="E498" s="13"/>
      <c r="F498" s="13"/>
      <c r="G498" s="13"/>
      <c r="H498" s="13"/>
      <c r="I498" s="13"/>
      <c r="K498" t="b">
        <f t="shared" si="29"/>
        <v>1</v>
      </c>
    </row>
    <row r="499" spans="2:11">
      <c r="B499" t="str">
        <f>DataNameEmp3&amp;" Utilization"</f>
        <v>Labor Utilization</v>
      </c>
      <c r="E499" s="435">
        <f>E497/E492</f>
        <v>1.0250794448138041</v>
      </c>
      <c r="F499" s="435">
        <f>F497/F492</f>
        <v>1.0250794448138041</v>
      </c>
      <c r="G499" s="435">
        <f>G497/G492</f>
        <v>1.0250794448138041</v>
      </c>
      <c r="H499" s="435">
        <f>H497/H492</f>
        <v>1.0250794448138041</v>
      </c>
      <c r="I499" s="435">
        <f>I497/I492</f>
        <v>1.0250794448138041</v>
      </c>
      <c r="K499" t="b">
        <f t="shared" si="29"/>
        <v>1</v>
      </c>
    </row>
    <row r="500" spans="2:11">
      <c r="B500" t="str">
        <f>DataNameEmp3&amp;" Base Expense"</f>
        <v>Labor Base Expense</v>
      </c>
      <c r="E500" s="11">
        <f>E491*paramReg2Emp3Exp</f>
        <v>338261796.81325519</v>
      </c>
      <c r="F500" s="11">
        <f>F491*paramReg2Emp3Exp</f>
        <v>338261796.81325519</v>
      </c>
      <c r="G500" s="11">
        <f>G491*paramReg2Emp3Exp</f>
        <v>338261796.81325519</v>
      </c>
      <c r="H500" s="11">
        <f>H491*paramReg2Emp3Exp</f>
        <v>338261796.81325519</v>
      </c>
      <c r="I500" s="11">
        <f>I491*paramReg2Emp3Exp</f>
        <v>338261796.81325519</v>
      </c>
      <c r="K500" t="b">
        <f t="shared" si="29"/>
        <v>1</v>
      </c>
    </row>
    <row r="501" spans="2:11">
      <c r="B501" t="str">
        <f>DataNameEmp3&amp;" Overtime Expense"</f>
        <v>Labor Overtime Expense</v>
      </c>
      <c r="E501" s="11">
        <f>MAX(0,E499-1)*E500*paramEmp3OTRate</f>
        <v>12725127.098694367</v>
      </c>
      <c r="F501" s="11">
        <f>MAX(0,F499-1)*F500*paramEmp3OTRate</f>
        <v>12725127.098694367</v>
      </c>
      <c r="G501" s="11">
        <f>MAX(0,G499-1)*G500*paramEmp3OTRate</f>
        <v>12725127.098694367</v>
      </c>
      <c r="H501" s="11">
        <f>MAX(0,H499-1)*H500*paramEmp3OTRate</f>
        <v>12725127.098694367</v>
      </c>
      <c r="I501" s="11">
        <f>MAX(0,I499-1)*I500*paramEmp3OTRate</f>
        <v>12725127.098694367</v>
      </c>
      <c r="J501" t="s">
        <v>2601</v>
      </c>
      <c r="K501" t="b">
        <f t="shared" si="29"/>
        <v>1</v>
      </c>
    </row>
    <row r="502" spans="2:11">
      <c r="B502" s="2" t="str">
        <f>DataNameEmp3 &amp; " Total Expense"</f>
        <v>Labor Total Expense</v>
      </c>
      <c r="C502" s="2"/>
      <c r="D502" s="2"/>
      <c r="E502" s="13">
        <f>SUM(E500:E501)</f>
        <v>350986923.91194957</v>
      </c>
      <c r="F502" s="13">
        <f>SUM(F500:F501)</f>
        <v>350986923.91194957</v>
      </c>
      <c r="G502" s="13">
        <f>SUM(G500:G501)</f>
        <v>350986923.91194957</v>
      </c>
      <c r="H502" s="13">
        <f>SUM(H500:H501)</f>
        <v>350986923.91194957</v>
      </c>
      <c r="I502" s="13">
        <f>SUM(I500:I501)</f>
        <v>350986923.91194957</v>
      </c>
      <c r="J502" t="s">
        <v>2602</v>
      </c>
      <c r="K502" t="b">
        <f t="shared" si="29"/>
        <v>1</v>
      </c>
    </row>
    <row r="503" spans="2:11">
      <c r="B503" t="str">
        <f>DataNameEmp3&amp;" Excess Capacity Cost"</f>
        <v>Labor Excess Capacity Cost</v>
      </c>
      <c r="E503" s="11">
        <f>(paramEmp3OTRate&gt;0)*(E499&lt;1)*(1-E499)*E502</f>
        <v>0</v>
      </c>
      <c r="F503" s="11">
        <f>(paramEmp3OTRate&gt;0)*(F499&lt;1)*(1-F499)*F502</f>
        <v>0</v>
      </c>
      <c r="G503" s="11">
        <f>(paramEmp3OTRate&gt;0)*(G499&lt;1)*(1-G499)*G502</f>
        <v>0</v>
      </c>
      <c r="H503" s="11">
        <f>(paramEmp3OTRate&gt;0)*(H499&lt;1)*(1-H499)*H502</f>
        <v>0</v>
      </c>
      <c r="I503" s="11">
        <f>(paramEmp3OTRate&gt;0)*(I499&lt;1)*(1-I499)*I502</f>
        <v>0</v>
      </c>
      <c r="J503" t="s">
        <v>2603</v>
      </c>
      <c r="K503" t="b">
        <f t="shared" si="29"/>
        <v>1</v>
      </c>
    </row>
    <row r="504" spans="2:11">
      <c r="B504" s="2"/>
      <c r="C504" s="2"/>
      <c r="D504" s="2"/>
      <c r="E504" s="13"/>
      <c r="F504" s="13"/>
      <c r="G504" s="13"/>
      <c r="H504" s="13"/>
      <c r="I504" s="13"/>
      <c r="K504" t="b">
        <f t="shared" si="29"/>
        <v>1</v>
      </c>
    </row>
    <row r="505" spans="2:11">
      <c r="B505" t="str">
        <f>DataNameEmp3&amp;" Recruitment/Dismissal Costs"</f>
        <v>Labor Recruitment/Dismissal Costs</v>
      </c>
      <c r="E505" s="141">
        <f>ABS(paramEmp3RecDismCost*paramReg2Emp3Exp*E489)</f>
        <v>1838668.5947308207</v>
      </c>
      <c r="F505" s="141">
        <f>ABS(paramEmp3RecDismCost*paramReg2Emp3Exp*F489)</f>
        <v>1838668.5947308207</v>
      </c>
      <c r="G505" s="141">
        <f>ABS(paramEmp3RecDismCost*paramReg2Emp3Exp*G489)</f>
        <v>1838668.5947308207</v>
      </c>
      <c r="H505" s="141">
        <f>ABS(paramEmp3RecDismCost*paramReg2Emp3Exp*H489)</f>
        <v>1838668.5947308207</v>
      </c>
      <c r="I505" s="141">
        <f>ABS(paramEmp3RecDismCost*paramReg2Emp3Exp*I489)</f>
        <v>1838668.5947308207</v>
      </c>
      <c r="J505" t="s">
        <v>2604</v>
      </c>
      <c r="K505" t="b">
        <f t="shared" si="29"/>
        <v>1</v>
      </c>
    </row>
    <row r="506" spans="2:11">
      <c r="B506" t="str">
        <f>DataNameEmp3&amp;" Admin Cost"</f>
        <v>Labor Admin Cost</v>
      </c>
      <c r="E506" s="260">
        <f>cap!E502*paramEmp3AdminCostPct</f>
        <v>59667777.065031432</v>
      </c>
      <c r="F506" s="260">
        <f>cap!F502*paramEmp3AdminCostPct</f>
        <v>59667777.065031432</v>
      </c>
      <c r="G506" s="260">
        <f>cap!G502*paramEmp3AdminCostPct</f>
        <v>59667777.065031432</v>
      </c>
      <c r="H506" s="260">
        <f>cap!H502*paramEmp3AdminCostPct</f>
        <v>59667777.065031432</v>
      </c>
      <c r="I506" s="260">
        <f>cap!I502*paramEmp3AdminCostPct</f>
        <v>59667777.065031432</v>
      </c>
      <c r="J506" t="s">
        <v>2605</v>
      </c>
      <c r="K506" t="b">
        <f t="shared" si="29"/>
        <v>1</v>
      </c>
    </row>
    <row r="507" spans="2:11">
      <c r="E507" s="260"/>
      <c r="F507" s="260"/>
      <c r="G507" s="260"/>
      <c r="H507" s="260"/>
      <c r="I507" s="260"/>
      <c r="K507" t="b">
        <f t="shared" si="29"/>
        <v>1</v>
      </c>
    </row>
    <row r="508" spans="2:11">
      <c r="B508" s="2" t="str">
        <f>DataNameEmp3 &amp; " % Product Allocation"</f>
        <v>Labor % Product Allocation</v>
      </c>
      <c r="K508" t="b">
        <f t="shared" si="29"/>
        <v>1</v>
      </c>
    </row>
    <row r="509" spans="2:11">
      <c r="B509" t="str">
        <f>DataNameProd1 &amp; " " &amp; DataNameEmp3 &amp; " Allocation"</f>
        <v>CSD Labor Allocation</v>
      </c>
      <c r="E509" s="12">
        <f t="shared" ref="E509:I511" si="30">E494/$E$497</f>
        <v>0.41360153008833844</v>
      </c>
      <c r="F509" s="12">
        <f t="shared" si="30"/>
        <v>0.41360153008833844</v>
      </c>
      <c r="G509" s="12">
        <f t="shared" si="30"/>
        <v>0.41360153008833844</v>
      </c>
      <c r="H509" s="12">
        <f t="shared" si="30"/>
        <v>0.41360153008833844</v>
      </c>
      <c r="I509" s="12">
        <f t="shared" si="30"/>
        <v>0.41360153008833844</v>
      </c>
      <c r="J509" t="s">
        <v>2606</v>
      </c>
      <c r="K509" t="b">
        <f t="shared" si="29"/>
        <v>1</v>
      </c>
    </row>
    <row r="510" spans="2:11">
      <c r="B510" t="str">
        <f>DataNameProd3 &amp; " " &amp; DataNameEmp3 &amp; " Allocation"</f>
        <v>NCB Labor Allocation</v>
      </c>
      <c r="E510" s="12">
        <f t="shared" si="30"/>
        <v>0.31790650622594518</v>
      </c>
      <c r="F510" s="12">
        <f t="shared" si="30"/>
        <v>0.31790650622594518</v>
      </c>
      <c r="G510" s="12">
        <f t="shared" si="30"/>
        <v>0.31790650622594518</v>
      </c>
      <c r="H510" s="12">
        <f t="shared" si="30"/>
        <v>0.31790650622594518</v>
      </c>
      <c r="I510" s="12">
        <f t="shared" si="30"/>
        <v>0.31790650622594518</v>
      </c>
      <c r="J510" t="s">
        <v>2607</v>
      </c>
      <c r="K510" t="b">
        <f t="shared" si="29"/>
        <v>1</v>
      </c>
    </row>
    <row r="511" spans="2:11">
      <c r="B511" t="str">
        <f>DataNameProd4 &amp; " " &amp; DataNameEmp3 &amp; " Allocation"</f>
        <v>F&amp;S Labor Allocation</v>
      </c>
      <c r="E511" s="12">
        <f t="shared" si="30"/>
        <v>0.26849196368571626</v>
      </c>
      <c r="F511" s="12">
        <f t="shared" si="30"/>
        <v>0.26849196368571626</v>
      </c>
      <c r="G511" s="12">
        <f t="shared" si="30"/>
        <v>0.26849196368571626</v>
      </c>
      <c r="H511" s="12">
        <f t="shared" si="30"/>
        <v>0.26849196368571626</v>
      </c>
      <c r="I511" s="12">
        <f t="shared" si="30"/>
        <v>0.26849196368571626</v>
      </c>
      <c r="J511" t="s">
        <v>2608</v>
      </c>
      <c r="K511" t="b">
        <f t="shared" si="29"/>
        <v>1</v>
      </c>
    </row>
    <row r="512" spans="2:11">
      <c r="B512" s="119"/>
      <c r="C512" s="119"/>
      <c r="D512" s="119"/>
      <c r="E512" s="347"/>
      <c r="F512" s="347"/>
      <c r="G512" s="347"/>
      <c r="H512" s="347"/>
      <c r="I512" s="347"/>
      <c r="K512" t="b">
        <f t="shared" si="29"/>
        <v>1</v>
      </c>
    </row>
    <row r="513" spans="2:13">
      <c r="B513" s="2" t="str">
        <f>DataNameEmp3 &amp; " Expense Allocation"</f>
        <v>Labor Expense Allocation</v>
      </c>
      <c r="K513" t="b">
        <f t="shared" si="29"/>
        <v>1</v>
      </c>
    </row>
    <row r="514" spans="2:13">
      <c r="B514" t="str">
        <f>DataNameProd1 &amp; " " &amp; DataNameEmp3 &amp; " Salary Expense"</f>
        <v>CSD Labor Salary Expense</v>
      </c>
      <c r="E514" s="14">
        <f>capReg2Emp3AllocProd1*capReg2Emp3Exp</f>
        <v>145168728.77098158</v>
      </c>
      <c r="F514" s="14">
        <f>capReg2Emp3AllocProd1*capReg2Emp3Exp</f>
        <v>145168728.77098158</v>
      </c>
      <c r="G514" s="14">
        <f>capReg2Emp3AllocProd1*capReg2Emp3Exp</f>
        <v>145168728.77098158</v>
      </c>
      <c r="H514" s="14">
        <f>capReg2Emp3AllocProd1*capReg2Emp3Exp</f>
        <v>145168728.77098158</v>
      </c>
      <c r="I514" s="14">
        <f>capReg2Emp3AllocProd1*capReg2Emp3Exp</f>
        <v>145168728.77098158</v>
      </c>
      <c r="J514" t="s">
        <v>2609</v>
      </c>
      <c r="K514" t="b">
        <f t="shared" si="29"/>
        <v>1</v>
      </c>
    </row>
    <row r="515" spans="2:13">
      <c r="B515" t="str">
        <f>DataNameProd3 &amp; " " &amp; DataNameEmp3 &amp; " Salary Expense"</f>
        <v>NCB Labor Salary Expense</v>
      </c>
      <c r="E515" s="14">
        <f>capReg2Emp3AllocProd3*capReg2Emp3Exp</f>
        <v>111581026.71183954</v>
      </c>
      <c r="F515" s="14">
        <f>capReg2Emp3AllocProd3*capReg2Emp3Exp</f>
        <v>111581026.71183954</v>
      </c>
      <c r="G515" s="14">
        <f>capReg2Emp3AllocProd3*capReg2Emp3Exp</f>
        <v>111581026.71183954</v>
      </c>
      <c r="H515" s="14">
        <f>capReg2Emp3AllocProd3*capReg2Emp3Exp</f>
        <v>111581026.71183954</v>
      </c>
      <c r="I515" s="14">
        <f>capReg2Emp3AllocProd3*capReg2Emp3Exp</f>
        <v>111581026.71183954</v>
      </c>
      <c r="J515" t="s">
        <v>448</v>
      </c>
      <c r="K515" t="b">
        <f t="shared" si="29"/>
        <v>1</v>
      </c>
    </row>
    <row r="516" spans="2:13">
      <c r="B516" t="str">
        <f>DataNameProd4 &amp; " " &amp; DataNameEmp3 &amp; " Salary Expense"</f>
        <v>F&amp;S Labor Salary Expense</v>
      </c>
      <c r="E516" s="14">
        <f>capReg2Emp3AllocProd4*capReg2Emp3Exp</f>
        <v>94237168.429128423</v>
      </c>
      <c r="F516" s="14">
        <f>capReg2Emp3AllocProd4*capReg2Emp3Exp</f>
        <v>94237168.429128423</v>
      </c>
      <c r="G516" s="14">
        <f>capReg2Emp3AllocProd4*capReg2Emp3Exp</f>
        <v>94237168.429128423</v>
      </c>
      <c r="H516" s="14">
        <f>capReg2Emp3AllocProd4*capReg2Emp3Exp</f>
        <v>94237168.429128423</v>
      </c>
      <c r="I516" s="14">
        <f>capReg2Emp3AllocProd4*capReg2Emp3Exp</f>
        <v>94237168.429128423</v>
      </c>
      <c r="J516" t="s">
        <v>449</v>
      </c>
      <c r="K516" t="b">
        <f t="shared" si="29"/>
        <v>1</v>
      </c>
      <c r="L516" s="10"/>
    </row>
    <row r="517" spans="2:13">
      <c r="B517" s="119"/>
      <c r="C517" s="119"/>
      <c r="D517" s="119"/>
      <c r="E517" s="346"/>
      <c r="F517" s="346"/>
      <c r="G517" s="346"/>
      <c r="H517" s="346"/>
      <c r="I517" s="346"/>
      <c r="K517" t="b">
        <f t="shared" si="29"/>
        <v>1</v>
      </c>
      <c r="L517" s="18"/>
    </row>
    <row r="518" spans="2:13">
      <c r="B518" s="2" t="str">
        <f>DataNameEmp3 &amp; " Recruit Dismiss Cost"</f>
        <v>Labor Recruit Dismiss Cost</v>
      </c>
      <c r="K518" t="b">
        <f t="shared" si="29"/>
        <v>1</v>
      </c>
    </row>
    <row r="519" spans="2:13">
      <c r="B519" t="str">
        <f>DataNameProd1 &amp; " " &amp; DataNameEmp3 &amp; " Recruit/Dismissal Expense"</f>
        <v>CSD Labor Recruit/Dismissal Expense</v>
      </c>
      <c r="E519" s="398">
        <f>capReg2Emp3RecDismExp*capReg2Emp3AllocProd1</f>
        <v>760476.14410604257</v>
      </c>
      <c r="F519" s="398">
        <f>capReg2Emp3RecDismExp*capReg2Emp3AllocProd1</f>
        <v>760476.14410604257</v>
      </c>
      <c r="G519" s="398">
        <f>capReg2Emp3RecDismExp*capReg2Emp3AllocProd1</f>
        <v>760476.14410604257</v>
      </c>
      <c r="H519" s="398">
        <f>capReg2Emp3RecDismExp*capReg2Emp3AllocProd1</f>
        <v>760476.14410604257</v>
      </c>
      <c r="I519" s="398">
        <f>capReg2Emp3RecDismExp*capReg2Emp3AllocProd1</f>
        <v>760476.14410604257</v>
      </c>
      <c r="J519" t="s">
        <v>450</v>
      </c>
      <c r="K519" t="b">
        <f t="shared" si="29"/>
        <v>1</v>
      </c>
    </row>
    <row r="520" spans="2:13">
      <c r="B520" t="str">
        <f>DataNameProd3 &amp; " " &amp; DataNameEmp3 &amp; " Recruit/Dismissal Expense"</f>
        <v>NCB Labor Recruit/Dismissal Expense</v>
      </c>
      <c r="E520" s="398">
        <f>capReg2Emp3RecDismExp*capReg2Emp3AllocProd3</f>
        <v>584524.70905824355</v>
      </c>
      <c r="F520" s="398">
        <f>capReg2Emp3RecDismExp*capReg2Emp3AllocProd3</f>
        <v>584524.70905824355</v>
      </c>
      <c r="G520" s="398">
        <f>capReg2Emp3RecDismExp*capReg2Emp3AllocProd3</f>
        <v>584524.70905824355</v>
      </c>
      <c r="H520" s="398">
        <f>capReg2Emp3RecDismExp*capReg2Emp3AllocProd3</f>
        <v>584524.70905824355</v>
      </c>
      <c r="I520" s="398">
        <f>capReg2Emp3RecDismExp*capReg2Emp3AllocProd3</f>
        <v>584524.70905824355</v>
      </c>
      <c r="J520" t="s">
        <v>451</v>
      </c>
      <c r="K520" t="b">
        <f t="shared" si="29"/>
        <v>1</v>
      </c>
    </row>
    <row r="521" spans="2:13">
      <c r="B521" t="str">
        <f>DataNameProd4 &amp; " " &amp; DataNameEmp3 &amp; " Recruit/Dismissal Expense"</f>
        <v>F&amp;S Labor Recruit/Dismissal Expense</v>
      </c>
      <c r="E521" s="398">
        <f>capReg2Emp3RecDismExp*capReg2Emp3AllocProd4</f>
        <v>493667.74156653445</v>
      </c>
      <c r="F521" s="398">
        <f>capReg2Emp3RecDismExp*capReg2Emp3AllocProd4</f>
        <v>493667.74156653445</v>
      </c>
      <c r="G521" s="398">
        <f>capReg2Emp3RecDismExp*capReg2Emp3AllocProd4</f>
        <v>493667.74156653445</v>
      </c>
      <c r="H521" s="398">
        <f>capReg2Emp3RecDismExp*capReg2Emp3AllocProd4</f>
        <v>493667.74156653445</v>
      </c>
      <c r="I521" s="398">
        <f>capReg2Emp3RecDismExp*capReg2Emp3AllocProd4</f>
        <v>493667.74156653445</v>
      </c>
      <c r="J521" t="s">
        <v>452</v>
      </c>
      <c r="K521" t="b">
        <f t="shared" si="29"/>
        <v>1</v>
      </c>
    </row>
    <row r="522" spans="2:13">
      <c r="B522" s="119"/>
      <c r="C522" s="119"/>
      <c r="D522" s="119"/>
      <c r="E522" s="119"/>
      <c r="F522" s="119"/>
      <c r="G522" s="119"/>
      <c r="H522" s="119"/>
      <c r="I522" s="119"/>
      <c r="K522" t="b">
        <f t="shared" si="29"/>
        <v>1</v>
      </c>
    </row>
    <row r="523" spans="2:13">
      <c r="B523" s="2" t="str">
        <f>DataNameEmp3 &amp; " Admin Cost"</f>
        <v>Labor Admin Cost</v>
      </c>
      <c r="K523" t="b">
        <f t="shared" si="29"/>
        <v>1</v>
      </c>
    </row>
    <row r="524" spans="2:13">
      <c r="B524" t="str">
        <f>DataNameProd1&amp;" "&amp;DataNameEmp3&amp;" Admin Expense"</f>
        <v>CSD Labor Admin Expense</v>
      </c>
      <c r="E524" s="14">
        <f>capReg2Emp3AdminExp*capReg2Emp3AllocProd1</f>
        <v>24678683.891066868</v>
      </c>
      <c r="F524" s="14">
        <f>capReg2Emp3AdminExp*capReg2Emp3AllocProd1</f>
        <v>24678683.891066868</v>
      </c>
      <c r="G524" s="14">
        <f>capReg2Emp3AdminExp*capReg2Emp3AllocProd1</f>
        <v>24678683.891066868</v>
      </c>
      <c r="H524" s="14">
        <f>capReg2Emp3AdminExp*capReg2Emp3AllocProd1</f>
        <v>24678683.891066868</v>
      </c>
      <c r="I524" s="14">
        <f>capReg2Emp3AdminExp*capReg2Emp3AllocProd1</f>
        <v>24678683.891066868</v>
      </c>
      <c r="J524" t="s">
        <v>453</v>
      </c>
      <c r="K524" t="b">
        <f t="shared" si="29"/>
        <v>1</v>
      </c>
    </row>
    <row r="525" spans="2:13">
      <c r="B525" t="str">
        <f>DataNameProd3&amp;" "&amp;DataNameEmp3&amp;" Admin Expense"</f>
        <v>NCB Labor Admin Expense</v>
      </c>
      <c r="E525" s="14">
        <f>capReg2Emp3AdminExp*capReg2Emp3AllocProd3</f>
        <v>18968774.541012723</v>
      </c>
      <c r="F525" s="14">
        <f>capReg2Emp3AdminExp*capReg2Emp3AllocProd3</f>
        <v>18968774.541012723</v>
      </c>
      <c r="G525" s="14">
        <f>capReg2Emp3AdminExp*capReg2Emp3AllocProd3</f>
        <v>18968774.541012723</v>
      </c>
      <c r="H525" s="14">
        <f>capReg2Emp3AdminExp*capReg2Emp3AllocProd3</f>
        <v>18968774.541012723</v>
      </c>
      <c r="I525" s="14">
        <f>capReg2Emp3AdminExp*capReg2Emp3AllocProd3</f>
        <v>18968774.541012723</v>
      </c>
      <c r="J525" t="s">
        <v>454</v>
      </c>
      <c r="K525" t="b">
        <f t="shared" si="29"/>
        <v>1</v>
      </c>
    </row>
    <row r="526" spans="2:13">
      <c r="B526" t="str">
        <f>DataNameProd4&amp;" "&amp;DataNameEmp3&amp;" Admin Expense"</f>
        <v>F&amp;S Labor Admin Expense</v>
      </c>
      <c r="E526" s="14">
        <f>capReg2Emp3AdminExp*capReg2Emp3AllocProd4</f>
        <v>16020318.632951833</v>
      </c>
      <c r="F526" s="14">
        <f>capReg2Emp3AdminExp*capReg2Emp3AllocProd4</f>
        <v>16020318.632951833</v>
      </c>
      <c r="G526" s="14">
        <f>capReg2Emp3AdminExp*capReg2Emp3AllocProd4</f>
        <v>16020318.632951833</v>
      </c>
      <c r="H526" s="14">
        <f>capReg2Emp3AdminExp*capReg2Emp3AllocProd4</f>
        <v>16020318.632951833</v>
      </c>
      <c r="I526" s="14">
        <f>capReg2Emp3AdminExp*capReg2Emp3AllocProd4</f>
        <v>16020318.632951833</v>
      </c>
      <c r="J526" t="s">
        <v>1807</v>
      </c>
      <c r="K526" t="b">
        <f t="shared" si="29"/>
        <v>1</v>
      </c>
    </row>
    <row r="527" spans="2:13">
      <c r="B527" s="119"/>
      <c r="C527" s="119"/>
      <c r="D527" s="119"/>
      <c r="E527" s="119"/>
      <c r="F527" s="119"/>
      <c r="G527" s="119"/>
      <c r="H527" s="119"/>
      <c r="I527" s="119"/>
      <c r="K527" t="b">
        <f t="shared" si="29"/>
        <v>1</v>
      </c>
    </row>
    <row r="528" spans="2:13" s="33" customFormat="1">
      <c r="B528" s="2" t="str">
        <f>DataNameEmp3 &amp; " Expense Per Unit"</f>
        <v>Labor Expense Per Unit</v>
      </c>
      <c r="K528" t="b">
        <f t="shared" si="29"/>
        <v>1</v>
      </c>
      <c r="M528"/>
    </row>
    <row r="529" spans="1:15" s="33" customFormat="1">
      <c r="B529" s="3" t="str">
        <f>DataNameProd1 &amp; " " &amp; DataNameEmp3 &amp; " Expense Per Unit"</f>
        <v>CSD Labor Expense Per Unit</v>
      </c>
      <c r="E529" s="421">
        <f>capReg2Prod1Emp3Exp/capReg2Prod1UnitsProduction</f>
        <v>0.40686197998307172</v>
      </c>
      <c r="F529" s="421">
        <f>capReg2Prod1Emp3Exp/capReg2Prod1UnitsProduction</f>
        <v>0.40686197998307172</v>
      </c>
      <c r="G529" s="421">
        <f>capReg2Prod1Emp3Exp/capReg2Prod1UnitsProduction</f>
        <v>0.40686197998307172</v>
      </c>
      <c r="H529" s="421">
        <f>capReg2Prod1Emp3Exp/capReg2Prod1UnitsProduction</f>
        <v>0.40686197998307172</v>
      </c>
      <c r="I529" s="421">
        <f>capReg2Prod1Emp3Exp/capReg2Prod1UnitsProduction</f>
        <v>0.40686197998307172</v>
      </c>
      <c r="J529" t="s">
        <v>455</v>
      </c>
      <c r="K529" t="b">
        <f t="shared" si="29"/>
        <v>1</v>
      </c>
      <c r="M529"/>
    </row>
    <row r="530" spans="1:15" s="33" customFormat="1">
      <c r="B530" s="3" t="str">
        <f>DataNameProd3 &amp; " " &amp; DataNameEmp3 &amp; " Expense Per Unit"</f>
        <v>NCB Labor Expense Per Unit</v>
      </c>
      <c r="E530" s="421">
        <f>capReg2Prod3Emp3Exp/capReg2Prod3UnitsProduction</f>
        <v>0.45542850894453502</v>
      </c>
      <c r="F530" s="421">
        <f>capReg2Prod3Emp3Exp/capReg2Prod3UnitsProduction</f>
        <v>0.45542850894453502</v>
      </c>
      <c r="G530" s="421">
        <f>capReg2Prod3Emp3Exp/capReg2Prod3UnitsProduction</f>
        <v>0.45542850894453502</v>
      </c>
      <c r="H530" s="421">
        <f>capReg2Prod3Emp3Exp/capReg2Prod3UnitsProduction</f>
        <v>0.45542850894453502</v>
      </c>
      <c r="I530" s="421">
        <f>capReg2Prod3Emp3Exp/capReg2Prod3UnitsProduction</f>
        <v>0.45542850894453502</v>
      </c>
      <c r="J530" t="s">
        <v>197</v>
      </c>
      <c r="K530" t="b">
        <f t="shared" si="29"/>
        <v>1</v>
      </c>
      <c r="M530"/>
    </row>
    <row r="531" spans="1:15">
      <c r="B531" s="3" t="str">
        <f>DataNameProd4 &amp; " " &amp; DataNameEmp3 &amp; " Expense Per Unit"</f>
        <v>F&amp;S Labor Expense Per Unit</v>
      </c>
      <c r="E531" s="421">
        <f>capReg2Prod4Emp3Exp/capReg2Prod4UnitsProduction</f>
        <v>0.41920124118758345</v>
      </c>
      <c r="F531" s="421">
        <f>capReg2Prod4Emp3Exp/capReg2Prod4UnitsProduction</f>
        <v>0.41920124118758345</v>
      </c>
      <c r="G531" s="421">
        <f>capReg2Prod4Emp3Exp/capReg2Prod4UnitsProduction</f>
        <v>0.41920124118758345</v>
      </c>
      <c r="H531" s="421">
        <f>capReg2Prod4Emp3Exp/capReg2Prod4UnitsProduction</f>
        <v>0.41920124118758345</v>
      </c>
      <c r="I531" s="421">
        <f>capReg2Prod4Emp3Exp/capReg2Prod4UnitsProduction</f>
        <v>0.41920124118758345</v>
      </c>
      <c r="J531" t="s">
        <v>198</v>
      </c>
      <c r="K531" t="b">
        <f t="shared" si="29"/>
        <v>1</v>
      </c>
    </row>
    <row r="532" spans="1:15">
      <c r="A532" s="1371" t="str">
        <f>"Breakthrough 1 "&amp;DataNameEmp3 &amp; " Required"</f>
        <v>Breakthrough 1 Labor Required</v>
      </c>
      <c r="B532" s="1371"/>
      <c r="C532" s="1371"/>
      <c r="D532" s="1371"/>
      <c r="E532" s="1371"/>
      <c r="F532" s="1371"/>
      <c r="G532" s="1371"/>
      <c r="H532" s="1371"/>
      <c r="I532" s="1371"/>
      <c r="K532" t="b">
        <f t="shared" ref="K532:K544" si="31">MAX(E532:I532)=MIN(E532:I532)</f>
        <v>1</v>
      </c>
    </row>
    <row r="533" spans="1:15">
      <c r="B533" t="str">
        <f>DataNameProd2 &amp; " Labor Force Hrs. Required"</f>
        <v>Breakthrough Labor Force Hrs. Required</v>
      </c>
      <c r="C533" s="2"/>
      <c r="D533" s="2"/>
      <c r="E533" s="13">
        <f>capReg1Prod2UnitsProduction*paramProd2LabHrsReqPUnit*HLOOKUP(decDisrupt1,dataDisruptWeight,3,0)</f>
        <v>0</v>
      </c>
      <c r="F533" s="13">
        <f>capReg1Prod2UnitsProduction*paramProd2LabHrsReqPUnit*HLOOKUP(decDisrupt1,dataDisruptWeight,3,0)</f>
        <v>0</v>
      </c>
      <c r="G533" s="13">
        <f>capReg1Prod2UnitsProduction*paramProd2LabHrsReqPUnit*HLOOKUP(decDisrupt1,dataDisruptWeight,3,0)</f>
        <v>0</v>
      </c>
      <c r="H533" s="13">
        <f>capReg1Prod2UnitsProduction*paramProd2LabHrsReqPUnit*HLOOKUP(decDisrupt1,dataDisruptWeight,3,0)</f>
        <v>0</v>
      </c>
      <c r="I533" s="13">
        <f>capReg1Prod2UnitsProduction*paramProd2LabHrsReqPUnit*HLOOKUP(decDisrupt1,dataDisruptWeight,3,0)</f>
        <v>0</v>
      </c>
      <c r="K533" t="b">
        <f t="shared" si="31"/>
        <v>1</v>
      </c>
    </row>
    <row r="534" spans="1:15">
      <c r="B534" t="str">
        <f>DataNameProd2 &amp; " " &amp; DataNameEmp3 &amp; " Required"</f>
        <v>Breakthrough Labor Required</v>
      </c>
      <c r="E534" s="398">
        <f>E533/paramEmp3HoursPYear</f>
        <v>0</v>
      </c>
      <c r="F534" s="398">
        <f>F533/paramEmp3HoursPYear</f>
        <v>0</v>
      </c>
      <c r="G534" s="398">
        <f>G533/paramEmp3HoursPYear</f>
        <v>0</v>
      </c>
      <c r="H534" s="398">
        <f>H533/paramEmp3HoursPYear</f>
        <v>0</v>
      </c>
      <c r="I534" s="398">
        <f>I533/paramEmp3HoursPYear</f>
        <v>0</v>
      </c>
      <c r="J534" t="s">
        <v>771</v>
      </c>
      <c r="K534" t="b">
        <f t="shared" si="31"/>
        <v>1</v>
      </c>
    </row>
    <row r="535" spans="1:15">
      <c r="B535" t="str">
        <f>DataNameProd2 &amp; " " &amp; DataNameEmp3 &amp; " Salary Expense"</f>
        <v>Breakthrough Labor Salary Expense</v>
      </c>
      <c r="E535" s="14">
        <f>capReg2Emp3AllocProd21*paramReg2Emp3Exp</f>
        <v>0</v>
      </c>
      <c r="F535" s="14">
        <f>capReg2Emp3AllocProd21*paramReg2Emp3Exp</f>
        <v>0</v>
      </c>
      <c r="G535" s="14">
        <f>capReg2Emp3AllocProd21*paramReg2Emp3Exp</f>
        <v>0</v>
      </c>
      <c r="H535" s="14">
        <f>capReg2Emp3AllocProd21*paramReg2Emp3Exp</f>
        <v>0</v>
      </c>
      <c r="I535" s="14">
        <f>capReg2Emp3AllocProd21*paramReg2Emp3Exp</f>
        <v>0</v>
      </c>
      <c r="J535" t="s">
        <v>772</v>
      </c>
      <c r="K535" t="b">
        <f t="shared" si="31"/>
        <v>1</v>
      </c>
    </row>
    <row r="536" spans="1:15" s="33" customFormat="1">
      <c r="B536" s="3" t="str">
        <f>DataNameProd2 &amp; " " &amp; DataNameEmp3 &amp; " Expense Per Unit"</f>
        <v>Breakthrough Labor Expense Per Unit</v>
      </c>
      <c r="E536" s="421">
        <f>IF(capReg1Prod2UnitsProduction=0,0,(capReg2Prod21Emp3Exp/capReg1Prod2UnitsProduction)*HLOOKUP(decDisrupt1,dataDisruptWeight,3,0))</f>
        <v>0</v>
      </c>
      <c r="F536" s="421">
        <f>IF(capReg1Prod2UnitsProduction=0,0,(capReg2Prod21Emp3Exp/capReg1Prod2UnitsProduction)*HLOOKUP(decDisrupt1,dataDisruptWeight,3,0))</f>
        <v>0</v>
      </c>
      <c r="G536" s="421">
        <f>IF(capReg1Prod2UnitsProduction=0,0,(capReg2Prod21Emp3Exp/capReg1Prod2UnitsProduction)*HLOOKUP(decDisrupt1,dataDisruptWeight,3,0))</f>
        <v>0</v>
      </c>
      <c r="H536" s="421">
        <f>IF(capReg1Prod2UnitsProduction=0,0,(capReg2Prod21Emp3Exp/capReg1Prod2UnitsProduction)*HLOOKUP(decDisrupt1,dataDisruptWeight,3,0))</f>
        <v>0</v>
      </c>
      <c r="I536" s="421">
        <f>IF(capReg1Prod2UnitsProduction=0,0,(capReg2Prod21Emp3Exp/capReg1Prod2UnitsProduction)*HLOOKUP(decDisrupt1,dataDisruptWeight,3,0))</f>
        <v>0</v>
      </c>
      <c r="J536" t="s">
        <v>773</v>
      </c>
      <c r="K536" t="b">
        <f t="shared" si="31"/>
        <v>1</v>
      </c>
      <c r="O536"/>
    </row>
    <row r="537" spans="1:15">
      <c r="A537" s="1371" t="str">
        <f>"Breakthrough 2 "&amp;DataNameEmp3 &amp; " Required"</f>
        <v>Breakthrough 2 Labor Required</v>
      </c>
      <c r="B537" s="1371"/>
      <c r="C537" s="1371"/>
      <c r="D537" s="1371"/>
      <c r="E537" s="1371"/>
      <c r="F537" s="1371"/>
      <c r="G537" s="1371"/>
      <c r="H537" s="1371"/>
      <c r="I537" s="1371"/>
      <c r="K537" t="b">
        <f t="shared" si="31"/>
        <v>1</v>
      </c>
    </row>
    <row r="538" spans="1:15">
      <c r="B538" t="str">
        <f>DataNameProd2 &amp; " Labor Force Hrs. Required"</f>
        <v>Breakthrough Labor Force Hrs. Required</v>
      </c>
      <c r="C538" s="2"/>
      <c r="D538" s="2"/>
      <c r="E538" s="13">
        <f>capReg2Prod2UnitsProduction*paramProd2LabHrsReqPUnit*HLOOKUP(decDisrupt2,dataDisruptWeight,3,0)</f>
        <v>0</v>
      </c>
      <c r="F538" s="13">
        <f>capReg2Prod2UnitsProduction*paramProd2LabHrsReqPUnit*HLOOKUP(decDisrupt2,dataDisruptWeight,3,0)</f>
        <v>0</v>
      </c>
      <c r="G538" s="13">
        <f>capReg2Prod2UnitsProduction*paramProd2LabHrsReqPUnit*HLOOKUP(decDisrupt2,dataDisruptWeight,3,0)</f>
        <v>0</v>
      </c>
      <c r="H538" s="13">
        <f>capReg2Prod2UnitsProduction*paramProd2LabHrsReqPUnit*HLOOKUP(decDisrupt2,dataDisruptWeight,3,0)</f>
        <v>0</v>
      </c>
      <c r="I538" s="13">
        <f>capReg2Prod2UnitsProduction*paramProd2LabHrsReqPUnit*HLOOKUP(decDisrupt2,dataDisruptWeight,3,0)</f>
        <v>0</v>
      </c>
      <c r="K538" t="b">
        <f t="shared" si="31"/>
        <v>1</v>
      </c>
    </row>
    <row r="539" spans="1:15">
      <c r="B539" t="str">
        <f>DataNameProd2 &amp; " " &amp; DataNameEmp3 &amp; " Required"</f>
        <v>Breakthrough Labor Required</v>
      </c>
      <c r="E539" s="398">
        <f>E538/paramEmp3HoursPYear</f>
        <v>0</v>
      </c>
      <c r="F539" s="398">
        <f>F538/paramEmp3HoursPYear</f>
        <v>0</v>
      </c>
      <c r="G539" s="398">
        <f>G538/paramEmp3HoursPYear</f>
        <v>0</v>
      </c>
      <c r="H539" s="398">
        <f>H538/paramEmp3HoursPYear</f>
        <v>0</v>
      </c>
      <c r="I539" s="398">
        <f>I538/paramEmp3HoursPYear</f>
        <v>0</v>
      </c>
      <c r="J539" t="s">
        <v>2610</v>
      </c>
      <c r="K539" t="b">
        <f t="shared" si="31"/>
        <v>1</v>
      </c>
    </row>
    <row r="540" spans="1:15">
      <c r="B540" t="str">
        <f>DataNameProd2 &amp; " " &amp; DataNameEmp3 &amp; " Salary Expense"</f>
        <v>Breakthrough Labor Salary Expense</v>
      </c>
      <c r="E540" s="14">
        <f>capReg2Emp3AllocProd22*paramReg2Emp3Exp</f>
        <v>0</v>
      </c>
      <c r="F540" s="14">
        <f>capReg1Emp3AllocProd22*paramReg1Emp3Exp</f>
        <v>0</v>
      </c>
      <c r="G540" s="14">
        <f>capReg1Emp3AllocProd22*paramReg1Emp3Exp</f>
        <v>0</v>
      </c>
      <c r="H540" s="14">
        <f>capReg1Emp3AllocProd22*paramReg1Emp3Exp</f>
        <v>0</v>
      </c>
      <c r="I540" s="14">
        <f>capReg1Emp3AllocProd22*paramReg1Emp3Exp</f>
        <v>0</v>
      </c>
      <c r="J540" t="s">
        <v>2611</v>
      </c>
      <c r="K540" t="b">
        <f t="shared" si="31"/>
        <v>1</v>
      </c>
    </row>
    <row r="541" spans="1:15" s="33" customFormat="1">
      <c r="B541" s="3" t="str">
        <f>DataNameProd2 &amp; " " &amp; DataNameEmp3 &amp; " Expense Per Unit"</f>
        <v>Breakthrough Labor Expense Per Unit</v>
      </c>
      <c r="E541" s="421">
        <f>IF(capReg2Prod2UnitsProduction=0,0,(capReg2Prod22Emp3Exp/capReg2Prod2UnitsProduction)*HLOOKUP(decDisrupt2,dataDisruptWeight,3,0))</f>
        <v>0</v>
      </c>
      <c r="F541" s="421">
        <f>IF(capReg2Prod2UnitsProduction=0,0,(capReg2Prod22Emp3Exp/capReg2Prod2UnitsProduction)*HLOOKUP(decDisrupt2,dataDisruptWeight,3,0))</f>
        <v>0</v>
      </c>
      <c r="G541" s="421">
        <f>IF(capReg2Prod2UnitsProduction=0,0,(capReg2Prod22Emp3Exp/capReg2Prod2UnitsProduction)*HLOOKUP(decDisrupt2,dataDisruptWeight,3,0))</f>
        <v>0</v>
      </c>
      <c r="H541" s="421">
        <f>IF(capReg2Prod2UnitsProduction=0,0,(capReg2Prod22Emp3Exp/capReg2Prod2UnitsProduction)*HLOOKUP(decDisrupt2,dataDisruptWeight,3,0))</f>
        <v>0</v>
      </c>
      <c r="I541" s="421">
        <f>IF(capReg2Prod2UnitsProduction=0,0,(capReg2Prod22Emp3Exp/capReg2Prod2UnitsProduction)*HLOOKUP(decDisrupt2,dataDisruptWeight,3,0))</f>
        <v>0</v>
      </c>
      <c r="J541" t="s">
        <v>2612</v>
      </c>
      <c r="K541" t="b">
        <f t="shared" si="31"/>
        <v>1</v>
      </c>
      <c r="M541"/>
      <c r="O541"/>
    </row>
    <row r="542" spans="1:15" s="33" customFormat="1">
      <c r="B542" s="3"/>
      <c r="E542" s="421"/>
      <c r="F542" s="421"/>
      <c r="G542" s="421"/>
      <c r="H542" s="421"/>
      <c r="I542" s="421"/>
      <c r="J542"/>
      <c r="K542" t="b">
        <f t="shared" si="31"/>
        <v>1</v>
      </c>
      <c r="M542"/>
    </row>
    <row r="543" spans="1:15">
      <c r="A543" s="354" t="str">
        <f>DataNameEmp10 &amp; " Required"</f>
        <v>MTU Required</v>
      </c>
      <c r="B543" s="354"/>
      <c r="C543" s="354"/>
      <c r="D543" s="354"/>
      <c r="E543" s="354"/>
      <c r="F543" s="354"/>
      <c r="G543" s="354"/>
      <c r="H543" s="354"/>
      <c r="I543" s="354"/>
      <c r="K543" t="b">
        <f t="shared" si="31"/>
        <v>1</v>
      </c>
    </row>
    <row r="544" spans="1:15">
      <c r="A544" s="2"/>
      <c r="K544" t="b">
        <f t="shared" si="31"/>
        <v>1</v>
      </c>
    </row>
    <row r="545" spans="1:11">
      <c r="A545" s="2"/>
      <c r="B545" s="2" t="str">
        <f>DataNameEmp10 &amp; " Allocation"</f>
        <v>MTU Allocation</v>
      </c>
      <c r="D545" s="905" t="s">
        <v>4737</v>
      </c>
      <c r="K545" t="b">
        <f t="shared" ref="K545:K567" si="32">MAX(E545:I545)=MIN(E545:I545)</f>
        <v>1</v>
      </c>
    </row>
    <row r="546" spans="1:11">
      <c r="A546" s="2"/>
      <c r="B546" s="905" t="s">
        <v>4734</v>
      </c>
      <c r="D546" s="2465" t="s">
        <v>4003</v>
      </c>
      <c r="E546">
        <f>ROUND(paramEmp10Reg1ChanLevel,0)</f>
        <v>6</v>
      </c>
      <c r="F546">
        <f>ROUND(paramEmp10Reg1ChanLevel,0)</f>
        <v>6</v>
      </c>
      <c r="G546">
        <f>ROUND(paramEmp10Reg1ChanLevel,0)</f>
        <v>6</v>
      </c>
      <c r="H546">
        <f>ROUND(paramEmp10Reg1ChanLevel,0)</f>
        <v>6</v>
      </c>
      <c r="I546">
        <f>ROUND(paramEmp10Reg1ChanLevel,0)</f>
        <v>6</v>
      </c>
      <c r="J546" t="s">
        <v>2355</v>
      </c>
      <c r="K546" t="b">
        <f t="shared" si="32"/>
        <v>1</v>
      </c>
    </row>
    <row r="547" spans="1:11">
      <c r="A547" s="2"/>
      <c r="B547" t="s">
        <v>552</v>
      </c>
      <c r="D547" s="2465" t="s">
        <v>4003</v>
      </c>
      <c r="E547">
        <f>ROUND(paramEmp10Reg2ChanLevel,0)</f>
        <v>0</v>
      </c>
      <c r="F547">
        <f>ROUND(paramEmp10Reg2ChanLevel,0)</f>
        <v>0</v>
      </c>
      <c r="G547">
        <f>ROUND(paramEmp10Reg2ChanLevel,0)</f>
        <v>0</v>
      </c>
      <c r="H547">
        <f>ROUND(paramEmp10Reg2ChanLevel,0)</f>
        <v>0</v>
      </c>
      <c r="I547">
        <f>ROUND(paramEmp10Reg2ChanLevel,0)</f>
        <v>0</v>
      </c>
      <c r="J547" t="s">
        <v>2356</v>
      </c>
      <c r="K547" t="b">
        <f t="shared" si="32"/>
        <v>1</v>
      </c>
    </row>
    <row r="548" spans="1:11">
      <c r="A548" s="2"/>
      <c r="B548" t="s">
        <v>553</v>
      </c>
      <c r="D548" s="2465" t="s">
        <v>1108</v>
      </c>
      <c r="E548">
        <f>VLOOKUP(capInnov1,dataStdInnovsCost,5,0)</f>
        <v>0</v>
      </c>
      <c r="F548">
        <f>VLOOKUP(capInnov1,dataStdInnovsCost,5,0)</f>
        <v>0</v>
      </c>
      <c r="G548">
        <f>VLOOKUP(capInnov1,dataStdInnovsCost,5,0)</f>
        <v>0</v>
      </c>
      <c r="H548">
        <f>VLOOKUP(capInnov1,dataStdInnovsCost,5,0)</f>
        <v>0</v>
      </c>
      <c r="I548">
        <f>VLOOKUP(capInnov1,dataStdInnovsCost,5,0)</f>
        <v>0</v>
      </c>
      <c r="J548" t="s">
        <v>2357</v>
      </c>
      <c r="K548" t="b">
        <f t="shared" si="32"/>
        <v>1</v>
      </c>
    </row>
    <row r="549" spans="1:11">
      <c r="A549" s="2"/>
      <c r="B549" t="s">
        <v>554</v>
      </c>
      <c r="D549" s="2465" t="s">
        <v>1108</v>
      </c>
      <c r="E549">
        <f>VLOOKUP(capInnov2,dataStdInnovsCost,5,0)</f>
        <v>0</v>
      </c>
      <c r="F549">
        <f>VLOOKUP(capInnov2,dataStdInnovsCost,5,0)</f>
        <v>0</v>
      </c>
      <c r="G549">
        <f>VLOOKUP(capInnov2,dataStdInnovsCost,5,0)</f>
        <v>0</v>
      </c>
      <c r="H549">
        <f>VLOOKUP(capInnov2,dataStdInnovsCost,5,0)</f>
        <v>0</v>
      </c>
      <c r="I549">
        <f>VLOOKUP(capInnov2,dataStdInnovsCost,5,0)</f>
        <v>0</v>
      </c>
      <c r="J549" t="s">
        <v>3702</v>
      </c>
      <c r="K549" t="b">
        <f t="shared" si="32"/>
        <v>1</v>
      </c>
    </row>
    <row r="550" spans="1:11">
      <c r="A550" s="2"/>
      <c r="B550" t="s">
        <v>555</v>
      </c>
      <c r="D550" s="2465" t="s">
        <v>1108</v>
      </c>
      <c r="E550">
        <f>VLOOKUP(capInnov3,dataStdInnovsCost,5,0)</f>
        <v>0</v>
      </c>
      <c r="F550">
        <f>VLOOKUP(capInnov3,dataStdInnovsCost,5,0)</f>
        <v>0</v>
      </c>
      <c r="G550">
        <f>VLOOKUP(capInnov3,dataStdInnovsCost,5,0)</f>
        <v>0</v>
      </c>
      <c r="H550">
        <f>VLOOKUP(capInnov3,dataStdInnovsCost,5,0)</f>
        <v>0</v>
      </c>
      <c r="I550">
        <f>VLOOKUP(capInnov3,dataStdInnovsCost,5,0)</f>
        <v>0</v>
      </c>
      <c r="J550" t="s">
        <v>1550</v>
      </c>
      <c r="K550" t="b">
        <f t="shared" si="32"/>
        <v>1</v>
      </c>
    </row>
    <row r="551" spans="1:11">
      <c r="A551" s="2"/>
      <c r="B551" t="s">
        <v>556</v>
      </c>
      <c r="D551" s="2465" t="s">
        <v>1108</v>
      </c>
      <c r="E551">
        <f>VLOOKUP(capInnov4,dataStdInnovsCost,5,0)</f>
        <v>0</v>
      </c>
      <c r="F551">
        <f>VLOOKUP(capInnov4,dataStdInnovsCost,5,0)</f>
        <v>0</v>
      </c>
      <c r="G551">
        <f>VLOOKUP(capInnov4,dataStdInnovsCost,5,0)</f>
        <v>0</v>
      </c>
      <c r="H551">
        <f>VLOOKUP(capInnov4,dataStdInnovsCost,5,0)</f>
        <v>0</v>
      </c>
      <c r="I551">
        <f>VLOOKUP(capInnov4,dataStdInnovsCost,5,0)</f>
        <v>0</v>
      </c>
      <c r="J551" t="s">
        <v>1551</v>
      </c>
      <c r="K551" t="b">
        <f t="shared" si="32"/>
        <v>1</v>
      </c>
    </row>
    <row r="552" spans="1:11">
      <c r="A552" s="2"/>
      <c r="B552" t="s">
        <v>557</v>
      </c>
      <c r="D552" s="2465" t="s">
        <v>4004</v>
      </c>
      <c r="E552" s="438">
        <f>ROUND(ABS(capPlant1UnitsChange)*0.02*1.05^(ABS(capPlant1UnitsChange)*0.01),0)</f>
        <v>0</v>
      </c>
      <c r="F552" s="438">
        <f>ROUND(ABS(capPlant1UnitsChange)*0.02*1.05^(ABS(capPlant1UnitsChange)*0.01),0)</f>
        <v>0</v>
      </c>
      <c r="G552" s="438">
        <f>ROUND(ABS(capPlant1UnitsChange)*0.02*1.05^(ABS(capPlant1UnitsChange)*0.01),0)</f>
        <v>0</v>
      </c>
      <c r="H552" s="438">
        <f>ROUND(ABS(capPlant1UnitsChange)*0.02*1.05^(ABS(capPlant1UnitsChange)*0.01),0)</f>
        <v>0</v>
      </c>
      <c r="I552" s="438">
        <f>ROUND(ABS(capPlant1UnitsChange)*0.02*1.05^(ABS(capPlant1UnitsChange)*0.01),0)</f>
        <v>0</v>
      </c>
      <c r="J552" t="s">
        <v>1552</v>
      </c>
      <c r="K552" t="b">
        <f t="shared" si="32"/>
        <v>1</v>
      </c>
    </row>
    <row r="553" spans="1:11">
      <c r="A553" s="2"/>
      <c r="B553" t="s">
        <v>709</v>
      </c>
      <c r="D553" s="2465" t="s">
        <v>4004</v>
      </c>
      <c r="E553" s="438">
        <f>ROUND(decPlant1Flex*1.1^(decPlant1Flex),0)</f>
        <v>4</v>
      </c>
      <c r="F553" s="438">
        <f>ROUND(decPlant1Flex*1.1^(decPlant1Flex),0)</f>
        <v>4</v>
      </c>
      <c r="G553" s="438">
        <f>ROUND(decPlant1Flex*1.1^(decPlant1Flex),0)</f>
        <v>4</v>
      </c>
      <c r="H553" s="438">
        <f>ROUND(decPlant1Flex*1.1^(decPlant1Flex),0)</f>
        <v>4</v>
      </c>
      <c r="I553" s="438">
        <f>ROUND(decPlant1Flex*1.1^(decPlant1Flex),0)</f>
        <v>4</v>
      </c>
      <c r="J553" t="s">
        <v>1553</v>
      </c>
      <c r="K553" t="b">
        <f t="shared" si="32"/>
        <v>1</v>
      </c>
    </row>
    <row r="554" spans="1:11">
      <c r="A554" s="2"/>
      <c r="B554" t="s">
        <v>1541</v>
      </c>
      <c r="D554" s="2465" t="s">
        <v>4736</v>
      </c>
      <c r="E554">
        <f>ROUND(decRecruitLevel*2*(1.1^(decRecruitLevel-1)),0)</f>
        <v>7</v>
      </c>
      <c r="F554">
        <f>ROUND(decRecruitLevel*2*(1.1^(decRecruitLevel-1)),0)</f>
        <v>7</v>
      </c>
      <c r="G554">
        <f>ROUND(decRecruitLevel*2*(1.1^(decRecruitLevel-1)),0)</f>
        <v>7</v>
      </c>
      <c r="H554">
        <f>ROUND(decRecruitLevel*2*(1.1^(decRecruitLevel-1)),0)</f>
        <v>7</v>
      </c>
      <c r="I554">
        <f>ROUND(decRecruitLevel*2*(1.1^(decRecruitLevel-1)),0)</f>
        <v>7</v>
      </c>
      <c r="J554" t="s">
        <v>2354</v>
      </c>
      <c r="K554" t="b">
        <f t="shared" si="32"/>
        <v>1</v>
      </c>
    </row>
    <row r="555" spans="1:11">
      <c r="A555" s="2"/>
      <c r="B555" t="s">
        <v>3336</v>
      </c>
      <c r="D555" s="2465" t="s">
        <v>4736</v>
      </c>
      <c r="E555">
        <f>ROUND(decEmpDevLevel*2*(1.1^(decEmpDevLevel-1)),0)</f>
        <v>7</v>
      </c>
      <c r="F555">
        <f>ROUND(decEmpDevLevel*2*(1.1^(decEmpDevLevel-1)),0)</f>
        <v>7</v>
      </c>
      <c r="G555">
        <f>ROUND(decEmpDevLevel*2*(1.1^(decEmpDevLevel-1)),0)</f>
        <v>7</v>
      </c>
      <c r="H555">
        <f>ROUND(decEmpDevLevel*2*(1.1^(decEmpDevLevel-1)),0)</f>
        <v>7</v>
      </c>
      <c r="I555">
        <f>ROUND(decEmpDevLevel*2*(1.1^(decEmpDevLevel-1)),0)</f>
        <v>7</v>
      </c>
      <c r="J555" t="s">
        <v>2353</v>
      </c>
      <c r="K555" t="b">
        <f t="shared" si="32"/>
        <v>1</v>
      </c>
    </row>
    <row r="556" spans="1:11">
      <c r="A556" s="2"/>
      <c r="B556" t="s">
        <v>710</v>
      </c>
      <c r="D556" s="2465" t="s">
        <v>4004</v>
      </c>
      <c r="E556">
        <f>ROUND(2*decITcapAdd*1.1^decITcapAdd,0)</f>
        <v>2</v>
      </c>
      <c r="F556">
        <f>ROUND(2*decITcapAdd*1.1^decITcapAdd,0)</f>
        <v>2</v>
      </c>
      <c r="G556">
        <f>ROUND(2*decITcapAdd*1.1^decITcapAdd,0)</f>
        <v>2</v>
      </c>
      <c r="H556">
        <f>ROUND(2*decITcapAdd*1.1^decITcapAdd,0)</f>
        <v>2</v>
      </c>
      <c r="I556">
        <f>ROUND(2*decITcapAdd*1.1^decITcapAdd,0)</f>
        <v>2</v>
      </c>
      <c r="J556" t="s">
        <v>1554</v>
      </c>
      <c r="K556" t="b">
        <f t="shared" si="32"/>
        <v>1</v>
      </c>
    </row>
    <row r="557" spans="1:11">
      <c r="A557" s="2"/>
      <c r="B557" t="s">
        <v>1945</v>
      </c>
      <c r="E557">
        <f>paramEmp10Inits</f>
        <v>0</v>
      </c>
      <c r="F557">
        <f>paramEmp10Inits</f>
        <v>0</v>
      </c>
      <c r="G557">
        <f>paramEmp10Inits</f>
        <v>0</v>
      </c>
      <c r="H557">
        <f>paramEmp10Inits</f>
        <v>0</v>
      </c>
      <c r="I557">
        <f>paramEmp10Inits</f>
        <v>0</v>
      </c>
      <c r="J557" t="s">
        <v>1555</v>
      </c>
      <c r="K557" t="b">
        <f t="shared" si="32"/>
        <v>1</v>
      </c>
    </row>
    <row r="558" spans="1:11">
      <c r="A558" s="2"/>
      <c r="B558" t="s">
        <v>3359</v>
      </c>
      <c r="E558">
        <f>SUM(E548:E551)</f>
        <v>0</v>
      </c>
      <c r="F558">
        <f>SUM(F548:F551)</f>
        <v>0</v>
      </c>
      <c r="G558">
        <f>SUM(G548:G551)</f>
        <v>0</v>
      </c>
      <c r="H558">
        <f>SUM(H548:H551)</f>
        <v>0</v>
      </c>
      <c r="I558">
        <f>SUM(I548:I551)</f>
        <v>0</v>
      </c>
      <c r="J558" t="s">
        <v>3360</v>
      </c>
      <c r="K558" t="b">
        <f>MAX(E558:I558)=MIN(E558:I558)</f>
        <v>1</v>
      </c>
    </row>
    <row r="559" spans="1:11">
      <c r="A559" s="2"/>
      <c r="K559" t="b">
        <f t="shared" si="32"/>
        <v>1</v>
      </c>
    </row>
    <row r="560" spans="1:11">
      <c r="A560" s="2"/>
      <c r="B560" s="2" t="str">
        <f>DataNameEmp10&amp;" Required"</f>
        <v>MTU Required</v>
      </c>
      <c r="C560" s="2"/>
      <c r="D560" s="2"/>
      <c r="E560" s="2">
        <f>SUM(E546:E557)</f>
        <v>26</v>
      </c>
      <c r="F560" s="2">
        <f>SUM(F546:F557)</f>
        <v>26</v>
      </c>
      <c r="G560" s="2">
        <f>SUM(G546:G557)</f>
        <v>26</v>
      </c>
      <c r="H560" s="2">
        <f>SUM(H546:H557)</f>
        <v>26</v>
      </c>
      <c r="I560" s="2">
        <f>SUM(I546:I557)</f>
        <v>26</v>
      </c>
      <c r="J560" t="s">
        <v>2050</v>
      </c>
      <c r="K560" t="b">
        <f t="shared" si="32"/>
        <v>1</v>
      </c>
    </row>
    <row r="561" spans="1:12">
      <c r="A561" s="2"/>
      <c r="K561" t="b">
        <f t="shared" si="32"/>
        <v>1</v>
      </c>
    </row>
    <row r="562" spans="1:12">
      <c r="A562" s="2"/>
      <c r="B562" t="str">
        <f>"Actual "&amp;DataNameEmp10&amp;"s Beginning"</f>
        <v>Actual MTUs Beginning</v>
      </c>
      <c r="E562" s="13">
        <f>obalEmp10</f>
        <v>106.94936306113837</v>
      </c>
      <c r="F562" s="13">
        <f>obalEmp10</f>
        <v>106.94936306113837</v>
      </c>
      <c r="G562" s="13">
        <f>obalEmp10</f>
        <v>106.94936306113837</v>
      </c>
      <c r="H562" s="13">
        <f>obalEmp10</f>
        <v>106.94936306113837</v>
      </c>
      <c r="I562" s="13">
        <f>obalEmp10</f>
        <v>106.94936306113837</v>
      </c>
      <c r="J562" t="s">
        <v>2230</v>
      </c>
      <c r="K562" t="b">
        <f t="shared" si="32"/>
        <v>1</v>
      </c>
    </row>
    <row r="563" spans="1:12">
      <c r="B563" t="str">
        <f>DataNameEmp10 &amp; " Recruited"</f>
        <v>MTU Recruited</v>
      </c>
      <c r="E563" s="11">
        <f>capEmp10Att</f>
        <v>15.448241331053321</v>
      </c>
      <c r="F563" s="11">
        <f>capEmp10Att</f>
        <v>15.448241331053321</v>
      </c>
      <c r="G563" s="11">
        <f>capEmp10Att</f>
        <v>15.448241331053321</v>
      </c>
      <c r="H563" s="11">
        <f>capEmp10Att</f>
        <v>15.448241331053321</v>
      </c>
      <c r="I563" s="11">
        <f>capEmp10Att</f>
        <v>15.448241331053321</v>
      </c>
      <c r="J563" t="s">
        <v>1914</v>
      </c>
      <c r="K563" t="b">
        <f t="shared" si="32"/>
        <v>1</v>
      </c>
    </row>
    <row r="564" spans="1:12">
      <c r="B564" t="str">
        <f>DataNameEmp10&amp;" Dismissed"</f>
        <v>MTU Dismissed</v>
      </c>
      <c r="E564" s="11">
        <v>0</v>
      </c>
      <c r="F564" s="11">
        <v>0</v>
      </c>
      <c r="G564" s="11">
        <v>0</v>
      </c>
      <c r="H564" s="11">
        <v>0</v>
      </c>
      <c r="I564" s="11">
        <v>0</v>
      </c>
      <c r="K564" t="b">
        <f t="shared" si="32"/>
        <v>1</v>
      </c>
    </row>
    <row r="565" spans="1:12">
      <c r="B565" t="str">
        <f>DataNameEmp10&amp;" Attrition"</f>
        <v>MTU Attrition</v>
      </c>
      <c r="E565" s="11">
        <f>obalEmp10*paramEmp10AttRate</f>
        <v>15.448241331053321</v>
      </c>
      <c r="F565" s="11">
        <f>obalEmp10*paramEmp10AttRate</f>
        <v>15.448241331053321</v>
      </c>
      <c r="G565" s="11">
        <f>obalEmp10*paramEmp10AttRate</f>
        <v>15.448241331053321</v>
      </c>
      <c r="H565" s="11">
        <f>obalEmp10*paramEmp10AttRate</f>
        <v>15.448241331053321</v>
      </c>
      <c r="I565" s="11">
        <f>obalEmp10*paramEmp10AttRate</f>
        <v>15.448241331053321</v>
      </c>
      <c r="J565" t="s">
        <v>1120</v>
      </c>
      <c r="K565" t="b">
        <f t="shared" si="32"/>
        <v>1</v>
      </c>
    </row>
    <row r="566" spans="1:12">
      <c r="B566" t="str">
        <f>DataNameEmp10&amp;" Effectiveness"</f>
        <v>MTU Effectiveness</v>
      </c>
      <c r="E566" s="15">
        <f>paramEmp10Coeff</f>
        <v>1.0812263214938251</v>
      </c>
      <c r="F566" s="15">
        <f>paramEmp10Coeff</f>
        <v>1.0812263214938251</v>
      </c>
      <c r="G566" s="15">
        <f>paramEmp10Coeff</f>
        <v>1.0812263214938251</v>
      </c>
      <c r="H566" s="15">
        <f>paramEmp10Coeff</f>
        <v>1.0812263214938251</v>
      </c>
      <c r="I566" s="15">
        <f>paramEmp10Coeff</f>
        <v>1.0812263214938251</v>
      </c>
      <c r="K566" t="b">
        <f t="shared" si="32"/>
        <v>1</v>
      </c>
    </row>
    <row r="567" spans="1:12">
      <c r="B567" s="2" t="str">
        <f>"Effective "&amp;DataNameEmp10 &amp; "s Ending"</f>
        <v>Effective MTUs Ending</v>
      </c>
      <c r="C567" s="2"/>
      <c r="D567" s="2"/>
      <c r="E567" s="13">
        <f>paramEmp10Coeff*(obalEmp10-capEmp10Att)+capEmp10Recruit</f>
        <v>114.38166259183188</v>
      </c>
      <c r="F567" s="13">
        <f>paramEmp10Coeff*(obalEmp10-capEmp10Att)+capEmp10Recruit</f>
        <v>114.38166259183188</v>
      </c>
      <c r="G567" s="13">
        <f>paramEmp10Coeff*(obalEmp10-capEmp10Att)+capEmp10Recruit</f>
        <v>114.38166259183188</v>
      </c>
      <c r="H567" s="13">
        <f>paramEmp10Coeff*(obalEmp10-capEmp10Att)+capEmp10Recruit</f>
        <v>114.38166259183188</v>
      </c>
      <c r="I567" s="13">
        <f>paramEmp10Coeff*(obalEmp10-capEmp10Att)+capEmp10Recruit</f>
        <v>114.38166259183188</v>
      </c>
      <c r="J567" t="s">
        <v>1121</v>
      </c>
      <c r="K567" t="b">
        <f t="shared" si="32"/>
        <v>1</v>
      </c>
    </row>
    <row r="568" spans="1:12">
      <c r="B568" s="2" t="s">
        <v>4788</v>
      </c>
      <c r="C568" s="2"/>
      <c r="D568" s="2"/>
      <c r="E568" s="13">
        <f>E562-E560</f>
        <v>80.949363061138371</v>
      </c>
      <c r="F568" s="13">
        <f t="shared" ref="F568:I568" si="33">F562-F560</f>
        <v>80.949363061138371</v>
      </c>
      <c r="G568" s="13">
        <f t="shared" si="33"/>
        <v>80.949363061138371</v>
      </c>
      <c r="H568" s="13">
        <f t="shared" si="33"/>
        <v>80.949363061138371</v>
      </c>
      <c r="I568" s="13">
        <f t="shared" si="33"/>
        <v>80.949363061138371</v>
      </c>
      <c r="K568" t="b">
        <f t="shared" ref="K568:K573" si="34">MAX(E568:I568)=MIN(E568:I568)</f>
        <v>1</v>
      </c>
    </row>
    <row r="569" spans="1:12">
      <c r="B569" t="str">
        <f>DataNameEmp10&amp;" Utilization"</f>
        <v>MTU Utilization</v>
      </c>
      <c r="E569" s="15">
        <f>capEmp10req/capEmp10End</f>
        <v>0.22730916311979441</v>
      </c>
      <c r="F569" s="15">
        <f>capEmp10req/capEmp10End</f>
        <v>0.22730916311979441</v>
      </c>
      <c r="G569" s="15">
        <f>capEmp10req/capEmp10End</f>
        <v>0.22730916311979441</v>
      </c>
      <c r="H569" s="15">
        <f>capEmp10req/capEmp10End</f>
        <v>0.22730916311979441</v>
      </c>
      <c r="I569" s="15">
        <f>capEmp10req/capEmp10End</f>
        <v>0.22730916311979441</v>
      </c>
      <c r="J569" t="s">
        <v>1122</v>
      </c>
      <c r="K569" t="b">
        <f t="shared" si="34"/>
        <v>1</v>
      </c>
      <c r="L569" s="12"/>
    </row>
    <row r="570" spans="1:12">
      <c r="B570" t="str">
        <f>DataNameEmp10&amp;" Base Expense"</f>
        <v>MTU Base Expense</v>
      </c>
      <c r="E570" s="11">
        <f>capEmp10req*paramEmp10Exp</f>
        <v>1560000</v>
      </c>
      <c r="F570" s="11">
        <f>capEmp10req*paramEmp10Exp</f>
        <v>1560000</v>
      </c>
      <c r="G570" s="11">
        <f>capEmp10req*paramEmp10Exp</f>
        <v>1560000</v>
      </c>
      <c r="H570" s="11">
        <f>capEmp10req*paramEmp10Exp</f>
        <v>1560000</v>
      </c>
      <c r="I570" s="11">
        <f>capEmp10req*paramEmp10Exp</f>
        <v>1560000</v>
      </c>
      <c r="J570" t="s">
        <v>3552</v>
      </c>
      <c r="K570" t="b">
        <f t="shared" si="34"/>
        <v>1</v>
      </c>
      <c r="L570" s="12"/>
    </row>
    <row r="571" spans="1:12">
      <c r="B571" t="str">
        <f>DataNameEmp10&amp;" Overtime Expense"</f>
        <v>MTU Overtime Expense</v>
      </c>
      <c r="E571" s="11">
        <v>0</v>
      </c>
      <c r="F571" s="11">
        <v>0</v>
      </c>
      <c r="G571" s="11">
        <v>0</v>
      </c>
      <c r="H571" s="11">
        <v>0</v>
      </c>
      <c r="I571" s="11">
        <v>0</v>
      </c>
      <c r="J571" t="s">
        <v>1123</v>
      </c>
      <c r="K571" t="b">
        <f t="shared" si="34"/>
        <v>1</v>
      </c>
    </row>
    <row r="572" spans="1:12">
      <c r="B572" s="2" t="str">
        <f>DataNameEmp10 &amp; " Total Expense"</f>
        <v>MTU Total Expense</v>
      </c>
      <c r="C572" s="2"/>
      <c r="D572" s="2"/>
      <c r="E572" s="13">
        <f>capEmp10Expense</f>
        <v>1560000</v>
      </c>
      <c r="F572" s="13">
        <f>capEmp10Expense</f>
        <v>1560000</v>
      </c>
      <c r="G572" s="13">
        <f>capEmp10Expense</f>
        <v>1560000</v>
      </c>
      <c r="H572" s="13">
        <f>capEmp10Expense</f>
        <v>1560000</v>
      </c>
      <c r="I572" s="13">
        <f>capEmp10Expense</f>
        <v>1560000</v>
      </c>
      <c r="J572" t="s">
        <v>799</v>
      </c>
      <c r="K572" t="b">
        <f t="shared" si="34"/>
        <v>1</v>
      </c>
    </row>
    <row r="573" spans="1:12">
      <c r="B573" t="str">
        <f>DataNameEmp10&amp;" Excess Capacity Cost"</f>
        <v>MTU Excess Capacity Cost</v>
      </c>
      <c r="E573" s="11">
        <v>0</v>
      </c>
      <c r="F573" s="11">
        <v>0</v>
      </c>
      <c r="G573" s="11">
        <v>0</v>
      </c>
      <c r="H573" s="11">
        <v>0</v>
      </c>
      <c r="I573" s="11">
        <v>0</v>
      </c>
      <c r="J573" t="s">
        <v>3424</v>
      </c>
      <c r="K573" t="b">
        <f t="shared" si="34"/>
        <v>1</v>
      </c>
    </row>
    <row r="574" spans="1:12">
      <c r="B574" s="2"/>
      <c r="C574" s="2"/>
      <c r="D574" s="2"/>
      <c r="E574" s="13"/>
      <c r="F574" s="13"/>
      <c r="G574" s="13"/>
      <c r="H574" s="13"/>
      <c r="I574" s="13"/>
      <c r="K574" t="b">
        <f t="shared" ref="K574:K638" si="35">MAX(E574:I574)=MIN(E574:I574)</f>
        <v>1</v>
      </c>
    </row>
    <row r="575" spans="1:12">
      <c r="B575" t="str">
        <f>DataNameEmp10&amp;" Recruitment/Dismissal Costs"</f>
        <v>MTU Recruitment/Dismissal Costs</v>
      </c>
      <c r="E575" s="141">
        <f>capEmp10Recruit*paramEmp10Exp*paramEmp10RecDismCost</f>
        <v>463447.23993159964</v>
      </c>
      <c r="F575" s="141">
        <f>capEmp10Recruit*paramEmp10Exp*paramEmp10RecDismCost</f>
        <v>463447.23993159964</v>
      </c>
      <c r="G575" s="141">
        <f>capEmp10Recruit*paramEmp10Exp*paramEmp10RecDismCost</f>
        <v>463447.23993159964</v>
      </c>
      <c r="H575" s="141">
        <f>capEmp10Recruit*paramEmp10Exp*paramEmp10RecDismCost</f>
        <v>463447.23993159964</v>
      </c>
      <c r="I575" s="141">
        <f>capEmp10Recruit*paramEmp10Exp*paramEmp10RecDismCost</f>
        <v>463447.23993159964</v>
      </c>
      <c r="J575" t="s">
        <v>3425</v>
      </c>
      <c r="K575" t="b">
        <f t="shared" si="35"/>
        <v>1</v>
      </c>
    </row>
    <row r="576" spans="1:12">
      <c r="B576" t="str">
        <f>DataNameEmp10&amp;" Admin Cost"</f>
        <v>MTU Admin Cost</v>
      </c>
      <c r="E576" s="260">
        <f>obalEmp10*paramEmp10Exp*paramEmp10AdminCostPct</f>
        <v>1283392.3567336604</v>
      </c>
      <c r="F576" s="260">
        <f>obalEmp10*paramEmp10Exp*paramEmp10AdminCostPct</f>
        <v>1283392.3567336604</v>
      </c>
      <c r="G576" s="260">
        <f>obalEmp10*paramEmp10Exp*paramEmp10AdminCostPct</f>
        <v>1283392.3567336604</v>
      </c>
      <c r="H576" s="260">
        <f>obalEmp10*paramEmp10Exp*paramEmp10AdminCostPct</f>
        <v>1283392.3567336604</v>
      </c>
      <c r="I576" s="260">
        <f>obalEmp10*paramEmp10Exp*paramEmp10AdminCostPct</f>
        <v>1283392.3567336604</v>
      </c>
      <c r="J576" t="s">
        <v>3426</v>
      </c>
      <c r="K576" t="b">
        <f t="shared" si="35"/>
        <v>1</v>
      </c>
    </row>
    <row r="577" spans="2:11">
      <c r="E577" s="260"/>
      <c r="F577" s="260"/>
      <c r="G577" s="260"/>
      <c r="H577" s="260"/>
      <c r="I577" s="260"/>
      <c r="K577" t="b">
        <f t="shared" si="35"/>
        <v>1</v>
      </c>
    </row>
    <row r="578" spans="2:11">
      <c r="K578" t="b">
        <f t="shared" si="35"/>
        <v>1</v>
      </c>
    </row>
    <row r="579" spans="2:11">
      <c r="B579" s="2" t="str">
        <f>DataNameEmp10 &amp; " % Product Allocation"</f>
        <v>MTU % Product Allocation</v>
      </c>
      <c r="K579" t="b">
        <f t="shared" si="35"/>
        <v>1</v>
      </c>
    </row>
    <row r="580" spans="2:11">
      <c r="B580" t="str">
        <f>" "&amp;DataNameEmp10&amp;" Allocation"</f>
        <v xml:space="preserve"> MTU Allocation</v>
      </c>
      <c r="E580" s="12"/>
      <c r="F580" s="12"/>
      <c r="G580" s="12"/>
      <c r="H580" s="12"/>
      <c r="I580" s="12"/>
      <c r="J580" t="s">
        <v>1965</v>
      </c>
      <c r="K580" t="b">
        <f t="shared" si="35"/>
        <v>1</v>
      </c>
    </row>
    <row r="581" spans="2:11">
      <c r="B581" s="119"/>
      <c r="C581" s="119"/>
      <c r="D581" s="119"/>
      <c r="E581" s="347"/>
      <c r="F581" s="347"/>
      <c r="G581" s="347"/>
      <c r="H581" s="347"/>
      <c r="I581" s="347"/>
      <c r="K581" t="b">
        <f t="shared" si="35"/>
        <v>1</v>
      </c>
    </row>
    <row r="582" spans="2:11">
      <c r="K582" t="b">
        <f t="shared" si="35"/>
        <v>1</v>
      </c>
    </row>
    <row r="583" spans="2:11">
      <c r="B583" s="2" t="str">
        <f>DataNameEmp10 &amp; " Expense Allocation"</f>
        <v>MTU Expense Allocation</v>
      </c>
      <c r="K583" t="b">
        <f t="shared" si="35"/>
        <v>1</v>
      </c>
    </row>
    <row r="584" spans="2:11">
      <c r="B584" t="str">
        <f>" "&amp;DataNameEmp10&amp;" Salary Expense"</f>
        <v xml:space="preserve"> MTU Salary Expense</v>
      </c>
      <c r="E584" s="14"/>
      <c r="F584" s="14"/>
      <c r="G584" s="14"/>
      <c r="H584" s="14"/>
      <c r="I584" s="14"/>
      <c r="J584" t="s">
        <v>3940</v>
      </c>
      <c r="K584" t="b">
        <f t="shared" si="35"/>
        <v>1</v>
      </c>
    </row>
    <row r="585" spans="2:11">
      <c r="B585" s="119"/>
      <c r="C585" s="119"/>
      <c r="D585" s="119"/>
      <c r="E585" s="346"/>
      <c r="F585" s="346"/>
      <c r="G585" s="346"/>
      <c r="H585" s="346"/>
      <c r="I585" s="346"/>
      <c r="K585" t="b">
        <f t="shared" si="35"/>
        <v>1</v>
      </c>
    </row>
    <row r="586" spans="2:11">
      <c r="K586" t="b">
        <f t="shared" si="35"/>
        <v>1</v>
      </c>
    </row>
    <row r="587" spans="2:11">
      <c r="B587" t="str">
        <f xml:space="preserve"> " " &amp; DataNameEmp10 &amp; " Recruit/Dismissal Expense"</f>
        <v xml:space="preserve"> MTU Recruit/Dismissal Expense</v>
      </c>
      <c r="J587" t="s">
        <v>3941</v>
      </c>
      <c r="K587" t="b">
        <f t="shared" si="35"/>
        <v>1</v>
      </c>
    </row>
    <row r="588" spans="2:11">
      <c r="B588" s="119"/>
      <c r="C588" s="119"/>
      <c r="D588" s="119"/>
      <c r="E588" s="119"/>
      <c r="F588" s="119"/>
      <c r="G588" s="119"/>
      <c r="H588" s="119"/>
      <c r="I588" s="119"/>
      <c r="K588" t="b">
        <f t="shared" si="35"/>
        <v>1</v>
      </c>
    </row>
    <row r="589" spans="2:11">
      <c r="B589" s="2"/>
      <c r="K589" t="b">
        <f t="shared" si="35"/>
        <v>1</v>
      </c>
    </row>
    <row r="590" spans="2:11">
      <c r="B590" t="str">
        <f>" "&amp;DataNameEmp10&amp;" Admin Expense"</f>
        <v xml:space="preserve"> MTU Admin Expense</v>
      </c>
      <c r="E590" s="14"/>
      <c r="F590" s="14"/>
      <c r="G590" s="14"/>
      <c r="H590" s="14"/>
      <c r="I590" s="14"/>
      <c r="J590" t="s">
        <v>3942</v>
      </c>
      <c r="K590" t="b">
        <f t="shared" si="35"/>
        <v>1</v>
      </c>
    </row>
    <row r="591" spans="2:11">
      <c r="B591" s="119"/>
      <c r="C591" s="119"/>
      <c r="D591" s="119"/>
      <c r="E591" s="119"/>
      <c r="F591" s="119"/>
      <c r="G591" s="119"/>
      <c r="H591" s="119"/>
      <c r="I591" s="119"/>
      <c r="K591" t="b">
        <f t="shared" si="35"/>
        <v>1</v>
      </c>
    </row>
    <row r="592" spans="2:11">
      <c r="K592" t="b">
        <f t="shared" si="35"/>
        <v>1</v>
      </c>
    </row>
    <row r="593" spans="1:11" ht="15.75">
      <c r="A593" s="24" t="s">
        <v>3640</v>
      </c>
      <c r="B593" s="25"/>
      <c r="C593" s="25"/>
      <c r="D593" s="25"/>
      <c r="E593" s="25"/>
      <c r="F593" s="25"/>
      <c r="G593" s="25"/>
      <c r="H593" s="25"/>
      <c r="I593" s="25"/>
      <c r="K593" t="b">
        <f t="shared" si="35"/>
        <v>1</v>
      </c>
    </row>
    <row r="594" spans="1:11">
      <c r="K594" t="b">
        <f t="shared" si="35"/>
        <v>1</v>
      </c>
    </row>
    <row r="595" spans="1:11">
      <c r="A595" s="354" t="s">
        <v>3115</v>
      </c>
      <c r="B595" s="354"/>
      <c r="C595" s="354"/>
      <c r="D595" s="354"/>
      <c r="E595" s="354"/>
      <c r="F595" s="354"/>
      <c r="G595" s="354"/>
      <c r="H595" s="354"/>
      <c r="I595" s="354"/>
      <c r="K595" t="b">
        <f t="shared" si="35"/>
        <v>1</v>
      </c>
    </row>
    <row r="596" spans="1:11">
      <c r="B596" t="str">
        <f>DataNameProd1 &amp; " COGS Per Unit"</f>
        <v>CSD COGS Per Unit</v>
      </c>
      <c r="D596" s="18"/>
      <c r="E596" s="18">
        <f ca="1">capProd1COGSPUnitMat+capProd1COGSPUnitPlant1+capReg1Prod1CostPUnitEmp3</f>
        <v>3.8366327556902924</v>
      </c>
      <c r="F596" s="18">
        <f ca="1">capProd1COGSPUnitMat+capProd1COGSPUnitPlant1+capReg1Prod1CostPUnitEmp3</f>
        <v>3.8366327556902924</v>
      </c>
      <c r="G596" s="18">
        <f ca="1">capProd1COGSPUnitMat+capProd1COGSPUnitPlant1+capReg1Prod1CostPUnitEmp3</f>
        <v>3.8366327556902924</v>
      </c>
      <c r="H596" s="18">
        <f ca="1">capProd1COGSPUnitMat+capProd1COGSPUnitPlant1+capReg1Prod1CostPUnitEmp3</f>
        <v>3.8366327556902924</v>
      </c>
      <c r="I596" s="18">
        <f ca="1">capProd1COGSPUnitMat+capProd1COGSPUnitPlant1+capReg1Prod1CostPUnitEmp3</f>
        <v>3.8366327556902924</v>
      </c>
      <c r="J596" t="s">
        <v>3117</v>
      </c>
      <c r="K596" t="b">
        <f t="shared" ref="K596:K606" ca="1" si="36">MAX(E596:I596)=MIN(E596:I596)</f>
        <v>1</v>
      </c>
    </row>
    <row r="597" spans="1:11">
      <c r="B597" s="853" t="str">
        <f>DataNameProd1 &amp; " COGS Per Unit with Depreciation"</f>
        <v>CSD COGS Per Unit with Depreciation</v>
      </c>
      <c r="E597" s="18">
        <f ca="1">capProd1COGSPUnitMat+capProd1COGSPUnitPlant1+capProd1COGSPUnitDep+capReg1Prod1CostPUnitEmp3</f>
        <v>4.0593007096489027</v>
      </c>
      <c r="F597" s="18">
        <f ca="1">capProd1COGSPUnitMat+capProd1COGSPUnitPlant1+capProd1COGSPUnitDep+capReg1Prod1CostPUnitEmp3</f>
        <v>4.0593007096489027</v>
      </c>
      <c r="G597" s="18">
        <f ca="1">capProd1COGSPUnitMat+capProd1COGSPUnitPlant1+capProd1COGSPUnitDep+capReg1Prod1CostPUnitEmp3</f>
        <v>4.0593007096489027</v>
      </c>
      <c r="H597" s="18">
        <f ca="1">capProd1COGSPUnitMat+capProd1COGSPUnitPlant1+capProd1COGSPUnitDep+capReg1Prod1CostPUnitEmp3</f>
        <v>4.0593007096489027</v>
      </c>
      <c r="I597" s="18">
        <f ca="1">capProd1COGSPUnitMat+capProd1COGSPUnitPlant1+capProd1COGSPUnitDep+capReg1Prod1CostPUnitEmp3</f>
        <v>4.0593007096489027</v>
      </c>
      <c r="J597" t="s">
        <v>3118</v>
      </c>
      <c r="K597" t="b">
        <f t="shared" ca="1" si="36"/>
        <v>1</v>
      </c>
    </row>
    <row r="598" spans="1:11">
      <c r="B598" t="str">
        <f>DataNameProd2 &amp; " 1 COGS Per Unit"</f>
        <v>Breakthrough 1 COGS Per Unit</v>
      </c>
      <c r="D598" s="18"/>
      <c r="E598" s="18">
        <f>capProd21COGSPUnitMat+capProd21COGSPUnitPlant1+capReg1Prod21CostPUnitEmp3</f>
        <v>0</v>
      </c>
      <c r="F598" s="18">
        <f>capProd21COGSPUnitMat+capProd21COGSPUnitPlant1+capReg1Prod21CostPUnitEmp3</f>
        <v>0</v>
      </c>
      <c r="G598" s="18">
        <f>capProd21COGSPUnitMat+capProd21COGSPUnitPlant1+capReg1Prod21CostPUnitEmp3</f>
        <v>0</v>
      </c>
      <c r="H598" s="18">
        <f>capProd21COGSPUnitMat+capProd21COGSPUnitPlant1+capReg1Prod21CostPUnitEmp3</f>
        <v>0</v>
      </c>
      <c r="I598" s="18">
        <f>capProd21COGSPUnitMat+capProd21COGSPUnitPlant1+capReg1Prod21CostPUnitEmp3</f>
        <v>0</v>
      </c>
      <c r="J598" t="s">
        <v>2001</v>
      </c>
      <c r="K598" t="b">
        <f>MAX(E598:I598)=MIN(E598:I598)</f>
        <v>1</v>
      </c>
    </row>
    <row r="599" spans="1:11">
      <c r="B599" s="853" t="str">
        <f>DataNameProd2 &amp; " 1 COGS Per Unit with Depreciation"</f>
        <v>Breakthrough 1 COGS Per Unit with Depreciation</v>
      </c>
      <c r="E599" s="18">
        <f>capProd21COGSPUnitMat+capProd21COGSPUnitPlant1+capProd21COGSPUnitDep+capReg1Prod21CostPUnitEmp3</f>
        <v>0</v>
      </c>
      <c r="F599" s="18">
        <f>capProd21COGSPUnitMat+capProd21COGSPUnitPlant1+capProd21COGSPUnitDep+capReg1Prod21CostPUnitEmp3</f>
        <v>0</v>
      </c>
      <c r="G599" s="18">
        <f>capProd21COGSPUnitMat+capProd21COGSPUnitPlant1+capProd21COGSPUnitDep+capReg1Prod21CostPUnitEmp3</f>
        <v>0</v>
      </c>
      <c r="H599" s="18">
        <f>capProd21COGSPUnitMat+capProd21COGSPUnitPlant1+capProd21COGSPUnitDep+capReg1Prod21CostPUnitEmp3</f>
        <v>0</v>
      </c>
      <c r="I599" s="18">
        <f>capProd21COGSPUnitMat+capProd21COGSPUnitPlant1+capProd21COGSPUnitDep+capReg1Prod21CostPUnitEmp3</f>
        <v>0</v>
      </c>
      <c r="J599" t="s">
        <v>2002</v>
      </c>
      <c r="K599" t="b">
        <f>MAX(E599:I599)=MIN(E599:I599)</f>
        <v>1</v>
      </c>
    </row>
    <row r="600" spans="1:11">
      <c r="B600" t="str">
        <f>DataNameProd2 &amp; " 2 COGS Per Unit"</f>
        <v>Breakthrough 2 COGS Per Unit</v>
      </c>
      <c r="D600" s="18"/>
      <c r="E600" s="18">
        <f>capProd22COGSPUnitMat+capProd22COGSPUnitPlant1+capReg1Prod22CostPUnitEmp3</f>
        <v>0</v>
      </c>
      <c r="F600" s="18">
        <f>capProd22COGSPUnitMat+capProd22COGSPUnitPlant1+capReg1Prod22CostPUnitEmp3</f>
        <v>0</v>
      </c>
      <c r="G600" s="18">
        <f>capProd22COGSPUnitMat+capProd22COGSPUnitPlant1+capReg1Prod22CostPUnitEmp3</f>
        <v>0</v>
      </c>
      <c r="H600" s="18">
        <f>capProd22COGSPUnitMat+capProd22COGSPUnitPlant1+capReg1Prod22CostPUnitEmp3</f>
        <v>0</v>
      </c>
      <c r="I600" s="18">
        <f>capProd22COGSPUnitMat+capProd22COGSPUnitPlant1+capReg1Prod22CostPUnitEmp3</f>
        <v>0</v>
      </c>
      <c r="J600" t="s">
        <v>2003</v>
      </c>
      <c r="K600" t="b">
        <f t="shared" si="36"/>
        <v>1</v>
      </c>
    </row>
    <row r="601" spans="1:11">
      <c r="B601" s="853" t="str">
        <f>DataNameProd2 &amp; " 2 COGS Per Unit with Depreciation"</f>
        <v>Breakthrough 2 COGS Per Unit with Depreciation</v>
      </c>
      <c r="E601" s="18">
        <f>capProd22COGSPUnitMat+capProd22COGSPUnitPlant1+capProd22COGSPUnitDep+capReg1Prod22CostPUnitEmp3</f>
        <v>0</v>
      </c>
      <c r="F601" s="18">
        <f>capProd22COGSPUnitMat+capProd22COGSPUnitPlant1+capProd22COGSPUnitDep+capReg1Prod22CostPUnitEmp3</f>
        <v>0</v>
      </c>
      <c r="G601" s="18">
        <f>capProd22COGSPUnitMat+capProd22COGSPUnitPlant1+capProd22COGSPUnitDep+capReg1Prod22CostPUnitEmp3</f>
        <v>0</v>
      </c>
      <c r="H601" s="18">
        <f>capProd22COGSPUnitMat+capProd22COGSPUnitPlant1+capProd22COGSPUnitDep+capReg1Prod22CostPUnitEmp3</f>
        <v>0</v>
      </c>
      <c r="I601" s="18">
        <f>capProd22COGSPUnitMat+capProd22COGSPUnitPlant1+capProd22COGSPUnitDep+capReg1Prod22CostPUnitEmp3</f>
        <v>0</v>
      </c>
      <c r="J601" t="s">
        <v>2004</v>
      </c>
      <c r="K601" t="b">
        <f t="shared" si="36"/>
        <v>1</v>
      </c>
    </row>
    <row r="602" spans="1:11">
      <c r="B602" t="str">
        <f>DataNameProd3 &amp; " COGS Per Unit"</f>
        <v>NCB COGS Per Unit</v>
      </c>
      <c r="D602" s="18"/>
      <c r="E602" s="18">
        <f ca="1">capProd3COGSPUnitMat+capProd3COGSPUnitPlant1+capReg1Prod3CostPUnitEmp3</f>
        <v>5.7046830733160157</v>
      </c>
      <c r="F602" s="18">
        <f ca="1">capProd3COGSPUnitMat+capProd3COGSPUnitPlant1+capReg1Prod3CostPUnitEmp3</f>
        <v>5.7046830733160157</v>
      </c>
      <c r="G602" s="18">
        <f ca="1">capProd3COGSPUnitMat+capProd3COGSPUnitPlant1+capReg1Prod3CostPUnitEmp3</f>
        <v>5.7046830733160157</v>
      </c>
      <c r="H602" s="18">
        <f ca="1">capProd3COGSPUnitMat+capProd3COGSPUnitPlant1+capReg1Prod3CostPUnitEmp3</f>
        <v>5.7046830733160157</v>
      </c>
      <c r="I602" s="18">
        <f ca="1">capProd3COGSPUnitMat+capProd3COGSPUnitPlant1+capReg1Prod3CostPUnitEmp3</f>
        <v>5.7046830733160157</v>
      </c>
      <c r="J602" t="s">
        <v>2005</v>
      </c>
      <c r="K602" t="b">
        <f t="shared" ca="1" si="36"/>
        <v>1</v>
      </c>
    </row>
    <row r="603" spans="1:11">
      <c r="B603" s="853" t="str">
        <f>DataNameProd3 &amp; " COGS Per Unit with Depreciation"</f>
        <v>NCB COGS Per Unit with Depreciation</v>
      </c>
      <c r="E603" s="18">
        <f ca="1">capProd3COGSPUnitMat+capProd3COGSPUnitPlant1+capProd3COGSPUnitDep+capReg1Prod3CostPUnitEmp3</f>
        <v>6.1583154006427829</v>
      </c>
      <c r="F603" s="18">
        <f ca="1">capProd3COGSPUnitMat+capProd3COGSPUnitPlant1+capProd3COGSPUnitDep+capReg1Prod3CostPUnitEmp3</f>
        <v>6.1583154006427829</v>
      </c>
      <c r="G603" s="18">
        <f ca="1">capProd3COGSPUnitMat+capProd3COGSPUnitPlant1+capProd3COGSPUnitDep+capReg1Prod3CostPUnitEmp3</f>
        <v>6.1583154006427829</v>
      </c>
      <c r="H603" s="18">
        <f ca="1">capProd3COGSPUnitMat+capProd3COGSPUnitPlant1+capProd3COGSPUnitDep+capReg1Prod3CostPUnitEmp3</f>
        <v>6.1583154006427829</v>
      </c>
      <c r="I603" s="18">
        <f ca="1">capProd3COGSPUnitMat+capProd3COGSPUnitPlant1+capProd3COGSPUnitDep+capReg1Prod3CostPUnitEmp3</f>
        <v>6.1583154006427829</v>
      </c>
      <c r="J603" t="s">
        <v>2006</v>
      </c>
      <c r="K603" t="b">
        <f t="shared" ca="1" si="36"/>
        <v>1</v>
      </c>
    </row>
    <row r="604" spans="1:11">
      <c r="B604" t="str">
        <f>DataNameProd4 &amp; " COGS Per Unit"</f>
        <v>F&amp;S COGS Per Unit</v>
      </c>
      <c r="D604" s="18"/>
      <c r="E604" s="18">
        <f ca="1">capProd4COGSPUnitMat+capProd4COGSPUnitPlant1+capReg1Prod4CostPUnitEmp3</f>
        <v>4.8791361846332268</v>
      </c>
      <c r="F604" s="18">
        <f ca="1">capProd4COGSPUnitMat+capProd4COGSPUnitPlant1+capReg1Prod4CostPUnitEmp3</f>
        <v>4.8791361846332268</v>
      </c>
      <c r="G604" s="18">
        <f ca="1">capProd4COGSPUnitMat+capProd4COGSPUnitPlant1+capReg1Prod4CostPUnitEmp3</f>
        <v>4.8791361846332268</v>
      </c>
      <c r="H604" s="18">
        <f ca="1">capProd4COGSPUnitMat+capProd4COGSPUnitPlant1+capReg1Prod4CostPUnitEmp3</f>
        <v>4.8791361846332268</v>
      </c>
      <c r="I604" s="18">
        <f ca="1">capProd4COGSPUnitMat+capProd4COGSPUnitPlant1+capReg1Prod4CostPUnitEmp3</f>
        <v>4.8791361846332268</v>
      </c>
      <c r="J604" t="s">
        <v>2007</v>
      </c>
      <c r="K604" t="b">
        <f t="shared" ca="1" si="36"/>
        <v>1</v>
      </c>
    </row>
    <row r="605" spans="1:11">
      <c r="B605" s="853" t="str">
        <f>DataNameProd4 &amp; " COGS Per Unit with Depreciation"</f>
        <v>F&amp;S COGS Per Unit with Depreciation</v>
      </c>
      <c r="E605" s="18">
        <f ca="1">capProd4COGSPUnitMat+capProd4COGSPUnitPlant1+capProd4COGSPUnitDep+capReg1Prod4CostPUnitEmp3</f>
        <v>5.2710553428852007</v>
      </c>
      <c r="F605" s="18">
        <f ca="1">capProd4COGSPUnitMat+capProd4COGSPUnitPlant1+capProd4COGSPUnitDep+capReg1Prod4CostPUnitEmp3</f>
        <v>5.2710553428852007</v>
      </c>
      <c r="G605" s="18">
        <f ca="1">capProd4COGSPUnitMat+capProd4COGSPUnitPlant1+capProd4COGSPUnitDep+capReg1Prod4CostPUnitEmp3</f>
        <v>5.2710553428852007</v>
      </c>
      <c r="H605" s="18">
        <f ca="1">capProd4COGSPUnitMat+capProd4COGSPUnitPlant1+capProd4COGSPUnitDep+capReg1Prod4CostPUnitEmp3</f>
        <v>5.2710553428852007</v>
      </c>
      <c r="I605" s="18">
        <f ca="1">capProd4COGSPUnitMat+capProd4COGSPUnitPlant1+capProd4COGSPUnitDep+capReg1Prod4CostPUnitEmp3</f>
        <v>5.2710553428852007</v>
      </c>
      <c r="J605" t="s">
        <v>2008</v>
      </c>
      <c r="K605" t="b">
        <f t="shared" ca="1" si="36"/>
        <v>1</v>
      </c>
    </row>
    <row r="606" spans="1:11">
      <c r="A606" s="354" t="s">
        <v>3116</v>
      </c>
      <c r="B606" s="354"/>
      <c r="C606" s="354"/>
      <c r="D606" s="354"/>
      <c r="E606" s="354"/>
      <c r="F606" s="354"/>
      <c r="G606" s="354"/>
      <c r="H606" s="354"/>
      <c r="I606" s="354"/>
      <c r="K606" t="b">
        <f t="shared" si="36"/>
        <v>1</v>
      </c>
    </row>
    <row r="607" spans="1:11">
      <c r="B607" t="str">
        <f>DataNameProd1 &amp; " COGS Per Unit"</f>
        <v>CSD COGS Per Unit</v>
      </c>
      <c r="D607" s="18"/>
      <c r="E607" s="18">
        <f ca="1">capProd1COGSPUnitMat+capProd1COGSPUnitPlant1+capReg2Prod1CostPUnitEmp3</f>
        <v>2.7266562895502036</v>
      </c>
      <c r="F607" s="18">
        <f ca="1">capProd1COGSPUnitMat+capProd1COGSPUnitPlant1+capReg2Prod1CostPUnitEmp3</f>
        <v>2.7266562895502036</v>
      </c>
      <c r="G607" s="18">
        <f ca="1">capProd1COGSPUnitMat+capProd1COGSPUnitPlant1+capReg2Prod1CostPUnitEmp3</f>
        <v>2.7266562895502036</v>
      </c>
      <c r="H607" s="18">
        <f ca="1">capProd1COGSPUnitMat+capProd1COGSPUnitPlant1+capReg2Prod1CostPUnitEmp3</f>
        <v>2.7266562895502036</v>
      </c>
      <c r="I607" s="18">
        <f ca="1">capProd1COGSPUnitMat+capProd1COGSPUnitPlant1+capReg2Prod1CostPUnitEmp3</f>
        <v>2.7266562895502036</v>
      </c>
      <c r="J607" t="s">
        <v>2009</v>
      </c>
      <c r="K607" t="b">
        <f ca="1">MAX(E607:I607)=MIN(E607:I607)</f>
        <v>1</v>
      </c>
    </row>
    <row r="608" spans="1:11">
      <c r="B608" s="853" t="str">
        <f>DataNameProd1 &amp; " COGS Per Unit with Depreciation"</f>
        <v>CSD COGS Per Unit with Depreciation</v>
      </c>
      <c r="E608" s="18">
        <f ca="1">capProd1COGSPUnitMat+capProd1COGSPUnitPlant1+capProd1COGSPUnitDep+capReg2Prod1CostPUnitEmp3</f>
        <v>2.9493242435088138</v>
      </c>
      <c r="F608" s="18">
        <f ca="1">capProd1COGSPUnitMat+capProd1COGSPUnitPlant1+capProd1COGSPUnitDep+capReg2Prod1CostPUnitEmp3</f>
        <v>2.9493242435088138</v>
      </c>
      <c r="G608" s="18">
        <f ca="1">capProd1COGSPUnitMat+capProd1COGSPUnitPlant1+capProd1COGSPUnitDep+capReg2Prod1CostPUnitEmp3</f>
        <v>2.9493242435088138</v>
      </c>
      <c r="H608" s="18">
        <f ca="1">capProd1COGSPUnitMat+capProd1COGSPUnitPlant1+capProd1COGSPUnitDep+capReg2Prod1CostPUnitEmp3</f>
        <v>2.9493242435088138</v>
      </c>
      <c r="I608" s="18">
        <f ca="1">capProd1COGSPUnitMat+capProd1COGSPUnitPlant1+capProd1COGSPUnitDep+capReg2Prod1CostPUnitEmp3</f>
        <v>2.9493242435088138</v>
      </c>
      <c r="J608" t="s">
        <v>2010</v>
      </c>
      <c r="K608" t="b">
        <f ca="1">MAX(E608:I608)=MIN(E608:I608)</f>
        <v>1</v>
      </c>
    </row>
    <row r="609" spans="1:11">
      <c r="B609" t="str">
        <f>DataNameProd2 &amp; " 1 COGS Per Unit"</f>
        <v>Breakthrough 1 COGS Per Unit</v>
      </c>
      <c r="D609" s="18"/>
      <c r="E609" s="18">
        <f>capProd21COGSPUnitMat+capProd21COGSPUnitPlant1+capReg2Prod21CostPUnitEmp3</f>
        <v>0</v>
      </c>
      <c r="F609" s="18">
        <f>capProd21COGSPUnitMat+capProd21COGSPUnitPlant1+capReg2Prod21CostPUnitEmp3</f>
        <v>0</v>
      </c>
      <c r="G609" s="18">
        <f>capProd21COGSPUnitMat+capProd21COGSPUnitPlant1+capReg2Prod21CostPUnitEmp3</f>
        <v>0</v>
      </c>
      <c r="H609" s="18">
        <f>capProd21COGSPUnitMat+capProd21COGSPUnitPlant1+capReg2Prod21CostPUnitEmp3</f>
        <v>0</v>
      </c>
      <c r="I609" s="18">
        <f>capProd21COGSPUnitMat+capProd21COGSPUnitPlant1+capReg2Prod21CostPUnitEmp3</f>
        <v>0</v>
      </c>
      <c r="J609" t="s">
        <v>2011</v>
      </c>
      <c r="K609" t="b">
        <f>MAX(E609:I609)=MIN(E609:I609)</f>
        <v>1</v>
      </c>
    </row>
    <row r="610" spans="1:11">
      <c r="B610" s="853" t="str">
        <f>DataNameProd2 &amp; " 1 COGS Per Unit with Depreciation"</f>
        <v>Breakthrough 1 COGS Per Unit with Depreciation</v>
      </c>
      <c r="E610" s="18">
        <f>capProd21COGSPUnitMat+capProd21COGSPUnitPlant1+capProd21COGSPUnitDep+capReg2Prod21CostPUnitEmp3</f>
        <v>0</v>
      </c>
      <c r="F610" s="18">
        <f>capProd21COGSPUnitMat+capProd21COGSPUnitPlant1+capProd21COGSPUnitDep+capReg2Prod21CostPUnitEmp3</f>
        <v>0</v>
      </c>
      <c r="G610" s="18">
        <f>capProd21COGSPUnitMat+capProd21COGSPUnitPlant1+capProd21COGSPUnitDep+capReg2Prod21CostPUnitEmp3</f>
        <v>0</v>
      </c>
      <c r="H610" s="18">
        <f>capProd21COGSPUnitMat+capProd21COGSPUnitPlant1+capProd21COGSPUnitDep+capReg2Prod21CostPUnitEmp3</f>
        <v>0</v>
      </c>
      <c r="I610" s="18">
        <f>capProd21COGSPUnitMat+capProd21COGSPUnitPlant1+capProd21COGSPUnitDep+capReg2Prod21CostPUnitEmp3</f>
        <v>0</v>
      </c>
      <c r="J610" t="s">
        <v>2012</v>
      </c>
      <c r="K610" t="b">
        <f>MAX(E610:I610)=MIN(E610:I610)</f>
        <v>1</v>
      </c>
    </row>
    <row r="611" spans="1:11">
      <c r="B611" t="str">
        <f>DataNameProd2 &amp; " 2 COGS Per Unit"</f>
        <v>Breakthrough 2 COGS Per Unit</v>
      </c>
      <c r="D611" s="18"/>
      <c r="E611" s="18">
        <f>capProd22COGSPUnitMat+capProd22COGSPUnitPlant1+capReg2Prod22CostPUnitEmp3</f>
        <v>0</v>
      </c>
      <c r="F611" s="18">
        <f>capProd22COGSPUnitMat+capProd22COGSPUnitPlant1+capReg2Prod22CostPUnitEmp3</f>
        <v>0</v>
      </c>
      <c r="G611" s="18">
        <f>capProd22COGSPUnitMat+capProd22COGSPUnitPlant1+capReg2Prod22CostPUnitEmp3</f>
        <v>0</v>
      </c>
      <c r="H611" s="18">
        <f>capProd22COGSPUnitMat+capProd22COGSPUnitPlant1+capReg2Prod22CostPUnitEmp3</f>
        <v>0</v>
      </c>
      <c r="I611" s="18">
        <f>capProd22COGSPUnitMat+capProd22COGSPUnitPlant1+capReg2Prod22CostPUnitEmp3</f>
        <v>0</v>
      </c>
      <c r="J611" t="s">
        <v>2013</v>
      </c>
      <c r="K611" t="b">
        <f t="shared" ref="K611:K616" si="37">MAX(E611:I611)=MIN(E611:I611)</f>
        <v>1</v>
      </c>
    </row>
    <row r="612" spans="1:11">
      <c r="B612" s="853" t="str">
        <f>DataNameProd2 &amp; " 2 COGS Per Unit with Depreciation"</f>
        <v>Breakthrough 2 COGS Per Unit with Depreciation</v>
      </c>
      <c r="E612" s="18">
        <f>capProd22COGSPUnitMat+capProd22COGSPUnitPlant1+capProd22COGSPUnitDep+capReg2Prod22CostPUnitEmp3</f>
        <v>0</v>
      </c>
      <c r="F612" s="18">
        <f>capProd22COGSPUnitMat+capProd22COGSPUnitPlant1+capProd22COGSPUnitDep+capReg2Prod22CostPUnitEmp3</f>
        <v>0</v>
      </c>
      <c r="G612" s="18">
        <f>capProd22COGSPUnitMat+capProd22COGSPUnitPlant1+capProd22COGSPUnitDep+capReg2Prod22CostPUnitEmp3</f>
        <v>0</v>
      </c>
      <c r="H612" s="18">
        <f>capProd22COGSPUnitMat+capProd22COGSPUnitPlant1+capProd22COGSPUnitDep+capReg2Prod22CostPUnitEmp3</f>
        <v>0</v>
      </c>
      <c r="I612" s="18">
        <f>capProd22COGSPUnitMat+capProd22COGSPUnitPlant1+capProd22COGSPUnitDep+capReg2Prod22CostPUnitEmp3</f>
        <v>0</v>
      </c>
      <c r="J612" t="s">
        <v>2014</v>
      </c>
      <c r="K612" t="b">
        <f t="shared" si="37"/>
        <v>1</v>
      </c>
    </row>
    <row r="613" spans="1:11">
      <c r="B613" t="str">
        <f>DataNameProd3 &amp; " COGS Per Unit"</f>
        <v>NCB COGS Per Unit</v>
      </c>
      <c r="D613" s="18"/>
      <c r="E613" s="18">
        <f ca="1">capProd3COGSPUnitMat+capProd3COGSPUnitPlant1+capReg2Prod3CostPUnitEmp3</f>
        <v>4.4622103139819096</v>
      </c>
      <c r="F613" s="18">
        <f ca="1">capProd3COGSPUnitMat+capProd3COGSPUnitPlant1+capReg2Prod3CostPUnitEmp3</f>
        <v>4.4622103139819096</v>
      </c>
      <c r="G613" s="18">
        <f ca="1">capProd3COGSPUnitMat+capProd3COGSPUnitPlant1+capReg2Prod3CostPUnitEmp3</f>
        <v>4.4622103139819096</v>
      </c>
      <c r="H613" s="18">
        <f ca="1">capProd3COGSPUnitMat+capProd3COGSPUnitPlant1+capReg2Prod3CostPUnitEmp3</f>
        <v>4.4622103139819096</v>
      </c>
      <c r="I613" s="18">
        <f ca="1">capProd3COGSPUnitMat+capProd3COGSPUnitPlant1+capReg2Prod3CostPUnitEmp3</f>
        <v>4.4622103139819096</v>
      </c>
      <c r="J613" t="s">
        <v>2015</v>
      </c>
      <c r="K613" t="b">
        <f t="shared" ca="1" si="37"/>
        <v>1</v>
      </c>
    </row>
    <row r="614" spans="1:11">
      <c r="B614" s="853" t="str">
        <f>DataNameProd3 &amp; " COGS Per Unit with Depreciation"</f>
        <v>NCB COGS Per Unit with Depreciation</v>
      </c>
      <c r="E614" s="18">
        <f ca="1">capProd3COGSPUnitMat+capProd3COGSPUnitPlant1+capProd3COGSPUnitDep+capReg2Prod3CostPUnitEmp3</f>
        <v>4.9158426413086778</v>
      </c>
      <c r="F614" s="18">
        <f ca="1">capProd3COGSPUnitMat+capProd3COGSPUnitPlant1+capProd3COGSPUnitDep+capReg2Prod3CostPUnitEmp3</f>
        <v>4.9158426413086778</v>
      </c>
      <c r="G614" s="18">
        <f ca="1">capProd3COGSPUnitMat+capProd3COGSPUnitPlant1+capProd3COGSPUnitDep+capReg2Prod3CostPUnitEmp3</f>
        <v>4.9158426413086778</v>
      </c>
      <c r="H614" s="18">
        <f ca="1">capProd3COGSPUnitMat+capProd3COGSPUnitPlant1+capProd3COGSPUnitDep+capReg2Prod3CostPUnitEmp3</f>
        <v>4.9158426413086778</v>
      </c>
      <c r="I614" s="18">
        <f ca="1">capProd3COGSPUnitMat+capProd3COGSPUnitPlant1+capProd3COGSPUnitDep+capReg2Prod3CostPUnitEmp3</f>
        <v>4.9158426413086778</v>
      </c>
      <c r="J614" t="s">
        <v>2016</v>
      </c>
      <c r="K614" t="b">
        <f t="shared" ca="1" si="37"/>
        <v>1</v>
      </c>
    </row>
    <row r="615" spans="1:11">
      <c r="B615" t="str">
        <f>DataNameProd4 &amp; " COGS Per Unit"</f>
        <v>F&amp;S COGS Per Unit</v>
      </c>
      <c r="D615" s="18"/>
      <c r="E615" s="18">
        <f ca="1">capProd4COGSPUnitMat+capProd4COGSPUnitPlant1+capReg2Prod4CostPUnitEmp3</f>
        <v>3.7354964857006969</v>
      </c>
      <c r="F615" s="18">
        <f ca="1">capProd4COGSPUnitMat+capProd4COGSPUnitPlant1+capReg2Prod4CostPUnitEmp3</f>
        <v>3.7354964857006969</v>
      </c>
      <c r="G615" s="18">
        <f ca="1">capProd4COGSPUnitMat+capProd4COGSPUnitPlant1+capReg2Prod4CostPUnitEmp3</f>
        <v>3.7354964857006969</v>
      </c>
      <c r="H615" s="18">
        <f ca="1">capProd4COGSPUnitMat+capProd4COGSPUnitPlant1+capReg2Prod4CostPUnitEmp3</f>
        <v>3.7354964857006969</v>
      </c>
      <c r="I615" s="18">
        <f ca="1">capProd4COGSPUnitMat+capProd4COGSPUnitPlant1+capReg2Prod4CostPUnitEmp3</f>
        <v>3.7354964857006969</v>
      </c>
      <c r="J615" t="s">
        <v>2017</v>
      </c>
      <c r="K615" t="b">
        <f t="shared" ca="1" si="37"/>
        <v>1</v>
      </c>
    </row>
    <row r="616" spans="1:11">
      <c r="B616" s="853" t="str">
        <f>DataNameProd4 &amp; " COGS Per Unit with Depreciation"</f>
        <v>F&amp;S COGS Per Unit with Depreciation</v>
      </c>
      <c r="E616" s="18">
        <f ca="1">capProd4COGSPUnitMat+capProd4COGSPUnitPlant1+capProd4COGSPUnitDep+capReg2Prod4CostPUnitEmp3</f>
        <v>4.1274156439526717</v>
      </c>
      <c r="F616" s="18">
        <f ca="1">capProd4COGSPUnitMat+capProd4COGSPUnitPlant1+capProd4COGSPUnitDep+capReg2Prod4CostPUnitEmp3</f>
        <v>4.1274156439526717</v>
      </c>
      <c r="G616" s="18">
        <f ca="1">capProd4COGSPUnitMat+capProd4COGSPUnitPlant1+capProd4COGSPUnitDep+capReg2Prod4CostPUnitEmp3</f>
        <v>4.1274156439526717</v>
      </c>
      <c r="H616" s="18">
        <f ca="1">capProd4COGSPUnitMat+capProd4COGSPUnitPlant1+capProd4COGSPUnitDep+capReg2Prod4CostPUnitEmp3</f>
        <v>4.1274156439526717</v>
      </c>
      <c r="I616" s="18">
        <f ca="1">capProd4COGSPUnitMat+capProd4COGSPUnitPlant1+capProd4COGSPUnitDep+capReg2Prod4CostPUnitEmp3</f>
        <v>4.1274156439526717</v>
      </c>
      <c r="J616" t="s">
        <v>2018</v>
      </c>
      <c r="K616" t="b">
        <f t="shared" ca="1" si="37"/>
        <v>1</v>
      </c>
    </row>
    <row r="617" spans="1:11">
      <c r="E617" s="18"/>
      <c r="F617" s="18"/>
      <c r="G617" s="18"/>
      <c r="H617" s="18"/>
      <c r="I617" s="18"/>
      <c r="K617" t="b">
        <f t="shared" si="35"/>
        <v>1</v>
      </c>
    </row>
    <row r="618" spans="1:11" ht="15.75">
      <c r="A618" s="24" t="s">
        <v>1404</v>
      </c>
      <c r="B618" s="25"/>
      <c r="C618" s="25"/>
      <c r="D618" s="25"/>
      <c r="E618" s="25"/>
      <c r="F618" s="25"/>
      <c r="G618" s="25"/>
      <c r="H618" s="25"/>
      <c r="I618" s="25"/>
      <c r="K618" t="b">
        <f>MAX(E618:I618)=MIN(E618:I618)</f>
        <v>1</v>
      </c>
    </row>
    <row r="619" spans="1:11">
      <c r="K619" t="b">
        <f t="shared" si="35"/>
        <v>1</v>
      </c>
    </row>
    <row r="620" spans="1:11">
      <c r="B620" s="2" t="s">
        <v>2109</v>
      </c>
      <c r="K620" t="b">
        <f t="shared" si="35"/>
        <v>1</v>
      </c>
    </row>
    <row r="621" spans="1:11">
      <c r="B621" t="str">
        <f>DataNameProd1</f>
        <v>CSD</v>
      </c>
      <c r="E621" s="398">
        <f>capProd1Adv</f>
        <v>410000000</v>
      </c>
      <c r="F621" s="398">
        <f>capProd1Adv</f>
        <v>410000000</v>
      </c>
      <c r="G621" s="398">
        <f>capProd1Adv</f>
        <v>410000000</v>
      </c>
      <c r="H621" s="398">
        <f>capProd1Adv</f>
        <v>410000000</v>
      </c>
      <c r="I621" s="398">
        <f>capProd1Adv</f>
        <v>410000000</v>
      </c>
      <c r="K621" t="b">
        <f t="shared" si="35"/>
        <v>1</v>
      </c>
    </row>
    <row r="622" spans="1:11">
      <c r="B622" t="str">
        <f>DataNameProd2</f>
        <v>Breakthrough</v>
      </c>
      <c r="E622" s="398">
        <f>capProd2Adv+capProd2Adv2</f>
        <v>2000</v>
      </c>
      <c r="F622" s="398">
        <f>capProd2Adv+capProd2Adv2</f>
        <v>2000</v>
      </c>
      <c r="G622" s="398">
        <f>capProd2Adv+capProd2Adv2</f>
        <v>2000</v>
      </c>
      <c r="H622" s="398">
        <f>capProd2Adv+capProd2Adv2</f>
        <v>2000</v>
      </c>
      <c r="I622" s="398">
        <f>capProd2Adv+capProd2Adv2</f>
        <v>2000</v>
      </c>
      <c r="K622" t="b">
        <f t="shared" si="35"/>
        <v>1</v>
      </c>
    </row>
    <row r="623" spans="1:11">
      <c r="B623" t="str">
        <f>DataNameProd3</f>
        <v>NCB</v>
      </c>
      <c r="E623" s="398">
        <f>capProd3Adv</f>
        <v>495000000</v>
      </c>
      <c r="F623" s="398">
        <f>capProd3Adv</f>
        <v>495000000</v>
      </c>
      <c r="G623" s="398">
        <f>capProd3Adv</f>
        <v>495000000</v>
      </c>
      <c r="H623" s="398">
        <f>capProd3Adv</f>
        <v>495000000</v>
      </c>
      <c r="I623" s="398">
        <f>capProd3Adv</f>
        <v>495000000</v>
      </c>
      <c r="K623" t="b">
        <f t="shared" si="35"/>
        <v>1</v>
      </c>
    </row>
    <row r="624" spans="1:11">
      <c r="B624" t="str">
        <f>DataNameProd4</f>
        <v>F&amp;S</v>
      </c>
      <c r="E624" s="398">
        <f>capProd4Adv</f>
        <v>325000000</v>
      </c>
      <c r="F624" s="398">
        <f>capProd4Adv</f>
        <v>325000000</v>
      </c>
      <c r="G624" s="398">
        <f>capProd4Adv</f>
        <v>325000000</v>
      </c>
      <c r="H624" s="398">
        <f>capProd4Adv</f>
        <v>325000000</v>
      </c>
      <c r="I624" s="398">
        <f>capProd4Adv</f>
        <v>325000000</v>
      </c>
      <c r="K624" t="b">
        <f t="shared" si="35"/>
        <v>1</v>
      </c>
    </row>
    <row r="625" spans="1:11">
      <c r="E625" s="398"/>
      <c r="F625" s="398"/>
      <c r="G625" s="398"/>
      <c r="H625" s="398"/>
      <c r="I625" s="398"/>
      <c r="K625" t="b">
        <f t="shared" si="35"/>
        <v>1</v>
      </c>
    </row>
    <row r="626" spans="1:11">
      <c r="B626" s="2" t="s">
        <v>3836</v>
      </c>
      <c r="E626" s="398"/>
      <c r="F626" s="398"/>
      <c r="G626" s="398"/>
      <c r="H626" s="398"/>
      <c r="I626" s="398"/>
      <c r="K626" t="b">
        <f t="shared" si="35"/>
        <v>1</v>
      </c>
    </row>
    <row r="627" spans="1:11">
      <c r="B627" t="str">
        <f>DataNameProd1</f>
        <v>CSD</v>
      </c>
      <c r="E627" s="398">
        <f>capProd1Promo</f>
        <v>1450000000</v>
      </c>
      <c r="F627" s="398">
        <f>capProd1Promo</f>
        <v>1450000000</v>
      </c>
      <c r="G627" s="398">
        <f>capProd1Promo</f>
        <v>1450000000</v>
      </c>
      <c r="H627" s="398">
        <f>capProd1Promo</f>
        <v>1450000000</v>
      </c>
      <c r="I627" s="398">
        <f>capProd1Promo</f>
        <v>1450000000</v>
      </c>
      <c r="K627" t="b">
        <f t="shared" si="35"/>
        <v>1</v>
      </c>
    </row>
    <row r="628" spans="1:11">
      <c r="B628" t="str">
        <f>DataNameProd2</f>
        <v>Breakthrough</v>
      </c>
      <c r="E628" s="398">
        <f>capProd2Promo1+decProd2Promo2</f>
        <v>1001</v>
      </c>
      <c r="F628" s="398">
        <f>capProd2Promo1+decProd2Promo2</f>
        <v>1001</v>
      </c>
      <c r="G628" s="398">
        <f>capProd2Promo1+decProd2Promo2</f>
        <v>1001</v>
      </c>
      <c r="H628" s="398">
        <f>capProd2Promo1+decProd2Promo2</f>
        <v>1001</v>
      </c>
      <c r="I628" s="398">
        <f>capProd2Promo1+decProd2Promo2</f>
        <v>1001</v>
      </c>
      <c r="K628" t="b">
        <f t="shared" si="35"/>
        <v>1</v>
      </c>
    </row>
    <row r="629" spans="1:11">
      <c r="B629" t="str">
        <f>DataNameProd3</f>
        <v>NCB</v>
      </c>
      <c r="E629" s="398">
        <f>capProd3Promo</f>
        <v>855000000</v>
      </c>
      <c r="F629" s="398">
        <f>capProd3Promo</f>
        <v>855000000</v>
      </c>
      <c r="G629" s="398">
        <f>capProd3Promo</f>
        <v>855000000</v>
      </c>
      <c r="H629" s="398">
        <f>capProd3Promo</f>
        <v>855000000</v>
      </c>
      <c r="I629" s="398">
        <f>capProd3Promo</f>
        <v>855000000</v>
      </c>
      <c r="K629" t="b">
        <f t="shared" si="35"/>
        <v>1</v>
      </c>
    </row>
    <row r="630" spans="1:11">
      <c r="B630" t="str">
        <f>DataNameProd4</f>
        <v>F&amp;S</v>
      </c>
      <c r="E630" s="398">
        <f>capProd4Promo</f>
        <v>760000000</v>
      </c>
      <c r="F630" s="398">
        <f>capProd4Promo</f>
        <v>760000000</v>
      </c>
      <c r="G630" s="398">
        <f>capProd4Promo</f>
        <v>760000000</v>
      </c>
      <c r="H630" s="398">
        <f>capProd4Promo</f>
        <v>760000000</v>
      </c>
      <c r="I630" s="398">
        <f>capProd4Promo</f>
        <v>760000000</v>
      </c>
      <c r="K630" t="b">
        <f t="shared" si="35"/>
        <v>1</v>
      </c>
    </row>
    <row r="631" spans="1:11">
      <c r="K631" t="b">
        <f t="shared" si="35"/>
        <v>1</v>
      </c>
    </row>
    <row r="632" spans="1:11" ht="15.75">
      <c r="A632" s="24" t="s">
        <v>121</v>
      </c>
      <c r="B632" s="25"/>
      <c r="C632" s="25"/>
      <c r="D632" s="25"/>
      <c r="E632" s="25"/>
      <c r="F632" s="25"/>
      <c r="G632" s="25"/>
      <c r="H632" s="25"/>
      <c r="I632" s="25"/>
      <c r="K632" t="b">
        <f>MAX(E632:I632)=MIN(E632:I632)</f>
        <v>1</v>
      </c>
    </row>
    <row r="633" spans="1:11">
      <c r="K633" t="b">
        <f t="shared" si="35"/>
        <v>1</v>
      </c>
    </row>
    <row r="634" spans="1:11">
      <c r="B634" s="21" t="s">
        <v>1226</v>
      </c>
      <c r="E634" s="520">
        <f ca="1">finPNLOperEarn-finPNLExtraOrdExp</f>
        <v>5274040486.3245354</v>
      </c>
      <c r="F634" s="520">
        <f ca="1">finPNLOperEarn-finPNLExtraOrdExp</f>
        <v>5274040486.3245354</v>
      </c>
      <c r="G634" s="520">
        <f ca="1">finPNLOperEarn-finPNLExtraOrdExp</f>
        <v>5274040486.3245354</v>
      </c>
      <c r="H634" s="520">
        <f ca="1">finPNLOperEarn-finPNLExtraOrdExp</f>
        <v>5274040486.3245354</v>
      </c>
      <c r="I634" s="520">
        <f ca="1">finPNLOperEarn-finPNLExtraOrdExp</f>
        <v>5274040486.3245354</v>
      </c>
      <c r="J634" t="s">
        <v>122</v>
      </c>
      <c r="K634" t="b">
        <f t="shared" ca="1" si="35"/>
        <v>1</v>
      </c>
    </row>
    <row r="635" spans="1:11">
      <c r="B635" s="21" t="s">
        <v>1135</v>
      </c>
      <c r="E635" s="398">
        <f>capReg1Prod1UnitsSold+capReg1Prod3UnitsSold+capReg1Prod4UnitsSold+capReg2Prod1UnitsSold+capReg2Prod3UnitsSold+capReg2Prod4UnitsSold</f>
        <v>2467013021</v>
      </c>
      <c r="F635" s="398">
        <f>capReg1Prod1UnitsSold+capReg1Prod3UnitsSold+capReg1Prod4UnitsSold+capReg2Prod1UnitsSold+capReg2Prod3UnitsSold+capReg2Prod4UnitsSold</f>
        <v>2467013021</v>
      </c>
      <c r="G635" s="398">
        <f>capReg1Prod1UnitsSold+capReg1Prod3UnitsSold+capReg1Prod4UnitsSold+capReg2Prod1UnitsSold+capReg2Prod3UnitsSold+capReg2Prod4UnitsSold</f>
        <v>2467013021</v>
      </c>
      <c r="H635" s="398">
        <f>capReg1Prod1UnitsSold+capReg1Prod3UnitsSold+capReg1Prod4UnitsSold+capReg2Prod1UnitsSold+capReg2Prod3UnitsSold+capReg2Prod4UnitsSold</f>
        <v>2467013021</v>
      </c>
      <c r="I635" s="398">
        <f>capReg1Prod1UnitsSold+capReg1Prod3UnitsSold+capReg1Prod4UnitsSold+capReg2Prod1UnitsSold+capReg2Prod3UnitsSold+capReg2Prod4UnitsSold</f>
        <v>2467013021</v>
      </c>
      <c r="J635" t="s">
        <v>123</v>
      </c>
      <c r="K635" t="b">
        <f t="shared" si="35"/>
        <v>1</v>
      </c>
    </row>
    <row r="636" spans="1:11">
      <c r="B636" s="21" t="s">
        <v>46</v>
      </c>
      <c r="E636" s="10">
        <f ca="1">(finPNLCOGSExp+finPNLSGAExp+finPNLRandDExp+finPNLOtherOpExp)/(capReg1Prod1UnitsSold+capReg1Prod3UnitsSold+capReg1Prod4UnitsSold+capReg2Prod1UnitsSold+capReg2Prod3UnitsSold+capReg2Prod4UnitsSold)</f>
        <v>7.0320193146542236</v>
      </c>
      <c r="F636" s="10">
        <f ca="1">(finPNLCOGSExp+finPNLSGAExp+finPNLRandDExp+finPNLOtherOpExp)/(capReg1Prod1UnitsSold+capReg1Prod3UnitsSold+capReg1Prod4UnitsSold+capReg2Prod1UnitsSold+capReg2Prod3UnitsSold+capReg2Prod4UnitsSold)</f>
        <v>7.0320193146542236</v>
      </c>
      <c r="G636" s="10">
        <f ca="1">(finPNLCOGSExp+finPNLSGAExp+finPNLRandDExp+finPNLOtherOpExp)/(capReg1Prod1UnitsSold+capReg1Prod3UnitsSold+capReg1Prod4UnitsSold+capReg2Prod1UnitsSold+capReg2Prod3UnitsSold+capReg2Prod4UnitsSold)</f>
        <v>7.0320193146542236</v>
      </c>
      <c r="H636" s="10">
        <f ca="1">(finPNLCOGSExp+finPNLSGAExp+finPNLRandDExp+finPNLOtherOpExp)/(capReg1Prod1UnitsSold+capReg1Prod3UnitsSold+capReg1Prod4UnitsSold+capReg2Prod1UnitsSold+capReg2Prod3UnitsSold+capReg2Prod4UnitsSold)</f>
        <v>7.0320193146542236</v>
      </c>
      <c r="I636" s="10">
        <f ca="1">(finPNLCOGSExp+finPNLSGAExp+finPNLRandDExp+finPNLOtherOpExp)/(capReg1Prod1UnitsSold+capReg1Prod3UnitsSold+capReg1Prod4UnitsSold+capReg2Prod1UnitsSold+capReg2Prod3UnitsSold+capReg2Prod4UnitsSold)</f>
        <v>7.0320193146542236</v>
      </c>
      <c r="J636" t="s">
        <v>124</v>
      </c>
      <c r="K636" t="b">
        <f t="shared" ca="1" si="35"/>
        <v>1</v>
      </c>
    </row>
    <row r="637" spans="1:11">
      <c r="B637" s="21" t="s">
        <v>3164</v>
      </c>
      <c r="E637" s="435">
        <f ca="1">finROIC</f>
        <v>0.22933437001096038</v>
      </c>
      <c r="F637" s="435">
        <f ca="1">finROIC</f>
        <v>0.22933437001096038</v>
      </c>
      <c r="G637" s="435">
        <f ca="1">finROIC</f>
        <v>0.22933437001096038</v>
      </c>
      <c r="H637" s="435">
        <f ca="1">finROIC</f>
        <v>0.22933437001096038</v>
      </c>
      <c r="I637" s="435">
        <f ca="1">finROIC</f>
        <v>0.22933437001096038</v>
      </c>
      <c r="K637" t="b">
        <f t="shared" ca="1" si="35"/>
        <v>1</v>
      </c>
    </row>
    <row r="638" spans="1:11">
      <c r="K638" t="b">
        <f t="shared" si="35"/>
        <v>1</v>
      </c>
    </row>
    <row r="639" spans="1:11" ht="15.75">
      <c r="A639" s="24" t="s">
        <v>3287</v>
      </c>
      <c r="B639" s="25"/>
      <c r="C639" s="25"/>
      <c r="D639" s="25"/>
      <c r="E639" s="25"/>
      <c r="F639" s="25"/>
      <c r="G639" s="25"/>
      <c r="H639" s="25"/>
      <c r="I639" s="25"/>
      <c r="K639" t="b">
        <f>MAX(E639:I639)=MIN(E639:I639)</f>
        <v>1</v>
      </c>
    </row>
    <row r="640" spans="1:11">
      <c r="K640" t="b">
        <f t="shared" ref="K640:K710" si="38">MAX(E640:I640)=MIN(E640:I640)</f>
        <v>1</v>
      </c>
    </row>
    <row r="641" spans="2:11">
      <c r="B641" s="2" t="s">
        <v>2128</v>
      </c>
      <c r="K641" t="b">
        <f t="shared" si="38"/>
        <v>1</v>
      </c>
    </row>
    <row r="642" spans="2:11">
      <c r="B642" t="s">
        <v>2129</v>
      </c>
      <c r="E642">
        <f>decStratVetCSD</f>
        <v>0</v>
      </c>
      <c r="F642">
        <f>decStratVetCSD</f>
        <v>0</v>
      </c>
      <c r="G642">
        <f>decStratVetCSD</f>
        <v>0</v>
      </c>
      <c r="H642">
        <f>decStratVetCSD</f>
        <v>0</v>
      </c>
      <c r="I642">
        <f>decStratVetCSD</f>
        <v>0</v>
      </c>
      <c r="J642" t="s">
        <v>2142</v>
      </c>
      <c r="K642" t="b">
        <f t="shared" si="38"/>
        <v>1</v>
      </c>
    </row>
    <row r="643" spans="2:11">
      <c r="B643" t="s">
        <v>2130</v>
      </c>
      <c r="E643">
        <f>decStratVetNCB</f>
        <v>0</v>
      </c>
      <c r="F643">
        <f>decStratVetNCB</f>
        <v>0</v>
      </c>
      <c r="G643">
        <f>decStratVetNCB</f>
        <v>0</v>
      </c>
      <c r="H643">
        <f>decStratVetNCB</f>
        <v>0</v>
      </c>
      <c r="I643">
        <f>decStratVetNCB</f>
        <v>0</v>
      </c>
      <c r="J643" t="s">
        <v>2143</v>
      </c>
      <c r="K643" t="b">
        <f t="shared" si="38"/>
        <v>1</v>
      </c>
    </row>
    <row r="644" spans="2:11">
      <c r="B644" t="s">
        <v>2131</v>
      </c>
      <c r="E644">
        <f>decStratVetFnS</f>
        <v>0</v>
      </c>
      <c r="F644">
        <f>decStratVetFnS</f>
        <v>0</v>
      </c>
      <c r="G644">
        <f>decStratVetFnS</f>
        <v>0</v>
      </c>
      <c r="H644">
        <f>decStratVetFnS</f>
        <v>0</v>
      </c>
      <c r="I644">
        <f>decStratVetFnS</f>
        <v>0</v>
      </c>
      <c r="J644" t="s">
        <v>2144</v>
      </c>
      <c r="K644" t="b">
        <f t="shared" si="38"/>
        <v>1</v>
      </c>
    </row>
    <row r="645" spans="2:11">
      <c r="B645" t="s">
        <v>2132</v>
      </c>
      <c r="E645">
        <f>SUM(E642:E644)</f>
        <v>0</v>
      </c>
      <c r="F645">
        <f>SUM(F642:F644)</f>
        <v>0</v>
      </c>
      <c r="G645">
        <f>SUM(G642:G644)</f>
        <v>0</v>
      </c>
      <c r="H645">
        <f>SUM(H642:H644)</f>
        <v>0</v>
      </c>
      <c r="I645">
        <f>SUM(I642:I644)</f>
        <v>0</v>
      </c>
      <c r="J645" t="s">
        <v>294</v>
      </c>
      <c r="K645" t="b">
        <f t="shared" si="38"/>
        <v>1</v>
      </c>
    </row>
    <row r="646" spans="2:11">
      <c r="B646" t="s">
        <v>2791</v>
      </c>
      <c r="E646">
        <f>AVERAGE($E645:$I645)</f>
        <v>0</v>
      </c>
      <c r="F646">
        <f>AVERAGE($E645:$I645)</f>
        <v>0</v>
      </c>
      <c r="G646">
        <f>AVERAGE($E645:$I645)</f>
        <v>0</v>
      </c>
      <c r="H646">
        <f>AVERAGE($E645:$I645)</f>
        <v>0</v>
      </c>
      <c r="I646">
        <f>AVERAGE($E645:$I645)</f>
        <v>0</v>
      </c>
      <c r="J646" t="s">
        <v>2792</v>
      </c>
      <c r="K646" t="b">
        <f t="shared" si="38"/>
        <v>1</v>
      </c>
    </row>
    <row r="647" spans="2:11">
      <c r="K647" t="b">
        <f t="shared" si="38"/>
        <v>1</v>
      </c>
    </row>
    <row r="648" spans="2:11">
      <c r="B648" s="2" t="s">
        <v>2133</v>
      </c>
      <c r="K648" t="b">
        <f t="shared" si="38"/>
        <v>1</v>
      </c>
    </row>
    <row r="649" spans="2:11">
      <c r="B649" t="s">
        <v>2129</v>
      </c>
      <c r="E649">
        <f>decStratEdaCSD</f>
        <v>0</v>
      </c>
      <c r="F649">
        <f>decStratEdaCSD</f>
        <v>0</v>
      </c>
      <c r="G649">
        <f>decStratEdaCSD</f>
        <v>0</v>
      </c>
      <c r="H649">
        <f>decStratEdaCSD</f>
        <v>0</v>
      </c>
      <c r="I649">
        <f>decStratEdaCSD</f>
        <v>0</v>
      </c>
      <c r="J649" t="s">
        <v>295</v>
      </c>
      <c r="K649" t="b">
        <f t="shared" si="38"/>
        <v>1</v>
      </c>
    </row>
    <row r="650" spans="2:11">
      <c r="B650" t="s">
        <v>2130</v>
      </c>
      <c r="E650">
        <f>decStratEdaNCB</f>
        <v>0</v>
      </c>
      <c r="F650">
        <f>decStratEdaNCB</f>
        <v>0</v>
      </c>
      <c r="G650">
        <f>decStratEdaNCB</f>
        <v>0</v>
      </c>
      <c r="H650">
        <f>decStratEdaNCB</f>
        <v>0</v>
      </c>
      <c r="I650">
        <f>decStratEdaNCB</f>
        <v>0</v>
      </c>
      <c r="J650" t="s">
        <v>296</v>
      </c>
      <c r="K650" t="b">
        <f t="shared" si="38"/>
        <v>1</v>
      </c>
    </row>
    <row r="651" spans="2:11">
      <c r="B651" t="s">
        <v>2131</v>
      </c>
      <c r="E651">
        <f>decStratEdaFnS</f>
        <v>0</v>
      </c>
      <c r="F651">
        <f>decStratEdaFnS</f>
        <v>0</v>
      </c>
      <c r="G651">
        <f>decStratEdaFnS</f>
        <v>0</v>
      </c>
      <c r="H651">
        <f>decStratEdaFnS</f>
        <v>0</v>
      </c>
      <c r="I651">
        <f>decStratEdaFnS</f>
        <v>0</v>
      </c>
      <c r="J651" t="s">
        <v>297</v>
      </c>
      <c r="K651" t="b">
        <f t="shared" si="38"/>
        <v>1</v>
      </c>
    </row>
    <row r="652" spans="2:11">
      <c r="B652" t="s">
        <v>2134</v>
      </c>
      <c r="E652">
        <f>SUM(E649:E651)</f>
        <v>0</v>
      </c>
      <c r="F652">
        <f>SUM(F649:F651)</f>
        <v>0</v>
      </c>
      <c r="G652">
        <f>SUM(G649:G651)</f>
        <v>0</v>
      </c>
      <c r="H652">
        <f>SUM(H649:H651)</f>
        <v>0</v>
      </c>
      <c r="I652">
        <f>SUM(I649:I651)</f>
        <v>0</v>
      </c>
      <c r="J652" t="s">
        <v>298</v>
      </c>
      <c r="K652" t="b">
        <f t="shared" si="38"/>
        <v>1</v>
      </c>
    </row>
    <row r="653" spans="2:11">
      <c r="B653" t="s">
        <v>2793</v>
      </c>
      <c r="E653">
        <f>AVERAGE($E652:$I652)</f>
        <v>0</v>
      </c>
      <c r="F653">
        <f>AVERAGE($E652:$I652)</f>
        <v>0</v>
      </c>
      <c r="G653">
        <f>AVERAGE($E652:$I652)</f>
        <v>0</v>
      </c>
      <c r="H653">
        <f>AVERAGE($E652:$I652)</f>
        <v>0</v>
      </c>
      <c r="I653">
        <f>AVERAGE($E652:$I652)</f>
        <v>0</v>
      </c>
      <c r="J653" t="s">
        <v>2794</v>
      </c>
      <c r="K653" t="b">
        <f t="shared" si="38"/>
        <v>1</v>
      </c>
    </row>
    <row r="654" spans="2:11">
      <c r="K654" t="b">
        <f t="shared" si="38"/>
        <v>1</v>
      </c>
    </row>
    <row r="655" spans="2:11">
      <c r="B655" s="2" t="s">
        <v>2141</v>
      </c>
      <c r="K655" t="b">
        <f t="shared" si="38"/>
        <v>1</v>
      </c>
    </row>
    <row r="656" spans="2:11">
      <c r="B656" t="s">
        <v>2136</v>
      </c>
      <c r="E656">
        <f t="shared" ref="E656:I658" si="39">SUM(E642,E649)</f>
        <v>0</v>
      </c>
      <c r="F656">
        <f t="shared" si="39"/>
        <v>0</v>
      </c>
      <c r="G656">
        <f t="shared" si="39"/>
        <v>0</v>
      </c>
      <c r="H656">
        <f t="shared" si="39"/>
        <v>0</v>
      </c>
      <c r="I656">
        <f t="shared" si="39"/>
        <v>0</v>
      </c>
      <c r="J656" t="s">
        <v>2138</v>
      </c>
      <c r="K656" t="b">
        <f t="shared" si="38"/>
        <v>1</v>
      </c>
    </row>
    <row r="657" spans="2:11">
      <c r="B657" t="s">
        <v>2135</v>
      </c>
      <c r="E657">
        <f t="shared" si="39"/>
        <v>0</v>
      </c>
      <c r="F657">
        <f t="shared" si="39"/>
        <v>0</v>
      </c>
      <c r="G657">
        <f t="shared" si="39"/>
        <v>0</v>
      </c>
      <c r="H657">
        <f t="shared" si="39"/>
        <v>0</v>
      </c>
      <c r="I657">
        <f t="shared" si="39"/>
        <v>0</v>
      </c>
      <c r="J657" t="s">
        <v>2139</v>
      </c>
      <c r="K657" t="b">
        <f t="shared" si="38"/>
        <v>1</v>
      </c>
    </row>
    <row r="658" spans="2:11">
      <c r="B658" t="s">
        <v>2137</v>
      </c>
      <c r="E658">
        <f t="shared" si="39"/>
        <v>0</v>
      </c>
      <c r="F658">
        <f t="shared" si="39"/>
        <v>0</v>
      </c>
      <c r="G658">
        <f t="shared" si="39"/>
        <v>0</v>
      </c>
      <c r="H658">
        <f t="shared" si="39"/>
        <v>0</v>
      </c>
      <c r="I658">
        <f t="shared" si="39"/>
        <v>0</v>
      </c>
      <c r="J658" t="s">
        <v>2140</v>
      </c>
      <c r="K658" t="b">
        <f t="shared" si="38"/>
        <v>1</v>
      </c>
    </row>
    <row r="659" spans="2:11">
      <c r="K659" t="b">
        <f t="shared" si="38"/>
        <v>1</v>
      </c>
    </row>
    <row r="660" spans="2:11">
      <c r="B660" s="2" t="s">
        <v>2141</v>
      </c>
      <c r="K660" t="b">
        <f t="shared" si="38"/>
        <v>1</v>
      </c>
    </row>
    <row r="661" spans="2:11">
      <c r="B661" t="s">
        <v>2795</v>
      </c>
      <c r="E661">
        <f t="shared" ref="E661:I663" si="40">AVERAGE($E656:$I656)</f>
        <v>0</v>
      </c>
      <c r="F661">
        <f t="shared" si="40"/>
        <v>0</v>
      </c>
      <c r="G661">
        <f t="shared" si="40"/>
        <v>0</v>
      </c>
      <c r="H661">
        <f t="shared" si="40"/>
        <v>0</v>
      </c>
      <c r="I661">
        <f t="shared" si="40"/>
        <v>0</v>
      </c>
      <c r="J661" t="s">
        <v>2798</v>
      </c>
      <c r="K661" t="b">
        <f t="shared" si="38"/>
        <v>1</v>
      </c>
    </row>
    <row r="662" spans="2:11">
      <c r="B662" t="s">
        <v>2796</v>
      </c>
      <c r="E662">
        <f t="shared" si="40"/>
        <v>0</v>
      </c>
      <c r="F662">
        <f t="shared" si="40"/>
        <v>0</v>
      </c>
      <c r="G662">
        <f t="shared" si="40"/>
        <v>0</v>
      </c>
      <c r="H662">
        <f t="shared" si="40"/>
        <v>0</v>
      </c>
      <c r="I662">
        <f t="shared" si="40"/>
        <v>0</v>
      </c>
      <c r="J662" t="s">
        <v>2799</v>
      </c>
      <c r="K662" t="b">
        <f t="shared" si="38"/>
        <v>1</v>
      </c>
    </row>
    <row r="663" spans="2:11">
      <c r="B663" t="s">
        <v>2797</v>
      </c>
      <c r="E663">
        <f t="shared" si="40"/>
        <v>0</v>
      </c>
      <c r="F663">
        <f t="shared" si="40"/>
        <v>0</v>
      </c>
      <c r="G663">
        <f t="shared" si="40"/>
        <v>0</v>
      </c>
      <c r="H663">
        <f t="shared" si="40"/>
        <v>0</v>
      </c>
      <c r="I663">
        <f t="shared" si="40"/>
        <v>0</v>
      </c>
      <c r="J663" t="s">
        <v>2800</v>
      </c>
      <c r="K663" t="b">
        <f t="shared" si="38"/>
        <v>1</v>
      </c>
    </row>
    <row r="664" spans="2:11">
      <c r="K664" t="b">
        <f t="shared" si="38"/>
        <v>1</v>
      </c>
    </row>
    <row r="665" spans="2:11">
      <c r="B665" s="2" t="s">
        <v>299</v>
      </c>
      <c r="K665" t="b">
        <f t="shared" si="38"/>
        <v>1</v>
      </c>
    </row>
    <row r="666" spans="2:11">
      <c r="B666" s="905" t="s">
        <v>3442</v>
      </c>
      <c r="E666">
        <f>decStratVetCons</f>
        <v>0</v>
      </c>
      <c r="F666">
        <f>decStratVetCons</f>
        <v>0</v>
      </c>
      <c r="G666">
        <f>decStratVetCons</f>
        <v>0</v>
      </c>
      <c r="H666">
        <f>decStratVetCons</f>
        <v>0</v>
      </c>
      <c r="I666">
        <f>decStratVetCons</f>
        <v>0</v>
      </c>
      <c r="J666" t="s">
        <v>2842</v>
      </c>
      <c r="K666" t="b">
        <f t="shared" si="38"/>
        <v>1</v>
      </c>
    </row>
    <row r="667" spans="2:11">
      <c r="B667" s="905" t="s">
        <v>1108</v>
      </c>
      <c r="E667">
        <f>decStratVetInnov</f>
        <v>0</v>
      </c>
      <c r="F667">
        <f>decStratVetInnov</f>
        <v>0</v>
      </c>
      <c r="G667">
        <f>decStratVetInnov</f>
        <v>0</v>
      </c>
      <c r="H667">
        <f>decStratVetInnov</f>
        <v>0</v>
      </c>
      <c r="I667">
        <f>decStratVetInnov</f>
        <v>0</v>
      </c>
      <c r="J667" s="905" t="s">
        <v>4124</v>
      </c>
      <c r="K667" t="b">
        <f t="shared" si="38"/>
        <v>1</v>
      </c>
    </row>
    <row r="668" spans="2:11">
      <c r="B668" s="905" t="s">
        <v>4121</v>
      </c>
      <c r="E668">
        <f>decStratVetCust</f>
        <v>0</v>
      </c>
      <c r="F668">
        <f>decStratVetCust</f>
        <v>0</v>
      </c>
      <c r="G668">
        <f>decStratVetCust</f>
        <v>0</v>
      </c>
      <c r="H668">
        <f>decStratVetCust</f>
        <v>0</v>
      </c>
      <c r="I668">
        <f>decStratVetCust</f>
        <v>0</v>
      </c>
      <c r="J668" t="s">
        <v>2783</v>
      </c>
      <c r="K668" t="b">
        <f t="shared" si="38"/>
        <v>1</v>
      </c>
    </row>
    <row r="669" spans="2:11">
      <c r="B669" s="905" t="s">
        <v>4004</v>
      </c>
      <c r="E669">
        <f>decStratVetComp</f>
        <v>0</v>
      </c>
      <c r="F669">
        <f>decStratVetComp</f>
        <v>0</v>
      </c>
      <c r="G669">
        <f>decStratVetComp</f>
        <v>0</v>
      </c>
      <c r="H669">
        <f>decStratVetComp</f>
        <v>0</v>
      </c>
      <c r="I669">
        <f>decStratVetComp</f>
        <v>0</v>
      </c>
      <c r="J669" t="s">
        <v>2784</v>
      </c>
      <c r="K669" t="b">
        <f t="shared" si="38"/>
        <v>1</v>
      </c>
    </row>
    <row r="670" spans="2:11">
      <c r="K670" t="b">
        <f t="shared" si="38"/>
        <v>1</v>
      </c>
    </row>
    <row r="671" spans="2:11">
      <c r="B671" s="2" t="s">
        <v>300</v>
      </c>
      <c r="K671" t="b">
        <f t="shared" si="38"/>
        <v>1</v>
      </c>
    </row>
    <row r="672" spans="2:11">
      <c r="B672" s="905" t="s">
        <v>3442</v>
      </c>
      <c r="E672">
        <f>decStratEdaCons</f>
        <v>0</v>
      </c>
      <c r="F672">
        <f>decStratEdaCons</f>
        <v>0</v>
      </c>
      <c r="G672">
        <f>decStratEdaCons</f>
        <v>0</v>
      </c>
      <c r="H672">
        <f>decStratEdaCons</f>
        <v>0</v>
      </c>
      <c r="I672">
        <f>decStratEdaCons</f>
        <v>0</v>
      </c>
      <c r="J672" t="s">
        <v>2785</v>
      </c>
      <c r="K672" t="b">
        <f t="shared" si="38"/>
        <v>1</v>
      </c>
    </row>
    <row r="673" spans="2:11">
      <c r="B673" s="905" t="s">
        <v>1108</v>
      </c>
      <c r="E673">
        <f>decStratEdaInnov</f>
        <v>0</v>
      </c>
      <c r="F673">
        <f>decStratEdaInnov</f>
        <v>0</v>
      </c>
      <c r="G673">
        <f>decStratEdaInnov</f>
        <v>0</v>
      </c>
      <c r="H673">
        <f>decStratEdaInnov</f>
        <v>0</v>
      </c>
      <c r="I673">
        <f>decStratEdaInnov</f>
        <v>0</v>
      </c>
      <c r="J673" s="905" t="s">
        <v>4125</v>
      </c>
      <c r="K673" t="b">
        <f t="shared" si="38"/>
        <v>1</v>
      </c>
    </row>
    <row r="674" spans="2:11">
      <c r="B674" s="905" t="s">
        <v>4121</v>
      </c>
      <c r="E674">
        <f>decStratEdaCust</f>
        <v>0</v>
      </c>
      <c r="F674">
        <f>decStratEdaCust</f>
        <v>0</v>
      </c>
      <c r="G674">
        <f>decStratEdaCust</f>
        <v>0</v>
      </c>
      <c r="H674">
        <f>decStratEdaCust</f>
        <v>0</v>
      </c>
      <c r="I674">
        <f>decStratEdaCust</f>
        <v>0</v>
      </c>
      <c r="J674" t="s">
        <v>2786</v>
      </c>
      <c r="K674" t="b">
        <f t="shared" si="38"/>
        <v>1</v>
      </c>
    </row>
    <row r="675" spans="2:11">
      <c r="B675" s="905" t="s">
        <v>4004</v>
      </c>
      <c r="E675">
        <f>decStratEdaComp</f>
        <v>0</v>
      </c>
      <c r="F675">
        <f>decStratEdaComp</f>
        <v>0</v>
      </c>
      <c r="G675">
        <f>decStratEdaComp</f>
        <v>0</v>
      </c>
      <c r="H675">
        <f>decStratEdaComp</f>
        <v>0</v>
      </c>
      <c r="I675">
        <f>decStratEdaComp</f>
        <v>0</v>
      </c>
      <c r="J675" t="s">
        <v>2787</v>
      </c>
      <c r="K675" t="b">
        <f t="shared" si="38"/>
        <v>1</v>
      </c>
    </row>
    <row r="676" spans="2:11">
      <c r="K676" t="b">
        <f t="shared" si="38"/>
        <v>1</v>
      </c>
    </row>
    <row r="677" spans="2:11">
      <c r="B677" s="2" t="s">
        <v>2841</v>
      </c>
      <c r="K677" t="b">
        <f t="shared" si="38"/>
        <v>1</v>
      </c>
    </row>
    <row r="678" spans="2:11">
      <c r="B678" s="905" t="s">
        <v>3442</v>
      </c>
      <c r="E678">
        <f t="shared" ref="E678:I679" si="41">SUM(E666,E672)</f>
        <v>0</v>
      </c>
      <c r="F678">
        <f t="shared" si="41"/>
        <v>0</v>
      </c>
      <c r="G678">
        <f t="shared" si="41"/>
        <v>0</v>
      </c>
      <c r="H678">
        <f t="shared" si="41"/>
        <v>0</v>
      </c>
      <c r="I678">
        <f t="shared" si="41"/>
        <v>0</v>
      </c>
      <c r="J678" t="s">
        <v>179</v>
      </c>
      <c r="K678" t="b">
        <f t="shared" si="38"/>
        <v>1</v>
      </c>
    </row>
    <row r="679" spans="2:11">
      <c r="B679" s="905" t="s">
        <v>1108</v>
      </c>
      <c r="E679">
        <f t="shared" si="41"/>
        <v>0</v>
      </c>
      <c r="F679">
        <f t="shared" si="41"/>
        <v>0</v>
      </c>
      <c r="G679">
        <f t="shared" si="41"/>
        <v>0</v>
      </c>
      <c r="H679">
        <f t="shared" si="41"/>
        <v>0</v>
      </c>
      <c r="I679">
        <f t="shared" si="41"/>
        <v>0</v>
      </c>
      <c r="J679" s="905" t="s">
        <v>4126</v>
      </c>
      <c r="K679" t="b">
        <f t="shared" si="38"/>
        <v>1</v>
      </c>
    </row>
    <row r="680" spans="2:11">
      <c r="B680" s="905" t="s">
        <v>4121</v>
      </c>
      <c r="E680">
        <f t="shared" ref="E680:I681" si="42">SUM(E667,E674)</f>
        <v>0</v>
      </c>
      <c r="F680">
        <f t="shared" si="42"/>
        <v>0</v>
      </c>
      <c r="G680">
        <f t="shared" si="42"/>
        <v>0</v>
      </c>
      <c r="H680">
        <f t="shared" si="42"/>
        <v>0</v>
      </c>
      <c r="I680">
        <f t="shared" si="42"/>
        <v>0</v>
      </c>
      <c r="J680" t="s">
        <v>180</v>
      </c>
      <c r="K680" t="b">
        <f t="shared" si="38"/>
        <v>1</v>
      </c>
    </row>
    <row r="681" spans="2:11">
      <c r="B681" s="905" t="s">
        <v>4004</v>
      </c>
      <c r="E681">
        <f t="shared" si="42"/>
        <v>0</v>
      </c>
      <c r="F681">
        <f t="shared" si="42"/>
        <v>0</v>
      </c>
      <c r="G681">
        <f t="shared" si="42"/>
        <v>0</v>
      </c>
      <c r="H681">
        <f t="shared" si="42"/>
        <v>0</v>
      </c>
      <c r="I681">
        <f t="shared" si="42"/>
        <v>0</v>
      </c>
      <c r="J681" t="s">
        <v>181</v>
      </c>
      <c r="K681" t="b">
        <f t="shared" si="38"/>
        <v>1</v>
      </c>
    </row>
    <row r="682" spans="2:11">
      <c r="K682" t="b">
        <f t="shared" si="38"/>
        <v>1</v>
      </c>
    </row>
    <row r="683" spans="2:11">
      <c r="B683" s="2" t="s">
        <v>2841</v>
      </c>
      <c r="K683" t="b">
        <f t="shared" si="38"/>
        <v>1</v>
      </c>
    </row>
    <row r="684" spans="2:11">
      <c r="B684" s="905" t="s">
        <v>3442</v>
      </c>
      <c r="E684">
        <f t="shared" ref="E684:I685" si="43">RANK(E678,E$678:E$681,-1)</f>
        <v>1</v>
      </c>
      <c r="F684">
        <f t="shared" si="43"/>
        <v>1</v>
      </c>
      <c r="G684">
        <f t="shared" si="43"/>
        <v>1</v>
      </c>
      <c r="H684">
        <f t="shared" si="43"/>
        <v>1</v>
      </c>
      <c r="I684">
        <f t="shared" si="43"/>
        <v>1</v>
      </c>
      <c r="J684" t="s">
        <v>2788</v>
      </c>
      <c r="K684" t="b">
        <f t="shared" si="38"/>
        <v>1</v>
      </c>
    </row>
    <row r="685" spans="2:11">
      <c r="B685" s="905" t="s">
        <v>1108</v>
      </c>
      <c r="E685">
        <f t="shared" si="43"/>
        <v>1</v>
      </c>
      <c r="F685">
        <f t="shared" si="43"/>
        <v>1</v>
      </c>
      <c r="G685">
        <f t="shared" si="43"/>
        <v>1</v>
      </c>
      <c r="H685">
        <f t="shared" si="43"/>
        <v>1</v>
      </c>
      <c r="I685">
        <f t="shared" si="43"/>
        <v>1</v>
      </c>
      <c r="J685" s="905" t="s">
        <v>4127</v>
      </c>
      <c r="K685" t="b">
        <f t="shared" si="38"/>
        <v>1</v>
      </c>
    </row>
    <row r="686" spans="2:11">
      <c r="B686" s="905" t="s">
        <v>4121</v>
      </c>
      <c r="E686">
        <f>RANK(E680,E$678:E$681,-1)</f>
        <v>1</v>
      </c>
      <c r="F686">
        <f t="shared" ref="F686:I687" si="44">RANK(F680,F$678:F$681,-1)</f>
        <v>1</v>
      </c>
      <c r="G686">
        <f t="shared" si="44"/>
        <v>1</v>
      </c>
      <c r="H686">
        <f t="shared" si="44"/>
        <v>1</v>
      </c>
      <c r="I686">
        <f t="shared" si="44"/>
        <v>1</v>
      </c>
      <c r="J686" t="s">
        <v>2789</v>
      </c>
      <c r="K686" t="b">
        <f t="shared" si="38"/>
        <v>1</v>
      </c>
    </row>
    <row r="687" spans="2:11">
      <c r="B687" s="905" t="s">
        <v>4004</v>
      </c>
      <c r="E687">
        <f>RANK(E681,E$678:E$681,-1)</f>
        <v>1</v>
      </c>
      <c r="F687">
        <f t="shared" si="44"/>
        <v>1</v>
      </c>
      <c r="G687">
        <f t="shared" si="44"/>
        <v>1</v>
      </c>
      <c r="H687">
        <f t="shared" si="44"/>
        <v>1</v>
      </c>
      <c r="I687">
        <f t="shared" si="44"/>
        <v>1</v>
      </c>
      <c r="J687" t="s">
        <v>2790</v>
      </c>
      <c r="K687" t="b">
        <f t="shared" si="38"/>
        <v>1</v>
      </c>
    </row>
    <row r="688" spans="2:11">
      <c r="K688" t="b">
        <f t="shared" si="38"/>
        <v>1</v>
      </c>
    </row>
    <row r="689" spans="2:11">
      <c r="B689" t="s">
        <v>2809</v>
      </c>
      <c r="E689">
        <f>SUM(E642:E644,E649:E651)</f>
        <v>0</v>
      </c>
      <c r="F689">
        <f>SUM(F642:F644,F649:F651)</f>
        <v>0</v>
      </c>
      <c r="G689">
        <f>SUM(G642:G644,G649:G651)</f>
        <v>0</v>
      </c>
      <c r="H689">
        <f>SUM(H642:H644,H649:H651)</f>
        <v>0</v>
      </c>
      <c r="I689">
        <f>SUM(I642:I644,I649:I651)</f>
        <v>0</v>
      </c>
      <c r="J689" t="s">
        <v>2810</v>
      </c>
      <c r="K689" t="b">
        <f t="shared" si="38"/>
        <v>1</v>
      </c>
    </row>
    <row r="690" spans="2:11">
      <c r="K690" t="b">
        <f t="shared" si="38"/>
        <v>1</v>
      </c>
    </row>
    <row r="691" spans="2:11">
      <c r="B691" s="2" t="s">
        <v>2806</v>
      </c>
      <c r="K691" t="b">
        <f t="shared" si="38"/>
        <v>1</v>
      </c>
    </row>
    <row r="692" spans="2:11">
      <c r="B692" t="s">
        <v>2802</v>
      </c>
      <c r="E692">
        <f t="shared" ref="E692:I697" si="45">IF(capStratTotalRatingAllocation=0,0,E642/capStratTotalRatingAllocation)</f>
        <v>0</v>
      </c>
      <c r="F692">
        <f t="shared" si="45"/>
        <v>0</v>
      </c>
      <c r="G692">
        <f t="shared" si="45"/>
        <v>0</v>
      </c>
      <c r="H692">
        <f t="shared" si="45"/>
        <v>0</v>
      </c>
      <c r="I692">
        <f t="shared" si="45"/>
        <v>0</v>
      </c>
      <c r="J692" t="s">
        <v>2811</v>
      </c>
      <c r="K692" t="b">
        <f t="shared" si="38"/>
        <v>1</v>
      </c>
    </row>
    <row r="693" spans="2:11">
      <c r="B693" t="s">
        <v>2807</v>
      </c>
      <c r="E693">
        <f t="shared" si="45"/>
        <v>0</v>
      </c>
      <c r="F693">
        <f t="shared" si="45"/>
        <v>0</v>
      </c>
      <c r="G693">
        <f t="shared" si="45"/>
        <v>0</v>
      </c>
      <c r="H693">
        <f t="shared" si="45"/>
        <v>0</v>
      </c>
      <c r="I693">
        <f t="shared" si="45"/>
        <v>0</v>
      </c>
      <c r="J693" t="s">
        <v>2812</v>
      </c>
      <c r="K693" t="b">
        <f t="shared" si="38"/>
        <v>1</v>
      </c>
    </row>
    <row r="694" spans="2:11">
      <c r="B694" t="s">
        <v>2803</v>
      </c>
      <c r="E694">
        <f t="shared" si="45"/>
        <v>0</v>
      </c>
      <c r="F694">
        <f t="shared" si="45"/>
        <v>0</v>
      </c>
      <c r="G694">
        <f t="shared" si="45"/>
        <v>0</v>
      </c>
      <c r="H694">
        <f t="shared" si="45"/>
        <v>0</v>
      </c>
      <c r="I694">
        <f t="shared" si="45"/>
        <v>0</v>
      </c>
      <c r="J694" t="s">
        <v>2813</v>
      </c>
      <c r="K694" t="b">
        <f t="shared" si="38"/>
        <v>1</v>
      </c>
    </row>
    <row r="695" spans="2:11">
      <c r="B695" t="s">
        <v>2804</v>
      </c>
      <c r="E695">
        <f t="shared" si="45"/>
        <v>0</v>
      </c>
      <c r="F695">
        <f t="shared" si="45"/>
        <v>0</v>
      </c>
      <c r="G695">
        <f t="shared" si="45"/>
        <v>0</v>
      </c>
      <c r="H695">
        <f t="shared" si="45"/>
        <v>0</v>
      </c>
      <c r="I695">
        <f t="shared" si="45"/>
        <v>0</v>
      </c>
      <c r="J695" t="s">
        <v>2814</v>
      </c>
      <c r="K695" t="b">
        <f t="shared" si="38"/>
        <v>1</v>
      </c>
    </row>
    <row r="696" spans="2:11">
      <c r="B696" t="s">
        <v>2808</v>
      </c>
      <c r="E696">
        <f t="shared" si="45"/>
        <v>0</v>
      </c>
      <c r="F696">
        <f t="shared" si="45"/>
        <v>0</v>
      </c>
      <c r="G696">
        <f t="shared" si="45"/>
        <v>0</v>
      </c>
      <c r="H696">
        <f t="shared" si="45"/>
        <v>0</v>
      </c>
      <c r="I696">
        <f t="shared" si="45"/>
        <v>0</v>
      </c>
      <c r="J696" t="s">
        <v>2815</v>
      </c>
      <c r="K696" t="b">
        <f t="shared" si="38"/>
        <v>1</v>
      </c>
    </row>
    <row r="697" spans="2:11">
      <c r="B697" t="s">
        <v>2805</v>
      </c>
      <c r="E697">
        <f t="shared" si="45"/>
        <v>0</v>
      </c>
      <c r="F697">
        <f t="shared" si="45"/>
        <v>0</v>
      </c>
      <c r="G697">
        <f t="shared" si="45"/>
        <v>0</v>
      </c>
      <c r="H697">
        <f t="shared" si="45"/>
        <v>0</v>
      </c>
      <c r="I697">
        <f t="shared" si="45"/>
        <v>0</v>
      </c>
      <c r="J697" t="s">
        <v>1653</v>
      </c>
      <c r="K697" t="b">
        <f t="shared" si="38"/>
        <v>1</v>
      </c>
    </row>
    <row r="698" spans="2:11">
      <c r="K698" t="b">
        <f t="shared" si="38"/>
        <v>1</v>
      </c>
    </row>
    <row r="699" spans="2:11">
      <c r="B699" s="2" t="s">
        <v>1654</v>
      </c>
      <c r="K699" t="b">
        <f t="shared" si="38"/>
        <v>1</v>
      </c>
    </row>
    <row r="700" spans="2:11">
      <c r="B700" s="905" t="s">
        <v>4128</v>
      </c>
      <c r="E700">
        <f t="shared" ref="E700:I703" si="46">IF(E666=0,0,CHOOSE(E666,7,5,3,1))</f>
        <v>0</v>
      </c>
      <c r="F700">
        <f t="shared" si="46"/>
        <v>0</v>
      </c>
      <c r="G700">
        <f t="shared" si="46"/>
        <v>0</v>
      </c>
      <c r="H700">
        <f t="shared" si="46"/>
        <v>0</v>
      </c>
      <c r="I700">
        <f t="shared" si="46"/>
        <v>0</v>
      </c>
      <c r="J700" t="s">
        <v>182</v>
      </c>
      <c r="K700" t="b">
        <f t="shared" si="38"/>
        <v>1</v>
      </c>
    </row>
    <row r="701" spans="2:11">
      <c r="B701" s="905" t="s">
        <v>4129</v>
      </c>
      <c r="E701">
        <f t="shared" si="46"/>
        <v>0</v>
      </c>
      <c r="F701">
        <f t="shared" si="46"/>
        <v>0</v>
      </c>
      <c r="G701">
        <f t="shared" si="46"/>
        <v>0</v>
      </c>
      <c r="H701">
        <f t="shared" si="46"/>
        <v>0</v>
      </c>
      <c r="I701">
        <f t="shared" si="46"/>
        <v>0</v>
      </c>
      <c r="J701" s="905" t="s">
        <v>4140</v>
      </c>
      <c r="K701" t="b">
        <f t="shared" si="38"/>
        <v>1</v>
      </c>
    </row>
    <row r="702" spans="2:11">
      <c r="B702" s="905" t="s">
        <v>4130</v>
      </c>
      <c r="E702">
        <f t="shared" si="46"/>
        <v>0</v>
      </c>
      <c r="F702">
        <f t="shared" si="46"/>
        <v>0</v>
      </c>
      <c r="G702">
        <f t="shared" si="46"/>
        <v>0</v>
      </c>
      <c r="H702">
        <f t="shared" si="46"/>
        <v>0</v>
      </c>
      <c r="I702">
        <f t="shared" si="46"/>
        <v>0</v>
      </c>
      <c r="J702" t="s">
        <v>183</v>
      </c>
      <c r="K702" t="b">
        <f t="shared" si="38"/>
        <v>1</v>
      </c>
    </row>
    <row r="703" spans="2:11">
      <c r="B703" s="905" t="s">
        <v>4131</v>
      </c>
      <c r="E703">
        <f t="shared" si="46"/>
        <v>0</v>
      </c>
      <c r="F703">
        <f t="shared" si="46"/>
        <v>0</v>
      </c>
      <c r="G703">
        <f t="shared" si="46"/>
        <v>0</v>
      </c>
      <c r="H703">
        <f t="shared" si="46"/>
        <v>0</v>
      </c>
      <c r="I703">
        <f t="shared" si="46"/>
        <v>0</v>
      </c>
      <c r="J703" t="s">
        <v>184</v>
      </c>
      <c r="K703" t="b">
        <f t="shared" si="38"/>
        <v>1</v>
      </c>
    </row>
    <row r="704" spans="2:11">
      <c r="B704" s="905" t="s">
        <v>4132</v>
      </c>
      <c r="E704">
        <f t="shared" ref="E704:I707" si="47">IF(E672=0,0,CHOOSE(E672,7,5,3,1))</f>
        <v>0</v>
      </c>
      <c r="F704">
        <f t="shared" si="47"/>
        <v>0</v>
      </c>
      <c r="G704">
        <f t="shared" si="47"/>
        <v>0</v>
      </c>
      <c r="H704">
        <f t="shared" si="47"/>
        <v>0</v>
      </c>
      <c r="I704">
        <f t="shared" si="47"/>
        <v>0</v>
      </c>
      <c r="J704" t="s">
        <v>185</v>
      </c>
      <c r="K704" t="b">
        <f t="shared" si="38"/>
        <v>1</v>
      </c>
    </row>
    <row r="705" spans="1:11">
      <c r="B705" s="905" t="s">
        <v>4133</v>
      </c>
      <c r="E705">
        <f t="shared" si="47"/>
        <v>0</v>
      </c>
      <c r="F705">
        <f t="shared" si="47"/>
        <v>0</v>
      </c>
      <c r="G705">
        <f t="shared" si="47"/>
        <v>0</v>
      </c>
      <c r="H705">
        <f t="shared" si="47"/>
        <v>0</v>
      </c>
      <c r="I705">
        <f t="shared" si="47"/>
        <v>0</v>
      </c>
      <c r="J705" s="905" t="s">
        <v>4141</v>
      </c>
      <c r="K705" t="b">
        <f t="shared" si="38"/>
        <v>1</v>
      </c>
    </row>
    <row r="706" spans="1:11">
      <c r="B706" s="905" t="s">
        <v>4134</v>
      </c>
      <c r="E706">
        <f t="shared" si="47"/>
        <v>0</v>
      </c>
      <c r="F706">
        <f t="shared" si="47"/>
        <v>0</v>
      </c>
      <c r="G706">
        <f t="shared" si="47"/>
        <v>0</v>
      </c>
      <c r="H706">
        <f t="shared" si="47"/>
        <v>0</v>
      </c>
      <c r="I706">
        <f t="shared" si="47"/>
        <v>0</v>
      </c>
      <c r="J706" t="s">
        <v>186</v>
      </c>
      <c r="K706" t="b">
        <f t="shared" si="38"/>
        <v>1</v>
      </c>
    </row>
    <row r="707" spans="1:11">
      <c r="B707" s="905" t="s">
        <v>4135</v>
      </c>
      <c r="E707">
        <f t="shared" si="47"/>
        <v>0</v>
      </c>
      <c r="F707">
        <f t="shared" si="47"/>
        <v>0</v>
      </c>
      <c r="G707">
        <f t="shared" si="47"/>
        <v>0</v>
      </c>
      <c r="H707">
        <f t="shared" si="47"/>
        <v>0</v>
      </c>
      <c r="I707">
        <f t="shared" si="47"/>
        <v>0</v>
      </c>
      <c r="J707" t="s">
        <v>187</v>
      </c>
      <c r="K707" t="b">
        <f t="shared" si="38"/>
        <v>1</v>
      </c>
    </row>
    <row r="708" spans="1:11">
      <c r="B708" s="905" t="s">
        <v>4136</v>
      </c>
      <c r="E708">
        <f t="shared" ref="E708:I711" si="48">IF(E684=0,0,CHOOSE(E684,7,5,3,1))</f>
        <v>7</v>
      </c>
      <c r="F708">
        <f t="shared" si="48"/>
        <v>7</v>
      </c>
      <c r="G708">
        <f t="shared" si="48"/>
        <v>7</v>
      </c>
      <c r="H708">
        <f t="shared" si="48"/>
        <v>7</v>
      </c>
      <c r="I708">
        <f t="shared" si="48"/>
        <v>7</v>
      </c>
      <c r="J708" t="s">
        <v>178</v>
      </c>
      <c r="K708" t="b">
        <f t="shared" si="38"/>
        <v>1</v>
      </c>
    </row>
    <row r="709" spans="1:11">
      <c r="B709" s="905" t="s">
        <v>4137</v>
      </c>
      <c r="E709">
        <f t="shared" si="48"/>
        <v>7</v>
      </c>
      <c r="F709">
        <f t="shared" si="48"/>
        <v>7</v>
      </c>
      <c r="G709">
        <f t="shared" si="48"/>
        <v>7</v>
      </c>
      <c r="H709">
        <f t="shared" si="48"/>
        <v>7</v>
      </c>
      <c r="I709">
        <f t="shared" si="48"/>
        <v>7</v>
      </c>
      <c r="J709" s="905" t="s">
        <v>4142</v>
      </c>
      <c r="K709" t="b">
        <f t="shared" si="38"/>
        <v>1</v>
      </c>
    </row>
    <row r="710" spans="1:11">
      <c r="B710" s="905" t="s">
        <v>4138</v>
      </c>
      <c r="E710">
        <f t="shared" si="48"/>
        <v>7</v>
      </c>
      <c r="F710">
        <f t="shared" si="48"/>
        <v>7</v>
      </c>
      <c r="G710">
        <f t="shared" si="48"/>
        <v>7</v>
      </c>
      <c r="H710">
        <f t="shared" si="48"/>
        <v>7</v>
      </c>
      <c r="I710">
        <f t="shared" si="48"/>
        <v>7</v>
      </c>
      <c r="J710" t="s">
        <v>188</v>
      </c>
      <c r="K710" t="b">
        <f t="shared" si="38"/>
        <v>1</v>
      </c>
    </row>
    <row r="711" spans="1:11">
      <c r="B711" s="905" t="s">
        <v>4139</v>
      </c>
      <c r="E711">
        <f t="shared" si="48"/>
        <v>7</v>
      </c>
      <c r="F711">
        <f t="shared" si="48"/>
        <v>7</v>
      </c>
      <c r="G711">
        <f t="shared" si="48"/>
        <v>7</v>
      </c>
      <c r="H711">
        <f t="shared" si="48"/>
        <v>7</v>
      </c>
      <c r="I711">
        <f t="shared" si="48"/>
        <v>7</v>
      </c>
      <c r="J711" t="s">
        <v>3218</v>
      </c>
      <c r="K711" t="b">
        <f>MAX(E711:I711)=MIN(E711:I711)</f>
        <v>1</v>
      </c>
    </row>
    <row r="712" spans="1:11">
      <c r="K712" t="b">
        <f t="shared" ref="K712" si="49">MAX(E712:I712)=MIN(E712:I712)</f>
        <v>1</v>
      </c>
    </row>
    <row r="713" spans="1:11" ht="15.75">
      <c r="A713" s="24" t="s">
        <v>4582</v>
      </c>
      <c r="B713" s="25"/>
      <c r="C713" s="25"/>
      <c r="D713" s="25"/>
      <c r="E713" s="25"/>
      <c r="F713" s="25"/>
      <c r="G713" s="25"/>
      <c r="H713" s="25"/>
      <c r="I713" s="25"/>
      <c r="K713" t="b">
        <f>MAX(E713:I713)=MIN(E713:I713)</f>
        <v>1</v>
      </c>
    </row>
    <row r="714" spans="1:11">
      <c r="K714" t="b">
        <f>MAX(E714:I714)=MIN(E714:I714)</f>
        <v>1</v>
      </c>
    </row>
    <row r="715" spans="1:11">
      <c r="C715" t="str">
        <f>dec!B10</f>
        <v>CSD Region 1 Price</v>
      </c>
      <c r="E715">
        <f>MAX(0,ROUND(decProd1Reg1Price,2))</f>
        <v>9.5</v>
      </c>
      <c r="F715">
        <f>MAX(0,ROUND(decProd1Reg1Price,2))</f>
        <v>9.5</v>
      </c>
      <c r="G715">
        <f>MAX(0,ROUND(decProd1Reg1Price,2))</f>
        <v>9.5</v>
      </c>
      <c r="H715">
        <f>MAX(0,ROUND(decProd1Reg1Price,2))</f>
        <v>9.5</v>
      </c>
      <c r="I715">
        <f>MAX(0,ROUND(decProd1Reg1Price,2))</f>
        <v>9.5</v>
      </c>
      <c r="J715" t="s">
        <v>4585</v>
      </c>
      <c r="K715" t="b">
        <f>MAX(E715:I715)=MIN(E715:I715)</f>
        <v>1</v>
      </c>
    </row>
    <row r="716" spans="1:11">
      <c r="C716" t="str">
        <f>dec!B11</f>
        <v>CSD Region 2 Price</v>
      </c>
      <c r="E716">
        <f>MAX(0,ROUND(decProd1Reg2Price,2))</f>
        <v>7</v>
      </c>
      <c r="F716">
        <f>MAX(0,ROUND(decProd1Reg2Price,2))</f>
        <v>7</v>
      </c>
      <c r="G716">
        <f>MAX(0,ROUND(decProd1Reg2Price,2))</f>
        <v>7</v>
      </c>
      <c r="H716">
        <f>MAX(0,ROUND(decProd1Reg2Price,2))</f>
        <v>7</v>
      </c>
      <c r="I716">
        <f>MAX(0,ROUND(decProd1Reg2Price,2))</f>
        <v>7</v>
      </c>
      <c r="J716" t="s">
        <v>4586</v>
      </c>
      <c r="K716" t="b">
        <f t="shared" ref="K716:K793" si="50">MAX(E716:I716)=MIN(E716:I716)</f>
        <v>1</v>
      </c>
    </row>
    <row r="717" spans="1:11">
      <c r="C717" t="s">
        <v>4588</v>
      </c>
      <c r="E717">
        <f>MAX(0,ROUND((1+decProd1Reg1Grth)*obalProd1Reg1UnitsSold,0))</f>
        <v>741713021</v>
      </c>
      <c r="F717">
        <f>MAX(0,ROUND((1+decProd1Reg1Grth)*obalProd1Reg1UnitsSold,0))</f>
        <v>741713021</v>
      </c>
      <c r="G717">
        <f>MAX(0,ROUND((1+decProd1Reg1Grth)*obalProd1Reg1UnitsSold,0))</f>
        <v>741713021</v>
      </c>
      <c r="H717">
        <f>MAX(0,ROUND((1+decProd1Reg1Grth)*obalProd1Reg1UnitsSold,0))</f>
        <v>741713021</v>
      </c>
      <c r="I717">
        <f>MAX(0,ROUND((1+decProd1Reg1Grth)*obalProd1Reg1UnitsSold,0))</f>
        <v>741713021</v>
      </c>
      <c r="J717" t="s">
        <v>4583</v>
      </c>
      <c r="K717" t="b">
        <f t="shared" si="50"/>
        <v>1</v>
      </c>
    </row>
    <row r="718" spans="1:11">
      <c r="C718" t="s">
        <v>4587</v>
      </c>
      <c r="E718">
        <f>MAX(0,ROUND((1+decProd1Reg2Grth)*obalProd1Reg2UnitsSold,0))</f>
        <v>362759987</v>
      </c>
      <c r="F718">
        <f>MAX(0,ROUND((1+decProd1Reg2Grth)*obalProd1Reg2UnitsSold,0))</f>
        <v>362759987</v>
      </c>
      <c r="G718">
        <f>MAX(0,ROUND((1+decProd1Reg2Grth)*obalProd1Reg2UnitsSold,0))</f>
        <v>362759987</v>
      </c>
      <c r="H718">
        <f>MAX(0,ROUND((1+decProd1Reg2Grth)*obalProd1Reg2UnitsSold,0))</f>
        <v>362759987</v>
      </c>
      <c r="I718">
        <f>MAX(0,ROUND((1+decProd1Reg2Grth)*obalProd1Reg2UnitsSold,0))</f>
        <v>362759987</v>
      </c>
      <c r="J718" t="s">
        <v>4584</v>
      </c>
      <c r="K718" t="b">
        <f t="shared" si="50"/>
        <v>1</v>
      </c>
    </row>
    <row r="719" spans="1:11">
      <c r="C719" t="s">
        <v>4590</v>
      </c>
      <c r="E719">
        <f>VLOOKUP(decProd1Ftr4LevelDec,dataBrandsImpactMatrix,2,0)</f>
        <v>6</v>
      </c>
      <c r="F719">
        <f>VLOOKUP(decProd1Ftr4LevelDec,dataBrandsImpactMatrix,2,0)</f>
        <v>6</v>
      </c>
      <c r="G719">
        <f>VLOOKUP(decProd1Ftr4LevelDec,dataBrandsImpactMatrix,2,0)</f>
        <v>6</v>
      </c>
      <c r="H719">
        <f>VLOOKUP(decProd1Ftr4LevelDec,dataBrandsImpactMatrix,2,0)</f>
        <v>6</v>
      </c>
      <c r="I719">
        <f>VLOOKUP(decProd1Ftr4LevelDec,dataBrandsImpactMatrix,2,0)</f>
        <v>6</v>
      </c>
      <c r="J719" t="s">
        <v>4589</v>
      </c>
      <c r="K719" t="b">
        <f t="shared" si="50"/>
        <v>1</v>
      </c>
    </row>
    <row r="720" spans="1:11">
      <c r="C720" t="str">
        <f>dec!B20</f>
        <v>CSD Region 1 Advertising</v>
      </c>
      <c r="E720">
        <f>decProd1Adv*1000000</f>
        <v>410000000</v>
      </c>
      <c r="F720">
        <f>decProd1Adv*1000000</f>
        <v>410000000</v>
      </c>
      <c r="G720">
        <f>decProd1Adv*1000000</f>
        <v>410000000</v>
      </c>
      <c r="H720">
        <f>decProd1Adv*1000000</f>
        <v>410000000</v>
      </c>
      <c r="I720">
        <f>decProd1Adv*1000000</f>
        <v>410000000</v>
      </c>
      <c r="J720" t="s">
        <v>3835</v>
      </c>
      <c r="K720" t="b">
        <f t="shared" si="50"/>
        <v>1</v>
      </c>
    </row>
    <row r="721" spans="3:11">
      <c r="C721" t="str">
        <f>dec!B21</f>
        <v>CSD Region 2 Advertising</v>
      </c>
      <c r="E721">
        <f>decProd1AdvR2*1000000</f>
        <v>80000000</v>
      </c>
      <c r="F721">
        <f>decProd1AdvR2*1000000</f>
        <v>80000000</v>
      </c>
      <c r="G721">
        <f>decProd1AdvR2*1000000</f>
        <v>80000000</v>
      </c>
      <c r="H721">
        <f>decProd1AdvR2*1000000</f>
        <v>80000000</v>
      </c>
      <c r="I721">
        <f>decProd1AdvR2*1000000</f>
        <v>80000000</v>
      </c>
      <c r="J721" t="s">
        <v>4591</v>
      </c>
      <c r="K721" t="b">
        <f t="shared" si="50"/>
        <v>1</v>
      </c>
    </row>
    <row r="722" spans="3:11">
      <c r="C722" t="str">
        <f>dec!B22</f>
        <v>CSD Region 1 Promotions</v>
      </c>
      <c r="E722">
        <f>decProd1Promo*1000000</f>
        <v>1450000000</v>
      </c>
      <c r="F722">
        <f>decProd1Promo*1000000</f>
        <v>1450000000</v>
      </c>
      <c r="G722">
        <f>decProd1Promo*1000000</f>
        <v>1450000000</v>
      </c>
      <c r="H722">
        <f>decProd1Promo*1000000</f>
        <v>1450000000</v>
      </c>
      <c r="I722">
        <f>decProd1Promo*1000000</f>
        <v>1450000000</v>
      </c>
      <c r="J722" t="s">
        <v>4592</v>
      </c>
      <c r="K722" t="b">
        <f t="shared" si="50"/>
        <v>1</v>
      </c>
    </row>
    <row r="723" spans="3:11">
      <c r="C723" t="str">
        <f>dec!B23</f>
        <v>CSD Region 2 Promotions</v>
      </c>
      <c r="E723">
        <f>decProd1PromoR2*1000000</f>
        <v>195000000</v>
      </c>
      <c r="F723">
        <f>decProd1PromoR2*1000000</f>
        <v>195000000</v>
      </c>
      <c r="G723">
        <f>decProd1PromoR2*1000000</f>
        <v>195000000</v>
      </c>
      <c r="H723">
        <f>decProd1PromoR2*1000000</f>
        <v>195000000</v>
      </c>
      <c r="I723">
        <f>decProd1PromoR2*1000000</f>
        <v>195000000</v>
      </c>
      <c r="J723" t="s">
        <v>4593</v>
      </c>
      <c r="K723" t="b">
        <f t="shared" si="50"/>
        <v>1</v>
      </c>
    </row>
    <row r="724" spans="3:11">
      <c r="C724" t="str">
        <f>dec!B29</f>
        <v>Breakthrough 1 Price</v>
      </c>
      <c r="E724">
        <f>MAX(0,ROUND(decProd2Reg1Price,2))</f>
        <v>1</v>
      </c>
      <c r="F724">
        <f>MAX(0,ROUND(decProd2Reg1Price,2))</f>
        <v>1</v>
      </c>
      <c r="G724">
        <f>MAX(0,ROUND(decProd2Reg1Price,2))</f>
        <v>1</v>
      </c>
      <c r="H724">
        <f>MAX(0,ROUND(decProd2Reg1Price,2))</f>
        <v>1</v>
      </c>
      <c r="I724">
        <f>MAX(0,ROUND(decProd2Reg1Price,2))</f>
        <v>1</v>
      </c>
      <c r="J724" t="s">
        <v>4594</v>
      </c>
      <c r="K724" t="b">
        <f t="shared" si="50"/>
        <v>1</v>
      </c>
    </row>
    <row r="725" spans="3:11">
      <c r="C725" t="str">
        <f>dec!B30</f>
        <v>Breakthrough 2 Price</v>
      </c>
      <c r="E725">
        <f>MAX(0,ROUND(decProd2Reg2Price,2))</f>
        <v>1</v>
      </c>
      <c r="F725">
        <f>MAX(0,ROUND(decProd2Reg2Price,2))</f>
        <v>1</v>
      </c>
      <c r="G725">
        <f>MAX(0,ROUND(decProd2Reg2Price,2))</f>
        <v>1</v>
      </c>
      <c r="H725">
        <f>MAX(0,ROUND(decProd2Reg2Price,2))</f>
        <v>1</v>
      </c>
      <c r="I725">
        <f>MAX(0,ROUND(decProd2Reg2Price,2))</f>
        <v>1</v>
      </c>
      <c r="J725" t="s">
        <v>4595</v>
      </c>
      <c r="K725" t="b">
        <f t="shared" si="50"/>
        <v>1</v>
      </c>
    </row>
    <row r="726" spans="3:11">
      <c r="C726" t="str">
        <f>dec!B31</f>
        <v>Breakthrough 1 Forecast</v>
      </c>
      <c r="E726">
        <f>decProd2Reg1Units*1000</f>
        <v>1000000</v>
      </c>
      <c r="F726">
        <f>decProd2Reg1Units*1000</f>
        <v>1000000</v>
      </c>
      <c r="G726">
        <f>decProd2Reg1Units*1000</f>
        <v>1000000</v>
      </c>
      <c r="H726">
        <f>decProd2Reg1Units*1000</f>
        <v>1000000</v>
      </c>
      <c r="I726">
        <f>decProd2Reg1Units*1000</f>
        <v>1000000</v>
      </c>
      <c r="J726" t="s">
        <v>4596</v>
      </c>
      <c r="K726" t="b">
        <f t="shared" si="50"/>
        <v>1</v>
      </c>
    </row>
    <row r="727" spans="3:11">
      <c r="C727" t="str">
        <f>dec!B32</f>
        <v>Breakthrough 2 Forecast</v>
      </c>
      <c r="E727">
        <f>decProd2Reg2Units*1000</f>
        <v>1000000</v>
      </c>
      <c r="F727">
        <f>decProd2Reg2Units*1000</f>
        <v>1000000</v>
      </c>
      <c r="G727">
        <f>decProd2Reg2Units*1000</f>
        <v>1000000</v>
      </c>
      <c r="H727">
        <f>decProd2Reg2Units*1000</f>
        <v>1000000</v>
      </c>
      <c r="I727">
        <f>decProd2Reg2Units*1000</f>
        <v>1000000</v>
      </c>
      <c r="J727" t="s">
        <v>4597</v>
      </c>
      <c r="K727" t="b">
        <f t="shared" si="50"/>
        <v>1</v>
      </c>
    </row>
    <row r="728" spans="3:11">
      <c r="C728" t="str">
        <f>DataNameProd2&amp;" Family Brand"</f>
        <v>Breakthrough Family Brand</v>
      </c>
      <c r="E728" s="33">
        <v>0</v>
      </c>
      <c r="F728" s="33">
        <v>0</v>
      </c>
      <c r="G728" s="33">
        <v>0</v>
      </c>
      <c r="H728" s="33">
        <v>0</v>
      </c>
      <c r="I728" s="33">
        <v>0</v>
      </c>
      <c r="J728" t="s">
        <v>4598</v>
      </c>
      <c r="K728" t="b">
        <f t="shared" si="50"/>
        <v>1</v>
      </c>
    </row>
    <row r="729" spans="3:11">
      <c r="C729" t="str">
        <f>DataNameProd2&amp;" Partner Brand"</f>
        <v>Breakthrough Partner Brand</v>
      </c>
      <c r="E729" s="33">
        <v>0</v>
      </c>
      <c r="F729" s="33">
        <v>0</v>
      </c>
      <c r="G729" s="33">
        <v>0</v>
      </c>
      <c r="H729" s="33">
        <v>0</v>
      </c>
      <c r="I729" s="33">
        <v>0</v>
      </c>
      <c r="J729" t="s">
        <v>4599</v>
      </c>
      <c r="K729" t="b">
        <f t="shared" si="50"/>
        <v>1</v>
      </c>
    </row>
    <row r="730" spans="3:11">
      <c r="C730" t="str">
        <f>DataNameProd2&amp;" Speciality Brand"</f>
        <v>Breakthrough Speciality Brand</v>
      </c>
      <c r="E730" s="33">
        <v>0</v>
      </c>
      <c r="F730" s="33">
        <v>0</v>
      </c>
      <c r="G730" s="33">
        <v>0</v>
      </c>
      <c r="H730" s="33">
        <v>0</v>
      </c>
      <c r="I730" s="33">
        <v>0</v>
      </c>
      <c r="J730" t="s">
        <v>4600</v>
      </c>
      <c r="K730" t="b">
        <f t="shared" si="50"/>
        <v>1</v>
      </c>
    </row>
    <row r="731" spans="3:11">
      <c r="C731" t="str">
        <f>DataNameProd2&amp;" 1 Number of Brands"</f>
        <v>Breakthrough 1 Number of Brands</v>
      </c>
      <c r="E731" s="33">
        <f>VLOOKUP(decProd21Ftr4LevelDec,dataBrandsImpactMatrix,2,0)</f>
        <v>2</v>
      </c>
      <c r="F731" s="33">
        <f>VLOOKUP(decProd21Ftr4LevelDec,dataBrandsImpactMatrix,2,0)</f>
        <v>2</v>
      </c>
      <c r="G731" s="33">
        <f>VLOOKUP(decProd21Ftr4LevelDec,dataBrandsImpactMatrix,2,0)</f>
        <v>2</v>
      </c>
      <c r="H731" s="33">
        <f>VLOOKUP(decProd21Ftr4LevelDec,dataBrandsImpactMatrix,2,0)</f>
        <v>2</v>
      </c>
      <c r="I731" s="33">
        <f>VLOOKUP(decProd21Ftr4LevelDec,dataBrandsImpactMatrix,2,0)</f>
        <v>2</v>
      </c>
      <c r="J731" t="s">
        <v>4601</v>
      </c>
      <c r="K731" t="b">
        <f t="shared" si="50"/>
        <v>1</v>
      </c>
    </row>
    <row r="732" spans="3:11">
      <c r="C732" t="str">
        <f>DataNameProd2&amp;" 2 Number of Brands"</f>
        <v>Breakthrough 2 Number of Brands</v>
      </c>
      <c r="E732" s="33">
        <f>VLOOKUP(decProd22Ftr4LevelDec,dataBrandsImpactMatrix,2,0)</f>
        <v>2</v>
      </c>
      <c r="F732" s="33">
        <f>VLOOKUP(decProd22Ftr4LevelDec,dataBrandsImpactMatrix,2,0)</f>
        <v>2</v>
      </c>
      <c r="G732" s="33">
        <f>VLOOKUP(decProd22Ftr4LevelDec,dataBrandsImpactMatrix,2,0)</f>
        <v>2</v>
      </c>
      <c r="H732" s="33">
        <f>VLOOKUP(decProd22Ftr4LevelDec,dataBrandsImpactMatrix,2,0)</f>
        <v>2</v>
      </c>
      <c r="I732" s="33">
        <f>VLOOKUP(decProd22Ftr4LevelDec,dataBrandsImpactMatrix,2,0)</f>
        <v>2</v>
      </c>
      <c r="J732" t="s">
        <v>4602</v>
      </c>
      <c r="K732" t="b">
        <f t="shared" si="50"/>
        <v>1</v>
      </c>
    </row>
    <row r="733" spans="3:11">
      <c r="C733" t="str">
        <f>DataNameProd2&amp;" Brand Positioning"</f>
        <v>Breakthrough Brand Positioning</v>
      </c>
      <c r="E733" s="33">
        <v>0</v>
      </c>
      <c r="F733" s="33">
        <v>0</v>
      </c>
      <c r="G733" s="33">
        <v>0</v>
      </c>
      <c r="H733" s="33">
        <v>0</v>
      </c>
      <c r="I733" s="33">
        <v>0</v>
      </c>
      <c r="J733" t="s">
        <v>4603</v>
      </c>
      <c r="K733" t="b">
        <f t="shared" si="50"/>
        <v>1</v>
      </c>
    </row>
    <row r="734" spans="3:11">
      <c r="C734" t="str">
        <f>dec!B35</f>
        <v>Breakthrough 1 Advertising</v>
      </c>
      <c r="E734">
        <f>decProd2Adv*1000</f>
        <v>1000</v>
      </c>
      <c r="F734">
        <f>decProd2Adv*1000</f>
        <v>1000</v>
      </c>
      <c r="G734">
        <f>decProd2Adv*1000</f>
        <v>1000</v>
      </c>
      <c r="H734">
        <f>decProd2Adv*1000</f>
        <v>1000</v>
      </c>
      <c r="I734">
        <f>decProd2Adv*1000</f>
        <v>1000</v>
      </c>
      <c r="J734" t="s">
        <v>2110</v>
      </c>
      <c r="K734" t="b">
        <f t="shared" si="50"/>
        <v>1</v>
      </c>
    </row>
    <row r="735" spans="3:11">
      <c r="C735" t="str">
        <f>dec!B36</f>
        <v>Breakthrough 2 Advertising</v>
      </c>
      <c r="E735">
        <f>decProd2Adv2*1000</f>
        <v>1000</v>
      </c>
      <c r="F735">
        <f>decProd2Adv2*1000</f>
        <v>1000</v>
      </c>
      <c r="G735">
        <f>decProd2Adv2*1000</f>
        <v>1000</v>
      </c>
      <c r="H735">
        <f>decProd2Adv2*1000</f>
        <v>1000</v>
      </c>
      <c r="I735">
        <f>decProd2Adv2*1000</f>
        <v>1000</v>
      </c>
      <c r="J735" t="s">
        <v>4606</v>
      </c>
      <c r="K735" t="b">
        <f t="shared" si="50"/>
        <v>1</v>
      </c>
    </row>
    <row r="736" spans="3:11">
      <c r="C736" t="str">
        <f>dec!B37</f>
        <v>Breakthrough 1 Promotions</v>
      </c>
      <c r="E736">
        <f>decProd2Promo1*1000</f>
        <v>1000</v>
      </c>
      <c r="F736">
        <f>decProd2Promo1*1000</f>
        <v>1000</v>
      </c>
      <c r="G736">
        <f>decProd2Promo1*1000</f>
        <v>1000</v>
      </c>
      <c r="H736">
        <f>decProd2Promo1*1000</f>
        <v>1000</v>
      </c>
      <c r="I736">
        <f>decProd2Promo1*1000</f>
        <v>1000</v>
      </c>
      <c r="J736" t="s">
        <v>4607</v>
      </c>
      <c r="K736" t="b">
        <f t="shared" si="50"/>
        <v>1</v>
      </c>
    </row>
    <row r="737" spans="3:11">
      <c r="C737" t="str">
        <f>dec!B38</f>
        <v>Breakthrough 2 Promotions</v>
      </c>
      <c r="E737">
        <f>decProd2Promo2*1000</f>
        <v>1000</v>
      </c>
      <c r="F737">
        <f>decProd2Promo2*1000</f>
        <v>1000</v>
      </c>
      <c r="G737">
        <f>decProd2Promo2*1000</f>
        <v>1000</v>
      </c>
      <c r="H737">
        <f>decProd2Promo2*1000</f>
        <v>1000</v>
      </c>
      <c r="I737">
        <f>decProd2Promo2*1000</f>
        <v>1000</v>
      </c>
      <c r="J737" t="s">
        <v>4608</v>
      </c>
      <c r="K737" t="b">
        <f t="shared" si="50"/>
        <v>1</v>
      </c>
    </row>
    <row r="738" spans="3:11">
      <c r="C738" t="str">
        <f>dec!B39</f>
        <v>Breakthrough Prod Launch 1</v>
      </c>
      <c r="E738">
        <f>IF(decDisrupt1="Plant Flexibility Requirement",0,decDisrupt1)</f>
        <v>0</v>
      </c>
      <c r="F738">
        <f>IF(decDisrupt1="Plant Flexibility Requirement",0,decDisrupt1)</f>
        <v>0</v>
      </c>
      <c r="G738">
        <f>IF(decDisrupt1="Plant Flexibility Requirement",0,decDisrupt1)</f>
        <v>0</v>
      </c>
      <c r="H738">
        <f>IF(decDisrupt1="Plant Flexibility Requirement",0,decDisrupt1)</f>
        <v>0</v>
      </c>
      <c r="I738">
        <f>IF(decDisrupt1="Plant Flexibility Requirement",0,decDisrupt1)</f>
        <v>0</v>
      </c>
      <c r="J738" t="s">
        <v>4609</v>
      </c>
      <c r="K738" t="b">
        <f t="shared" si="50"/>
        <v>1</v>
      </c>
    </row>
    <row r="739" spans="3:11">
      <c r="C739" t="str">
        <f>dec!B40</f>
        <v>Breakthrough Prod Launch 2</v>
      </c>
      <c r="E739">
        <f>IF(decDisrupt2="Plant Flexibility Requirement",0,decDisrupt2)</f>
        <v>0</v>
      </c>
      <c r="F739">
        <f>IF(decDisrupt2="Plant Flexibility Requirement",0,decDisrupt2)</f>
        <v>0</v>
      </c>
      <c r="G739">
        <f>IF(decDisrupt2="Plant Flexibility Requirement",0,decDisrupt2)</f>
        <v>0</v>
      </c>
      <c r="H739">
        <f>IF(decDisrupt2="Plant Flexibility Requirement",0,decDisrupt2)</f>
        <v>0</v>
      </c>
      <c r="I739">
        <f>IF(decDisrupt2="Plant Flexibility Requirement",0,decDisrupt2)</f>
        <v>0</v>
      </c>
      <c r="J739" t="s">
        <v>4610</v>
      </c>
      <c r="K739" t="b">
        <f t="shared" si="50"/>
        <v>1</v>
      </c>
    </row>
    <row r="740" spans="3:11">
      <c r="C740" t="s">
        <v>4611</v>
      </c>
      <c r="E740">
        <f>MAX(0,ROUND(decProd3Reg1Price,2))</f>
        <v>15</v>
      </c>
      <c r="F740">
        <f>MAX(0,ROUND(decProd3Reg1Price,2))</f>
        <v>15</v>
      </c>
      <c r="G740">
        <f>MAX(0,ROUND(decProd3Reg1Price,2))</f>
        <v>15</v>
      </c>
      <c r="H740">
        <f>MAX(0,ROUND(decProd3Reg1Price,2))</f>
        <v>15</v>
      </c>
      <c r="I740">
        <f>MAX(0,ROUND(decProd3Reg1Price,2))</f>
        <v>15</v>
      </c>
      <c r="J740" t="s">
        <v>4613</v>
      </c>
      <c r="K740" t="b">
        <f t="shared" si="50"/>
        <v>1</v>
      </c>
    </row>
    <row r="741" spans="3:11">
      <c r="C741" t="s">
        <v>4612</v>
      </c>
      <c r="E741">
        <f>MAX(0,ROUND(decProd3Reg2Price,2))</f>
        <v>10</v>
      </c>
      <c r="F741">
        <f>MAX(0,ROUND(decProd3Reg2Price,2))</f>
        <v>10</v>
      </c>
      <c r="G741">
        <f>MAX(0,ROUND(decProd3Reg2Price,2))</f>
        <v>10</v>
      </c>
      <c r="H741">
        <f>MAX(0,ROUND(decProd3Reg2Price,2))</f>
        <v>10</v>
      </c>
      <c r="I741">
        <f>MAX(0,ROUND(decProd3Reg2Price,2))</f>
        <v>10</v>
      </c>
      <c r="J741" t="s">
        <v>4614</v>
      </c>
      <c r="K741" t="b">
        <f t="shared" si="50"/>
        <v>1</v>
      </c>
    </row>
    <row r="742" spans="3:11">
      <c r="C742" t="str">
        <f>DataNameProd3&amp;" Region 1 Forecast"</f>
        <v>NCB Region 1 Forecast</v>
      </c>
      <c r="E742" s="139">
        <f>MAX(0,ROUND((1+decProd3Reg1Grth)*obalProd3Reg1UnitsSold,0))</f>
        <v>373703400</v>
      </c>
      <c r="F742" s="139">
        <f>MAX(0,ROUND((1+decProd3Reg1Grth)*obalProd3Reg1UnitsSold,0))</f>
        <v>373703400</v>
      </c>
      <c r="G742" s="139">
        <f>MAX(0,ROUND((1+decProd3Reg1Grth)*obalProd3Reg1UnitsSold,0))</f>
        <v>373703400</v>
      </c>
      <c r="H742" s="139">
        <f>MAX(0,ROUND((1+decProd3Reg1Grth)*obalProd3Reg1UnitsSold,0))</f>
        <v>373703400</v>
      </c>
      <c r="I742" s="139">
        <f>MAX(0,ROUND((1+decProd3Reg1Grth)*obalProd3Reg1UnitsSold,0))</f>
        <v>373703400</v>
      </c>
      <c r="J742" t="s">
        <v>4615</v>
      </c>
      <c r="K742" t="b">
        <f t="shared" si="50"/>
        <v>1</v>
      </c>
    </row>
    <row r="743" spans="3:11">
      <c r="C743" t="str">
        <f>DataNameProd3&amp;" Region 2 Forecast"</f>
        <v>NCB Region 2 Forecast</v>
      </c>
      <c r="E743" s="139">
        <f>MAX(0,ROUND((1+decProd3Reg2Grth)*obalProd3Reg2UnitsSold,0))</f>
        <v>260876000</v>
      </c>
      <c r="F743" s="139">
        <f>MAX(0,ROUND((1+decProd3Reg2Grth)*obalProd3Reg2UnitsSold,0))</f>
        <v>260876000</v>
      </c>
      <c r="G743" s="139">
        <f>MAX(0,ROUND((1+decProd3Reg2Grth)*obalProd3Reg2UnitsSold,0))</f>
        <v>260876000</v>
      </c>
      <c r="H743" s="139">
        <f>MAX(0,ROUND((1+decProd3Reg2Grth)*obalProd3Reg2UnitsSold,0))</f>
        <v>260876000</v>
      </c>
      <c r="I743" s="139">
        <f>MAX(0,ROUND((1+decProd3Reg2Grth)*obalProd3Reg2UnitsSold,0))</f>
        <v>260876000</v>
      </c>
      <c r="J743" t="s">
        <v>4616</v>
      </c>
      <c r="K743" t="b">
        <f t="shared" si="50"/>
        <v>1</v>
      </c>
    </row>
    <row r="744" spans="3:11">
      <c r="C744" t="str">
        <f>DataNameProd3&amp;" Speciality Brand"</f>
        <v>NCB Speciality Brand</v>
      </c>
      <c r="E744" s="33">
        <v>0</v>
      </c>
      <c r="F744" s="33">
        <v>0</v>
      </c>
      <c r="G744" s="33">
        <v>0</v>
      </c>
      <c r="H744" s="33">
        <v>0</v>
      </c>
      <c r="I744" s="33">
        <v>0</v>
      </c>
      <c r="J744" t="s">
        <v>4617</v>
      </c>
      <c r="K744" t="b">
        <f t="shared" si="50"/>
        <v>1</v>
      </c>
    </row>
    <row r="745" spans="3:11">
      <c r="C745" t="str">
        <f>DataNameProd3&amp;" Number of Brands"</f>
        <v>NCB Number of Brands</v>
      </c>
      <c r="E745" s="33">
        <f>VLOOKUP(decProd3Ftr4LevelDec,dataBrandsImpactMatrix,2,0)</f>
        <v>4</v>
      </c>
      <c r="F745" s="33">
        <f>VLOOKUP(decProd3Ftr4LevelDec,dataBrandsImpactMatrix,2,0)</f>
        <v>4</v>
      </c>
      <c r="G745" s="33">
        <f>VLOOKUP(decProd3Ftr4LevelDec,dataBrandsImpactMatrix,2,0)</f>
        <v>4</v>
      </c>
      <c r="H745" s="33">
        <f>VLOOKUP(decProd3Ftr4LevelDec,dataBrandsImpactMatrix,2,0)</f>
        <v>4</v>
      </c>
      <c r="I745" s="33">
        <f>VLOOKUP(decProd3Ftr4LevelDec,dataBrandsImpactMatrix,2,0)</f>
        <v>4</v>
      </c>
      <c r="J745" t="s">
        <v>4618</v>
      </c>
      <c r="K745" t="b">
        <f t="shared" si="50"/>
        <v>1</v>
      </c>
    </row>
    <row r="746" spans="3:11">
      <c r="C746" t="s">
        <v>4619</v>
      </c>
      <c r="E746">
        <f>decProd3Adv*1000000</f>
        <v>495000000</v>
      </c>
      <c r="F746">
        <f>decProd3Adv*1000000</f>
        <v>495000000</v>
      </c>
      <c r="G746">
        <f>decProd3Adv*1000000</f>
        <v>495000000</v>
      </c>
      <c r="H746">
        <f>decProd3Adv*1000000</f>
        <v>495000000</v>
      </c>
      <c r="I746">
        <f>decProd3Adv*1000000</f>
        <v>495000000</v>
      </c>
      <c r="J746" t="s">
        <v>4623</v>
      </c>
      <c r="K746" t="b">
        <f t="shared" si="50"/>
        <v>1</v>
      </c>
    </row>
    <row r="747" spans="3:11">
      <c r="C747" t="s">
        <v>4620</v>
      </c>
      <c r="E747">
        <f>decProd3AdvR2*1000000</f>
        <v>65000000</v>
      </c>
      <c r="F747">
        <f>decProd3AdvR2*1000000</f>
        <v>65000000</v>
      </c>
      <c r="G747">
        <f>decProd3AdvR2*1000000</f>
        <v>65000000</v>
      </c>
      <c r="H747">
        <f>decProd3AdvR2*1000000</f>
        <v>65000000</v>
      </c>
      <c r="I747">
        <f>decProd3AdvR2*1000000</f>
        <v>65000000</v>
      </c>
      <c r="J747" t="s">
        <v>4624</v>
      </c>
      <c r="K747" t="b">
        <f t="shared" si="50"/>
        <v>1</v>
      </c>
    </row>
    <row r="748" spans="3:11">
      <c r="C748" t="s">
        <v>4621</v>
      </c>
      <c r="E748">
        <f>decProd3Promo*1000000</f>
        <v>855000000</v>
      </c>
      <c r="F748">
        <f>decProd3Promo*1000000</f>
        <v>855000000</v>
      </c>
      <c r="G748">
        <f>decProd3Promo*1000000</f>
        <v>855000000</v>
      </c>
      <c r="H748">
        <f>decProd3Promo*1000000</f>
        <v>855000000</v>
      </c>
      <c r="I748">
        <f>decProd3Promo*1000000</f>
        <v>855000000</v>
      </c>
      <c r="J748" t="s">
        <v>4625</v>
      </c>
      <c r="K748" t="b">
        <f t="shared" si="50"/>
        <v>1</v>
      </c>
    </row>
    <row r="749" spans="3:11">
      <c r="C749" t="s">
        <v>4622</v>
      </c>
      <c r="E749">
        <f>decProd3PromoR2*1000000</f>
        <v>165000000</v>
      </c>
      <c r="F749">
        <f>decProd3PromoR2*1000000</f>
        <v>165000000</v>
      </c>
      <c r="G749">
        <f>decProd3PromoR2*1000000</f>
        <v>165000000</v>
      </c>
      <c r="H749">
        <f>decProd3PromoR2*1000000</f>
        <v>165000000</v>
      </c>
      <c r="I749">
        <f>decProd3PromoR2*1000000</f>
        <v>165000000</v>
      </c>
      <c r="J749" t="s">
        <v>4626</v>
      </c>
      <c r="K749" t="b">
        <f t="shared" si="50"/>
        <v>1</v>
      </c>
    </row>
    <row r="750" spans="3:11">
      <c r="C750" t="str">
        <f>DataNameProd4&amp;" Region 1 Price"</f>
        <v>F&amp;S Region 1 Price</v>
      </c>
      <c r="E750">
        <f>MAX(0,ROUND(decProd4Reg1Price,2))</f>
        <v>12.5</v>
      </c>
      <c r="F750">
        <f>MAX(0,ROUND(decProd4Reg1Price,2))</f>
        <v>12.5</v>
      </c>
      <c r="G750">
        <f>MAX(0,ROUND(decProd4Reg1Price,2))</f>
        <v>12.5</v>
      </c>
      <c r="H750">
        <f>MAX(0,ROUND(decProd4Reg1Price,2))</f>
        <v>12.5</v>
      </c>
      <c r="I750">
        <f>MAX(0,ROUND(decProd4Reg1Price,2))</f>
        <v>12.5</v>
      </c>
      <c r="J750" t="s">
        <v>4627</v>
      </c>
      <c r="K750" t="b">
        <f t="shared" si="50"/>
        <v>1</v>
      </c>
    </row>
    <row r="751" spans="3:11">
      <c r="C751" t="str">
        <f>DataNameProd4&amp;" Region 2 Price"</f>
        <v>F&amp;S Region 2 Price</v>
      </c>
      <c r="E751">
        <f>MAX(0,ROUND(decProd4Reg2Price,2))</f>
        <v>9</v>
      </c>
      <c r="F751">
        <f>MAX(0,ROUND(decProd4Reg2Price,2))</f>
        <v>9</v>
      </c>
      <c r="G751">
        <f>MAX(0,ROUND(decProd4Reg2Price,2))</f>
        <v>9</v>
      </c>
      <c r="H751">
        <f>MAX(0,ROUND(decProd4Reg2Price,2))</f>
        <v>9</v>
      </c>
      <c r="I751">
        <f>MAX(0,ROUND(decProd4Reg2Price,2))</f>
        <v>9</v>
      </c>
      <c r="J751" t="s">
        <v>4628</v>
      </c>
      <c r="K751" t="b">
        <f t="shared" si="50"/>
        <v>1</v>
      </c>
    </row>
    <row r="752" spans="3:11">
      <c r="C752" t="str">
        <f>DataNameProd4&amp;" Region 1 Forecast"</f>
        <v>F&amp;S Region 1 Forecast</v>
      </c>
      <c r="E752" s="139">
        <f>MAX(0,ROUND((1+decProd4Reg1Grth)*obalProd4Reg1UnitsSold,0))</f>
        <v>552534000</v>
      </c>
      <c r="F752" s="139">
        <f>MAX(0,ROUND((1+decProd4Reg1Grth)*obalProd4Reg1UnitsSold,0))</f>
        <v>552534000</v>
      </c>
      <c r="G752" s="139">
        <f>MAX(0,ROUND((1+decProd4Reg1Grth)*obalProd4Reg1UnitsSold,0))</f>
        <v>552534000</v>
      </c>
      <c r="H752" s="139">
        <f>MAX(0,ROUND((1+decProd4Reg1Grth)*obalProd4Reg1UnitsSold,0))</f>
        <v>552534000</v>
      </c>
      <c r="I752" s="139">
        <f>MAX(0,ROUND((1+decProd4Reg1Grth)*obalProd4Reg1UnitsSold,0))</f>
        <v>552534000</v>
      </c>
      <c r="J752" t="s">
        <v>4629</v>
      </c>
      <c r="K752" t="b">
        <f t="shared" si="50"/>
        <v>1</v>
      </c>
    </row>
    <row r="753" spans="3:13">
      <c r="C753" t="str">
        <f>DataNameProd4&amp;" Region 2 Forecast"</f>
        <v>F&amp;S Region 2 Forecast</v>
      </c>
      <c r="E753" s="139">
        <f>MAX(0,ROUND((1+decProd4Reg2Grth)*obalProd4Reg2UnitsSold,0))</f>
        <v>243000000</v>
      </c>
      <c r="F753" s="139">
        <f>MAX(0,ROUND((1+decProd4Reg2Grth)*obalProd4Reg2UnitsSold,0))</f>
        <v>243000000</v>
      </c>
      <c r="G753" s="139">
        <f>MAX(0,ROUND((1+decProd4Reg2Grth)*obalProd4Reg2UnitsSold,0))</f>
        <v>243000000</v>
      </c>
      <c r="H753" s="139">
        <f>MAX(0,ROUND((1+decProd4Reg2Grth)*obalProd4Reg2UnitsSold,0))</f>
        <v>243000000</v>
      </c>
      <c r="I753" s="139">
        <f>MAX(0,ROUND((1+decProd4Reg2Grth)*obalProd4Reg2UnitsSold,0))</f>
        <v>243000000</v>
      </c>
      <c r="J753" t="s">
        <v>4630</v>
      </c>
      <c r="K753" t="b">
        <f t="shared" si="50"/>
        <v>1</v>
      </c>
    </row>
    <row r="754" spans="3:13">
      <c r="C754" t="str">
        <f>DataNameProd4&amp;" Number of Brands"</f>
        <v>F&amp;S Number of Brands</v>
      </c>
      <c r="E754" s="33">
        <f>VLOOKUP(decProd4Ftr4LevelDec,dataBrandsImpactMatrix,2,0)</f>
        <v>4</v>
      </c>
      <c r="F754" s="33">
        <f>VLOOKUP(decProd4Ftr4LevelDec,dataBrandsImpactMatrix,2,0)</f>
        <v>4</v>
      </c>
      <c r="G754" s="33">
        <f>VLOOKUP(decProd4Ftr4LevelDec,dataBrandsImpactMatrix,2,0)</f>
        <v>4</v>
      </c>
      <c r="H754" s="33">
        <f>VLOOKUP(decProd4Ftr4LevelDec,dataBrandsImpactMatrix,2,0)</f>
        <v>4</v>
      </c>
      <c r="I754" s="33">
        <f>VLOOKUP(decProd4Ftr4LevelDec,dataBrandsImpactMatrix,2,0)</f>
        <v>4</v>
      </c>
      <c r="J754" t="s">
        <v>4631</v>
      </c>
      <c r="K754" t="b">
        <f t="shared" si="50"/>
        <v>1</v>
      </c>
    </row>
    <row r="755" spans="3:13">
      <c r="C755" t="str">
        <f>DataNameProd4&amp;" Region 1 Advertising"</f>
        <v>F&amp;S Region 1 Advertising</v>
      </c>
      <c r="E755">
        <f>decProd4Adv*1000000</f>
        <v>325000000</v>
      </c>
      <c r="F755">
        <f>decProd4Adv*1000000</f>
        <v>325000000</v>
      </c>
      <c r="G755">
        <f>decProd4Adv*1000000</f>
        <v>325000000</v>
      </c>
      <c r="H755">
        <f>decProd4Adv*1000000</f>
        <v>325000000</v>
      </c>
      <c r="I755">
        <f>decProd4Adv*1000000</f>
        <v>325000000</v>
      </c>
      <c r="J755" t="s">
        <v>4632</v>
      </c>
      <c r="K755" t="b">
        <f t="shared" si="50"/>
        <v>1</v>
      </c>
    </row>
    <row r="756" spans="3:13">
      <c r="C756" t="str">
        <f>DataNameProd4&amp;" Region 2 Advertising"</f>
        <v>F&amp;S Region 2 Advertising</v>
      </c>
      <c r="E756">
        <f>decProd4AdvR2*1000000</f>
        <v>52000000</v>
      </c>
      <c r="F756">
        <f>decProd4AdvR2*1000000</f>
        <v>52000000</v>
      </c>
      <c r="G756">
        <f>decProd4AdvR2*1000000</f>
        <v>52000000</v>
      </c>
      <c r="H756">
        <f>decProd4AdvR2*1000000</f>
        <v>52000000</v>
      </c>
      <c r="I756">
        <f>decProd4AdvR2*1000000</f>
        <v>52000000</v>
      </c>
      <c r="J756" t="s">
        <v>4633</v>
      </c>
      <c r="K756" t="b">
        <f t="shared" si="50"/>
        <v>1</v>
      </c>
    </row>
    <row r="757" spans="3:13">
      <c r="C757" t="str">
        <f>DataNameProd4&amp;" Region 1 Promotions"</f>
        <v>F&amp;S Region 1 Promotions</v>
      </c>
      <c r="E757">
        <f>decProd4Promo*1000000</f>
        <v>760000000</v>
      </c>
      <c r="F757">
        <f>decProd4Promo*1000000</f>
        <v>760000000</v>
      </c>
      <c r="G757">
        <f>decProd4Promo*1000000</f>
        <v>760000000</v>
      </c>
      <c r="H757">
        <f>decProd4Promo*1000000</f>
        <v>760000000</v>
      </c>
      <c r="I757">
        <f>decProd4Promo*1000000</f>
        <v>760000000</v>
      </c>
      <c r="J757" t="s">
        <v>4634</v>
      </c>
      <c r="K757" t="b">
        <f t="shared" si="50"/>
        <v>1</v>
      </c>
    </row>
    <row r="758" spans="3:13">
      <c r="C758" t="str">
        <f>DataNameProd4&amp;" Region 2 Promotions"</f>
        <v>F&amp;S Region 2 Promotions</v>
      </c>
      <c r="E758">
        <f>decProd4PromoR2*1000000</f>
        <v>95000000</v>
      </c>
      <c r="F758">
        <f>decProd4PromoR2*1000000</f>
        <v>95000000</v>
      </c>
      <c r="G758">
        <f>decProd4PromoR2*1000000</f>
        <v>95000000</v>
      </c>
      <c r="H758">
        <f>decProd4PromoR2*1000000</f>
        <v>95000000</v>
      </c>
      <c r="I758">
        <f>decProd4PromoR2*1000000</f>
        <v>95000000</v>
      </c>
      <c r="J758" t="s">
        <v>4635</v>
      </c>
      <c r="K758" t="b">
        <f t="shared" si="50"/>
        <v>1</v>
      </c>
    </row>
    <row r="759" spans="3:13">
      <c r="C759" t="s">
        <v>1724</v>
      </c>
      <c r="E759">
        <f>ROUND(decReg1ChanLevel/10,0)</f>
        <v>3</v>
      </c>
      <c r="F759">
        <f>ROUND(decReg1ChanLevel/10,0)</f>
        <v>3</v>
      </c>
      <c r="G759">
        <f>ROUND(decReg1ChanLevel/10,0)</f>
        <v>3</v>
      </c>
      <c r="H759">
        <f>ROUND(decReg1ChanLevel/10,0)</f>
        <v>3</v>
      </c>
      <c r="I759">
        <f>ROUND(decReg1ChanLevel/10,0)</f>
        <v>3</v>
      </c>
      <c r="J759" t="s">
        <v>4636</v>
      </c>
      <c r="K759" t="b">
        <f t="shared" si="50"/>
        <v>1</v>
      </c>
    </row>
    <row r="760" spans="3:13">
      <c r="C760" t="s">
        <v>1725</v>
      </c>
      <c r="E760">
        <f>ROUND(decReg2ChanLevel/10,0)</f>
        <v>3</v>
      </c>
      <c r="F760">
        <f>ROUND(decReg2ChanLevel/10,0)</f>
        <v>3</v>
      </c>
      <c r="G760">
        <f>ROUND(decReg2ChanLevel/10,0)</f>
        <v>3</v>
      </c>
      <c r="H760">
        <f>ROUND(decReg2ChanLevel/10,0)</f>
        <v>3</v>
      </c>
      <c r="I760">
        <f>ROUND(decReg2ChanLevel/10,0)</f>
        <v>3</v>
      </c>
      <c r="J760" t="s">
        <v>4637</v>
      </c>
      <c r="K760" t="b">
        <f t="shared" si="50"/>
        <v>1</v>
      </c>
    </row>
    <row r="761" spans="3:13">
      <c r="C761" t="str">
        <f>DataNamePlant1&amp;" Change in Units"</f>
        <v>Plant Change in Units</v>
      </c>
      <c r="E761" s="33">
        <f>MAX(-obalPlant1Units+1,ROUND(decPlant1UnitsChange,0))</f>
        <v>20</v>
      </c>
      <c r="F761" s="33">
        <f>MAX(-obalPlant1Units+1,ROUND(decPlant1UnitsChange,0))</f>
        <v>20</v>
      </c>
      <c r="G761" s="33">
        <f>MAX(-obalPlant1Units+1,ROUND(decPlant1UnitsChange,0))</f>
        <v>20</v>
      </c>
      <c r="H761" s="33">
        <f>MAX(-obalPlant1Units+1,ROUND(decPlant1UnitsChange,0))</f>
        <v>20</v>
      </c>
      <c r="I761" s="33">
        <f>MAX(-obalPlant1Units+1,ROUND(decPlant1UnitsChange,0))</f>
        <v>20</v>
      </c>
      <c r="J761" t="s">
        <v>4638</v>
      </c>
      <c r="K761" t="b">
        <f t="shared" si="50"/>
        <v>1</v>
      </c>
    </row>
    <row r="762" spans="3:13">
      <c r="C762" t="str">
        <f>DataNameEmp1 &amp; " Recruit/Dismiss"</f>
        <v>Lower Region Sales Force Recruit/Dismiss</v>
      </c>
      <c r="E762" s="33">
        <f>MAX(-obalEmp1+capEmp1Att+1*(obalEmp1&gt;0),ROUND(decEmp1Change,0))</f>
        <v>400</v>
      </c>
      <c r="F762" s="33">
        <f>MAX(-obalEmp1+capEmp1Att+1*(obalEmp1&gt;0),ROUND(decEmp1Change,0))</f>
        <v>400</v>
      </c>
      <c r="G762" s="33">
        <f>MAX(-obalEmp1+capEmp1Att+1*(obalEmp1&gt;0),ROUND(decEmp1Change,0))</f>
        <v>400</v>
      </c>
      <c r="H762" s="33">
        <f>MAX(-obalEmp1+capEmp1Att+1*(obalEmp1&gt;0),ROUND(decEmp1Change,0))</f>
        <v>400</v>
      </c>
      <c r="I762" s="33">
        <f>MAX(-obalEmp1+capEmp1Att+1*(obalEmp1&gt;0),ROUND(decEmp1Change,0))</f>
        <v>400</v>
      </c>
      <c r="J762" t="s">
        <v>4640</v>
      </c>
      <c r="K762" t="b">
        <f t="shared" si="50"/>
        <v>1</v>
      </c>
    </row>
    <row r="763" spans="3:13">
      <c r="C763" t="str">
        <f>DataNameEmp2 &amp; " Recruit/Dismiss"</f>
        <v>Upper Region Sales Force Recruit/Dismiss</v>
      </c>
      <c r="E763" s="33">
        <f>MAX(-obalEmp2+capEmp2Att+1*(obalEmp2&gt;0),ROUND(decEmp2Change,0))</f>
        <v>245</v>
      </c>
      <c r="F763" s="33">
        <f>MAX(-obalEmp2+capEmp2Att+1*(obalEmp2&gt;0),ROUND(decEmp2Change,0))</f>
        <v>245</v>
      </c>
      <c r="G763" s="33">
        <f>MAX(-obalEmp2+capEmp2Att+1*(obalEmp2&gt;0),ROUND(decEmp2Change,0))</f>
        <v>245</v>
      </c>
      <c r="H763" s="33">
        <f>MAX(-obalEmp2+capEmp2Att+1*(obalEmp2&gt;0),ROUND(decEmp2Change,0))</f>
        <v>245</v>
      </c>
      <c r="I763" s="33">
        <f>MAX(-obalEmp2+capEmp2Att+1*(obalEmp2&gt;0),ROUND(decEmp2Change,0))</f>
        <v>245</v>
      </c>
      <c r="J763" t="s">
        <v>4641</v>
      </c>
      <c r="K763" t="b">
        <f t="shared" si="50"/>
        <v>1</v>
      </c>
    </row>
    <row r="764" spans="3:13">
      <c r="C764" t="str">
        <f>DataNameEmp3 &amp; " Recruit/Dismiss"</f>
        <v>Labor Recruit/Dismiss</v>
      </c>
      <c r="E764" s="33">
        <f>MAX(-obalEmp3+capEmp3Att+1*(obalEmp3&gt;0),ROUND(decEmp3Change,0))</f>
        <v>1000</v>
      </c>
      <c r="F764" s="33">
        <f>MAX(-obalEmp3+capEmp3Att+1*(obalEmp3&gt;0),ROUND(decEmp3Change,0))</f>
        <v>1000</v>
      </c>
      <c r="G764" s="33">
        <f>MAX(-obalEmp3+capEmp3Att+1*(obalEmp3&gt;0),ROUND(decEmp3Change,0))</f>
        <v>1000</v>
      </c>
      <c r="H764" s="33">
        <f>MAX(-obalEmp3+capEmp3Att+1*(obalEmp3&gt;0),ROUND(decEmp3Change,0))</f>
        <v>1000</v>
      </c>
      <c r="I764" s="33">
        <f>MAX(-obalEmp3+capEmp3Att+1*(obalEmp3&gt;0),ROUND(decEmp3Change,0))</f>
        <v>1000</v>
      </c>
      <c r="J764" t="s">
        <v>4642</v>
      </c>
      <c r="K764" t="b">
        <f t="shared" si="50"/>
        <v>1</v>
      </c>
    </row>
    <row r="765" spans="3:13">
      <c r="C765" t="s">
        <v>1405</v>
      </c>
      <c r="E765" s="139">
        <f>MAX(-obalLTDebtValue-obalCStockValue,ROUND((decLTDebtChange*1000000),0))</f>
        <v>0</v>
      </c>
      <c r="F765" s="139">
        <f>MAX(-obalLTDebtValue-obalCStockValue,ROUND((decLTDebtChange*1000000),0))</f>
        <v>0</v>
      </c>
      <c r="G765" s="139">
        <f>MAX(-obalLTDebtValue-obalCStockValue,ROUND((decLTDebtChange*1000000),0))</f>
        <v>0</v>
      </c>
      <c r="H765" s="139">
        <f>MAX(-obalLTDebtValue-obalCStockValue,ROUND((decLTDebtChange*1000000),0))</f>
        <v>0</v>
      </c>
      <c r="I765" s="139">
        <f>MAX(-obalLTDebtValue-obalCStockValue,ROUND((decLTDebtChange*1000000),0))</f>
        <v>0</v>
      </c>
      <c r="J765" t="s">
        <v>4646</v>
      </c>
      <c r="K765" t="b">
        <f t="shared" si="50"/>
        <v>1</v>
      </c>
      <c r="M765" s="2461" t="s">
        <v>4721</v>
      </c>
    </row>
    <row r="766" spans="3:13">
      <c r="C766" t="s">
        <v>1406</v>
      </c>
      <c r="E766" s="33">
        <f>decDividendAmount*(1.05^xxYear)</f>
        <v>0.36749999999999999</v>
      </c>
      <c r="F766" s="33">
        <f>decDividendAmount*(1.05^xxYear)</f>
        <v>0.36749999999999999</v>
      </c>
      <c r="G766" s="33">
        <f>decDividendAmount*(1.05^xxYear)</f>
        <v>0.36749999999999999</v>
      </c>
      <c r="H766" s="33">
        <f>decDividendAmount*(1.05^xxYear)</f>
        <v>0.36749999999999999</v>
      </c>
      <c r="I766" s="33">
        <f>decDividendAmount*(1.05^xxYear)</f>
        <v>0.36749999999999999</v>
      </c>
      <c r="J766" t="s">
        <v>4647</v>
      </c>
      <c r="K766" t="b">
        <f t="shared" si="50"/>
        <v>1</v>
      </c>
    </row>
    <row r="767" spans="3:13">
      <c r="C767" t="s">
        <v>1282</v>
      </c>
      <c r="E767" s="33">
        <f>IF(capWhatIfUnits=1,MAX(0,decProd1WhatIfUnits),1)</f>
        <v>1</v>
      </c>
      <c r="F767" s="33">
        <f>IF(capWhatIfUnits=1,MAX(0,decProd1WhatIfUnits),1)</f>
        <v>1</v>
      </c>
      <c r="G767" s="33">
        <f>IF(capWhatIfUnits=1,MAX(0,decProd1WhatIfUnits),1)</f>
        <v>1</v>
      </c>
      <c r="H767" s="33">
        <f>IF(capWhatIfUnits=1,MAX(0,decProd1WhatIfUnits),1)</f>
        <v>1</v>
      </c>
      <c r="I767" s="33">
        <f>IF(capWhatIfUnits=1,MAX(0,decProd1WhatIfUnits),1)</f>
        <v>1</v>
      </c>
      <c r="J767" t="s">
        <v>4648</v>
      </c>
      <c r="K767" t="b">
        <f t="shared" si="50"/>
        <v>1</v>
      </c>
    </row>
    <row r="768" spans="3:13">
      <c r="C768" t="s">
        <v>2125</v>
      </c>
      <c r="E768" s="33">
        <f>IF(capWhatIfUnits=1,MAX(0,decProd2WhatIfUnits),1)</f>
        <v>1</v>
      </c>
      <c r="F768" s="33">
        <f>IF(capWhatIfUnits=1,MAX(0,decProd2WhatIfUnits),1)</f>
        <v>1</v>
      </c>
      <c r="G768" s="33">
        <f>IF(capWhatIfUnits=1,MAX(0,decProd2WhatIfUnits),1)</f>
        <v>1</v>
      </c>
      <c r="H768" s="33">
        <f>IF(capWhatIfUnits=1,MAX(0,decProd2WhatIfUnits),1)</f>
        <v>1</v>
      </c>
      <c r="I768" s="33">
        <f>IF(capWhatIfUnits=1,MAX(0,decProd2WhatIfUnits),1)</f>
        <v>1</v>
      </c>
      <c r="J768" t="s">
        <v>4649</v>
      </c>
      <c r="K768" t="b">
        <f t="shared" si="50"/>
        <v>1</v>
      </c>
    </row>
    <row r="769" spans="3:11">
      <c r="C769" t="s">
        <v>2126</v>
      </c>
      <c r="E769" s="33">
        <f>IF(capWhatIfUnits=1,MAX(0,decProd3WhatIfUnits),1)</f>
        <v>1</v>
      </c>
      <c r="F769" s="33">
        <f>IF(capWhatIfUnits=1,MAX(0,decProd3WhatIfUnits),1)</f>
        <v>1</v>
      </c>
      <c r="G769" s="33">
        <f>IF(capWhatIfUnits=1,MAX(0,decProd3WhatIfUnits),1)</f>
        <v>1</v>
      </c>
      <c r="H769" s="33">
        <f>IF(capWhatIfUnits=1,MAX(0,decProd3WhatIfUnits),1)</f>
        <v>1</v>
      </c>
      <c r="I769" s="33">
        <f>IF(capWhatIfUnits=1,MAX(0,decProd3WhatIfUnits),1)</f>
        <v>1</v>
      </c>
      <c r="J769" t="s">
        <v>4650</v>
      </c>
      <c r="K769" t="b">
        <f t="shared" si="50"/>
        <v>1</v>
      </c>
    </row>
    <row r="770" spans="3:11">
      <c r="C770" t="s">
        <v>2127</v>
      </c>
      <c r="E770" s="33">
        <f>IF(capWhatIfUnits=1,MAX(0,decProd4WhatIfUnits),1)</f>
        <v>1</v>
      </c>
      <c r="F770" s="33">
        <f>IF(capWhatIfUnits=1,MAX(0,decProd4WhatIfUnits),1)</f>
        <v>1</v>
      </c>
      <c r="G770" s="33">
        <f>IF(capWhatIfUnits=1,MAX(0,decProd4WhatIfUnits),1)</f>
        <v>1</v>
      </c>
      <c r="H770" s="33">
        <f>IF(capWhatIfUnits=1,MAX(0,decProd4WhatIfUnits),1)</f>
        <v>1</v>
      </c>
      <c r="I770" s="33">
        <f>IF(capWhatIfUnits=1,MAX(0,decProd4WhatIfUnits),1)</f>
        <v>1</v>
      </c>
      <c r="J770" t="s">
        <v>4651</v>
      </c>
      <c r="K770" t="b">
        <f t="shared" si="50"/>
        <v>1</v>
      </c>
    </row>
    <row r="771" spans="3:11">
      <c r="C771" t="s">
        <v>2433</v>
      </c>
      <c r="E771" s="33" t="str">
        <f>IF(decInnov1Cond&lt;&gt;FALSE,"SELECT INNOVATION",decInnov1)</f>
        <v>SELECT INNOVATION</v>
      </c>
      <c r="F771" s="33" t="str">
        <f>IF(decInnov1Cond&lt;&gt;FALSE,"SELECT INNOVATION",decInnov1)</f>
        <v>SELECT INNOVATION</v>
      </c>
      <c r="G771" s="33" t="str">
        <f>IF(decInnov1Cond&lt;&gt;FALSE,"SELECT INNOVATION",decInnov1)</f>
        <v>SELECT INNOVATION</v>
      </c>
      <c r="H771" s="33" t="str">
        <f>IF(decInnov1Cond&lt;&gt;FALSE,"SELECT INNOVATION",decInnov1)</f>
        <v>SELECT INNOVATION</v>
      </c>
      <c r="I771" s="33" t="str">
        <f>IF(decInnov1Cond&lt;&gt;FALSE,"SELECT INNOVATION",decInnov1)</f>
        <v>SELECT INNOVATION</v>
      </c>
      <c r="J771" t="s">
        <v>4654</v>
      </c>
      <c r="K771" t="b">
        <f t="shared" si="50"/>
        <v>1</v>
      </c>
    </row>
    <row r="772" spans="3:11">
      <c r="C772" t="s">
        <v>2434</v>
      </c>
      <c r="E772" s="33" t="str">
        <f>IF(decInnov2Cond&lt;&gt;FALSE,"SELECT INNOVATION",decInnov2)</f>
        <v>SELECT INNOVATION</v>
      </c>
      <c r="F772" s="33" t="str">
        <f>IF(decInnov2Cond&lt;&gt;FALSE,"SELECT INNOVATION",decInnov2)</f>
        <v>SELECT INNOVATION</v>
      </c>
      <c r="G772" s="33" t="str">
        <f>IF(decInnov2Cond&lt;&gt;FALSE,"SELECT INNOVATION",decInnov2)</f>
        <v>SELECT INNOVATION</v>
      </c>
      <c r="H772" s="33" t="str">
        <f>IF(decInnov2Cond&lt;&gt;FALSE,"SELECT INNOVATION",decInnov2)</f>
        <v>SELECT INNOVATION</v>
      </c>
      <c r="I772" s="33" t="str">
        <f>IF(decInnov2Cond&lt;&gt;FALSE,"SELECT INNOVATION",decInnov2)</f>
        <v>SELECT INNOVATION</v>
      </c>
      <c r="J772" t="s">
        <v>4655</v>
      </c>
      <c r="K772" t="b">
        <f t="shared" si="50"/>
        <v>1</v>
      </c>
    </row>
    <row r="773" spans="3:11">
      <c r="C773" t="s">
        <v>2435</v>
      </c>
      <c r="E773" s="33" t="str">
        <f>IF(decInnov3Cond&lt;&gt;FALSE,"SELECT INNOVATION",decInnov3)</f>
        <v>SELECT INNOVATION</v>
      </c>
      <c r="F773" s="33" t="str">
        <f>IF(decInnov3Cond&lt;&gt;FALSE,"SELECT INNOVATION",decInnov3)</f>
        <v>SELECT INNOVATION</v>
      </c>
      <c r="G773" s="33" t="str">
        <f>IF(decInnov3Cond&lt;&gt;FALSE,"SELECT INNOVATION",decInnov3)</f>
        <v>SELECT INNOVATION</v>
      </c>
      <c r="H773" s="33" t="str">
        <f>IF(decInnov3Cond&lt;&gt;FALSE,"SELECT INNOVATION",decInnov3)</f>
        <v>SELECT INNOVATION</v>
      </c>
      <c r="I773" s="33" t="str">
        <f>IF(decInnov3Cond&lt;&gt;FALSE,"SELECT INNOVATION",decInnov3)</f>
        <v>SELECT INNOVATION</v>
      </c>
      <c r="J773" t="s">
        <v>4656</v>
      </c>
      <c r="K773" t="b">
        <f t="shared" si="50"/>
        <v>1</v>
      </c>
    </row>
    <row r="774" spans="3:11">
      <c r="C774" t="s">
        <v>2436</v>
      </c>
      <c r="E774" s="33" t="str">
        <f>IF(decInnov4Cond&lt;&gt;FALSE,"SELECT INNOVATION",decInnov4)</f>
        <v>SELECT INNOVATION</v>
      </c>
      <c r="F774" s="33" t="str">
        <f>IF(decInnov4Cond&lt;&gt;FALSE,"SELECT INNOVATION",decInnov4)</f>
        <v>SELECT INNOVATION</v>
      </c>
      <c r="G774" s="33" t="str">
        <f>IF(decInnov4Cond&lt;&gt;FALSE,"SELECT INNOVATION",decInnov4)</f>
        <v>SELECT INNOVATION</v>
      </c>
      <c r="H774" s="33" t="str">
        <f>IF(decInnov4Cond&lt;&gt;FALSE,"SELECT INNOVATION",decInnov4)</f>
        <v>SELECT INNOVATION</v>
      </c>
      <c r="I774" s="33" t="str">
        <f>IF(decInnov4Cond&lt;&gt;FALSE,"SELECT INNOVATION",decInnov4)</f>
        <v>SELECT INNOVATION</v>
      </c>
      <c r="J774" t="s">
        <v>4657</v>
      </c>
      <c r="K774" t="b">
        <f t="shared" si="50"/>
        <v>1</v>
      </c>
    </row>
    <row r="775" spans="3:11">
      <c r="K775" t="b">
        <f t="shared" si="50"/>
        <v>1</v>
      </c>
    </row>
    <row r="776" spans="3:11">
      <c r="C776" s="905" t="s">
        <v>4879</v>
      </c>
      <c r="E776" s="33">
        <f>IF(decWhatIfActivate&gt;0,1,0)</f>
        <v>0</v>
      </c>
      <c r="F776" s="33">
        <f>IF(decWhatIfActivate&gt;0,1,0)</f>
        <v>0</v>
      </c>
      <c r="G776" s="33">
        <f>IF(decWhatIfActivate&gt;0,1,0)</f>
        <v>0</v>
      </c>
      <c r="H776" s="33">
        <f>IF(decWhatIfActivate&gt;0,1,0)</f>
        <v>0</v>
      </c>
      <c r="I776" s="33">
        <f>IF(decWhatIfActivate&gt;0,1,0)</f>
        <v>0</v>
      </c>
      <c r="J776" s="905" t="s">
        <v>4880</v>
      </c>
      <c r="K776" t="b">
        <f t="shared" si="50"/>
        <v>1</v>
      </c>
    </row>
    <row r="777" spans="3:11">
      <c r="K777" t="b">
        <f t="shared" si="50"/>
        <v>1</v>
      </c>
    </row>
    <row r="778" spans="3:11">
      <c r="K778" t="b">
        <f t="shared" si="50"/>
        <v>1</v>
      </c>
    </row>
    <row r="779" spans="3:11">
      <c r="K779" t="b">
        <f t="shared" si="50"/>
        <v>1</v>
      </c>
    </row>
    <row r="780" spans="3:11">
      <c r="K780" t="b">
        <f t="shared" si="50"/>
        <v>1</v>
      </c>
    </row>
    <row r="781" spans="3:11">
      <c r="K781" t="b">
        <f t="shared" si="50"/>
        <v>1</v>
      </c>
    </row>
    <row r="782" spans="3:11">
      <c r="K782" t="b">
        <f t="shared" si="50"/>
        <v>1</v>
      </c>
    </row>
    <row r="783" spans="3:11">
      <c r="K783" t="b">
        <f t="shared" si="50"/>
        <v>1</v>
      </c>
    </row>
    <row r="784" spans="3:11">
      <c r="K784" t="b">
        <f t="shared" si="50"/>
        <v>1</v>
      </c>
    </row>
    <row r="785" spans="11:11">
      <c r="K785" t="b">
        <f t="shared" si="50"/>
        <v>1</v>
      </c>
    </row>
    <row r="786" spans="11:11">
      <c r="K786" t="b">
        <f t="shared" si="50"/>
        <v>1</v>
      </c>
    </row>
    <row r="787" spans="11:11">
      <c r="K787" t="b">
        <f t="shared" si="50"/>
        <v>1</v>
      </c>
    </row>
    <row r="788" spans="11:11">
      <c r="K788" t="b">
        <f t="shared" si="50"/>
        <v>1</v>
      </c>
    </row>
    <row r="789" spans="11:11">
      <c r="K789" t="b">
        <f t="shared" si="50"/>
        <v>1</v>
      </c>
    </row>
    <row r="790" spans="11:11">
      <c r="K790" t="b">
        <f t="shared" si="50"/>
        <v>1</v>
      </c>
    </row>
    <row r="791" spans="11:11">
      <c r="K791" t="b">
        <f t="shared" si="50"/>
        <v>1</v>
      </c>
    </row>
    <row r="792" spans="11:11">
      <c r="K792" t="b">
        <f t="shared" si="50"/>
        <v>1</v>
      </c>
    </row>
    <row r="793" spans="11:11">
      <c r="K793" t="b">
        <f t="shared" si="50"/>
        <v>1</v>
      </c>
    </row>
    <row r="794" spans="11:11">
      <c r="K794" t="b">
        <f t="shared" ref="K794:K796" si="51">MAX(E794:I794)=MIN(E794:I794)</f>
        <v>1</v>
      </c>
    </row>
    <row r="795" spans="11:11">
      <c r="K795" t="b">
        <f t="shared" si="51"/>
        <v>1</v>
      </c>
    </row>
    <row r="796" spans="11:11">
      <c r="K796" t="b">
        <f t="shared" si="51"/>
        <v>1</v>
      </c>
    </row>
  </sheetData>
  <phoneticPr fontId="0" type="noConversion"/>
  <conditionalFormatting sqref="K7:K231 K714:K1839 K233:K711">
    <cfRule type="cellIs" dxfId="4" priority="3" stopIfTrue="1" operator="notEqual">
      <formula>TRUE</formula>
    </cfRule>
  </conditionalFormatting>
  <conditionalFormatting sqref="K712:K713">
    <cfRule type="cellIs" dxfId="3" priority="2" stopIfTrue="1" operator="notEqual">
      <formula>TRUE</formula>
    </cfRule>
  </conditionalFormatting>
  <conditionalFormatting sqref="K232">
    <cfRule type="cellIs" dxfId="2" priority="1" stopIfTrue="1" operator="notEqual">
      <formula>TRUE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j">
    <tabColor indexed="14"/>
    <pageSetUpPr fitToPage="1"/>
  </sheetPr>
  <dimension ref="A1:T1131"/>
  <sheetViews>
    <sheetView zoomScale="145" zoomScaleNormal="145" workbookViewId="0">
      <pane xSplit="4" ySplit="1" topLeftCell="Q1049" activePane="bottomRight" state="frozen"/>
      <selection activeCell="E2" sqref="E2"/>
      <selection pane="topRight" activeCell="E2" sqref="E2"/>
      <selection pane="bottomLeft" activeCell="E2" sqref="E2"/>
      <selection pane="bottomRight" activeCell="S1058" sqref="S1058"/>
    </sheetView>
  </sheetViews>
  <sheetFormatPr defaultRowHeight="11.25"/>
  <cols>
    <col min="1" max="1" width="4.33203125" customWidth="1"/>
    <col min="2" max="2" width="10.1640625" customWidth="1"/>
    <col min="3" max="3" width="11.6640625" bestFit="1" customWidth="1"/>
    <col min="4" max="4" width="45.33203125" customWidth="1"/>
    <col min="5" max="5" width="14.1640625" customWidth="1"/>
    <col min="6" max="8" width="12.5" customWidth="1"/>
    <col min="9" max="9" width="11.5" customWidth="1"/>
    <col min="11" max="12" width="12.5" bestFit="1" customWidth="1"/>
    <col min="13" max="13" width="10.83203125" bestFit="1" customWidth="1"/>
    <col min="14" max="15" width="10.5" bestFit="1" customWidth="1"/>
    <col min="16" max="16" width="1.6640625" customWidth="1"/>
    <col min="17" max="17" width="7" customWidth="1"/>
    <col min="18" max="18" width="14.1640625" bestFit="1" customWidth="1"/>
  </cols>
  <sheetData>
    <row r="1" spans="1:18" s="144" customFormat="1" ht="15.75">
      <c r="A1" s="143" t="s">
        <v>2978</v>
      </c>
      <c r="B1" s="143"/>
      <c r="C1" s="143"/>
      <c r="D1" s="143"/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8">
      <c r="C2" t="s">
        <v>1377</v>
      </c>
      <c r="E2" s="183"/>
      <c r="F2" s="183"/>
      <c r="G2" s="183"/>
      <c r="H2" s="183"/>
      <c r="I2" s="183"/>
    </row>
    <row r="3" spans="1:18">
      <c r="A3" s="2" t="s">
        <v>2978</v>
      </c>
      <c r="E3" s="449"/>
      <c r="F3" s="183"/>
      <c r="G3" s="183"/>
      <c r="H3" s="183"/>
      <c r="I3" s="183"/>
    </row>
    <row r="4" spans="1:18">
      <c r="B4" s="2" t="s">
        <v>1727</v>
      </c>
      <c r="E4" s="183"/>
      <c r="F4" s="183"/>
      <c r="G4" s="183"/>
      <c r="H4" s="183"/>
      <c r="I4" s="183"/>
      <c r="K4" s="130" t="s">
        <v>3212</v>
      </c>
      <c r="L4" s="130" t="s">
        <v>3180</v>
      </c>
    </row>
    <row r="5" spans="1:18" ht="11.25" customHeight="1">
      <c r="B5" s="2"/>
      <c r="C5" s="434" t="str">
        <f>DataNameProd1 &amp; " Segment"</f>
        <v>CSD Segment</v>
      </c>
      <c r="E5" s="183"/>
      <c r="F5" s="183"/>
      <c r="G5" s="183"/>
      <c r="H5" s="183"/>
      <c r="I5" s="183"/>
      <c r="R5" s="573"/>
    </row>
    <row r="6" spans="1:18" ht="11.25" customHeight="1">
      <c r="B6" s="2"/>
      <c r="C6" s="441">
        <v>7</v>
      </c>
      <c r="D6" t="str">
        <f>VLOOKUP($C6,param!$A$4:$B$270,2)</f>
        <v>CSD Material Cost Per Unit</v>
      </c>
      <c r="E6" s="430">
        <f t="shared" ref="E6:I14" si="0">capProd1Ftr4Level*$K6*($L6^(capProd1Ftr4Level-1))</f>
        <v>0.18918180901799997</v>
      </c>
      <c r="F6" s="430">
        <f t="shared" si="0"/>
        <v>0.18918180901799997</v>
      </c>
      <c r="G6" s="430">
        <f t="shared" si="0"/>
        <v>0.18918180901799997</v>
      </c>
      <c r="H6" s="430">
        <f t="shared" si="0"/>
        <v>0.18918180901799997</v>
      </c>
      <c r="I6" s="430">
        <f t="shared" si="0"/>
        <v>0.18918180901799997</v>
      </c>
      <c r="K6" s="442">
        <v>0.03</v>
      </c>
      <c r="L6">
        <v>1.01</v>
      </c>
      <c r="R6" s="573"/>
    </row>
    <row r="7" spans="1:18" ht="11.25" customHeight="1">
      <c r="B7" s="2"/>
      <c r="C7" s="433">
        <v>10</v>
      </c>
      <c r="D7" t="str">
        <f>VLOOKUP($C7,param!$A$4:$B$270,2)</f>
        <v>CSD Machinery Hours Req. Per Unit</v>
      </c>
      <c r="E7" s="430">
        <f t="shared" si="0"/>
        <v>6.3060603005999999E-2</v>
      </c>
      <c r="F7" s="430">
        <f t="shared" si="0"/>
        <v>6.3060603005999999E-2</v>
      </c>
      <c r="G7" s="430">
        <f t="shared" si="0"/>
        <v>6.3060603005999999E-2</v>
      </c>
      <c r="H7" s="430">
        <f t="shared" si="0"/>
        <v>6.3060603005999999E-2</v>
      </c>
      <c r="I7" s="430">
        <f t="shared" si="0"/>
        <v>6.3060603005999999E-2</v>
      </c>
      <c r="K7" s="442">
        <v>0.01</v>
      </c>
      <c r="L7">
        <v>1.01</v>
      </c>
      <c r="R7" s="573"/>
    </row>
    <row r="8" spans="1:18" ht="11.25" customHeight="1">
      <c r="B8" s="2"/>
      <c r="C8" s="433">
        <v>9</v>
      </c>
      <c r="D8" t="str">
        <f>VLOOKUP($C8,param!$A$4:$B$270,2)</f>
        <v>CSD Labor Hours Req. Per Unit</v>
      </c>
      <c r="E8" s="430">
        <f t="shared" si="0"/>
        <v>6.3060603005999999E-2</v>
      </c>
      <c r="F8" s="430">
        <f t="shared" si="0"/>
        <v>6.3060603005999999E-2</v>
      </c>
      <c r="G8" s="430">
        <f t="shared" si="0"/>
        <v>6.3060603005999999E-2</v>
      </c>
      <c r="H8" s="430">
        <f t="shared" si="0"/>
        <v>6.3060603005999999E-2</v>
      </c>
      <c r="I8" s="430">
        <f t="shared" si="0"/>
        <v>6.3060603005999999E-2</v>
      </c>
      <c r="K8" s="442">
        <v>0.01</v>
      </c>
      <c r="L8">
        <v>1.01</v>
      </c>
      <c r="R8" s="573"/>
    </row>
    <row r="9" spans="1:18" ht="11.25" customHeight="1">
      <c r="C9" s="433">
        <v>13</v>
      </c>
      <c r="D9" t="str">
        <f>VLOOKUP($C9,param!$A$4:$B$270,2)</f>
        <v>CSD Distribution Costs for Reg. 1</v>
      </c>
      <c r="E9" s="430">
        <f t="shared" si="0"/>
        <v>0.126121206012</v>
      </c>
      <c r="F9" s="430">
        <f t="shared" si="0"/>
        <v>0.126121206012</v>
      </c>
      <c r="G9" s="430">
        <f t="shared" si="0"/>
        <v>0.126121206012</v>
      </c>
      <c r="H9" s="430">
        <f t="shared" si="0"/>
        <v>0.126121206012</v>
      </c>
      <c r="I9" s="430">
        <f t="shared" si="0"/>
        <v>0.126121206012</v>
      </c>
      <c r="K9" s="442">
        <v>0.02</v>
      </c>
      <c r="L9">
        <v>1.01</v>
      </c>
      <c r="R9" s="573"/>
    </row>
    <row r="10" spans="1:18">
      <c r="C10" s="433">
        <v>14</v>
      </c>
      <c r="D10" t="str">
        <f>VLOOKUP($C10,param!$A$4:$B$270,2)</f>
        <v>CSD Distribution Costs for Reg. 2</v>
      </c>
      <c r="E10" s="430">
        <f t="shared" si="0"/>
        <v>0.126121206012</v>
      </c>
      <c r="F10" s="430">
        <f t="shared" si="0"/>
        <v>0.126121206012</v>
      </c>
      <c r="G10" s="430">
        <f t="shared" si="0"/>
        <v>0.126121206012</v>
      </c>
      <c r="H10" s="430">
        <f t="shared" si="0"/>
        <v>0.126121206012</v>
      </c>
      <c r="I10" s="430">
        <f t="shared" si="0"/>
        <v>0.126121206012</v>
      </c>
      <c r="K10" s="442">
        <v>0.02</v>
      </c>
      <c r="L10">
        <v>1.01</v>
      </c>
      <c r="R10" s="573"/>
    </row>
    <row r="11" spans="1:18">
      <c r="C11" s="433">
        <v>17</v>
      </c>
      <c r="D11" t="str">
        <f>VLOOKUP($C11,param!$A$4:$B$270,2)</f>
        <v>CSD Admin Costs</v>
      </c>
      <c r="E11" s="430">
        <f t="shared" si="0"/>
        <v>0.126121206012</v>
      </c>
      <c r="F11" s="430">
        <f t="shared" si="0"/>
        <v>0.126121206012</v>
      </c>
      <c r="G11" s="430">
        <f t="shared" si="0"/>
        <v>0.126121206012</v>
      </c>
      <c r="H11" s="430">
        <f t="shared" si="0"/>
        <v>0.126121206012</v>
      </c>
      <c r="I11" s="430">
        <f t="shared" si="0"/>
        <v>0.126121206012</v>
      </c>
      <c r="K11" s="442">
        <v>0.02</v>
      </c>
      <c r="L11">
        <v>1.01</v>
      </c>
      <c r="R11" s="573"/>
    </row>
    <row r="12" spans="1:18">
      <c r="C12" s="433">
        <v>8</v>
      </c>
      <c r="D12" t="str">
        <f>VLOOKUP($C12,param!$A$4:$B$270,2)</f>
        <v>CSD Materials Inventory As % of Production</v>
      </c>
      <c r="E12" s="430">
        <f t="shared" si="0"/>
        <v>6.3060603005999999E-2</v>
      </c>
      <c r="F12" s="430">
        <f t="shared" si="0"/>
        <v>6.3060603005999999E-2</v>
      </c>
      <c r="G12" s="430">
        <f t="shared" si="0"/>
        <v>6.3060603005999999E-2</v>
      </c>
      <c r="H12" s="430">
        <f t="shared" si="0"/>
        <v>6.3060603005999999E-2</v>
      </c>
      <c r="I12" s="430">
        <f t="shared" si="0"/>
        <v>6.3060603005999999E-2</v>
      </c>
      <c r="K12" s="442">
        <v>0.01</v>
      </c>
      <c r="L12">
        <v>1.01</v>
      </c>
      <c r="R12" s="573"/>
    </row>
    <row r="13" spans="1:18">
      <c r="C13" s="433">
        <v>2</v>
      </c>
      <c r="D13" t="str">
        <f>VLOOKUP($C13,param!$A$4:$B$270,2)</f>
        <v>CSD Cycle Time</v>
      </c>
      <c r="E13" s="430">
        <f t="shared" si="0"/>
        <v>0.126121206012</v>
      </c>
      <c r="F13" s="430">
        <f t="shared" si="0"/>
        <v>0.126121206012</v>
      </c>
      <c r="G13" s="430">
        <f t="shared" si="0"/>
        <v>0.126121206012</v>
      </c>
      <c r="H13" s="430">
        <f t="shared" si="0"/>
        <v>0.126121206012</v>
      </c>
      <c r="I13" s="430">
        <f t="shared" si="0"/>
        <v>0.126121206012</v>
      </c>
      <c r="K13" s="442">
        <v>0.02</v>
      </c>
      <c r="L13">
        <v>1.01</v>
      </c>
    </row>
    <row r="14" spans="1:18">
      <c r="C14" s="433">
        <v>142</v>
      </c>
      <c r="D14" t="str">
        <f>VLOOKUP($C14,param!$A$4:$B$270,2)</f>
        <v>Plant Efficiency</v>
      </c>
      <c r="E14" s="430">
        <f t="shared" si="0"/>
        <v>-6.3060603005999994E-3</v>
      </c>
      <c r="F14" s="430">
        <f t="shared" si="0"/>
        <v>-6.3060603005999994E-3</v>
      </c>
      <c r="G14" s="430">
        <f t="shared" si="0"/>
        <v>-6.3060603005999994E-3</v>
      </c>
      <c r="H14" s="430">
        <f t="shared" si="0"/>
        <v>-6.3060603005999994E-3</v>
      </c>
      <c r="I14" s="430">
        <f t="shared" si="0"/>
        <v>-6.3060603005999994E-3</v>
      </c>
      <c r="K14" s="105">
        <v>-1E-3</v>
      </c>
      <c r="L14">
        <v>1.01</v>
      </c>
    </row>
    <row r="15" spans="1:18">
      <c r="C15" s="434" t="str">
        <f>DataNameProd2 &amp; " Segment"</f>
        <v>Breakthrough Segment</v>
      </c>
      <c r="E15" s="183"/>
      <c r="F15" s="183"/>
      <c r="G15" s="183"/>
      <c r="H15" s="183"/>
      <c r="I15" s="183"/>
      <c r="K15" s="442"/>
    </row>
    <row r="16" spans="1:18">
      <c r="B16" t="s">
        <v>1371</v>
      </c>
      <c r="C16" s="441">
        <v>26</v>
      </c>
      <c r="D16" t="str">
        <f>VLOOKUP($C16,param!$A$4:$B$270,2)</f>
        <v>Breakthrough Prod 1 Material Cost Per Unit</v>
      </c>
      <c r="E16" s="430">
        <f>IF(decDisrupt1=0,0,capProd2Ftr4Level*$K16*($L16^(capProd2Ftr4Level-1)))</f>
        <v>0</v>
      </c>
      <c r="F16" s="430">
        <f>IF(decDisrupt1=0,0,capProd2Ftr4Level*$K16*($L16^(capProd2Ftr4Level-1)))</f>
        <v>0</v>
      </c>
      <c r="G16" s="430">
        <f>IF(decDisrupt1=0,0,capProd2Ftr4Level*$K16*($L16^(capProd2Ftr4Level-1)))</f>
        <v>0</v>
      </c>
      <c r="H16" s="430">
        <f>IF(decDisrupt1=0,0,capProd2Ftr4Level*$K16*($L16^(capProd2Ftr4Level-1)))</f>
        <v>0</v>
      </c>
      <c r="I16" s="430">
        <f>IF(decDisrupt1=0,0,capProd2Ftr4Level*$K16*($L16^(capProd2Ftr4Level-1)))</f>
        <v>0</v>
      </c>
      <c r="K16" s="442">
        <v>0.03</v>
      </c>
      <c r="L16">
        <v>1.01</v>
      </c>
    </row>
    <row r="17" spans="2:12">
      <c r="B17" t="s">
        <v>2488</v>
      </c>
      <c r="C17" s="441">
        <v>26</v>
      </c>
      <c r="D17" t="str">
        <f>VLOOKUP($C17,param!$A$4:$B$270,2)</f>
        <v>Breakthrough Prod 1 Material Cost Per Unit</v>
      </c>
      <c r="E17" s="430">
        <f>IF(decDisrupt1=0,0,VLOOKUP(decDisrupt1,dataDisruptInnovsDets,8,0))*$K17*($L17^(capProd2Ftr4Level-1))</f>
        <v>0</v>
      </c>
      <c r="F17" s="430">
        <f>IF(decDisrupt1=0,0,VLOOKUP(decDisrupt1,dataDisruptInnovsDets,8,0))*$K17*($L17^(capProd2Ftr4Level-1))</f>
        <v>0</v>
      </c>
      <c r="G17" s="430">
        <f>IF(decDisrupt1=0,0,VLOOKUP(decDisrupt1,dataDisruptInnovsDets,8,0))*$K17*($L17^(capProd2Ftr4Level-1))</f>
        <v>0</v>
      </c>
      <c r="H17" s="430">
        <f>IF(decDisrupt1=0,0,VLOOKUP(decDisrupt1,dataDisruptInnovsDets,8,0))*$K17*($L17^(capProd2Ftr4Level-1))</f>
        <v>0</v>
      </c>
      <c r="I17" s="430">
        <f>IF(decDisrupt1=0,0,VLOOKUP(decDisrupt1,dataDisruptInnovsDets,8,0))*$K17*($L17^(capProd2Ftr4Level-1))</f>
        <v>0</v>
      </c>
      <c r="K17" s="442">
        <v>0.03</v>
      </c>
      <c r="L17">
        <v>1.01</v>
      </c>
    </row>
    <row r="18" spans="2:12">
      <c r="B18" t="s">
        <v>1371</v>
      </c>
      <c r="C18" s="441">
        <v>26.5</v>
      </c>
      <c r="D18" t="str">
        <f>VLOOKUP($C18,param!$A$4:$B$270,2)</f>
        <v>Breakthrough Prod 2 Material Cost Per Unit</v>
      </c>
      <c r="E18" s="430">
        <f>IF(decDisrupt2=0,0,capProd2Ftr4Level2*$K18*($L18^(capProd2Ftr4Level-1)))</f>
        <v>0</v>
      </c>
      <c r="F18" s="430">
        <f>IF(decDisrupt2=0,0,capProd2Ftr4Level2*$K18*($L18^(capProd2Ftr4Level-1)))</f>
        <v>0</v>
      </c>
      <c r="G18" s="430">
        <f>IF(decDisrupt2=0,0,capProd2Ftr4Level2*$K18*($L18^(capProd2Ftr4Level-1)))</f>
        <v>0</v>
      </c>
      <c r="H18" s="430">
        <f>IF(decDisrupt2=0,0,capProd2Ftr4Level2*$K18*($L18^(capProd2Ftr4Level-1)))</f>
        <v>0</v>
      </c>
      <c r="I18" s="430">
        <f>IF(decDisrupt2=0,0,capProd2Ftr4Level2*$K18*($L18^(capProd2Ftr4Level-1)))</f>
        <v>0</v>
      </c>
      <c r="K18" s="442">
        <v>0.03</v>
      </c>
      <c r="L18">
        <v>1.01</v>
      </c>
    </row>
    <row r="19" spans="2:12">
      <c r="B19" t="s">
        <v>2488</v>
      </c>
      <c r="C19" s="441">
        <v>26.5</v>
      </c>
      <c r="D19" t="str">
        <f>VLOOKUP($C19,param!$A$4:$B$270,2)</f>
        <v>Breakthrough Prod 2 Material Cost Per Unit</v>
      </c>
      <c r="E19" s="430">
        <f>IF(decDisrupt2=0,0,VLOOKUP(decDisrupt2,dataDisruptInnovsDets,8,0))*$K19*($L19^(capProd2Ftr4Level-1))</f>
        <v>0</v>
      </c>
      <c r="F19" s="430">
        <f>IF(decDisrupt2=0,0,VLOOKUP(decDisrupt2,dataDisruptInnovsDets,8,0))*$K19*($L19^(capProd2Ftr4Level-1))</f>
        <v>0</v>
      </c>
      <c r="G19" s="430">
        <f>IF(decDisrupt2=0,0,VLOOKUP(decDisrupt2,dataDisruptInnovsDets,8,0))*$K19*($L19^(capProd2Ftr4Level-1))</f>
        <v>0</v>
      </c>
      <c r="H19" s="430">
        <f>IF(decDisrupt2=0,0,VLOOKUP(decDisrupt2,dataDisruptInnovsDets,8,0))*$K19*($L19^(capProd2Ftr4Level-1))</f>
        <v>0</v>
      </c>
      <c r="I19" s="430">
        <f>IF(decDisrupt2=0,0,VLOOKUP(decDisrupt2,dataDisruptInnovsDets,8,0))*$K19*($L19^(capProd2Ftr4Level-1))</f>
        <v>0</v>
      </c>
      <c r="K19" s="442">
        <v>0.03</v>
      </c>
      <c r="L19">
        <v>1.01</v>
      </c>
    </row>
    <row r="20" spans="2:12">
      <c r="C20" s="433">
        <v>29</v>
      </c>
      <c r="D20" t="str">
        <f>VLOOKUP($C20,param!$A$4:$B$270,2)</f>
        <v>Breakthrough Machinery Hours Req. Per Unit</v>
      </c>
      <c r="E20" s="430">
        <f>capProd2Ftr4Level*$K20*($L20^(capProd2Ftr4Level-1))</f>
        <v>2.0199999999999999E-2</v>
      </c>
      <c r="F20" s="430">
        <f t="shared" ref="F20:I21" si="1">capProd2Ftr4Level*$K20*($L20^(capProd2Ftr4Level-1))</f>
        <v>2.0199999999999999E-2</v>
      </c>
      <c r="G20" s="430">
        <f t="shared" si="1"/>
        <v>2.0199999999999999E-2</v>
      </c>
      <c r="H20" s="430">
        <f t="shared" si="1"/>
        <v>2.0199999999999999E-2</v>
      </c>
      <c r="I20" s="430">
        <f t="shared" si="1"/>
        <v>2.0199999999999999E-2</v>
      </c>
      <c r="K20" s="442">
        <v>0.01</v>
      </c>
      <c r="L20">
        <v>1.01</v>
      </c>
    </row>
    <row r="21" spans="2:12">
      <c r="C21" s="433">
        <v>28</v>
      </c>
      <c r="D21" t="str">
        <f>VLOOKUP($C21,param!$A$4:$B$270,2)</f>
        <v>Breakthrough Labor Hours Req. Per Unit</v>
      </c>
      <c r="E21" s="430">
        <f>capProd2Ftr4Level*$K21*($L21^(capProd2Ftr4Level-1))</f>
        <v>2.0199999999999999E-2</v>
      </c>
      <c r="F21" s="430">
        <f t="shared" si="1"/>
        <v>2.0199999999999999E-2</v>
      </c>
      <c r="G21" s="430">
        <f t="shared" si="1"/>
        <v>2.0199999999999999E-2</v>
      </c>
      <c r="H21" s="430">
        <f t="shared" si="1"/>
        <v>2.0199999999999999E-2</v>
      </c>
      <c r="I21" s="430">
        <f t="shared" si="1"/>
        <v>2.0199999999999999E-2</v>
      </c>
      <c r="K21" s="442">
        <v>0.01</v>
      </c>
      <c r="L21">
        <v>1.01</v>
      </c>
    </row>
    <row r="22" spans="2:12">
      <c r="C22" s="433">
        <v>32</v>
      </c>
      <c r="D22" t="str">
        <f>VLOOKUP($C22,param!$A$4:$B$270,2)</f>
        <v>Breakthrough Distribution Costs for Reg. 1</v>
      </c>
      <c r="E22" s="430">
        <f>capProd2Ftr4Level*$K22*($L22^(capProd2Ftr4Level-1))</f>
        <v>4.0399999999999998E-2</v>
      </c>
      <c r="F22" s="430">
        <f t="shared" ref="F22:I24" si="2">capProd2Ftr4Level*$K22*($L22^(capProd2Ftr4Level-1))</f>
        <v>4.0399999999999998E-2</v>
      </c>
      <c r="G22" s="430">
        <f t="shared" si="2"/>
        <v>4.0399999999999998E-2</v>
      </c>
      <c r="H22" s="430">
        <f t="shared" si="2"/>
        <v>4.0399999999999998E-2</v>
      </c>
      <c r="I22" s="430">
        <f t="shared" si="2"/>
        <v>4.0399999999999998E-2</v>
      </c>
      <c r="K22" s="442">
        <v>0.02</v>
      </c>
      <c r="L22">
        <v>1.01</v>
      </c>
    </row>
    <row r="23" spans="2:12">
      <c r="C23" s="433">
        <v>33</v>
      </c>
      <c r="D23" t="str">
        <f>VLOOKUP($C23,param!$A$4:$B$270,2)</f>
        <v>Breakthrough Distribution Costs for Reg. 2</v>
      </c>
      <c r="E23" s="430">
        <f>capProd2Ftr4Level*$K23*($L23^(capProd2Ftr4Level-1))</f>
        <v>4.0399999999999998E-2</v>
      </c>
      <c r="F23" s="430">
        <f t="shared" si="2"/>
        <v>4.0399999999999998E-2</v>
      </c>
      <c r="G23" s="430">
        <f t="shared" si="2"/>
        <v>4.0399999999999998E-2</v>
      </c>
      <c r="H23" s="430">
        <f t="shared" si="2"/>
        <v>4.0399999999999998E-2</v>
      </c>
      <c r="I23" s="430">
        <f t="shared" si="2"/>
        <v>4.0399999999999998E-2</v>
      </c>
      <c r="K23" s="442">
        <v>0.02</v>
      </c>
      <c r="L23">
        <v>1.01</v>
      </c>
    </row>
    <row r="24" spans="2:12">
      <c r="C24" s="433">
        <v>36</v>
      </c>
      <c r="D24" t="str">
        <f>VLOOKUP($C24,param!$A$4:$B$270,2)</f>
        <v>Breakthrough Admin Costs</v>
      </c>
      <c r="E24" s="430">
        <f>capProd2Ftr4Level*$K24*($L24^(capProd2Ftr4Level-1))</f>
        <v>4.0399999999999998E-2</v>
      </c>
      <c r="F24" s="430">
        <f t="shared" si="2"/>
        <v>4.0399999999999998E-2</v>
      </c>
      <c r="G24" s="430">
        <f t="shared" si="2"/>
        <v>4.0399999999999998E-2</v>
      </c>
      <c r="H24" s="430">
        <f t="shared" si="2"/>
        <v>4.0399999999999998E-2</v>
      </c>
      <c r="I24" s="430">
        <f t="shared" si="2"/>
        <v>4.0399999999999998E-2</v>
      </c>
      <c r="K24" s="442">
        <v>0.02</v>
      </c>
      <c r="L24">
        <v>1.01</v>
      </c>
    </row>
    <row r="25" spans="2:12">
      <c r="C25" s="433">
        <v>27</v>
      </c>
      <c r="D25" t="str">
        <f>VLOOKUP($C25,param!$A$4:$B$270,2)</f>
        <v>Breakthrough Materials Inventory As % of Production</v>
      </c>
      <c r="E25" s="430">
        <f t="shared" ref="E25:I27" si="3">capProd2Ftr4Level*$K25*($L25^(capProd2Ftr4Level-1))</f>
        <v>2.0199999999999999E-2</v>
      </c>
      <c r="F25" s="430">
        <f t="shared" si="3"/>
        <v>2.0199999999999999E-2</v>
      </c>
      <c r="G25" s="430">
        <f t="shared" si="3"/>
        <v>2.0199999999999999E-2</v>
      </c>
      <c r="H25" s="430">
        <f t="shared" si="3"/>
        <v>2.0199999999999999E-2</v>
      </c>
      <c r="I25" s="430">
        <f t="shared" si="3"/>
        <v>2.0199999999999999E-2</v>
      </c>
      <c r="K25" s="442">
        <v>0.01</v>
      </c>
      <c r="L25">
        <v>1.01</v>
      </c>
    </row>
    <row r="26" spans="2:12">
      <c r="C26" s="433">
        <v>21</v>
      </c>
      <c r="D26" t="str">
        <f>VLOOKUP($C26,param!$A$4:$B$270,2)</f>
        <v>Breakthrough Cycle Time</v>
      </c>
      <c r="E26" s="430">
        <f t="shared" si="3"/>
        <v>4.0399999999999998E-2</v>
      </c>
      <c r="F26" s="430">
        <f t="shared" si="3"/>
        <v>4.0399999999999998E-2</v>
      </c>
      <c r="G26" s="430">
        <f t="shared" si="3"/>
        <v>4.0399999999999998E-2</v>
      </c>
      <c r="H26" s="430">
        <f t="shared" si="3"/>
        <v>4.0399999999999998E-2</v>
      </c>
      <c r="I26" s="430">
        <f t="shared" si="3"/>
        <v>4.0399999999999998E-2</v>
      </c>
      <c r="K26" s="442">
        <v>0.02</v>
      </c>
      <c r="L26">
        <v>1.01</v>
      </c>
    </row>
    <row r="27" spans="2:12">
      <c r="C27" s="433">
        <v>142</v>
      </c>
      <c r="D27" t="str">
        <f>VLOOKUP($C27,param!$A$4:$B$270,2)</f>
        <v>Plant Efficiency</v>
      </c>
      <c r="E27" s="430">
        <f t="shared" si="3"/>
        <v>-2.0200000000000001E-3</v>
      </c>
      <c r="F27" s="430">
        <f t="shared" si="3"/>
        <v>-2.0200000000000001E-3</v>
      </c>
      <c r="G27" s="430">
        <f t="shared" si="3"/>
        <v>-2.0200000000000001E-3</v>
      </c>
      <c r="H27" s="430">
        <f t="shared" si="3"/>
        <v>-2.0200000000000001E-3</v>
      </c>
      <c r="I27" s="430">
        <f t="shared" si="3"/>
        <v>-2.0200000000000001E-3</v>
      </c>
      <c r="K27" s="105">
        <v>-1E-3</v>
      </c>
      <c r="L27">
        <v>1.01</v>
      </c>
    </row>
    <row r="28" spans="2:12">
      <c r="C28" s="434" t="str">
        <f>DataNameProd3 &amp; " Segment"</f>
        <v>NCB Segment</v>
      </c>
      <c r="E28" s="183"/>
      <c r="F28" s="183"/>
      <c r="G28" s="183"/>
      <c r="H28" s="183"/>
      <c r="I28" s="183"/>
      <c r="K28" s="442"/>
    </row>
    <row r="29" spans="2:12">
      <c r="C29" s="441">
        <v>45</v>
      </c>
      <c r="D29" t="str">
        <f>VLOOKUP($C29,param!$A$4:$B$270,2)</f>
        <v>NCB Material Cost Per Unit</v>
      </c>
      <c r="E29" s="430">
        <f t="shared" ref="E29:I31" si="4">capProd3Ftr4Level*$K29*($L29^(capProd3Ftr4Level-1))</f>
        <v>8.2424079999999997E-2</v>
      </c>
      <c r="F29" s="430">
        <f t="shared" si="4"/>
        <v>8.2424079999999997E-2</v>
      </c>
      <c r="G29" s="430">
        <f t="shared" si="4"/>
        <v>8.2424079999999997E-2</v>
      </c>
      <c r="H29" s="430">
        <f t="shared" si="4"/>
        <v>8.2424079999999997E-2</v>
      </c>
      <c r="I29" s="430">
        <f t="shared" si="4"/>
        <v>8.2424079999999997E-2</v>
      </c>
      <c r="K29" s="442">
        <v>0.02</v>
      </c>
      <c r="L29">
        <v>1.01</v>
      </c>
    </row>
    <row r="30" spans="2:12">
      <c r="C30" s="433">
        <v>48</v>
      </c>
      <c r="D30" t="str">
        <f>VLOOKUP($C30,param!$A$4:$B$270,2)</f>
        <v>NCB Machinery Hours Req. Per Unit</v>
      </c>
      <c r="E30" s="430">
        <f t="shared" si="4"/>
        <v>4.1212039999999998E-2</v>
      </c>
      <c r="F30" s="430">
        <f t="shared" si="4"/>
        <v>4.1212039999999998E-2</v>
      </c>
      <c r="G30" s="430">
        <f t="shared" si="4"/>
        <v>4.1212039999999998E-2</v>
      </c>
      <c r="H30" s="430">
        <f t="shared" si="4"/>
        <v>4.1212039999999998E-2</v>
      </c>
      <c r="I30" s="430">
        <f t="shared" si="4"/>
        <v>4.1212039999999998E-2</v>
      </c>
      <c r="K30" s="442">
        <v>0.01</v>
      </c>
      <c r="L30">
        <v>1.01</v>
      </c>
    </row>
    <row r="31" spans="2:12">
      <c r="C31" s="433">
        <v>47</v>
      </c>
      <c r="D31" t="str">
        <f>VLOOKUP($C31,param!$A$4:$B$270,2)</f>
        <v>NCB Labor Hours Req. Per Unit</v>
      </c>
      <c r="E31" s="430">
        <f t="shared" si="4"/>
        <v>4.1212039999999998E-2</v>
      </c>
      <c r="F31" s="430">
        <f t="shared" si="4"/>
        <v>4.1212039999999998E-2</v>
      </c>
      <c r="G31" s="430">
        <f t="shared" si="4"/>
        <v>4.1212039999999998E-2</v>
      </c>
      <c r="H31" s="430">
        <f t="shared" si="4"/>
        <v>4.1212039999999998E-2</v>
      </c>
      <c r="I31" s="430">
        <f t="shared" si="4"/>
        <v>4.1212039999999998E-2</v>
      </c>
      <c r="K31" s="442">
        <v>0.01</v>
      </c>
      <c r="L31">
        <v>1.01</v>
      </c>
    </row>
    <row r="32" spans="2:12">
      <c r="C32" s="433">
        <v>51</v>
      </c>
      <c r="D32" t="str">
        <f>VLOOKUP($C32,param!$A$4:$B$270,2)</f>
        <v>NCB Distribution Costs for Reg. 1</v>
      </c>
      <c r="E32" s="430">
        <f t="shared" ref="E32:E37" si="5">capProd3Ftr4Level*$K32*($L32^(capProd3Ftr4Level-1))</f>
        <v>8.2424079999999997E-2</v>
      </c>
      <c r="F32" s="430">
        <f t="shared" ref="F32:I37" si="6">capProd3Ftr4Level*$K32*($L32^(capProd3Ftr4Level-1))</f>
        <v>8.2424079999999997E-2</v>
      </c>
      <c r="G32" s="430">
        <f t="shared" si="6"/>
        <v>8.2424079999999997E-2</v>
      </c>
      <c r="H32" s="430">
        <f t="shared" si="6"/>
        <v>8.2424079999999997E-2</v>
      </c>
      <c r="I32" s="430">
        <f t="shared" si="6"/>
        <v>8.2424079999999997E-2</v>
      </c>
      <c r="K32" s="442">
        <v>0.02</v>
      </c>
      <c r="L32">
        <v>1.01</v>
      </c>
    </row>
    <row r="33" spans="3:12">
      <c r="C33" s="433">
        <v>52</v>
      </c>
      <c r="D33" t="str">
        <f>VLOOKUP($C33,param!$A$4:$B$270,2)</f>
        <v>NCB Distribution Costs for Reg. 2</v>
      </c>
      <c r="E33" s="430">
        <f t="shared" si="5"/>
        <v>8.2424079999999997E-2</v>
      </c>
      <c r="F33" s="430">
        <f t="shared" si="6"/>
        <v>8.2424079999999997E-2</v>
      </c>
      <c r="G33" s="430">
        <f t="shared" si="6"/>
        <v>8.2424079999999997E-2</v>
      </c>
      <c r="H33" s="430">
        <f t="shared" si="6"/>
        <v>8.2424079999999997E-2</v>
      </c>
      <c r="I33" s="430">
        <f t="shared" si="6"/>
        <v>8.2424079999999997E-2</v>
      </c>
      <c r="K33" s="442">
        <v>0.02</v>
      </c>
      <c r="L33">
        <v>1.01</v>
      </c>
    </row>
    <row r="34" spans="3:12">
      <c r="C34" s="433">
        <v>55</v>
      </c>
      <c r="D34" t="str">
        <f>VLOOKUP($C34,param!$A$4:$B$270,2)</f>
        <v>NCB Admin Costs</v>
      </c>
      <c r="E34" s="430">
        <f t="shared" si="5"/>
        <v>8.2424079999999997E-2</v>
      </c>
      <c r="F34" s="430">
        <f t="shared" si="6"/>
        <v>8.2424079999999997E-2</v>
      </c>
      <c r="G34" s="430">
        <f t="shared" si="6"/>
        <v>8.2424079999999997E-2</v>
      </c>
      <c r="H34" s="430">
        <f t="shared" si="6"/>
        <v>8.2424079999999997E-2</v>
      </c>
      <c r="I34" s="430">
        <f t="shared" si="6"/>
        <v>8.2424079999999997E-2</v>
      </c>
      <c r="K34" s="442">
        <v>0.02</v>
      </c>
      <c r="L34">
        <v>1.01</v>
      </c>
    </row>
    <row r="35" spans="3:12">
      <c r="C35" s="433">
        <v>46</v>
      </c>
      <c r="D35" t="str">
        <f>VLOOKUP($C35,param!$A$4:$B$270,2)</f>
        <v>NCB Materials Inventory As % of Production</v>
      </c>
      <c r="E35" s="430">
        <f t="shared" si="5"/>
        <v>4.1212039999999998E-2</v>
      </c>
      <c r="F35" s="430">
        <f t="shared" si="6"/>
        <v>4.1212039999999998E-2</v>
      </c>
      <c r="G35" s="430">
        <f t="shared" si="6"/>
        <v>4.1212039999999998E-2</v>
      </c>
      <c r="H35" s="430">
        <f t="shared" si="6"/>
        <v>4.1212039999999998E-2</v>
      </c>
      <c r="I35" s="430">
        <f t="shared" si="6"/>
        <v>4.1212039999999998E-2</v>
      </c>
      <c r="K35" s="442">
        <v>0.01</v>
      </c>
      <c r="L35">
        <v>1.01</v>
      </c>
    </row>
    <row r="36" spans="3:12">
      <c r="C36" s="433">
        <v>40</v>
      </c>
      <c r="D36" t="str">
        <f>VLOOKUP($C36,param!$A$4:$B$270,2)</f>
        <v>NCB Cycle Time</v>
      </c>
      <c r="E36" s="430">
        <f t="shared" si="5"/>
        <v>8.2424079999999997E-2</v>
      </c>
      <c r="F36" s="430">
        <f t="shared" si="6"/>
        <v>8.2424079999999997E-2</v>
      </c>
      <c r="G36" s="430">
        <f t="shared" si="6"/>
        <v>8.2424079999999997E-2</v>
      </c>
      <c r="H36" s="430">
        <f t="shared" si="6"/>
        <v>8.2424079999999997E-2</v>
      </c>
      <c r="I36" s="430">
        <f t="shared" si="6"/>
        <v>8.2424079999999997E-2</v>
      </c>
      <c r="K36" s="442">
        <v>0.02</v>
      </c>
      <c r="L36">
        <v>1.01</v>
      </c>
    </row>
    <row r="37" spans="3:12">
      <c r="C37" s="433">
        <v>142</v>
      </c>
      <c r="D37" t="str">
        <f>VLOOKUP($C37,param!$A$4:$B$270,2)</f>
        <v>Plant Efficiency</v>
      </c>
      <c r="E37" s="430">
        <f t="shared" si="5"/>
        <v>-4.1212039999999998E-3</v>
      </c>
      <c r="F37" s="430">
        <f t="shared" si="6"/>
        <v>-4.1212039999999998E-3</v>
      </c>
      <c r="G37" s="430">
        <f t="shared" si="6"/>
        <v>-4.1212039999999998E-3</v>
      </c>
      <c r="H37" s="430">
        <f t="shared" si="6"/>
        <v>-4.1212039999999998E-3</v>
      </c>
      <c r="I37" s="430">
        <f t="shared" si="6"/>
        <v>-4.1212039999999998E-3</v>
      </c>
      <c r="K37" s="105">
        <v>-1E-3</v>
      </c>
      <c r="L37">
        <v>1.01</v>
      </c>
    </row>
    <row r="38" spans="3:12">
      <c r="C38" s="434" t="str">
        <f>DataNameProd4 &amp; " Segment"</f>
        <v>F&amp;S Segment</v>
      </c>
      <c r="E38" s="183"/>
      <c r="F38" s="183"/>
      <c r="G38" s="183"/>
      <c r="H38" s="183"/>
      <c r="I38" s="183"/>
      <c r="K38" s="442"/>
    </row>
    <row r="39" spans="3:12">
      <c r="C39" s="441">
        <v>64</v>
      </c>
      <c r="D39" t="str">
        <f>VLOOKUP($C39,param!$A$4:$B$270,2)</f>
        <v>F&amp;S Material Cost Per Unit</v>
      </c>
      <c r="E39" s="430">
        <f t="shared" ref="E39:E47" si="7">capProd4Ftr4Level*$K39*($L39^(capProd4Ftr4Level-1))</f>
        <v>0.12363611999999999</v>
      </c>
      <c r="F39" s="430">
        <f t="shared" ref="F39:I41" si="8">capProd4Ftr4Level*$K39*($L39^(capProd4Ftr4Level-1))</f>
        <v>0.12363611999999999</v>
      </c>
      <c r="G39" s="430">
        <f t="shared" si="8"/>
        <v>0.12363611999999999</v>
      </c>
      <c r="H39" s="430">
        <f t="shared" si="8"/>
        <v>0.12363611999999999</v>
      </c>
      <c r="I39" s="430">
        <f t="shared" si="8"/>
        <v>0.12363611999999999</v>
      </c>
      <c r="K39" s="442">
        <v>0.03</v>
      </c>
      <c r="L39">
        <v>1.01</v>
      </c>
    </row>
    <row r="40" spans="3:12">
      <c r="C40" s="433">
        <v>67</v>
      </c>
      <c r="D40" t="str">
        <f>VLOOKUP($C40,param!$A$4:$B$270,2)</f>
        <v>F&amp;S Machinery Hours Req. Per Unit</v>
      </c>
      <c r="E40" s="430">
        <f t="shared" si="7"/>
        <v>4.1212039999999998E-2</v>
      </c>
      <c r="F40" s="430">
        <f t="shared" si="8"/>
        <v>4.1212039999999998E-2</v>
      </c>
      <c r="G40" s="430">
        <f t="shared" si="8"/>
        <v>4.1212039999999998E-2</v>
      </c>
      <c r="H40" s="430">
        <f t="shared" si="8"/>
        <v>4.1212039999999998E-2</v>
      </c>
      <c r="I40" s="430">
        <f t="shared" si="8"/>
        <v>4.1212039999999998E-2</v>
      </c>
      <c r="K40" s="442">
        <v>0.01</v>
      </c>
      <c r="L40">
        <v>1.01</v>
      </c>
    </row>
    <row r="41" spans="3:12">
      <c r="C41" s="433">
        <v>66</v>
      </c>
      <c r="D41" t="str">
        <f>VLOOKUP($C41,param!$A$4:$B$270,2)</f>
        <v>F&amp;S Labor Hours Req. Per Unit</v>
      </c>
      <c r="E41" s="430">
        <f t="shared" si="7"/>
        <v>4.1212039999999998E-2</v>
      </c>
      <c r="F41" s="430">
        <f t="shared" si="8"/>
        <v>4.1212039999999998E-2</v>
      </c>
      <c r="G41" s="430">
        <f t="shared" si="8"/>
        <v>4.1212039999999998E-2</v>
      </c>
      <c r="H41" s="430">
        <f t="shared" si="8"/>
        <v>4.1212039999999998E-2</v>
      </c>
      <c r="I41" s="430">
        <f t="shared" si="8"/>
        <v>4.1212039999999998E-2</v>
      </c>
      <c r="K41" s="442">
        <v>0.01</v>
      </c>
      <c r="L41">
        <v>1.01</v>
      </c>
    </row>
    <row r="42" spans="3:12">
      <c r="C42" s="433">
        <v>70</v>
      </c>
      <c r="D42" t="str">
        <f>VLOOKUP($C42,param!$A$4:$B$270,2)</f>
        <v>F&amp;S Distribution Costs for Reg. 1</v>
      </c>
      <c r="E42" s="430">
        <f t="shared" si="7"/>
        <v>8.2424079999999997E-2</v>
      </c>
      <c r="F42" s="430">
        <f t="shared" ref="F42:I46" si="9">capProd4Ftr4Level*$K42*($L42^(capProd4Ftr4Level-1))</f>
        <v>8.2424079999999997E-2</v>
      </c>
      <c r="G42" s="430">
        <f t="shared" si="9"/>
        <v>8.2424079999999997E-2</v>
      </c>
      <c r="H42" s="430">
        <f t="shared" si="9"/>
        <v>8.2424079999999997E-2</v>
      </c>
      <c r="I42" s="430">
        <f t="shared" si="9"/>
        <v>8.2424079999999997E-2</v>
      </c>
      <c r="K42" s="442">
        <v>0.02</v>
      </c>
      <c r="L42">
        <v>1.01</v>
      </c>
    </row>
    <row r="43" spans="3:12">
      <c r="C43" s="433">
        <v>71</v>
      </c>
      <c r="D43" t="str">
        <f>VLOOKUP($C43,param!$A$4:$B$270,2)</f>
        <v>F&amp;S Distribution Costs for Reg. 2</v>
      </c>
      <c r="E43" s="430">
        <f t="shared" si="7"/>
        <v>8.2424079999999997E-2</v>
      </c>
      <c r="F43" s="430">
        <f t="shared" si="9"/>
        <v>8.2424079999999997E-2</v>
      </c>
      <c r="G43" s="430">
        <f t="shared" si="9"/>
        <v>8.2424079999999997E-2</v>
      </c>
      <c r="H43" s="430">
        <f t="shared" si="9"/>
        <v>8.2424079999999997E-2</v>
      </c>
      <c r="I43" s="430">
        <f t="shared" si="9"/>
        <v>8.2424079999999997E-2</v>
      </c>
      <c r="K43" s="442">
        <v>0.02</v>
      </c>
      <c r="L43">
        <v>1.01</v>
      </c>
    </row>
    <row r="44" spans="3:12">
      <c r="C44" s="433">
        <v>74</v>
      </c>
      <c r="D44" t="str">
        <f>VLOOKUP($C44,param!$A$4:$B$270,2)</f>
        <v>F&amp;S Admin Costs</v>
      </c>
      <c r="E44" s="430">
        <f t="shared" si="7"/>
        <v>8.2424079999999997E-2</v>
      </c>
      <c r="F44" s="430">
        <f t="shared" si="9"/>
        <v>8.2424079999999997E-2</v>
      </c>
      <c r="G44" s="430">
        <f t="shared" si="9"/>
        <v>8.2424079999999997E-2</v>
      </c>
      <c r="H44" s="430">
        <f t="shared" si="9"/>
        <v>8.2424079999999997E-2</v>
      </c>
      <c r="I44" s="430">
        <f t="shared" si="9"/>
        <v>8.2424079999999997E-2</v>
      </c>
      <c r="K44" s="442">
        <v>0.02</v>
      </c>
      <c r="L44">
        <v>1.01</v>
      </c>
    </row>
    <row r="45" spans="3:12">
      <c r="C45" s="433">
        <v>65</v>
      </c>
      <c r="D45" t="str">
        <f>VLOOKUP($C45,param!$A$4:$B$270,2)</f>
        <v>F&amp;S Materials Inventory As % of Production</v>
      </c>
      <c r="E45" s="430">
        <f t="shared" si="7"/>
        <v>4.1212039999999998E-2</v>
      </c>
      <c r="F45" s="430">
        <f t="shared" si="9"/>
        <v>4.1212039999999998E-2</v>
      </c>
      <c r="G45" s="430">
        <f t="shared" si="9"/>
        <v>4.1212039999999998E-2</v>
      </c>
      <c r="H45" s="430">
        <f t="shared" si="9"/>
        <v>4.1212039999999998E-2</v>
      </c>
      <c r="I45" s="430">
        <f t="shared" si="9"/>
        <v>4.1212039999999998E-2</v>
      </c>
      <c r="K45" s="442">
        <v>0.01</v>
      </c>
      <c r="L45">
        <v>1.01</v>
      </c>
    </row>
    <row r="46" spans="3:12">
      <c r="C46" s="433">
        <v>59</v>
      </c>
      <c r="D46" t="str">
        <f>VLOOKUP($C46,param!$A$4:$B$270,2)</f>
        <v>F&amp;S Cycle Time</v>
      </c>
      <c r="E46" s="430">
        <f t="shared" si="7"/>
        <v>8.2424079999999997E-2</v>
      </c>
      <c r="F46" s="430">
        <f t="shared" si="9"/>
        <v>8.2424079999999997E-2</v>
      </c>
      <c r="G46" s="430">
        <f t="shared" si="9"/>
        <v>8.2424079999999997E-2</v>
      </c>
      <c r="H46" s="430">
        <f t="shared" si="9"/>
        <v>8.2424079999999997E-2</v>
      </c>
      <c r="I46" s="430">
        <f t="shared" si="9"/>
        <v>8.2424079999999997E-2</v>
      </c>
      <c r="K46" s="442">
        <v>0.02</v>
      </c>
      <c r="L46">
        <v>1.01</v>
      </c>
    </row>
    <row r="47" spans="3:12">
      <c r="C47" s="433">
        <v>142</v>
      </c>
      <c r="D47" t="str">
        <f>VLOOKUP($C47,param!$A$4:$B$270,2)</f>
        <v>Plant Efficiency</v>
      </c>
      <c r="E47" s="430">
        <f t="shared" si="7"/>
        <v>-4.1212039999999998E-3</v>
      </c>
      <c r="F47" s="430">
        <f>capProd4Ftr4Level*$K47*($L47^(capProd4Ftr4Level-1))</f>
        <v>-4.1212039999999998E-3</v>
      </c>
      <c r="G47" s="430">
        <f>capProd4Ftr4Level*$K47*($L47^(capProd4Ftr4Level-1))</f>
        <v>-4.1212039999999998E-3</v>
      </c>
      <c r="H47" s="430">
        <f>capProd4Ftr4Level*$K47*($L47^(capProd4Ftr4Level-1))</f>
        <v>-4.1212039999999998E-3</v>
      </c>
      <c r="I47" s="430">
        <f>capProd4Ftr4Level*$K47*($L47^(capProd4Ftr4Level-1))</f>
        <v>-4.1212039999999998E-3</v>
      </c>
      <c r="K47" s="105">
        <v>-1E-3</v>
      </c>
      <c r="L47">
        <v>1.01</v>
      </c>
    </row>
    <row r="48" spans="3:12">
      <c r="E48" s="1064">
        <v>0.24255328860888231</v>
      </c>
      <c r="F48" s="1064">
        <v>0.24255328860888231</v>
      </c>
      <c r="G48" s="1064">
        <v>0.24255328860888231</v>
      </c>
      <c r="H48" s="1064">
        <v>0.24255328860888231</v>
      </c>
      <c r="I48" s="1064">
        <v>0.24255328860888231</v>
      </c>
    </row>
    <row r="49" spans="2:12">
      <c r="B49" s="2" t="s">
        <v>4735</v>
      </c>
      <c r="E49" s="1064">
        <f ca="1">finROIC</f>
        <v>0.22933437001096038</v>
      </c>
      <c r="F49" s="1064">
        <f ca="1">finROIC</f>
        <v>0.22933437001096038</v>
      </c>
      <c r="G49" s="1064">
        <f ca="1">finROIC</f>
        <v>0.22933437001096038</v>
      </c>
      <c r="H49" s="1064">
        <f ca="1">finROIC</f>
        <v>0.22933437001096038</v>
      </c>
      <c r="I49" s="1064">
        <f ca="1">finROIC</f>
        <v>0.22933437001096038</v>
      </c>
      <c r="K49" s="130" t="s">
        <v>3212</v>
      </c>
      <c r="L49" s="130" t="s">
        <v>3180</v>
      </c>
    </row>
    <row r="50" spans="2:12">
      <c r="C50" s="433">
        <v>109.1</v>
      </c>
      <c r="D50" t="str">
        <f>VLOOKUP($C50,param!$A$4:$B$270,2)</f>
        <v>Lower Region Sales Force Effectiveness</v>
      </c>
      <c r="E50" s="430">
        <f t="shared" ref="E50:I51" si="10">capReg1ChanLevel*$K50*($L50^(capReg1ChanLevel-1))</f>
        <v>0.44999999999999996</v>
      </c>
      <c r="F50" s="430">
        <f t="shared" si="10"/>
        <v>0.44999999999999996</v>
      </c>
      <c r="G50" s="430">
        <f t="shared" si="10"/>
        <v>0.44999999999999996</v>
      </c>
      <c r="H50" s="430">
        <f t="shared" si="10"/>
        <v>0.44999999999999996</v>
      </c>
      <c r="I50" s="430">
        <f t="shared" si="10"/>
        <v>0.44999999999999996</v>
      </c>
      <c r="K50" s="15">
        <v>0.15</v>
      </c>
      <c r="L50">
        <v>1</v>
      </c>
    </row>
    <row r="51" spans="2:12">
      <c r="C51" s="433">
        <v>133.6</v>
      </c>
      <c r="D51" t="str">
        <f>VLOOKUP($C51,param!$A$4:$B$270,2)</f>
        <v>Channel Digitization MTUs</v>
      </c>
      <c r="E51" s="848">
        <f t="shared" si="10"/>
        <v>6</v>
      </c>
      <c r="F51" s="848">
        <f t="shared" si="10"/>
        <v>6</v>
      </c>
      <c r="G51" s="848">
        <f t="shared" si="10"/>
        <v>6</v>
      </c>
      <c r="H51" s="848">
        <f t="shared" si="10"/>
        <v>6</v>
      </c>
      <c r="I51" s="848">
        <f t="shared" si="10"/>
        <v>6</v>
      </c>
      <c r="J51" s="398"/>
      <c r="K51" s="398">
        <v>2</v>
      </c>
      <c r="L51" s="398">
        <v>1</v>
      </c>
    </row>
    <row r="52" spans="2:12" ht="11.25" customHeight="1">
      <c r="B52" s="2"/>
      <c r="C52" s="434" t="str">
        <f>DataNameProd1 &amp; " Segment"</f>
        <v>CSD Segment</v>
      </c>
      <c r="E52" s="183"/>
      <c r="F52" s="183"/>
      <c r="G52" s="183"/>
      <c r="H52" s="183"/>
      <c r="I52" s="183"/>
    </row>
    <row r="53" spans="2:12" ht="11.25" customHeight="1">
      <c r="C53" s="433">
        <v>13</v>
      </c>
      <c r="D53" t="str">
        <f>VLOOKUP($C53,param!$A$4:$B$270,2)</f>
        <v>CSD Distribution Costs for Reg. 1</v>
      </c>
      <c r="E53" s="430">
        <f t="shared" ref="E53:I57" si="11">-capReg1ChanLevel*$K53*($L53^(capReg1ChanLevel-1))</f>
        <v>0</v>
      </c>
      <c r="F53" s="430">
        <f t="shared" si="11"/>
        <v>0</v>
      </c>
      <c r="G53" s="430">
        <f t="shared" si="11"/>
        <v>0</v>
      </c>
      <c r="H53" s="430">
        <f t="shared" si="11"/>
        <v>0</v>
      </c>
      <c r="I53" s="430">
        <f t="shared" si="11"/>
        <v>0</v>
      </c>
      <c r="K53" s="442">
        <v>0</v>
      </c>
      <c r="L53">
        <v>1.01</v>
      </c>
    </row>
    <row r="54" spans="2:12">
      <c r="C54" s="433">
        <v>17</v>
      </c>
      <c r="D54" t="str">
        <f>VLOOKUP($C54,param!$A$4:$B$270,2)</f>
        <v>CSD Admin Costs</v>
      </c>
      <c r="E54" s="430">
        <f t="shared" si="11"/>
        <v>0</v>
      </c>
      <c r="F54" s="430">
        <f t="shared" si="11"/>
        <v>0</v>
      </c>
      <c r="G54" s="430">
        <f t="shared" si="11"/>
        <v>0</v>
      </c>
      <c r="H54" s="430">
        <f t="shared" si="11"/>
        <v>0</v>
      </c>
      <c r="I54" s="430">
        <f t="shared" si="11"/>
        <v>0</v>
      </c>
      <c r="K54" s="442">
        <v>0</v>
      </c>
      <c r="L54">
        <v>1.01</v>
      </c>
    </row>
    <row r="55" spans="2:12">
      <c r="C55" s="433">
        <v>8</v>
      </c>
      <c r="D55" t="str">
        <f>VLOOKUP($C55,param!$A$4:$B$270,2)</f>
        <v>CSD Materials Inventory As % of Production</v>
      </c>
      <c r="E55" s="430">
        <f t="shared" si="11"/>
        <v>0</v>
      </c>
      <c r="F55" s="430">
        <f t="shared" si="11"/>
        <v>0</v>
      </c>
      <c r="G55" s="430">
        <f t="shared" si="11"/>
        <v>0</v>
      </c>
      <c r="H55" s="430">
        <f t="shared" si="11"/>
        <v>0</v>
      </c>
      <c r="I55" s="430">
        <f t="shared" si="11"/>
        <v>0</v>
      </c>
      <c r="K55" s="442">
        <v>0</v>
      </c>
      <c r="L55">
        <v>1.01</v>
      </c>
    </row>
    <row r="56" spans="2:12">
      <c r="C56" s="433">
        <v>2</v>
      </c>
      <c r="D56" t="str">
        <f>VLOOKUP($C56,param!$A$4:$B$270,2)</f>
        <v>CSD Cycle Time</v>
      </c>
      <c r="E56" s="430">
        <f t="shared" si="11"/>
        <v>0</v>
      </c>
      <c r="F56" s="430">
        <f t="shared" si="11"/>
        <v>0</v>
      </c>
      <c r="G56" s="430">
        <f t="shared" si="11"/>
        <v>0</v>
      </c>
      <c r="H56" s="430">
        <f t="shared" si="11"/>
        <v>0</v>
      </c>
      <c r="I56" s="430">
        <f t="shared" si="11"/>
        <v>0</v>
      </c>
      <c r="K56" s="442">
        <v>0</v>
      </c>
      <c r="L56">
        <v>1.01</v>
      </c>
    </row>
    <row r="57" spans="2:12">
      <c r="C57" s="433">
        <v>142</v>
      </c>
      <c r="D57" t="str">
        <f>VLOOKUP($C57,param!$A$4:$B$270,2)</f>
        <v>Plant Efficiency</v>
      </c>
      <c r="E57" s="430">
        <f t="shared" si="11"/>
        <v>0</v>
      </c>
      <c r="F57" s="430">
        <f t="shared" si="11"/>
        <v>0</v>
      </c>
      <c r="G57" s="430">
        <f t="shared" si="11"/>
        <v>0</v>
      </c>
      <c r="H57" s="430">
        <f t="shared" si="11"/>
        <v>0</v>
      </c>
      <c r="I57" s="430">
        <f t="shared" si="11"/>
        <v>0</v>
      </c>
      <c r="K57" s="105">
        <v>0</v>
      </c>
      <c r="L57">
        <v>1.01</v>
      </c>
    </row>
    <row r="58" spans="2:12">
      <c r="C58" s="434" t="str">
        <f>DataNameProd2 &amp; " Segment"</f>
        <v>Breakthrough Segment</v>
      </c>
      <c r="E58" s="430"/>
      <c r="F58" s="430"/>
      <c r="G58" s="430"/>
      <c r="H58" s="430"/>
      <c r="I58" s="430"/>
      <c r="K58" s="442"/>
    </row>
    <row r="59" spans="2:12">
      <c r="C59" s="433">
        <v>32</v>
      </c>
      <c r="D59" t="str">
        <f>VLOOKUP($C59,param!$A$4:$B$270,2)</f>
        <v>Breakthrough Distribution Costs for Reg. 1</v>
      </c>
      <c r="E59" s="430">
        <f t="shared" ref="E59:I63" si="12">-capReg1ChanLevel*$K59*($L59^(capReg1ChanLevel-1))</f>
        <v>0</v>
      </c>
      <c r="F59" s="430">
        <f t="shared" si="12"/>
        <v>0</v>
      </c>
      <c r="G59" s="430">
        <f t="shared" si="12"/>
        <v>0</v>
      </c>
      <c r="H59" s="430">
        <f t="shared" si="12"/>
        <v>0</v>
      </c>
      <c r="I59" s="430">
        <f t="shared" si="12"/>
        <v>0</v>
      </c>
      <c r="K59" s="442">
        <v>0</v>
      </c>
      <c r="L59">
        <v>1.01</v>
      </c>
    </row>
    <row r="60" spans="2:12">
      <c r="C60" s="433">
        <v>36</v>
      </c>
      <c r="D60" t="str">
        <f>VLOOKUP($C60,param!$A$4:$B$270,2)</f>
        <v>Breakthrough Admin Costs</v>
      </c>
      <c r="E60" s="430">
        <f t="shared" si="12"/>
        <v>0</v>
      </c>
      <c r="F60" s="430">
        <f t="shared" si="12"/>
        <v>0</v>
      </c>
      <c r="G60" s="430">
        <f t="shared" si="12"/>
        <v>0</v>
      </c>
      <c r="H60" s="430">
        <f t="shared" si="12"/>
        <v>0</v>
      </c>
      <c r="I60" s="430">
        <f t="shared" si="12"/>
        <v>0</v>
      </c>
      <c r="K60" s="442">
        <v>0</v>
      </c>
      <c r="L60">
        <v>1.01</v>
      </c>
    </row>
    <row r="61" spans="2:12">
      <c r="C61" s="433">
        <v>27</v>
      </c>
      <c r="D61" t="str">
        <f>VLOOKUP($C61,param!$A$4:$B$270,2)</f>
        <v>Breakthrough Materials Inventory As % of Production</v>
      </c>
      <c r="E61" s="430">
        <f t="shared" si="12"/>
        <v>0</v>
      </c>
      <c r="F61" s="430">
        <f t="shared" si="12"/>
        <v>0</v>
      </c>
      <c r="G61" s="430">
        <f t="shared" si="12"/>
        <v>0</v>
      </c>
      <c r="H61" s="430">
        <f t="shared" si="12"/>
        <v>0</v>
      </c>
      <c r="I61" s="430">
        <f t="shared" si="12"/>
        <v>0</v>
      </c>
      <c r="K61" s="442">
        <v>0</v>
      </c>
      <c r="L61">
        <v>1.01</v>
      </c>
    </row>
    <row r="62" spans="2:12">
      <c r="C62" s="433">
        <v>21</v>
      </c>
      <c r="D62" t="str">
        <f>VLOOKUP($C62,param!$A$4:$B$270,2)</f>
        <v>Breakthrough Cycle Time</v>
      </c>
      <c r="E62" s="430">
        <f t="shared" si="12"/>
        <v>0</v>
      </c>
      <c r="F62" s="430">
        <f t="shared" si="12"/>
        <v>0</v>
      </c>
      <c r="G62" s="430">
        <f t="shared" si="12"/>
        <v>0</v>
      </c>
      <c r="H62" s="430">
        <f t="shared" si="12"/>
        <v>0</v>
      </c>
      <c r="I62" s="430">
        <f t="shared" si="12"/>
        <v>0</v>
      </c>
      <c r="K62" s="442">
        <v>0</v>
      </c>
      <c r="L62">
        <v>1.01</v>
      </c>
    </row>
    <row r="63" spans="2:12">
      <c r="C63" s="433">
        <v>142</v>
      </c>
      <c r="D63" t="str">
        <f>VLOOKUP($C63,param!$A$4:$B$270,2)</f>
        <v>Plant Efficiency</v>
      </c>
      <c r="E63" s="430">
        <f t="shared" si="12"/>
        <v>0</v>
      </c>
      <c r="F63" s="430">
        <f t="shared" si="12"/>
        <v>0</v>
      </c>
      <c r="G63" s="430">
        <f t="shared" si="12"/>
        <v>0</v>
      </c>
      <c r="H63" s="430">
        <f t="shared" si="12"/>
        <v>0</v>
      </c>
      <c r="I63" s="430">
        <f t="shared" si="12"/>
        <v>0</v>
      </c>
      <c r="K63" s="105">
        <v>0</v>
      </c>
      <c r="L63">
        <v>1.01</v>
      </c>
    </row>
    <row r="64" spans="2:12">
      <c r="C64" s="434" t="str">
        <f>DataNameProd3 &amp; " Segment"</f>
        <v>NCB Segment</v>
      </c>
      <c r="E64" s="430"/>
      <c r="F64" s="430"/>
      <c r="G64" s="430"/>
      <c r="H64" s="430"/>
      <c r="I64" s="430"/>
      <c r="K64" s="442"/>
    </row>
    <row r="65" spans="2:12">
      <c r="C65" s="433">
        <v>51</v>
      </c>
      <c r="D65" t="str">
        <f>VLOOKUP($C65,param!$A$4:$B$270,2)</f>
        <v>NCB Distribution Costs for Reg. 1</v>
      </c>
      <c r="E65" s="430">
        <f t="shared" ref="E65:I69" si="13">-capReg1ChanLevel*$K65*($L65^(capReg1ChanLevel-1))</f>
        <v>0</v>
      </c>
      <c r="F65" s="430">
        <f t="shared" si="13"/>
        <v>0</v>
      </c>
      <c r="G65" s="430">
        <f t="shared" si="13"/>
        <v>0</v>
      </c>
      <c r="H65" s="430">
        <f t="shared" si="13"/>
        <v>0</v>
      </c>
      <c r="I65" s="430">
        <f t="shared" si="13"/>
        <v>0</v>
      </c>
      <c r="K65" s="442">
        <v>0</v>
      </c>
      <c r="L65">
        <v>1.01</v>
      </c>
    </row>
    <row r="66" spans="2:12">
      <c r="C66" s="433">
        <v>55</v>
      </c>
      <c r="D66" t="str">
        <f>VLOOKUP($C66,param!$A$4:$B$270,2)</f>
        <v>NCB Admin Costs</v>
      </c>
      <c r="E66" s="430">
        <f t="shared" si="13"/>
        <v>0</v>
      </c>
      <c r="F66" s="430">
        <f t="shared" si="13"/>
        <v>0</v>
      </c>
      <c r="G66" s="430">
        <f t="shared" si="13"/>
        <v>0</v>
      </c>
      <c r="H66" s="430">
        <f t="shared" si="13"/>
        <v>0</v>
      </c>
      <c r="I66" s="430">
        <f t="shared" si="13"/>
        <v>0</v>
      </c>
      <c r="K66" s="442">
        <v>0</v>
      </c>
      <c r="L66">
        <v>1.01</v>
      </c>
    </row>
    <row r="67" spans="2:12">
      <c r="C67" s="433">
        <v>46</v>
      </c>
      <c r="D67" t="str">
        <f>VLOOKUP($C67,param!$A$4:$B$270,2)</f>
        <v>NCB Materials Inventory As % of Production</v>
      </c>
      <c r="E67" s="430">
        <f t="shared" si="13"/>
        <v>0</v>
      </c>
      <c r="F67" s="430">
        <f t="shared" si="13"/>
        <v>0</v>
      </c>
      <c r="G67" s="430">
        <f t="shared" si="13"/>
        <v>0</v>
      </c>
      <c r="H67" s="430">
        <f t="shared" si="13"/>
        <v>0</v>
      </c>
      <c r="I67" s="430">
        <f t="shared" si="13"/>
        <v>0</v>
      </c>
      <c r="K67" s="442">
        <v>0</v>
      </c>
      <c r="L67">
        <v>1.01</v>
      </c>
    </row>
    <row r="68" spans="2:12">
      <c r="C68" s="433">
        <v>40</v>
      </c>
      <c r="D68" t="str">
        <f>VLOOKUP($C68,param!$A$4:$B$270,2)</f>
        <v>NCB Cycle Time</v>
      </c>
      <c r="E68" s="430">
        <f t="shared" si="13"/>
        <v>0</v>
      </c>
      <c r="F68" s="430">
        <f t="shared" si="13"/>
        <v>0</v>
      </c>
      <c r="G68" s="430">
        <f t="shared" si="13"/>
        <v>0</v>
      </c>
      <c r="H68" s="430">
        <f t="shared" si="13"/>
        <v>0</v>
      </c>
      <c r="I68" s="430">
        <f t="shared" si="13"/>
        <v>0</v>
      </c>
      <c r="K68" s="442">
        <v>0</v>
      </c>
      <c r="L68">
        <v>1.01</v>
      </c>
    </row>
    <row r="69" spans="2:12">
      <c r="C69" s="433">
        <v>142</v>
      </c>
      <c r="D69" t="str">
        <f>VLOOKUP($C69,param!$A$4:$B$270,2)</f>
        <v>Plant Efficiency</v>
      </c>
      <c r="E69" s="430">
        <f t="shared" si="13"/>
        <v>0</v>
      </c>
      <c r="F69" s="430">
        <f t="shared" si="13"/>
        <v>0</v>
      </c>
      <c r="G69" s="430">
        <f t="shared" si="13"/>
        <v>0</v>
      </c>
      <c r="H69" s="430">
        <f t="shared" si="13"/>
        <v>0</v>
      </c>
      <c r="I69" s="430">
        <f t="shared" si="13"/>
        <v>0</v>
      </c>
      <c r="K69" s="105">
        <v>0</v>
      </c>
      <c r="L69">
        <v>1.01</v>
      </c>
    </row>
    <row r="70" spans="2:12">
      <c r="C70" s="434" t="str">
        <f>DataNameProd4 &amp; " Segment"</f>
        <v>F&amp;S Segment</v>
      </c>
      <c r="E70" s="430"/>
      <c r="F70" s="430"/>
      <c r="G70" s="430"/>
      <c r="H70" s="430"/>
      <c r="I70" s="430"/>
      <c r="K70" s="442"/>
    </row>
    <row r="71" spans="2:12">
      <c r="C71" s="433">
        <v>70</v>
      </c>
      <c r="D71" t="str">
        <f>VLOOKUP($C71,param!$A$4:$B$270,2)</f>
        <v>F&amp;S Distribution Costs for Reg. 1</v>
      </c>
      <c r="E71" s="430">
        <f t="shared" ref="E71:I75" si="14">-capReg1ChanLevel*$K71*($L71^(capReg1ChanLevel-1))</f>
        <v>0</v>
      </c>
      <c r="F71" s="430">
        <f t="shared" si="14"/>
        <v>0</v>
      </c>
      <c r="G71" s="430">
        <f t="shared" si="14"/>
        <v>0</v>
      </c>
      <c r="H71" s="430">
        <f t="shared" si="14"/>
        <v>0</v>
      </c>
      <c r="I71" s="430">
        <f t="shared" si="14"/>
        <v>0</v>
      </c>
      <c r="K71" s="442">
        <v>0</v>
      </c>
      <c r="L71">
        <v>1.01</v>
      </c>
    </row>
    <row r="72" spans="2:12">
      <c r="C72" s="433">
        <v>74</v>
      </c>
      <c r="D72" t="str">
        <f>VLOOKUP($C72,param!$A$4:$B$270,2)</f>
        <v>F&amp;S Admin Costs</v>
      </c>
      <c r="E72" s="430">
        <f t="shared" si="14"/>
        <v>0</v>
      </c>
      <c r="F72" s="430">
        <f t="shared" si="14"/>
        <v>0</v>
      </c>
      <c r="G72" s="430">
        <f t="shared" si="14"/>
        <v>0</v>
      </c>
      <c r="H72" s="430">
        <f t="shared" si="14"/>
        <v>0</v>
      </c>
      <c r="I72" s="430">
        <f t="shared" si="14"/>
        <v>0</v>
      </c>
      <c r="K72" s="442">
        <v>0</v>
      </c>
      <c r="L72">
        <v>1.01</v>
      </c>
    </row>
    <row r="73" spans="2:12">
      <c r="C73" s="433">
        <v>65</v>
      </c>
      <c r="D73" t="str">
        <f>VLOOKUP($C73,param!$A$4:$B$270,2)</f>
        <v>F&amp;S Materials Inventory As % of Production</v>
      </c>
      <c r="E73" s="430">
        <f t="shared" si="14"/>
        <v>0</v>
      </c>
      <c r="F73" s="430">
        <f t="shared" si="14"/>
        <v>0</v>
      </c>
      <c r="G73" s="430">
        <f t="shared" si="14"/>
        <v>0</v>
      </c>
      <c r="H73" s="430">
        <f t="shared" si="14"/>
        <v>0</v>
      </c>
      <c r="I73" s="430">
        <f t="shared" si="14"/>
        <v>0</v>
      </c>
      <c r="K73" s="442">
        <v>0</v>
      </c>
      <c r="L73">
        <v>1.01</v>
      </c>
    </row>
    <row r="74" spans="2:12">
      <c r="C74" s="433">
        <v>59</v>
      </c>
      <c r="D74" t="str">
        <f>VLOOKUP($C74,param!$A$4:$B$270,2)</f>
        <v>F&amp;S Cycle Time</v>
      </c>
      <c r="E74" s="430">
        <f t="shared" si="14"/>
        <v>0</v>
      </c>
      <c r="F74" s="430">
        <f t="shared" si="14"/>
        <v>0</v>
      </c>
      <c r="G74" s="430">
        <f t="shared" si="14"/>
        <v>0</v>
      </c>
      <c r="H74" s="430">
        <f t="shared" si="14"/>
        <v>0</v>
      </c>
      <c r="I74" s="430">
        <f t="shared" si="14"/>
        <v>0</v>
      </c>
      <c r="K74" s="442">
        <v>0</v>
      </c>
      <c r="L74">
        <v>1.01</v>
      </c>
    </row>
    <row r="75" spans="2:12">
      <c r="C75" s="433">
        <v>142</v>
      </c>
      <c r="D75" t="str">
        <f>VLOOKUP($C75,param!$A$4:$B$270,2)</f>
        <v>Plant Efficiency</v>
      </c>
      <c r="E75" s="430">
        <f t="shared" si="14"/>
        <v>0</v>
      </c>
      <c r="F75" s="430">
        <f t="shared" si="14"/>
        <v>0</v>
      </c>
      <c r="G75" s="430">
        <f t="shared" si="14"/>
        <v>0</v>
      </c>
      <c r="H75" s="430">
        <f t="shared" si="14"/>
        <v>0</v>
      </c>
      <c r="I75" s="430">
        <f t="shared" si="14"/>
        <v>0</v>
      </c>
      <c r="K75" s="105">
        <v>0</v>
      </c>
      <c r="L75">
        <v>1.01</v>
      </c>
    </row>
    <row r="76" spans="2:12">
      <c r="C76" s="433"/>
      <c r="E76" s="430"/>
      <c r="F76" s="430"/>
      <c r="G76" s="430"/>
      <c r="H76" s="430"/>
      <c r="I76" s="430"/>
      <c r="K76" s="105"/>
    </row>
    <row r="77" spans="2:12">
      <c r="B77" s="2" t="s">
        <v>2891</v>
      </c>
      <c r="C77" s="433"/>
      <c r="E77" s="430"/>
      <c r="F77" s="430"/>
      <c r="G77" s="430"/>
      <c r="H77" s="430"/>
      <c r="I77" s="430"/>
      <c r="K77" s="105"/>
    </row>
    <row r="78" spans="2:12">
      <c r="C78" s="433">
        <v>164.2</v>
      </c>
      <c r="D78" t="str">
        <f>VLOOKUP($C78,param!$A$4:$B$270,2)</f>
        <v>Channel Penetration Buildout Cost</v>
      </c>
      <c r="E78" s="848">
        <f t="shared" ref="E78:I79" si="15">MAX((capReg2ChanLevel-obalReg2ChanLevel)*$K78*$L78^(capReg2ChanLevel-obalReg2ChanLevel),0)</f>
        <v>0</v>
      </c>
      <c r="F78" s="848">
        <f t="shared" si="15"/>
        <v>0</v>
      </c>
      <c r="G78" s="848">
        <f t="shared" si="15"/>
        <v>0</v>
      </c>
      <c r="H78" s="848">
        <f t="shared" si="15"/>
        <v>0</v>
      </c>
      <c r="I78" s="848">
        <f t="shared" si="15"/>
        <v>0</v>
      </c>
      <c r="K78" s="398">
        <v>10000000</v>
      </c>
      <c r="L78">
        <v>1.2</v>
      </c>
    </row>
    <row r="79" spans="2:12">
      <c r="C79" s="433">
        <v>133.69999999999999</v>
      </c>
      <c r="D79" t="str">
        <f>VLOOKUP($C79,param!$A$4:$B$270,2)</f>
        <v>Channel Customization MTUs</v>
      </c>
      <c r="E79" s="848">
        <f t="shared" si="15"/>
        <v>0</v>
      </c>
      <c r="F79" s="848">
        <f t="shared" si="15"/>
        <v>0</v>
      </c>
      <c r="G79" s="848">
        <f t="shared" si="15"/>
        <v>0</v>
      </c>
      <c r="H79" s="848">
        <f t="shared" si="15"/>
        <v>0</v>
      </c>
      <c r="I79" s="848">
        <f t="shared" si="15"/>
        <v>0</v>
      </c>
      <c r="K79" s="398">
        <v>3</v>
      </c>
      <c r="L79">
        <v>1.1000000000000001</v>
      </c>
    </row>
    <row r="80" spans="2:12">
      <c r="C80" s="434" t="s">
        <v>1728</v>
      </c>
      <c r="E80" s="430"/>
      <c r="F80" s="430"/>
      <c r="G80" s="430"/>
      <c r="H80" s="430"/>
      <c r="I80" s="430"/>
      <c r="K80" s="105"/>
    </row>
    <row r="81" spans="3:12">
      <c r="C81" s="433">
        <v>17</v>
      </c>
      <c r="D81" t="str">
        <f>VLOOKUP($C81,param!$A$4:$B$270,2)</f>
        <v>CSD Admin Costs</v>
      </c>
      <c r="E81" s="430">
        <f t="shared" ref="E81:I82" si="16">capReg2ChanLevel*$K81*($L81^(capReg2ChanLevel-1))</f>
        <v>6.1205999999999997E-2</v>
      </c>
      <c r="F81" s="430">
        <f t="shared" si="16"/>
        <v>6.1205999999999997E-2</v>
      </c>
      <c r="G81" s="430">
        <f t="shared" si="16"/>
        <v>6.1205999999999997E-2</v>
      </c>
      <c r="H81" s="430">
        <f t="shared" si="16"/>
        <v>6.1205999999999997E-2</v>
      </c>
      <c r="I81" s="430">
        <f t="shared" si="16"/>
        <v>6.1205999999999997E-2</v>
      </c>
      <c r="K81" s="442">
        <v>0.02</v>
      </c>
      <c r="L81">
        <v>1.01</v>
      </c>
    </row>
    <row r="82" spans="3:12">
      <c r="C82" s="433">
        <v>14</v>
      </c>
      <c r="D82" t="str">
        <f>VLOOKUP($C82,param!$A$4:$B$270,2)</f>
        <v>CSD Distribution Costs for Reg. 2</v>
      </c>
      <c r="E82" s="430">
        <f t="shared" si="16"/>
        <v>6.1205999999999997E-2</v>
      </c>
      <c r="F82" s="430">
        <f t="shared" si="16"/>
        <v>6.1205999999999997E-2</v>
      </c>
      <c r="G82" s="430">
        <f t="shared" si="16"/>
        <v>6.1205999999999997E-2</v>
      </c>
      <c r="H82" s="430">
        <f t="shared" si="16"/>
        <v>6.1205999999999997E-2</v>
      </c>
      <c r="I82" s="430">
        <f t="shared" si="16"/>
        <v>6.1205999999999997E-2</v>
      </c>
      <c r="K82" s="442">
        <v>0.02</v>
      </c>
      <c r="L82">
        <v>1.01</v>
      </c>
    </row>
    <row r="83" spans="3:12">
      <c r="C83" s="434" t="s">
        <v>470</v>
      </c>
      <c r="E83" s="430"/>
      <c r="F83" s="430"/>
      <c r="G83" s="430"/>
      <c r="H83" s="430"/>
      <c r="I83" s="430"/>
    </row>
    <row r="84" spans="3:12">
      <c r="C84" s="433">
        <v>36</v>
      </c>
      <c r="D84" t="str">
        <f>VLOOKUP($C84,param!$A$4:$B$270,2)</f>
        <v>Breakthrough Admin Costs</v>
      </c>
      <c r="E84" s="430">
        <f t="shared" ref="E84:I85" si="17">capReg2ChanLevel*$K84*($L84^(capReg2ChanLevel-1))</f>
        <v>6.1205999999999997E-2</v>
      </c>
      <c r="F84" s="430">
        <f t="shared" si="17"/>
        <v>6.1205999999999997E-2</v>
      </c>
      <c r="G84" s="430">
        <f t="shared" si="17"/>
        <v>6.1205999999999997E-2</v>
      </c>
      <c r="H84" s="430">
        <f t="shared" si="17"/>
        <v>6.1205999999999997E-2</v>
      </c>
      <c r="I84" s="430">
        <f t="shared" si="17"/>
        <v>6.1205999999999997E-2</v>
      </c>
      <c r="K84" s="442">
        <v>0.02</v>
      </c>
      <c r="L84">
        <v>1.01</v>
      </c>
    </row>
    <row r="85" spans="3:12">
      <c r="C85" s="433">
        <v>33</v>
      </c>
      <c r="D85" t="str">
        <f>VLOOKUP($C85,param!$A$4:$B$270,2)</f>
        <v>Breakthrough Distribution Costs for Reg. 2</v>
      </c>
      <c r="E85" s="430">
        <f t="shared" si="17"/>
        <v>6.1205999999999997E-2</v>
      </c>
      <c r="F85" s="430">
        <f t="shared" si="17"/>
        <v>6.1205999999999997E-2</v>
      </c>
      <c r="G85" s="430">
        <f t="shared" si="17"/>
        <v>6.1205999999999997E-2</v>
      </c>
      <c r="H85" s="430">
        <f t="shared" si="17"/>
        <v>6.1205999999999997E-2</v>
      </c>
      <c r="I85" s="430">
        <f t="shared" si="17"/>
        <v>6.1205999999999997E-2</v>
      </c>
      <c r="K85" s="442">
        <v>0.02</v>
      </c>
      <c r="L85">
        <v>1.01</v>
      </c>
    </row>
    <row r="86" spans="3:12">
      <c r="C86" s="434" t="s">
        <v>471</v>
      </c>
      <c r="E86" s="430"/>
      <c r="F86" s="430"/>
      <c r="G86" s="430"/>
      <c r="H86" s="430"/>
      <c r="I86" s="430"/>
      <c r="K86" s="105"/>
    </row>
    <row r="87" spans="3:12">
      <c r="C87" s="433">
        <v>55</v>
      </c>
      <c r="D87" t="str">
        <f>VLOOKUP($C87,param!$A$4:$B$270,2)</f>
        <v>NCB Admin Costs</v>
      </c>
      <c r="E87" s="430">
        <f t="shared" ref="E87:I88" si="18">capReg2ChanLevel*$K87*($L87^(capReg2ChanLevel-1))</f>
        <v>6.1205999999999997E-2</v>
      </c>
      <c r="F87" s="430">
        <f t="shared" si="18"/>
        <v>6.1205999999999997E-2</v>
      </c>
      <c r="G87" s="430">
        <f t="shared" si="18"/>
        <v>6.1205999999999997E-2</v>
      </c>
      <c r="H87" s="430">
        <f t="shared" si="18"/>
        <v>6.1205999999999997E-2</v>
      </c>
      <c r="I87" s="430">
        <f t="shared" si="18"/>
        <v>6.1205999999999997E-2</v>
      </c>
      <c r="K87" s="442">
        <v>0.02</v>
      </c>
      <c r="L87">
        <v>1.01</v>
      </c>
    </row>
    <row r="88" spans="3:12">
      <c r="C88" s="433">
        <v>52</v>
      </c>
      <c r="D88" t="str">
        <f>VLOOKUP($C88,param!$A$4:$B$270,2)</f>
        <v>NCB Distribution Costs for Reg. 2</v>
      </c>
      <c r="E88" s="430">
        <f t="shared" si="18"/>
        <v>6.1205999999999997E-2</v>
      </c>
      <c r="F88" s="430">
        <f t="shared" si="18"/>
        <v>6.1205999999999997E-2</v>
      </c>
      <c r="G88" s="430">
        <f t="shared" si="18"/>
        <v>6.1205999999999997E-2</v>
      </c>
      <c r="H88" s="430">
        <f t="shared" si="18"/>
        <v>6.1205999999999997E-2</v>
      </c>
      <c r="I88" s="430">
        <f t="shared" si="18"/>
        <v>6.1205999999999997E-2</v>
      </c>
      <c r="K88" s="442">
        <v>0.02</v>
      </c>
      <c r="L88">
        <v>1.01</v>
      </c>
    </row>
    <row r="89" spans="3:12">
      <c r="C89" s="434" t="s">
        <v>830</v>
      </c>
      <c r="E89" s="430"/>
      <c r="F89" s="430"/>
      <c r="G89" s="430"/>
      <c r="H89" s="430"/>
      <c r="I89" s="430"/>
      <c r="K89" s="105"/>
    </row>
    <row r="90" spans="3:12">
      <c r="C90" s="433">
        <v>74</v>
      </c>
      <c r="D90" t="str">
        <f>VLOOKUP($C90,param!$A$4:$B$270,2)</f>
        <v>F&amp;S Admin Costs</v>
      </c>
      <c r="E90" s="430">
        <f t="shared" ref="E90:I91" si="19">capReg2ChanLevel*$K90*($L90^(capReg2ChanLevel-1))</f>
        <v>6.1205999999999997E-2</v>
      </c>
      <c r="F90" s="430">
        <f t="shared" si="19"/>
        <v>6.1205999999999997E-2</v>
      </c>
      <c r="G90" s="430">
        <f t="shared" si="19"/>
        <v>6.1205999999999997E-2</v>
      </c>
      <c r="H90" s="430">
        <f t="shared" si="19"/>
        <v>6.1205999999999997E-2</v>
      </c>
      <c r="I90" s="430">
        <f t="shared" si="19"/>
        <v>6.1205999999999997E-2</v>
      </c>
      <c r="K90" s="442">
        <v>0.02</v>
      </c>
      <c r="L90">
        <v>1.01</v>
      </c>
    </row>
    <row r="91" spans="3:12">
      <c r="C91" s="433">
        <v>71</v>
      </c>
      <c r="D91" t="str">
        <f>VLOOKUP($C91,param!$A$4:$B$270,2)</f>
        <v>F&amp;S Distribution Costs for Reg. 2</v>
      </c>
      <c r="E91" s="430">
        <f t="shared" si="19"/>
        <v>9.9224999999999994E-2</v>
      </c>
      <c r="F91" s="430">
        <f t="shared" si="19"/>
        <v>9.9224999999999994E-2</v>
      </c>
      <c r="G91" s="430">
        <f t="shared" si="19"/>
        <v>9.9224999999999994E-2</v>
      </c>
      <c r="H91" s="430">
        <f t="shared" si="19"/>
        <v>9.9224999999999994E-2</v>
      </c>
      <c r="I91" s="430">
        <f t="shared" si="19"/>
        <v>9.9224999999999994E-2</v>
      </c>
      <c r="K91" s="442">
        <v>0.03</v>
      </c>
      <c r="L91">
        <v>1.05</v>
      </c>
    </row>
    <row r="92" spans="3:12">
      <c r="C92" s="434" t="s">
        <v>2579</v>
      </c>
      <c r="E92" s="430"/>
      <c r="F92" s="430"/>
      <c r="G92" s="430"/>
      <c r="H92" s="430"/>
      <c r="I92" s="430"/>
      <c r="K92" s="105"/>
    </row>
    <row r="93" spans="3:12">
      <c r="C93" s="433">
        <v>117.1</v>
      </c>
      <c r="D93" t="str">
        <f>VLOOKUP($C93,param!$A$4:$B$270,2)</f>
        <v>Upper Region Sales Force Effectiveness</v>
      </c>
      <c r="E93" s="430">
        <f t="shared" ref="E93:I98" si="20">capReg2ChanLevel*$K93*($L93^(capReg2ChanLevel-1))</f>
        <v>0.03</v>
      </c>
      <c r="F93" s="430">
        <f t="shared" si="20"/>
        <v>0.03</v>
      </c>
      <c r="G93" s="430">
        <f t="shared" si="20"/>
        <v>0.03</v>
      </c>
      <c r="H93" s="430">
        <f t="shared" si="20"/>
        <v>0.03</v>
      </c>
      <c r="I93" s="430">
        <f t="shared" si="20"/>
        <v>0.03</v>
      </c>
      <c r="K93" s="15">
        <v>0.01</v>
      </c>
      <c r="L93">
        <v>1</v>
      </c>
    </row>
    <row r="94" spans="3:12">
      <c r="C94" s="433">
        <v>116</v>
      </c>
      <c r="D94" t="str">
        <f>VLOOKUP($C94,param!$A$4:$B$270,2)</f>
        <v>Upper Region Sales Force Overtime Rate</v>
      </c>
      <c r="E94" s="430">
        <f t="shared" si="20"/>
        <v>1.6875000000000001E-2</v>
      </c>
      <c r="F94" s="430">
        <f t="shared" si="20"/>
        <v>1.6875000000000001E-2</v>
      </c>
      <c r="G94" s="430">
        <f t="shared" si="20"/>
        <v>1.6875000000000001E-2</v>
      </c>
      <c r="H94" s="430">
        <f t="shared" si="20"/>
        <v>1.6875000000000001E-2</v>
      </c>
      <c r="I94" s="430">
        <f t="shared" si="20"/>
        <v>1.6875000000000001E-2</v>
      </c>
      <c r="K94" s="15">
        <v>0.01</v>
      </c>
      <c r="L94">
        <v>0.75</v>
      </c>
    </row>
    <row r="95" spans="3:12">
      <c r="C95" s="433">
        <v>112</v>
      </c>
      <c r="D95" t="str">
        <f>VLOOKUP($C95,param!$A$4:$B$270,2)</f>
        <v>Upper Region Sales Force Attrition rate</v>
      </c>
      <c r="E95" s="430">
        <f t="shared" si="20"/>
        <v>1.65375E-2</v>
      </c>
      <c r="F95" s="430">
        <f t="shared" si="20"/>
        <v>1.65375E-2</v>
      </c>
      <c r="G95" s="430">
        <f t="shared" si="20"/>
        <v>1.65375E-2</v>
      </c>
      <c r="H95" s="430">
        <f t="shared" si="20"/>
        <v>1.65375E-2</v>
      </c>
      <c r="I95" s="430">
        <f t="shared" si="20"/>
        <v>1.65375E-2</v>
      </c>
      <c r="K95" s="435">
        <v>5.0000000000000001E-3</v>
      </c>
      <c r="L95">
        <v>1.05</v>
      </c>
    </row>
    <row r="96" spans="3:12">
      <c r="C96" s="433">
        <v>16</v>
      </c>
      <c r="D96" t="s">
        <v>3333</v>
      </c>
      <c r="E96" s="430">
        <f t="shared" si="20"/>
        <v>0.15913500000000003</v>
      </c>
      <c r="F96" s="430">
        <f t="shared" si="20"/>
        <v>0.15913500000000003</v>
      </c>
      <c r="G96" s="430">
        <f t="shared" si="20"/>
        <v>0.15913500000000003</v>
      </c>
      <c r="H96" s="430">
        <f t="shared" si="20"/>
        <v>0.15913500000000003</v>
      </c>
      <c r="I96" s="430">
        <f t="shared" si="20"/>
        <v>0.15913500000000003</v>
      </c>
      <c r="K96" s="435">
        <v>0.05</v>
      </c>
      <c r="L96">
        <v>1.03</v>
      </c>
    </row>
    <row r="97" spans="1:14">
      <c r="C97" s="433">
        <v>54</v>
      </c>
      <c r="D97" t="s">
        <v>3334</v>
      </c>
      <c r="E97" s="430">
        <f t="shared" si="20"/>
        <v>0.15913500000000003</v>
      </c>
      <c r="F97" s="430">
        <f t="shared" si="20"/>
        <v>0.15913500000000003</v>
      </c>
      <c r="G97" s="430">
        <f t="shared" si="20"/>
        <v>0.15913500000000003</v>
      </c>
      <c r="H97" s="430">
        <f t="shared" si="20"/>
        <v>0.15913500000000003</v>
      </c>
      <c r="I97" s="430">
        <f t="shared" si="20"/>
        <v>0.15913500000000003</v>
      </c>
      <c r="K97" s="435">
        <v>0.05</v>
      </c>
      <c r="L97">
        <v>1.03</v>
      </c>
    </row>
    <row r="98" spans="1:14">
      <c r="C98" s="433">
        <v>73</v>
      </c>
      <c r="D98" t="s">
        <v>3335</v>
      </c>
      <c r="E98" s="430">
        <f t="shared" si="20"/>
        <v>0.15913500000000003</v>
      </c>
      <c r="F98" s="430">
        <f t="shared" si="20"/>
        <v>0.15913500000000003</v>
      </c>
      <c r="G98" s="430">
        <f t="shared" si="20"/>
        <v>0.15913500000000003</v>
      </c>
      <c r="H98" s="430">
        <f t="shared" si="20"/>
        <v>0.15913500000000003</v>
      </c>
      <c r="I98" s="430">
        <f t="shared" si="20"/>
        <v>0.15913500000000003</v>
      </c>
      <c r="K98" s="435">
        <v>0.05</v>
      </c>
      <c r="L98">
        <v>1.03</v>
      </c>
    </row>
    <row r="99" spans="1:14">
      <c r="C99" s="433"/>
      <c r="E99" s="430"/>
      <c r="F99" s="430"/>
      <c r="G99" s="430"/>
      <c r="H99" s="430"/>
      <c r="I99" s="430"/>
      <c r="K99" s="435"/>
    </row>
    <row r="100" spans="1:14">
      <c r="C100" s="434" t="s">
        <v>1067</v>
      </c>
      <c r="E100" s="430"/>
      <c r="F100" s="430"/>
      <c r="G100" s="430"/>
      <c r="H100" s="430"/>
      <c r="I100" s="430"/>
      <c r="K100" s="105"/>
    </row>
    <row r="101" spans="1:14">
      <c r="C101" s="433">
        <v>201</v>
      </c>
      <c r="D101" t="str">
        <f>VLOOKUP($C101,param!$A$4:$B$270,2)</f>
        <v>Brands Strategy</v>
      </c>
      <c r="E101" s="1190">
        <f>capRecruitingMTUs+capEmpDevMTUs</f>
        <v>14</v>
      </c>
      <c r="F101" s="1190">
        <f>capRecruitingMTUs+capEmpDevMTUs</f>
        <v>14</v>
      </c>
      <c r="G101" s="1190">
        <f>capRecruitingMTUs+capEmpDevMTUs</f>
        <v>14</v>
      </c>
      <c r="H101" s="1190">
        <f>capRecruitingMTUs+capEmpDevMTUs</f>
        <v>14</v>
      </c>
      <c r="I101" s="1190">
        <f>capRecruitingMTUs+capEmpDevMTUs</f>
        <v>14</v>
      </c>
      <c r="K101" s="15">
        <v>0.01</v>
      </c>
      <c r="L101">
        <v>1</v>
      </c>
    </row>
    <row r="102" spans="1:14">
      <c r="C102" s="433">
        <v>202</v>
      </c>
      <c r="D102" t="str">
        <f>VLOOKUP($C102,param!$A$4:$B$270,2)</f>
        <v>Go-to-Market Strategy</v>
      </c>
      <c r="E102" s="1190">
        <f>capChanCustMTUs+capChanPenMTUs</f>
        <v>6</v>
      </c>
      <c r="F102" s="1190">
        <f>capChanCustMTUs+capChanPenMTUs</f>
        <v>6</v>
      </c>
      <c r="G102" s="1190">
        <f>capChanCustMTUs+capChanPenMTUs</f>
        <v>6</v>
      </c>
      <c r="H102" s="1190">
        <f>capChanCustMTUs+capChanPenMTUs</f>
        <v>6</v>
      </c>
      <c r="I102" s="1190">
        <f>capChanCustMTUs+capChanPenMTUs</f>
        <v>6</v>
      </c>
      <c r="K102" s="15">
        <v>0.01</v>
      </c>
      <c r="L102">
        <v>0.75</v>
      </c>
    </row>
    <row r="103" spans="1:14">
      <c r="C103" s="433">
        <v>203</v>
      </c>
      <c r="D103" t="str">
        <f>VLOOKUP($C103,param!$A$4:$B$270,2)</f>
        <v>Productivity Strategy</v>
      </c>
      <c r="E103" s="1190">
        <f>capPlantCapMTUs+capPlantFlexMTUs+capITinvestMTUs</f>
        <v>6</v>
      </c>
      <c r="F103" s="1190">
        <f>capPlantCapMTUs+capPlantFlexMTUs+capITinvestMTUs</f>
        <v>6</v>
      </c>
      <c r="G103" s="1190">
        <f>capPlantCapMTUs+capPlantFlexMTUs+capITinvestMTUs</f>
        <v>6</v>
      </c>
      <c r="H103" s="1190">
        <f>capPlantCapMTUs+capPlantFlexMTUs+capITinvestMTUs</f>
        <v>6</v>
      </c>
      <c r="I103" s="1190">
        <f>capPlantCapMTUs+capPlantFlexMTUs+capITinvestMTUs</f>
        <v>6</v>
      </c>
      <c r="K103" s="435">
        <v>5.0000000000000001E-3</v>
      </c>
      <c r="L103">
        <v>1.05</v>
      </c>
    </row>
    <row r="104" spans="1:14">
      <c r="C104" s="433">
        <v>204</v>
      </c>
      <c r="D104" t="str">
        <f>VLOOKUP($C104,param!$A$4:$B$270,2)</f>
        <v>Innovation Strategy</v>
      </c>
      <c r="E104" s="1190">
        <f>capRnD2MTUs+capRnD1MTUs+capRnD3MTUs+capRnD4MTUs</f>
        <v>0</v>
      </c>
      <c r="F104" s="1190">
        <f>capRnD2MTUs+capRnD1MTUs+capRnD3MTUs+capRnD4MTUs</f>
        <v>0</v>
      </c>
      <c r="G104" s="1190">
        <f>capRnD2MTUs+capRnD1MTUs+capRnD3MTUs+capRnD4MTUs</f>
        <v>0</v>
      </c>
      <c r="H104" s="1190">
        <f>capRnD2MTUs+capRnD1MTUs+capRnD3MTUs+capRnD4MTUs</f>
        <v>0</v>
      </c>
      <c r="I104" s="1190">
        <f>capRnD2MTUs+capRnD1MTUs+capRnD3MTUs+capRnD4MTUs</f>
        <v>0</v>
      </c>
      <c r="K104" s="435">
        <v>5.0000000000000001E-3</v>
      </c>
      <c r="L104">
        <v>1.05</v>
      </c>
    </row>
    <row r="105" spans="1:14">
      <c r="C105" s="433"/>
      <c r="E105" s="430"/>
      <c r="F105" s="430"/>
      <c r="G105" s="430"/>
      <c r="H105" s="430"/>
      <c r="I105" s="430"/>
      <c r="K105" s="435"/>
    </row>
    <row r="106" spans="1:14">
      <c r="A106" s="1245"/>
      <c r="B106" s="1246" t="s">
        <v>1966</v>
      </c>
      <c r="C106" s="1245"/>
      <c r="D106" s="1245"/>
      <c r="E106" s="1247"/>
      <c r="F106" s="1247"/>
      <c r="G106" s="1247"/>
      <c r="H106" s="1247"/>
      <c r="I106" s="1247"/>
      <c r="J106" s="1245"/>
      <c r="K106" s="1245"/>
      <c r="L106" s="1245"/>
      <c r="M106" s="1245"/>
      <c r="N106" s="1245"/>
    </row>
    <row r="107" spans="1:14">
      <c r="A107" s="1245"/>
      <c r="B107" s="1245"/>
      <c r="C107" s="1248" t="str">
        <f>DataNameProd1 &amp; " Segment"</f>
        <v>CSD Segment</v>
      </c>
      <c r="D107" s="1245"/>
      <c r="E107" s="1247"/>
      <c r="F107" s="1247"/>
      <c r="G107" s="1247"/>
      <c r="H107" s="1247"/>
      <c r="I107" s="1247"/>
      <c r="J107" s="1245"/>
      <c r="K107" s="1245"/>
      <c r="L107" s="1245"/>
      <c r="M107" s="1245"/>
      <c r="N107" s="1245"/>
    </row>
    <row r="108" spans="1:14">
      <c r="A108" s="1245"/>
      <c r="B108" s="1245"/>
      <c r="C108" s="1249">
        <v>10</v>
      </c>
      <c r="D108" s="1245" t="str">
        <f>VLOOKUP($C108,param!$A$4:$B$270,2)</f>
        <v>CSD Machinery Hours Req. Per Unit</v>
      </c>
      <c r="E108" s="1250">
        <f>(decProd1Ftr1Level+decProd1Ftr2Level)*$K108*($L108^(decProd1Ftr1Level+decProd1Ftr2Level-1))</f>
        <v>0</v>
      </c>
      <c r="F108" s="1250">
        <f>(decProd1Ftr1Level+decProd1Ftr2Level)*$K108*($L108^(decProd1Ftr1Level+decProd1Ftr2Level-1))</f>
        <v>0</v>
      </c>
      <c r="G108" s="1250">
        <f>(decProd1Ftr1Level+decProd1Ftr2Level)*$K108*($L108^(decProd1Ftr1Level+decProd1Ftr2Level-1))</f>
        <v>0</v>
      </c>
      <c r="H108" s="1250">
        <f>(decProd1Ftr1Level+decProd1Ftr2Level)*$K108*($L108^(decProd1Ftr1Level+decProd1Ftr2Level-1))</f>
        <v>0</v>
      </c>
      <c r="I108" s="1250">
        <f>(decProd1Ftr1Level+decProd1Ftr2Level)*$K108*($L108^(decProd1Ftr1Level+decProd1Ftr2Level-1))</f>
        <v>0</v>
      </c>
      <c r="J108" s="1245"/>
      <c r="K108" s="1251">
        <v>0.02</v>
      </c>
      <c r="L108" s="1245">
        <v>1.01</v>
      </c>
      <c r="M108" s="1251">
        <f>K108*N108</f>
        <v>0.04</v>
      </c>
      <c r="N108" s="1245">
        <v>2</v>
      </c>
    </row>
    <row r="109" spans="1:14">
      <c r="A109" s="1245"/>
      <c r="B109" s="1245"/>
      <c r="C109" s="1249">
        <v>9</v>
      </c>
      <c r="D109" s="1245" t="str">
        <f>VLOOKUP($C109,param!$A$4:$B$270,2)</f>
        <v>CSD Labor Hours Req. Per Unit</v>
      </c>
      <c r="E109" s="1250">
        <f>(decProd1Ftr1Level+decProd1Ftr2Level)*$K109*($L109^(decProd1Ftr1Level+decProd1Ftr2Level-1))</f>
        <v>0</v>
      </c>
      <c r="F109" s="1250">
        <f t="shared" ref="F109:I112" si="21">(decProd1Ftr1Level+decProd1Ftr2Level)*$K109*($L109^(decProd1Ftr1Level+decProd1Ftr2Level-1))</f>
        <v>0</v>
      </c>
      <c r="G109" s="1250">
        <f t="shared" si="21"/>
        <v>0</v>
      </c>
      <c r="H109" s="1250">
        <f t="shared" si="21"/>
        <v>0</v>
      </c>
      <c r="I109" s="1250">
        <f t="shared" si="21"/>
        <v>0</v>
      </c>
      <c r="J109" s="1245"/>
      <c r="K109" s="1251">
        <v>0.04</v>
      </c>
      <c r="L109" s="1245">
        <v>1.01</v>
      </c>
      <c r="M109" s="1251">
        <f t="shared" ref="M109:M148" si="22">K109*N109</f>
        <v>0.08</v>
      </c>
      <c r="N109" s="1245">
        <v>2</v>
      </c>
    </row>
    <row r="110" spans="1:14">
      <c r="A110" s="1245"/>
      <c r="B110" s="1245"/>
      <c r="C110" s="1249">
        <v>8</v>
      </c>
      <c r="D110" s="1245" t="str">
        <f>VLOOKUP($C110,param!$A$4:$B$270,2)</f>
        <v>CSD Materials Inventory As % of Production</v>
      </c>
      <c r="E110" s="1250">
        <f>(decProd1Ftr1Level+decProd1Ftr2Level)*$K110*($L110^(decProd1Ftr1Level+decProd1Ftr2Level-1))</f>
        <v>0</v>
      </c>
      <c r="F110" s="1250">
        <f t="shared" si="21"/>
        <v>0</v>
      </c>
      <c r="G110" s="1250">
        <f t="shared" si="21"/>
        <v>0</v>
      </c>
      <c r="H110" s="1250">
        <f t="shared" si="21"/>
        <v>0</v>
      </c>
      <c r="I110" s="1250">
        <f t="shared" si="21"/>
        <v>0</v>
      </c>
      <c r="J110" s="1245"/>
      <c r="K110" s="1251">
        <v>0.06</v>
      </c>
      <c r="L110" s="1245">
        <v>1.01</v>
      </c>
      <c r="M110" s="1251">
        <f t="shared" si="22"/>
        <v>0.12</v>
      </c>
      <c r="N110" s="1245">
        <v>2</v>
      </c>
    </row>
    <row r="111" spans="1:14">
      <c r="A111" s="1245"/>
      <c r="B111" s="1245"/>
      <c r="C111" s="1249">
        <v>2</v>
      </c>
      <c r="D111" s="1245" t="str">
        <f>VLOOKUP($C111,param!$A$4:$B$270,2)</f>
        <v>CSD Cycle Time</v>
      </c>
      <c r="E111" s="1250">
        <f>(decProd1Ftr1Level+decProd1Ftr2Level)*$K111*($L111^(decProd1Ftr1Level+decProd1Ftr2Level-1))</f>
        <v>0</v>
      </c>
      <c r="F111" s="1250">
        <f t="shared" si="21"/>
        <v>0</v>
      </c>
      <c r="G111" s="1250">
        <f t="shared" si="21"/>
        <v>0</v>
      </c>
      <c r="H111" s="1250">
        <f t="shared" si="21"/>
        <v>0</v>
      </c>
      <c r="I111" s="1250">
        <f t="shared" si="21"/>
        <v>0</v>
      </c>
      <c r="J111" s="1245"/>
      <c r="K111" s="1251">
        <v>0.2</v>
      </c>
      <c r="L111" s="1245">
        <v>1.01</v>
      </c>
      <c r="M111" s="1251">
        <f t="shared" si="22"/>
        <v>0.4</v>
      </c>
      <c r="N111" s="1245">
        <v>2</v>
      </c>
    </row>
    <row r="112" spans="1:14">
      <c r="A112" s="1245"/>
      <c r="B112" s="1245"/>
      <c r="C112" s="1249">
        <v>142</v>
      </c>
      <c r="D112" s="1245" t="str">
        <f>VLOOKUP($C112,param!$A$4:$B$270,2)</f>
        <v>Plant Efficiency</v>
      </c>
      <c r="E112" s="1250">
        <f>(decProd1Ftr1Level+decProd1Ftr2Level)*$K112*($L112^(decProd1Ftr1Level+decProd1Ftr2Level-1))</f>
        <v>0</v>
      </c>
      <c r="F112" s="1250">
        <f t="shared" si="21"/>
        <v>0</v>
      </c>
      <c r="G112" s="1250">
        <f t="shared" si="21"/>
        <v>0</v>
      </c>
      <c r="H112" s="1250">
        <f t="shared" si="21"/>
        <v>0</v>
      </c>
      <c r="I112" s="1250">
        <f t="shared" si="21"/>
        <v>0</v>
      </c>
      <c r="J112" s="1245"/>
      <c r="K112" s="1252">
        <v>-2E-3</v>
      </c>
      <c r="L112" s="1245">
        <v>1.01</v>
      </c>
      <c r="M112" s="1251">
        <f t="shared" si="22"/>
        <v>-4.0000000000000001E-3</v>
      </c>
      <c r="N112" s="1245">
        <v>2</v>
      </c>
    </row>
    <row r="113" spans="1:14">
      <c r="A113" s="1245"/>
      <c r="B113" s="1245"/>
      <c r="C113" s="1248" t="str">
        <f>DataNameProd2 &amp; " Segment"</f>
        <v>Breakthrough Segment</v>
      </c>
      <c r="D113" s="1245"/>
      <c r="E113" s="1253"/>
      <c r="F113" s="1253"/>
      <c r="G113" s="1253"/>
      <c r="H113" s="1253"/>
      <c r="I113" s="1253"/>
      <c r="J113" s="1245"/>
      <c r="K113" s="1245"/>
      <c r="L113" s="1245"/>
      <c r="M113" s="1251">
        <f t="shared" si="22"/>
        <v>0</v>
      </c>
      <c r="N113" s="1245">
        <v>2</v>
      </c>
    </row>
    <row r="114" spans="1:14">
      <c r="A114" s="1245"/>
      <c r="B114" s="1245"/>
      <c r="C114" s="1249">
        <v>29</v>
      </c>
      <c r="D114" s="1245" t="str">
        <f>VLOOKUP($C114,param!$A$4:$B$270,2)</f>
        <v>Breakthrough Machinery Hours Req. Per Unit</v>
      </c>
      <c r="E114" s="1250">
        <f>(capProd2Ftr1Level+capProd2Ftr2Level)*$K114*($L114^(capProd2Ftr1Level+capProd2Ftr2Level-1))</f>
        <v>0</v>
      </c>
      <c r="F114" s="1250">
        <f t="shared" ref="F114:I118" si="23">(capProd2Ftr1Level+capProd2Ftr2Level)*$K114*($L114^(capProd2Ftr1Level+capProd2Ftr2Level-1))</f>
        <v>0</v>
      </c>
      <c r="G114" s="1250">
        <f t="shared" si="23"/>
        <v>0</v>
      </c>
      <c r="H114" s="1250">
        <f t="shared" si="23"/>
        <v>0</v>
      </c>
      <c r="I114" s="1250">
        <f t="shared" si="23"/>
        <v>0</v>
      </c>
      <c r="J114" s="1245"/>
      <c r="K114" s="1251">
        <v>0.02</v>
      </c>
      <c r="L114" s="1245">
        <v>1.01</v>
      </c>
      <c r="M114" s="1251">
        <f t="shared" si="22"/>
        <v>0.04</v>
      </c>
      <c r="N114" s="1245">
        <v>2</v>
      </c>
    </row>
    <row r="115" spans="1:14">
      <c r="A115" s="1245"/>
      <c r="B115" s="1245"/>
      <c r="C115" s="1249">
        <v>28</v>
      </c>
      <c r="D115" s="1245" t="str">
        <f>VLOOKUP($C115,param!$A$4:$B$270,2)</f>
        <v>Breakthrough Labor Hours Req. Per Unit</v>
      </c>
      <c r="E115" s="1250">
        <f>(capProd2Ftr1Level+capProd2Ftr2Level)*$K115*($L115^(capProd2Ftr1Level+capProd2Ftr2Level-1))</f>
        <v>0</v>
      </c>
      <c r="F115" s="1250">
        <f t="shared" si="23"/>
        <v>0</v>
      </c>
      <c r="G115" s="1250">
        <f t="shared" si="23"/>
        <v>0</v>
      </c>
      <c r="H115" s="1250">
        <f t="shared" si="23"/>
        <v>0</v>
      </c>
      <c r="I115" s="1250">
        <f t="shared" si="23"/>
        <v>0</v>
      </c>
      <c r="J115" s="1245"/>
      <c r="K115" s="1251">
        <v>0.04</v>
      </c>
      <c r="L115" s="1245">
        <v>1.01</v>
      </c>
      <c r="M115" s="1251">
        <f t="shared" si="22"/>
        <v>0.08</v>
      </c>
      <c r="N115" s="1245">
        <v>2</v>
      </c>
    </row>
    <row r="116" spans="1:14">
      <c r="A116" s="1245"/>
      <c r="B116" s="1245"/>
      <c r="C116" s="1249">
        <v>27</v>
      </c>
      <c r="D116" s="1245" t="str">
        <f>VLOOKUP($C116,param!$A$4:$B$270,2)</f>
        <v>Breakthrough Materials Inventory As % of Production</v>
      </c>
      <c r="E116" s="1250">
        <f>(capProd2Ftr1Level+capProd2Ftr2Level)*$K116*($L116^(capProd2Ftr1Level+capProd2Ftr2Level-1))</f>
        <v>0</v>
      </c>
      <c r="F116" s="1250">
        <f t="shared" si="23"/>
        <v>0</v>
      </c>
      <c r="G116" s="1250">
        <f t="shared" si="23"/>
        <v>0</v>
      </c>
      <c r="H116" s="1250">
        <f t="shared" si="23"/>
        <v>0</v>
      </c>
      <c r="I116" s="1250">
        <f t="shared" si="23"/>
        <v>0</v>
      </c>
      <c r="J116" s="1245"/>
      <c r="K116" s="1251">
        <v>0.06</v>
      </c>
      <c r="L116" s="1245">
        <v>1.01</v>
      </c>
      <c r="M116" s="1251">
        <f t="shared" si="22"/>
        <v>0.12</v>
      </c>
      <c r="N116" s="1245">
        <v>2</v>
      </c>
    </row>
    <row r="117" spans="1:14">
      <c r="A117" s="1245"/>
      <c r="B117" s="1245"/>
      <c r="C117" s="1249">
        <v>21</v>
      </c>
      <c r="D117" s="1245" t="str">
        <f>VLOOKUP($C117,param!$A$4:$B$270,2)</f>
        <v>Breakthrough Cycle Time</v>
      </c>
      <c r="E117" s="1250">
        <f>(capProd2Ftr1Level+capProd2Ftr2Level)*$K117*($L117^(capProd2Ftr1Level+capProd2Ftr2Level-1))</f>
        <v>0</v>
      </c>
      <c r="F117" s="1250">
        <f t="shared" si="23"/>
        <v>0</v>
      </c>
      <c r="G117" s="1250">
        <f t="shared" si="23"/>
        <v>0</v>
      </c>
      <c r="H117" s="1250">
        <f t="shared" si="23"/>
        <v>0</v>
      </c>
      <c r="I117" s="1250">
        <f t="shared" si="23"/>
        <v>0</v>
      </c>
      <c r="J117" s="1245"/>
      <c r="K117" s="1251">
        <v>0.2</v>
      </c>
      <c r="L117" s="1245">
        <v>1.01</v>
      </c>
      <c r="M117" s="1251">
        <f t="shared" si="22"/>
        <v>0.4</v>
      </c>
      <c r="N117" s="1245">
        <v>2</v>
      </c>
    </row>
    <row r="118" spans="1:14">
      <c r="A118" s="1245"/>
      <c r="B118" s="1245"/>
      <c r="C118" s="1249">
        <v>142</v>
      </c>
      <c r="D118" s="1245" t="str">
        <f>VLOOKUP($C118,param!$A$4:$B$270,2)</f>
        <v>Plant Efficiency</v>
      </c>
      <c r="E118" s="1250">
        <f>(capProd2Ftr1Level+capProd2Ftr2Level)*$K118*($L118^(capProd2Ftr1Level+capProd2Ftr2Level-1))</f>
        <v>0</v>
      </c>
      <c r="F118" s="1250">
        <f t="shared" si="23"/>
        <v>0</v>
      </c>
      <c r="G118" s="1250">
        <f t="shared" si="23"/>
        <v>0</v>
      </c>
      <c r="H118" s="1250">
        <f t="shared" si="23"/>
        <v>0</v>
      </c>
      <c r="I118" s="1250">
        <f t="shared" si="23"/>
        <v>0</v>
      </c>
      <c r="J118" s="1245"/>
      <c r="K118" s="1252">
        <v>-2E-3</v>
      </c>
      <c r="L118" s="1245">
        <v>1.01</v>
      </c>
      <c r="M118" s="1251">
        <f t="shared" si="22"/>
        <v>-4.0000000000000001E-3</v>
      </c>
      <c r="N118" s="1245">
        <v>2</v>
      </c>
    </row>
    <row r="119" spans="1:14">
      <c r="A119" s="1245"/>
      <c r="B119" s="1245"/>
      <c r="C119" s="1248" t="str">
        <f>DataNameProd3 &amp; " Segment"</f>
        <v>NCB Segment</v>
      </c>
      <c r="D119" s="1245"/>
      <c r="E119" s="1253"/>
      <c r="F119" s="1253"/>
      <c r="G119" s="1253"/>
      <c r="H119" s="1253"/>
      <c r="I119" s="1253"/>
      <c r="J119" s="1245"/>
      <c r="K119" s="1245"/>
      <c r="L119" s="1245"/>
      <c r="M119" s="1251">
        <f t="shared" si="22"/>
        <v>0</v>
      </c>
      <c r="N119" s="1245">
        <v>2</v>
      </c>
    </row>
    <row r="120" spans="1:14">
      <c r="A120" s="1245"/>
      <c r="B120" s="1245"/>
      <c r="C120" s="1249">
        <v>48</v>
      </c>
      <c r="D120" s="1245" t="str">
        <f>VLOOKUP($C120,param!$A$4:$B$270,2)</f>
        <v>NCB Machinery Hours Req. Per Unit</v>
      </c>
      <c r="E120" s="1250">
        <f>(decProd3Ftr1Level+decProd3Ftr2Level)*$K120*($L120^(decProd3Ftr1Level+decProd3Ftr2Level-1))</f>
        <v>0</v>
      </c>
      <c r="F120" s="1250">
        <f t="shared" ref="F120:I124" si="24">(decProd3Ftr1Level+decProd3Ftr2Level)*$K120*($L120^(decProd3Ftr1Level+decProd3Ftr2Level-1))</f>
        <v>0</v>
      </c>
      <c r="G120" s="1250">
        <f t="shared" si="24"/>
        <v>0</v>
      </c>
      <c r="H120" s="1250">
        <f t="shared" si="24"/>
        <v>0</v>
      </c>
      <c r="I120" s="1250">
        <f t="shared" si="24"/>
        <v>0</v>
      </c>
      <c r="J120" s="1245"/>
      <c r="K120" s="1251">
        <v>0.02</v>
      </c>
      <c r="L120" s="1245">
        <v>1.01</v>
      </c>
      <c r="M120" s="1251">
        <f t="shared" si="22"/>
        <v>0.04</v>
      </c>
      <c r="N120" s="1245">
        <v>2</v>
      </c>
    </row>
    <row r="121" spans="1:14">
      <c r="A121" s="1245"/>
      <c r="B121" s="1245"/>
      <c r="C121" s="1249">
        <v>47</v>
      </c>
      <c r="D121" s="1245" t="str">
        <f>VLOOKUP($C121,param!$A$4:$B$270,2)</f>
        <v>NCB Labor Hours Req. Per Unit</v>
      </c>
      <c r="E121" s="1250">
        <f>(decProd3Ftr1Level+decProd3Ftr2Level)*$K121*($L121^(decProd3Ftr1Level+decProd3Ftr2Level-1))</f>
        <v>0</v>
      </c>
      <c r="F121" s="1250">
        <f t="shared" si="24"/>
        <v>0</v>
      </c>
      <c r="G121" s="1250">
        <f t="shared" si="24"/>
        <v>0</v>
      </c>
      <c r="H121" s="1250">
        <f t="shared" si="24"/>
        <v>0</v>
      </c>
      <c r="I121" s="1250">
        <f t="shared" si="24"/>
        <v>0</v>
      </c>
      <c r="J121" s="1245"/>
      <c r="K121" s="1251">
        <v>0.02</v>
      </c>
      <c r="L121" s="1245">
        <v>1.01</v>
      </c>
      <c r="M121" s="1251">
        <f t="shared" si="22"/>
        <v>0.04</v>
      </c>
      <c r="N121" s="1245">
        <v>2</v>
      </c>
    </row>
    <row r="122" spans="1:14">
      <c r="A122" s="1245"/>
      <c r="B122" s="1245"/>
      <c r="C122" s="1249">
        <v>46</v>
      </c>
      <c r="D122" s="1245" t="str">
        <f>VLOOKUP($C122,param!$A$4:$B$270,2)</f>
        <v>NCB Materials Inventory As % of Production</v>
      </c>
      <c r="E122" s="1250">
        <f>(decProd3Ftr1Level+decProd3Ftr2Level)*$K122*($L122^(decProd3Ftr1Level+decProd3Ftr2Level-1))</f>
        <v>0</v>
      </c>
      <c r="F122" s="1250">
        <f t="shared" si="24"/>
        <v>0</v>
      </c>
      <c r="G122" s="1250">
        <f t="shared" si="24"/>
        <v>0</v>
      </c>
      <c r="H122" s="1250">
        <f t="shared" si="24"/>
        <v>0</v>
      </c>
      <c r="I122" s="1250">
        <f t="shared" si="24"/>
        <v>0</v>
      </c>
      <c r="J122" s="1245"/>
      <c r="K122" s="1251">
        <v>0.06</v>
      </c>
      <c r="L122" s="1245">
        <v>1.01</v>
      </c>
      <c r="M122" s="1251">
        <f t="shared" si="22"/>
        <v>0.12</v>
      </c>
      <c r="N122" s="1245">
        <v>2</v>
      </c>
    </row>
    <row r="123" spans="1:14">
      <c r="A123" s="1245"/>
      <c r="B123" s="1245"/>
      <c r="C123" s="1249">
        <v>40</v>
      </c>
      <c r="D123" s="1245" t="str">
        <f>VLOOKUP($C123,param!$A$4:$B$270,2)</f>
        <v>NCB Cycle Time</v>
      </c>
      <c r="E123" s="1250">
        <f>(decProd3Ftr1Level+decProd3Ftr2Level)*$K123*($L123^(decProd3Ftr1Level+decProd3Ftr2Level-1))</f>
        <v>0</v>
      </c>
      <c r="F123" s="1250">
        <f t="shared" si="24"/>
        <v>0</v>
      </c>
      <c r="G123" s="1250">
        <f t="shared" si="24"/>
        <v>0</v>
      </c>
      <c r="H123" s="1250">
        <f t="shared" si="24"/>
        <v>0</v>
      </c>
      <c r="I123" s="1250">
        <f t="shared" si="24"/>
        <v>0</v>
      </c>
      <c r="J123" s="1245"/>
      <c r="K123" s="1251">
        <v>0.14000000000000001</v>
      </c>
      <c r="L123" s="1245">
        <v>1.01</v>
      </c>
      <c r="M123" s="1251">
        <f t="shared" si="22"/>
        <v>0.28000000000000003</v>
      </c>
      <c r="N123" s="1245">
        <v>2</v>
      </c>
    </row>
    <row r="124" spans="1:14">
      <c r="A124" s="1245"/>
      <c r="B124" s="1245"/>
      <c r="C124" s="1249">
        <v>142</v>
      </c>
      <c r="D124" s="1245" t="str">
        <f>VLOOKUP($C124,param!$A$4:$B$270,2)</f>
        <v>Plant Efficiency</v>
      </c>
      <c r="E124" s="1250">
        <f>(decProd3Ftr1Level+decProd3Ftr2Level)*$K124*($L124^(decProd3Ftr1Level+decProd3Ftr2Level-1))</f>
        <v>0</v>
      </c>
      <c r="F124" s="1250">
        <f t="shared" si="24"/>
        <v>0</v>
      </c>
      <c r="G124" s="1250">
        <f t="shared" si="24"/>
        <v>0</v>
      </c>
      <c r="H124" s="1250">
        <f t="shared" si="24"/>
        <v>0</v>
      </c>
      <c r="I124" s="1250">
        <f t="shared" si="24"/>
        <v>0</v>
      </c>
      <c r="J124" s="1245"/>
      <c r="K124" s="1252">
        <v>-2E-3</v>
      </c>
      <c r="L124" s="1245">
        <v>1.01</v>
      </c>
      <c r="M124" s="1251">
        <f t="shared" si="22"/>
        <v>-4.0000000000000001E-3</v>
      </c>
      <c r="N124" s="1245">
        <v>2</v>
      </c>
    </row>
    <row r="125" spans="1:14">
      <c r="A125" s="1245"/>
      <c r="B125" s="1245"/>
      <c r="C125" s="1248" t="str">
        <f>DataNameProd4 &amp; " Segment"</f>
        <v>F&amp;S Segment</v>
      </c>
      <c r="D125" s="1245"/>
      <c r="E125" s="1253"/>
      <c r="F125" s="1253"/>
      <c r="G125" s="1253"/>
      <c r="H125" s="1253"/>
      <c r="I125" s="1253"/>
      <c r="J125" s="1245"/>
      <c r="K125" s="1245"/>
      <c r="L125" s="1245"/>
      <c r="M125" s="1251">
        <f t="shared" si="22"/>
        <v>0</v>
      </c>
      <c r="N125" s="1245">
        <v>2</v>
      </c>
    </row>
    <row r="126" spans="1:14">
      <c r="A126" s="1245"/>
      <c r="B126" s="1245"/>
      <c r="C126" s="1249">
        <v>67</v>
      </c>
      <c r="D126" s="1245" t="str">
        <f>VLOOKUP($C126,param!$A$4:$B$270,2)</f>
        <v>F&amp;S Machinery Hours Req. Per Unit</v>
      </c>
      <c r="E126" s="1250">
        <f>(decProd4Ftr1Level+decProd4Ftr2Level)*$K126*($L126^(decProd4Ftr1Level+decProd4Ftr2Level-1))</f>
        <v>0</v>
      </c>
      <c r="F126" s="1250">
        <f t="shared" ref="F126:I130" si="25">(decProd4Ftr1Level+decProd4Ftr2Level)*$K126*($L126^(decProd4Ftr1Level+decProd4Ftr2Level-1))</f>
        <v>0</v>
      </c>
      <c r="G126" s="1250">
        <f t="shared" si="25"/>
        <v>0</v>
      </c>
      <c r="H126" s="1250">
        <f t="shared" si="25"/>
        <v>0</v>
      </c>
      <c r="I126" s="1250">
        <f t="shared" si="25"/>
        <v>0</v>
      </c>
      <c r="J126" s="1245"/>
      <c r="K126" s="1251">
        <v>0.04</v>
      </c>
      <c r="L126" s="1245">
        <v>1.01</v>
      </c>
      <c r="M126" s="1251">
        <f t="shared" si="22"/>
        <v>0.08</v>
      </c>
      <c r="N126" s="1245">
        <v>2</v>
      </c>
    </row>
    <row r="127" spans="1:14">
      <c r="A127" s="1245"/>
      <c r="B127" s="1246"/>
      <c r="C127" s="1249">
        <v>66</v>
      </c>
      <c r="D127" s="1245" t="str">
        <f>VLOOKUP($C127,param!$A$4:$B$270,2)</f>
        <v>F&amp;S Labor Hours Req. Per Unit</v>
      </c>
      <c r="E127" s="1250">
        <f>(decProd4Ftr1Level+decProd4Ftr2Level)*$K127*($L127^(decProd4Ftr1Level+decProd4Ftr2Level-1))</f>
        <v>0</v>
      </c>
      <c r="F127" s="1250">
        <f t="shared" si="25"/>
        <v>0</v>
      </c>
      <c r="G127" s="1250">
        <f t="shared" si="25"/>
        <v>0</v>
      </c>
      <c r="H127" s="1250">
        <f t="shared" si="25"/>
        <v>0</v>
      </c>
      <c r="I127" s="1250">
        <f t="shared" si="25"/>
        <v>0</v>
      </c>
      <c r="J127" s="1245"/>
      <c r="K127" s="1251">
        <v>0.06</v>
      </c>
      <c r="L127" s="1245">
        <v>1.01</v>
      </c>
      <c r="M127" s="1251">
        <f t="shared" si="22"/>
        <v>0.12</v>
      </c>
      <c r="N127" s="1245">
        <v>2</v>
      </c>
    </row>
    <row r="128" spans="1:14">
      <c r="A128" s="1245"/>
      <c r="B128" s="1246"/>
      <c r="C128" s="1249">
        <v>65</v>
      </c>
      <c r="D128" s="1245" t="str">
        <f>VLOOKUP($C128,param!$A$4:$B$270,2)</f>
        <v>F&amp;S Materials Inventory As % of Production</v>
      </c>
      <c r="E128" s="1250">
        <f>(decProd4Ftr1Level+decProd4Ftr2Level)*$K128*($L128^(decProd4Ftr1Level+decProd4Ftr2Level-1))</f>
        <v>0</v>
      </c>
      <c r="F128" s="1250">
        <f t="shared" si="25"/>
        <v>0</v>
      </c>
      <c r="G128" s="1250">
        <f t="shared" si="25"/>
        <v>0</v>
      </c>
      <c r="H128" s="1250">
        <f t="shared" si="25"/>
        <v>0</v>
      </c>
      <c r="I128" s="1250">
        <f t="shared" si="25"/>
        <v>0</v>
      </c>
      <c r="J128" s="1245"/>
      <c r="K128" s="1251">
        <v>0.06</v>
      </c>
      <c r="L128" s="1245">
        <v>1.01</v>
      </c>
      <c r="M128" s="1251">
        <f t="shared" si="22"/>
        <v>0.12</v>
      </c>
      <c r="N128" s="1245">
        <v>2</v>
      </c>
    </row>
    <row r="129" spans="1:14">
      <c r="A129" s="1245"/>
      <c r="B129" s="1246"/>
      <c r="C129" s="1249">
        <v>59</v>
      </c>
      <c r="D129" s="1245" t="str">
        <f>VLOOKUP($C129,param!$A$4:$B$270,2)</f>
        <v>F&amp;S Cycle Time</v>
      </c>
      <c r="E129" s="1250">
        <f>(decProd4Ftr1Level+decProd4Ftr2Level)*$K129*($L129^(decProd4Ftr1Level+decProd4Ftr2Level-1))</f>
        <v>0</v>
      </c>
      <c r="F129" s="1250">
        <f t="shared" si="25"/>
        <v>0</v>
      </c>
      <c r="G129" s="1250">
        <f t="shared" si="25"/>
        <v>0</v>
      </c>
      <c r="H129" s="1250">
        <f t="shared" si="25"/>
        <v>0</v>
      </c>
      <c r="I129" s="1250">
        <f t="shared" si="25"/>
        <v>0</v>
      </c>
      <c r="J129" s="1245"/>
      <c r="K129" s="1251">
        <v>0.3</v>
      </c>
      <c r="L129" s="1245">
        <v>1.01</v>
      </c>
      <c r="M129" s="1251">
        <f t="shared" si="22"/>
        <v>0.6</v>
      </c>
      <c r="N129" s="1245">
        <v>2</v>
      </c>
    </row>
    <row r="130" spans="1:14">
      <c r="A130" s="1245"/>
      <c r="B130" s="1245"/>
      <c r="C130" s="1249">
        <v>142</v>
      </c>
      <c r="D130" s="1245" t="str">
        <f>VLOOKUP($C130,param!$A$4:$B$270,2)</f>
        <v>Plant Efficiency</v>
      </c>
      <c r="E130" s="1250">
        <f>(decProd4Ftr1Level+decProd4Ftr2Level)*$K130*($L130^(decProd4Ftr1Level+decProd4Ftr2Level-1))</f>
        <v>0</v>
      </c>
      <c r="F130" s="1250">
        <f t="shared" si="25"/>
        <v>0</v>
      </c>
      <c r="G130" s="1250">
        <f t="shared" si="25"/>
        <v>0</v>
      </c>
      <c r="H130" s="1250">
        <f t="shared" si="25"/>
        <v>0</v>
      </c>
      <c r="I130" s="1250">
        <f t="shared" si="25"/>
        <v>0</v>
      </c>
      <c r="J130" s="1245"/>
      <c r="K130" s="1252">
        <v>-2E-3</v>
      </c>
      <c r="L130" s="1245">
        <v>1.01</v>
      </c>
      <c r="M130" s="1251">
        <f t="shared" si="22"/>
        <v>-4.0000000000000001E-3</v>
      </c>
      <c r="N130" s="1245">
        <v>2</v>
      </c>
    </row>
    <row r="131" spans="1:14">
      <c r="A131" s="1245"/>
      <c r="B131" s="1245"/>
      <c r="C131" s="1245"/>
      <c r="D131" s="1245"/>
      <c r="E131" s="1247"/>
      <c r="F131" s="1247"/>
      <c r="G131" s="1247"/>
      <c r="H131" s="1247"/>
      <c r="I131" s="1247"/>
      <c r="J131" s="1245"/>
      <c r="K131" s="1245"/>
      <c r="L131" s="1245"/>
      <c r="M131" s="1251">
        <f t="shared" si="22"/>
        <v>0</v>
      </c>
      <c r="N131" s="1245">
        <v>2</v>
      </c>
    </row>
    <row r="132" spans="1:14">
      <c r="A132" s="1245"/>
      <c r="B132" s="1246" t="s">
        <v>3530</v>
      </c>
      <c r="C132" s="1245"/>
      <c r="D132" s="1245"/>
      <c r="E132" s="1247"/>
      <c r="F132" s="1247"/>
      <c r="G132" s="1247"/>
      <c r="H132" s="1247"/>
      <c r="I132" s="1247"/>
      <c r="J132" s="1245"/>
      <c r="K132" s="1245"/>
      <c r="L132" s="1245"/>
      <c r="M132" s="1251">
        <f t="shared" si="22"/>
        <v>0</v>
      </c>
      <c r="N132" s="1245">
        <v>2</v>
      </c>
    </row>
    <row r="133" spans="1:14">
      <c r="A133" s="1245"/>
      <c r="B133" s="1245"/>
      <c r="C133" s="1248" t="str">
        <f>DataNameProd1 &amp; " Segment"</f>
        <v>CSD Segment</v>
      </c>
      <c r="D133" s="1245"/>
      <c r="E133" s="1247"/>
      <c r="F133" s="1247"/>
      <c r="G133" s="1247"/>
      <c r="H133" s="1247"/>
      <c r="I133" s="1247"/>
      <c r="J133" s="1245"/>
      <c r="K133" s="1245"/>
      <c r="L133" s="1245"/>
      <c r="M133" s="1251">
        <f t="shared" si="22"/>
        <v>0</v>
      </c>
      <c r="N133" s="1245">
        <v>2</v>
      </c>
    </row>
    <row r="134" spans="1:14">
      <c r="A134" s="1245"/>
      <c r="B134" s="1245"/>
      <c r="C134" s="1249">
        <v>13</v>
      </c>
      <c r="D134" s="1245" t="str">
        <f>VLOOKUP($C134,param!$A$4:$B$270,2)</f>
        <v>CSD Distribution Costs for Reg. 1</v>
      </c>
      <c r="E134" s="1250">
        <f t="shared" ref="E134:I136" si="26">(decProd1Ftr1Level+decProd1Ftr2Level)*$K134*($L134^(decProd1Ftr1Level+decProd1Ftr2Level-1))</f>
        <v>0</v>
      </c>
      <c r="F134" s="1250">
        <f t="shared" si="26"/>
        <v>0</v>
      </c>
      <c r="G134" s="1250">
        <f t="shared" si="26"/>
        <v>0</v>
      </c>
      <c r="H134" s="1250">
        <f t="shared" si="26"/>
        <v>0</v>
      </c>
      <c r="I134" s="1250">
        <f t="shared" si="26"/>
        <v>0</v>
      </c>
      <c r="J134" s="1245"/>
      <c r="K134" s="1251">
        <v>0.02</v>
      </c>
      <c r="L134" s="1245">
        <v>1.01</v>
      </c>
      <c r="M134" s="1251">
        <f t="shared" si="22"/>
        <v>0.04</v>
      </c>
      <c r="N134" s="1245">
        <v>2</v>
      </c>
    </row>
    <row r="135" spans="1:14">
      <c r="A135" s="1245"/>
      <c r="B135" s="1245"/>
      <c r="C135" s="1249">
        <v>14</v>
      </c>
      <c r="D135" s="1245" t="str">
        <f>VLOOKUP($C135,param!$A$4:$B$270,2)</f>
        <v>CSD Distribution Costs for Reg. 2</v>
      </c>
      <c r="E135" s="1250">
        <f t="shared" si="26"/>
        <v>0</v>
      </c>
      <c r="F135" s="1250">
        <f t="shared" si="26"/>
        <v>0</v>
      </c>
      <c r="G135" s="1250">
        <f t="shared" si="26"/>
        <v>0</v>
      </c>
      <c r="H135" s="1250">
        <f t="shared" si="26"/>
        <v>0</v>
      </c>
      <c r="I135" s="1250">
        <f t="shared" si="26"/>
        <v>0</v>
      </c>
      <c r="J135" s="1245"/>
      <c r="K135" s="1251">
        <v>0.02</v>
      </c>
      <c r="L135" s="1245">
        <v>1.01</v>
      </c>
      <c r="M135" s="1251">
        <f t="shared" si="22"/>
        <v>0.04</v>
      </c>
      <c r="N135" s="1245">
        <v>2</v>
      </c>
    </row>
    <row r="136" spans="1:14">
      <c r="A136" s="1245"/>
      <c r="B136" s="1245"/>
      <c r="C136" s="1249">
        <v>17</v>
      </c>
      <c r="D136" s="1245" t="str">
        <f>VLOOKUP($C136,param!$A$4:$B$270,2)</f>
        <v>CSD Admin Costs</v>
      </c>
      <c r="E136" s="1250">
        <f t="shared" si="26"/>
        <v>0</v>
      </c>
      <c r="F136" s="1250">
        <f t="shared" si="26"/>
        <v>0</v>
      </c>
      <c r="G136" s="1250">
        <f t="shared" si="26"/>
        <v>0</v>
      </c>
      <c r="H136" s="1250">
        <f t="shared" si="26"/>
        <v>0</v>
      </c>
      <c r="I136" s="1250">
        <f t="shared" si="26"/>
        <v>0</v>
      </c>
      <c r="J136" s="1245"/>
      <c r="K136" s="1251">
        <v>0.02</v>
      </c>
      <c r="L136" s="1245">
        <v>1.01</v>
      </c>
      <c r="M136" s="1251">
        <f t="shared" si="22"/>
        <v>0.04</v>
      </c>
      <c r="N136" s="1245">
        <v>2</v>
      </c>
    </row>
    <row r="137" spans="1:14">
      <c r="A137" s="1245"/>
      <c r="B137" s="1245"/>
      <c r="C137" s="1248" t="str">
        <f>DataNameProd2 &amp; " Segment"</f>
        <v>Breakthrough Segment</v>
      </c>
      <c r="D137" s="1245"/>
      <c r="E137" s="1247"/>
      <c r="F137" s="1247"/>
      <c r="G137" s="1247"/>
      <c r="H137" s="1247"/>
      <c r="I137" s="1247"/>
      <c r="J137" s="1245"/>
      <c r="K137" s="1251"/>
      <c r="L137" s="1245"/>
      <c r="M137" s="1251">
        <f t="shared" si="22"/>
        <v>0</v>
      </c>
      <c r="N137" s="1245">
        <v>2</v>
      </c>
    </row>
    <row r="138" spans="1:14">
      <c r="A138" s="1245"/>
      <c r="B138" s="1245"/>
      <c r="C138" s="1249">
        <v>32</v>
      </c>
      <c r="D138" s="1245" t="str">
        <f>VLOOKUP($C138,param!$A$4:$B$270,2)</f>
        <v>Breakthrough Distribution Costs for Reg. 1</v>
      </c>
      <c r="E138" s="1250">
        <f>(capProd2Ftr1Level+capProd2Ftr2Level)*$K138*($L138^(capProd2Ftr1Level+capProd2Ftr2Level-1))</f>
        <v>0</v>
      </c>
      <c r="F138" s="1250">
        <f>(capProd2Ftr1Level+capProd2Ftr2Level)*$K138*($L138^(capProd2Ftr1Level+capProd2Ftr2Level-1))</f>
        <v>0</v>
      </c>
      <c r="G138" s="1250">
        <f>(capProd2Ftr1Level+capProd2Ftr2Level)*$K138*($L138^(capProd2Ftr1Level+capProd2Ftr2Level-1))</f>
        <v>0</v>
      </c>
      <c r="H138" s="1250">
        <f>(capProd2Ftr1Level+capProd2Ftr2Level)*$K138*($L138^(capProd2Ftr1Level+capProd2Ftr2Level-1))</f>
        <v>0</v>
      </c>
      <c r="I138" s="1250">
        <f>(capProd2Ftr1Level+capProd2Ftr2Level)*$K138*($L138^(capProd2Ftr1Level+capProd2Ftr2Level-1))</f>
        <v>0</v>
      </c>
      <c r="J138" s="1245"/>
      <c r="K138" s="1251">
        <v>0.02</v>
      </c>
      <c r="L138" s="1245">
        <v>1.01</v>
      </c>
      <c r="M138" s="1251">
        <f t="shared" si="22"/>
        <v>0.04</v>
      </c>
      <c r="N138" s="1245">
        <v>2</v>
      </c>
    </row>
    <row r="139" spans="1:14">
      <c r="A139" s="1245"/>
      <c r="B139" s="1245"/>
      <c r="C139" s="1249">
        <v>33</v>
      </c>
      <c r="D139" s="1245" t="str">
        <f>VLOOKUP($C139,param!$A$4:$B$270,2)</f>
        <v>Breakthrough Distribution Costs for Reg. 2</v>
      </c>
      <c r="E139" s="1250">
        <f t="shared" ref="E139:I140" si="27">(capProd2Ftr1Level+capProd2Ftr2Level)*$K139*($L139^(capProd2Ftr1Level+capProd2Ftr2Level-1))</f>
        <v>0</v>
      </c>
      <c r="F139" s="1250">
        <f t="shared" si="27"/>
        <v>0</v>
      </c>
      <c r="G139" s="1250">
        <f t="shared" si="27"/>
        <v>0</v>
      </c>
      <c r="H139" s="1250">
        <f t="shared" si="27"/>
        <v>0</v>
      </c>
      <c r="I139" s="1250">
        <f t="shared" si="27"/>
        <v>0</v>
      </c>
      <c r="J139" s="1245"/>
      <c r="K139" s="1251">
        <v>0.02</v>
      </c>
      <c r="L139" s="1245">
        <v>1.01</v>
      </c>
      <c r="M139" s="1251">
        <f t="shared" si="22"/>
        <v>0.04</v>
      </c>
      <c r="N139" s="1245">
        <v>2</v>
      </c>
    </row>
    <row r="140" spans="1:14">
      <c r="A140" s="1245"/>
      <c r="B140" s="1245"/>
      <c r="C140" s="1249">
        <v>36</v>
      </c>
      <c r="D140" s="1245" t="str">
        <f>VLOOKUP($C140,param!$A$4:$B$270,2)</f>
        <v>Breakthrough Admin Costs</v>
      </c>
      <c r="E140" s="1250">
        <f t="shared" si="27"/>
        <v>0</v>
      </c>
      <c r="F140" s="1250">
        <f t="shared" si="27"/>
        <v>0</v>
      </c>
      <c r="G140" s="1250">
        <f t="shared" si="27"/>
        <v>0</v>
      </c>
      <c r="H140" s="1250">
        <f t="shared" si="27"/>
        <v>0</v>
      </c>
      <c r="I140" s="1250">
        <f t="shared" si="27"/>
        <v>0</v>
      </c>
      <c r="J140" s="1245"/>
      <c r="K140" s="1251">
        <v>0.02</v>
      </c>
      <c r="L140" s="1245">
        <v>1.01</v>
      </c>
      <c r="M140" s="1251">
        <f t="shared" si="22"/>
        <v>0.04</v>
      </c>
      <c r="N140" s="1245">
        <v>2</v>
      </c>
    </row>
    <row r="141" spans="1:14">
      <c r="A141" s="1245"/>
      <c r="B141" s="1245"/>
      <c r="C141" s="1248" t="str">
        <f>DataNameProd3 &amp; " Segment"</f>
        <v>NCB Segment</v>
      </c>
      <c r="D141" s="1245"/>
      <c r="E141" s="1247"/>
      <c r="F141" s="1247"/>
      <c r="G141" s="1247"/>
      <c r="H141" s="1247"/>
      <c r="I141" s="1247"/>
      <c r="J141" s="1245"/>
      <c r="K141" s="1251"/>
      <c r="L141" s="1245"/>
      <c r="M141" s="1251">
        <f t="shared" si="22"/>
        <v>0</v>
      </c>
      <c r="N141" s="1245">
        <v>2</v>
      </c>
    </row>
    <row r="142" spans="1:14">
      <c r="A142" s="1245"/>
      <c r="B142" s="1245"/>
      <c r="C142" s="1249">
        <v>51</v>
      </c>
      <c r="D142" s="1245" t="str">
        <f>VLOOKUP($C142,param!$A$4:$B$270,2)</f>
        <v>NCB Distribution Costs for Reg. 1</v>
      </c>
      <c r="E142" s="1250">
        <f>(decProd3Ftr1Level+decProd3Ftr2Level)*$K142*($L142^(decProd3Ftr1Level+decProd3Ftr2Level-1))</f>
        <v>0</v>
      </c>
      <c r="F142" s="1250">
        <f>(decProd3Ftr1Level+decProd3Ftr2Level)*$K142*($L142^(decProd3Ftr1Level+decProd3Ftr2Level-1))</f>
        <v>0</v>
      </c>
      <c r="G142" s="1250">
        <f>(decProd3Ftr1Level+decProd3Ftr2Level)*$K142*($L142^(decProd3Ftr1Level+decProd3Ftr2Level-1))</f>
        <v>0</v>
      </c>
      <c r="H142" s="1250">
        <f>(decProd3Ftr1Level+decProd3Ftr2Level)*$K142*($L142^(decProd3Ftr1Level+decProd3Ftr2Level-1))</f>
        <v>0</v>
      </c>
      <c r="I142" s="1250">
        <f>(decProd3Ftr1Level+decProd3Ftr2Level)*$K142*($L142^(decProd3Ftr1Level+decProd3Ftr2Level-1))</f>
        <v>0</v>
      </c>
      <c r="J142" s="1245"/>
      <c r="K142" s="1251">
        <v>0.02</v>
      </c>
      <c r="L142" s="1245">
        <v>1.01</v>
      </c>
      <c r="M142" s="1251">
        <f t="shared" si="22"/>
        <v>0.04</v>
      </c>
      <c r="N142" s="1245">
        <v>2</v>
      </c>
    </row>
    <row r="143" spans="1:14">
      <c r="A143" s="1245"/>
      <c r="B143" s="1245"/>
      <c r="C143" s="1249">
        <v>52</v>
      </c>
      <c r="D143" s="1245" t="str">
        <f>VLOOKUP($C143,param!$A$4:$B$270,2)</f>
        <v>NCB Distribution Costs for Reg. 2</v>
      </c>
      <c r="E143" s="1250">
        <f t="shared" ref="E143:I144" si="28">(decProd3Ftr1Level+decProd3Ftr2Level)*$K143*($L143^(decProd3Ftr1Level+decProd3Ftr2Level-1))</f>
        <v>0</v>
      </c>
      <c r="F143" s="1250">
        <f t="shared" si="28"/>
        <v>0</v>
      </c>
      <c r="G143" s="1250">
        <f t="shared" si="28"/>
        <v>0</v>
      </c>
      <c r="H143" s="1250">
        <f t="shared" si="28"/>
        <v>0</v>
      </c>
      <c r="I143" s="1250">
        <f t="shared" si="28"/>
        <v>0</v>
      </c>
      <c r="J143" s="1245"/>
      <c r="K143" s="1251">
        <v>0.02</v>
      </c>
      <c r="L143" s="1245">
        <v>1.01</v>
      </c>
      <c r="M143" s="1251">
        <f t="shared" si="22"/>
        <v>0.04</v>
      </c>
      <c r="N143" s="1245">
        <v>2</v>
      </c>
    </row>
    <row r="144" spans="1:14">
      <c r="A144" s="1245"/>
      <c r="B144" s="1245"/>
      <c r="C144" s="1249">
        <v>55</v>
      </c>
      <c r="D144" s="1245" t="str">
        <f>VLOOKUP($C144,param!$A$4:$B$270,2)</f>
        <v>NCB Admin Costs</v>
      </c>
      <c r="E144" s="1250">
        <f t="shared" si="28"/>
        <v>0</v>
      </c>
      <c r="F144" s="1250">
        <f t="shared" si="28"/>
        <v>0</v>
      </c>
      <c r="G144" s="1250">
        <f t="shared" si="28"/>
        <v>0</v>
      </c>
      <c r="H144" s="1250">
        <f t="shared" si="28"/>
        <v>0</v>
      </c>
      <c r="I144" s="1250">
        <f t="shared" si="28"/>
        <v>0</v>
      </c>
      <c r="J144" s="1245"/>
      <c r="K144" s="1251">
        <v>0.02</v>
      </c>
      <c r="L144" s="1245">
        <v>1.01</v>
      </c>
      <c r="M144" s="1251">
        <f t="shared" si="22"/>
        <v>0.04</v>
      </c>
      <c r="N144" s="1245">
        <v>2</v>
      </c>
    </row>
    <row r="145" spans="1:14">
      <c r="A145" s="1245"/>
      <c r="B145" s="1245"/>
      <c r="C145" s="1248" t="str">
        <f>DataNameProd4 &amp; " Segment"</f>
        <v>F&amp;S Segment</v>
      </c>
      <c r="D145" s="1245"/>
      <c r="E145" s="1247"/>
      <c r="F145" s="1247"/>
      <c r="G145" s="1247"/>
      <c r="H145" s="1247"/>
      <c r="I145" s="1247"/>
      <c r="J145" s="1245"/>
      <c r="K145" s="1251"/>
      <c r="L145" s="1245"/>
      <c r="M145" s="1251">
        <f t="shared" si="22"/>
        <v>0</v>
      </c>
      <c r="N145" s="1245">
        <v>2</v>
      </c>
    </row>
    <row r="146" spans="1:14">
      <c r="A146" s="1245"/>
      <c r="B146" s="1245"/>
      <c r="C146" s="1249">
        <v>70</v>
      </c>
      <c r="D146" s="1245" t="str">
        <f>VLOOKUP($C146,param!$A$4:$B$270,2)</f>
        <v>F&amp;S Distribution Costs for Reg. 1</v>
      </c>
      <c r="E146" s="1250">
        <f>(decProd4Ftr1Level+decProd4Ftr2Level+decProd4Ftr3Level)*$K146*(($L146^(decProd4Ftr1Level+decProd4Ftr2Level+decProd4Ftr3Level-1)))</f>
        <v>0.02</v>
      </c>
      <c r="F146" s="1250">
        <f t="shared" ref="F146:I148" si="29">(decProd4Ftr1Level+decProd4Ftr2Level+decProd4Ftr3Level)*$K146*(($L146^(decProd4Ftr1Level+decProd4Ftr2Level+decProd4Ftr3Level-1)))</f>
        <v>0.02</v>
      </c>
      <c r="G146" s="1250">
        <f t="shared" si="29"/>
        <v>0.02</v>
      </c>
      <c r="H146" s="1250">
        <f t="shared" si="29"/>
        <v>0.02</v>
      </c>
      <c r="I146" s="1250">
        <f t="shared" si="29"/>
        <v>0.02</v>
      </c>
      <c r="J146" s="1245"/>
      <c r="K146" s="1251">
        <v>0.02</v>
      </c>
      <c r="L146" s="1245">
        <v>1.01</v>
      </c>
      <c r="M146" s="1251">
        <f t="shared" si="22"/>
        <v>0.04</v>
      </c>
      <c r="N146" s="1245">
        <v>2</v>
      </c>
    </row>
    <row r="147" spans="1:14">
      <c r="A147" s="1245"/>
      <c r="B147" s="1245"/>
      <c r="C147" s="1249">
        <v>71</v>
      </c>
      <c r="D147" s="1245" t="str">
        <f>VLOOKUP($C147,param!$A$4:$B$270,2)</f>
        <v>F&amp;S Distribution Costs for Reg. 2</v>
      </c>
      <c r="E147" s="1250">
        <f>(decProd4Ftr1Level+decProd4Ftr2Level+decProd4Ftr3Level)*$K147*(($L147^(decProd4Ftr1Level+decProd4Ftr2Level+decProd4Ftr3Level-1)))</f>
        <v>0.02</v>
      </c>
      <c r="F147" s="1250">
        <f t="shared" si="29"/>
        <v>0.02</v>
      </c>
      <c r="G147" s="1250">
        <f t="shared" si="29"/>
        <v>0.02</v>
      </c>
      <c r="H147" s="1250">
        <f t="shared" si="29"/>
        <v>0.02</v>
      </c>
      <c r="I147" s="1250">
        <f t="shared" si="29"/>
        <v>0.02</v>
      </c>
      <c r="J147" s="1245"/>
      <c r="K147" s="1251">
        <v>0.02</v>
      </c>
      <c r="L147" s="1245">
        <v>1.01</v>
      </c>
      <c r="M147" s="1251">
        <f t="shared" si="22"/>
        <v>0.04</v>
      </c>
      <c r="N147" s="1245">
        <v>2</v>
      </c>
    </row>
    <row r="148" spans="1:14">
      <c r="A148" s="1245"/>
      <c r="B148" s="1245"/>
      <c r="C148" s="1249">
        <v>74</v>
      </c>
      <c r="D148" s="1245" t="str">
        <f>VLOOKUP($C148,param!$A$4:$B$270,2)</f>
        <v>F&amp;S Admin Costs</v>
      </c>
      <c r="E148" s="1250">
        <f>(decProd4Ftr1Level+decProd4Ftr2Level+decProd4Ftr3Level)*$K148*(($L148^(decProd4Ftr1Level+decProd4Ftr2Level+decProd4Ftr3Level-1)))</f>
        <v>0.02</v>
      </c>
      <c r="F148" s="1250">
        <f t="shared" si="29"/>
        <v>0.02</v>
      </c>
      <c r="G148" s="1250">
        <f t="shared" si="29"/>
        <v>0.02</v>
      </c>
      <c r="H148" s="1250">
        <f t="shared" si="29"/>
        <v>0.02</v>
      </c>
      <c r="I148" s="1250">
        <f t="shared" si="29"/>
        <v>0.02</v>
      </c>
      <c r="J148" s="1245"/>
      <c r="K148" s="1251">
        <v>0.02</v>
      </c>
      <c r="L148" s="1245">
        <v>1.01</v>
      </c>
      <c r="M148" s="1251">
        <f t="shared" si="22"/>
        <v>0.04</v>
      </c>
      <c r="N148" s="1245">
        <v>2</v>
      </c>
    </row>
    <row r="149" spans="1:14">
      <c r="C149" s="433"/>
      <c r="E149" s="448"/>
      <c r="F149" s="448"/>
      <c r="G149" s="448"/>
      <c r="H149" s="448"/>
      <c r="I149" s="448"/>
      <c r="K149" s="435"/>
    </row>
    <row r="150" spans="1:14">
      <c r="B150" s="2" t="s">
        <v>2000</v>
      </c>
      <c r="C150" s="433"/>
      <c r="E150" s="183"/>
      <c r="F150" s="183"/>
      <c r="G150" s="183"/>
      <c r="H150" s="183"/>
      <c r="I150" s="183"/>
    </row>
    <row r="151" spans="1:14">
      <c r="C151" s="433">
        <v>142</v>
      </c>
      <c r="D151" t="str">
        <f>VLOOKUP($C151,param!$A$4:$B$270,2)</f>
        <v>Plant Efficiency</v>
      </c>
      <c r="E151" s="448">
        <f>IF(capEmp3Utiliz&gt;1.1,((capEmp3Utiliz-1.1)/5)*$K$151,0)</f>
        <v>0</v>
      </c>
      <c r="F151" s="448">
        <f>IF(capEmp3Utiliz&gt;1.1,((capEmp3Utiliz-1.1)/5)*$K$151,0)</f>
        <v>0</v>
      </c>
      <c r="G151" s="448">
        <f>IF(capEmp3Utiliz&gt;1.1,((capEmp3Utiliz-1.1)/5)*$K$151,0)</f>
        <v>0</v>
      </c>
      <c r="H151" s="448">
        <f>IF(capEmp3Utiliz&gt;1.1,((capEmp3Utiliz-1.1)/5)*$K$151,0)</f>
        <v>0</v>
      </c>
      <c r="I151" s="448">
        <f>IF(capEmp3Utiliz&gt;1.1,((capEmp3Utiliz-1.1)/5)*$K$151,0)</f>
        <v>0</v>
      </c>
      <c r="K151" s="435">
        <v>-2.5000000000000001E-2</v>
      </c>
      <c r="L151">
        <v>1.01</v>
      </c>
    </row>
    <row r="152" spans="1:14">
      <c r="C152" s="433"/>
      <c r="E152" s="448"/>
      <c r="F152" s="448"/>
      <c r="G152" s="448"/>
      <c r="H152" s="448"/>
      <c r="I152" s="448"/>
      <c r="K152" s="435"/>
    </row>
    <row r="153" spans="1:14">
      <c r="B153" s="2" t="s">
        <v>2777</v>
      </c>
      <c r="C153" s="433"/>
      <c r="E153" s="448"/>
      <c r="F153" s="448"/>
      <c r="G153" s="448"/>
      <c r="H153" s="448"/>
      <c r="I153" s="448"/>
      <c r="K153" s="435"/>
    </row>
    <row r="154" spans="1:14">
      <c r="B154" s="2"/>
      <c r="C154" s="433">
        <v>187.1</v>
      </c>
      <c r="D154" t="str">
        <f>VLOOKUP($C154,param!$A$4:$B$270,2)</f>
        <v>Flexibility Ramp-Up Cost</v>
      </c>
      <c r="E154" s="848">
        <f>MAX((decPlant1Flex-obalPlant1Flex)*$K154*$L154^(decPlant1Flex-1),0)</f>
        <v>0</v>
      </c>
      <c r="F154" s="848">
        <f>MAX((decPlant1Flex-obalPlant1Flex)*$K154*$L154^(decPlant1Flex-1),0)</f>
        <v>0</v>
      </c>
      <c r="G154" s="848">
        <f>MAX((decPlant1Flex-obalPlant1Flex)*$K154*$L154^(decPlant1Flex-1),0)</f>
        <v>0</v>
      </c>
      <c r="H154" s="848">
        <f>MAX((decPlant1Flex-obalPlant1Flex)*$K154*$L154^(decPlant1Flex-1),0)</f>
        <v>0</v>
      </c>
      <c r="I154" s="848">
        <f>MAX((decPlant1Flex-obalPlant1Flex)*$K154*$L154^(decPlant1Flex-1),0)</f>
        <v>0</v>
      </c>
      <c r="K154" s="398">
        <v>15000000</v>
      </c>
      <c r="L154">
        <v>1.1000000000000001</v>
      </c>
    </row>
    <row r="155" spans="1:14">
      <c r="B155" s="2"/>
      <c r="C155" s="433">
        <v>192</v>
      </c>
      <c r="D155" t="str">
        <f>VLOOKUP($C155,param!$A$4:$B$270,2)</f>
        <v>Waste Production Performance</v>
      </c>
      <c r="E155" s="430">
        <f t="shared" ref="E155:I158" si="30">decPlant1Flex*$K155*($L155^(decPlant1Flex-1))</f>
        <v>0.06</v>
      </c>
      <c r="F155" s="430">
        <f t="shared" si="30"/>
        <v>0.06</v>
      </c>
      <c r="G155" s="430">
        <f t="shared" si="30"/>
        <v>0.06</v>
      </c>
      <c r="H155" s="430">
        <f t="shared" si="30"/>
        <v>0.06</v>
      </c>
      <c r="I155" s="430">
        <f t="shared" si="30"/>
        <v>0.06</v>
      </c>
      <c r="K155" s="138">
        <v>0.02</v>
      </c>
      <c r="L155">
        <v>1</v>
      </c>
    </row>
    <row r="156" spans="1:14">
      <c r="C156" s="433">
        <v>142</v>
      </c>
      <c r="D156" t="str">
        <f>VLOOKUP($C156,param!$A$4:$B$270,2)</f>
        <v>Plant Efficiency</v>
      </c>
      <c r="E156" s="430">
        <f t="shared" si="30"/>
        <v>2.2499999999999999E-2</v>
      </c>
      <c r="F156" s="430">
        <f t="shared" si="30"/>
        <v>2.2499999999999999E-2</v>
      </c>
      <c r="G156" s="430">
        <f t="shared" si="30"/>
        <v>2.2499999999999999E-2</v>
      </c>
      <c r="H156" s="430">
        <f t="shared" si="30"/>
        <v>2.2499999999999999E-2</v>
      </c>
      <c r="I156" s="430">
        <f t="shared" si="30"/>
        <v>2.2499999999999999E-2</v>
      </c>
      <c r="K156" s="138">
        <v>7.4999999999999997E-3</v>
      </c>
      <c r="L156">
        <v>1</v>
      </c>
    </row>
    <row r="157" spans="1:14">
      <c r="C157" s="433">
        <v>125</v>
      </c>
      <c r="D157" t="str">
        <f>VLOOKUP($C157,param!$A$4:$B$270,2)</f>
        <v>Labor Hours Per Year</v>
      </c>
      <c r="E157" s="430">
        <f t="shared" si="30"/>
        <v>2.2499999999999999E-2</v>
      </c>
      <c r="F157" s="430">
        <f t="shared" si="30"/>
        <v>2.2499999999999999E-2</v>
      </c>
      <c r="G157" s="430">
        <f t="shared" si="30"/>
        <v>2.2499999999999999E-2</v>
      </c>
      <c r="H157" s="430">
        <f t="shared" si="30"/>
        <v>2.2499999999999999E-2</v>
      </c>
      <c r="I157" s="430">
        <f t="shared" si="30"/>
        <v>2.2499999999999999E-2</v>
      </c>
      <c r="K157" s="138">
        <v>7.4999999999999997E-3</v>
      </c>
      <c r="L157">
        <v>1</v>
      </c>
    </row>
    <row r="158" spans="1:14">
      <c r="C158" s="433">
        <v>17</v>
      </c>
      <c r="D158" t="str">
        <f>VLOOKUP($C158,param!$A$4:$B$270,2)</f>
        <v>CSD Admin Costs</v>
      </c>
      <c r="E158" s="430">
        <f t="shared" si="30"/>
        <v>1.4999999999999999E-2</v>
      </c>
      <c r="F158" s="430">
        <f t="shared" si="30"/>
        <v>1.4999999999999999E-2</v>
      </c>
      <c r="G158" s="430">
        <f t="shared" si="30"/>
        <v>1.4999999999999999E-2</v>
      </c>
      <c r="H158" s="430">
        <f t="shared" si="30"/>
        <v>1.4999999999999999E-2</v>
      </c>
      <c r="I158" s="430">
        <f t="shared" si="30"/>
        <v>1.4999999999999999E-2</v>
      </c>
      <c r="K158" s="435">
        <v>5.0000000000000001E-3</v>
      </c>
      <c r="L158">
        <v>1</v>
      </c>
    </row>
    <row r="159" spans="1:14">
      <c r="C159" s="433">
        <v>36</v>
      </c>
      <c r="D159" t="str">
        <f>VLOOKUP($C159,param!$A$4:$B$270,2)</f>
        <v>Breakthrough Admin Costs</v>
      </c>
      <c r="E159" s="430">
        <f>decPlant1Flex*COUNTIF(cbal!E$221:E$222,"&lt;&gt;0")*$K159*($L159^(decPlant1Flex-1))</f>
        <v>0</v>
      </c>
      <c r="F159" s="430">
        <f>decPlant1Flex*COUNTIF(cbal!F$221:F$222,"&lt;&gt;0")*$K159*($L159^(decPlant1Flex-1))</f>
        <v>0</v>
      </c>
      <c r="G159" s="430">
        <f>decPlant1Flex*COUNTIF(cbal!G$221:G$222,"&lt;&gt;0")*$K159*($L159^(decPlant1Flex-1))</f>
        <v>0</v>
      </c>
      <c r="H159" s="430">
        <f>decPlant1Flex*COUNTIF(cbal!H$221:H$222,"&lt;&gt;0")*$K159*($L159^(decPlant1Flex-1))</f>
        <v>0</v>
      </c>
      <c r="I159" s="430">
        <f>decPlant1Flex*COUNTIF(cbal!I$221:I$222,"&lt;&gt;0")*$K159*($L159^(decPlant1Flex-1))</f>
        <v>0</v>
      </c>
      <c r="K159" s="435">
        <v>0.03</v>
      </c>
      <c r="L159">
        <v>1</v>
      </c>
    </row>
    <row r="160" spans="1:14">
      <c r="C160" s="433">
        <v>55</v>
      </c>
      <c r="D160" t="str">
        <f>VLOOKUP($C160,param!$A$4:$B$270,2)</f>
        <v>NCB Admin Costs</v>
      </c>
      <c r="E160" s="430">
        <f t="shared" ref="E160:I170" si="31">decPlant1Flex*$K160*($L160^(decPlant1Flex-1))</f>
        <v>0.06</v>
      </c>
      <c r="F160" s="430">
        <f t="shared" si="31"/>
        <v>0.06</v>
      </c>
      <c r="G160" s="430">
        <f t="shared" si="31"/>
        <v>0.06</v>
      </c>
      <c r="H160" s="430">
        <f t="shared" si="31"/>
        <v>0.06</v>
      </c>
      <c r="I160" s="430">
        <f t="shared" si="31"/>
        <v>0.06</v>
      </c>
      <c r="K160" s="435">
        <v>0.02</v>
      </c>
      <c r="L160">
        <v>1</v>
      </c>
    </row>
    <row r="161" spans="2:12">
      <c r="C161" s="433">
        <v>74</v>
      </c>
      <c r="D161" t="str">
        <f>VLOOKUP($C161,param!$A$4:$B$270,2)</f>
        <v>F&amp;S Admin Costs</v>
      </c>
      <c r="E161" s="430">
        <f t="shared" si="31"/>
        <v>0.03</v>
      </c>
      <c r="F161" s="430">
        <f t="shared" si="31"/>
        <v>0.03</v>
      </c>
      <c r="G161" s="430">
        <f t="shared" si="31"/>
        <v>0.03</v>
      </c>
      <c r="H161" s="430">
        <f t="shared" si="31"/>
        <v>0.03</v>
      </c>
      <c r="I161" s="430">
        <f t="shared" si="31"/>
        <v>0.03</v>
      </c>
      <c r="K161" s="435">
        <v>0.01</v>
      </c>
      <c r="L161">
        <v>1</v>
      </c>
    </row>
    <row r="162" spans="2:12">
      <c r="C162" s="433">
        <v>121</v>
      </c>
      <c r="D162" t="str">
        <f>VLOOKUP($C162,param!$A$4:$B$270,2)</f>
        <v>Labor Salary Region 1</v>
      </c>
      <c r="E162" s="430">
        <f t="shared" si="31"/>
        <v>4.9612499999999997E-2</v>
      </c>
      <c r="F162" s="430">
        <f t="shared" si="31"/>
        <v>4.9612499999999997E-2</v>
      </c>
      <c r="G162" s="430">
        <f t="shared" si="31"/>
        <v>4.9612499999999997E-2</v>
      </c>
      <c r="H162" s="430">
        <f t="shared" si="31"/>
        <v>4.9612499999999997E-2</v>
      </c>
      <c r="I162" s="430">
        <f t="shared" si="31"/>
        <v>4.9612499999999997E-2</v>
      </c>
      <c r="K162" s="435">
        <v>1.4999999999999999E-2</v>
      </c>
      <c r="L162">
        <v>1.05</v>
      </c>
    </row>
    <row r="163" spans="2:12">
      <c r="C163" s="433">
        <v>13</v>
      </c>
      <c r="D163" t="str">
        <f>VLOOKUP($C163,param!$A$4:$B$270,2)</f>
        <v>CSD Distribution Costs for Reg. 1</v>
      </c>
      <c r="E163" s="430">
        <f t="shared" si="31"/>
        <v>-1.125E-2</v>
      </c>
      <c r="F163" s="430">
        <f t="shared" si="31"/>
        <v>-1.125E-2</v>
      </c>
      <c r="G163" s="430">
        <f t="shared" si="31"/>
        <v>-1.125E-2</v>
      </c>
      <c r="H163" s="430">
        <f t="shared" si="31"/>
        <v>-1.125E-2</v>
      </c>
      <c r="I163" s="430">
        <f t="shared" si="31"/>
        <v>-1.125E-2</v>
      </c>
      <c r="K163" s="435">
        <v>-3.7499999999999999E-3</v>
      </c>
      <c r="L163">
        <v>1</v>
      </c>
    </row>
    <row r="164" spans="2:12">
      <c r="C164" s="433">
        <v>14</v>
      </c>
      <c r="D164" t="str">
        <f>VLOOKUP($C164,param!$A$4:$B$270,2)</f>
        <v>CSD Distribution Costs for Reg. 2</v>
      </c>
      <c r="E164" s="430">
        <f t="shared" si="31"/>
        <v>-2.2499999999999999E-2</v>
      </c>
      <c r="F164" s="430">
        <f t="shared" si="31"/>
        <v>-2.2499999999999999E-2</v>
      </c>
      <c r="G164" s="430">
        <f t="shared" si="31"/>
        <v>-2.2499999999999999E-2</v>
      </c>
      <c r="H164" s="430">
        <f t="shared" si="31"/>
        <v>-2.2499999999999999E-2</v>
      </c>
      <c r="I164" s="430">
        <f t="shared" si="31"/>
        <v>-2.2499999999999999E-2</v>
      </c>
      <c r="K164" s="435">
        <v>-7.4999999999999997E-3</v>
      </c>
      <c r="L164">
        <v>1</v>
      </c>
    </row>
    <row r="165" spans="2:12">
      <c r="C165" s="433">
        <v>32</v>
      </c>
      <c r="D165" t="str">
        <f>VLOOKUP($C165,param!$A$4:$B$270,2)</f>
        <v>Breakthrough Distribution Costs for Reg. 1</v>
      </c>
      <c r="E165" s="430">
        <f t="shared" si="31"/>
        <v>-1.125E-2</v>
      </c>
      <c r="F165" s="430">
        <f t="shared" si="31"/>
        <v>-1.125E-2</v>
      </c>
      <c r="G165" s="430">
        <f t="shared" si="31"/>
        <v>-1.125E-2</v>
      </c>
      <c r="H165" s="430">
        <f t="shared" si="31"/>
        <v>-1.125E-2</v>
      </c>
      <c r="I165" s="430">
        <f t="shared" si="31"/>
        <v>-1.125E-2</v>
      </c>
      <c r="K165" s="435">
        <v>-3.7499999999999999E-3</v>
      </c>
      <c r="L165">
        <v>1</v>
      </c>
    </row>
    <row r="166" spans="2:12">
      <c r="C166" s="433">
        <v>33</v>
      </c>
      <c r="D166" t="str">
        <f>VLOOKUP($C166,param!$A$4:$B$270,2)</f>
        <v>Breakthrough Distribution Costs for Reg. 2</v>
      </c>
      <c r="E166" s="430">
        <f t="shared" si="31"/>
        <v>-2.2499999999999999E-2</v>
      </c>
      <c r="F166" s="430">
        <f t="shared" si="31"/>
        <v>-2.2499999999999999E-2</v>
      </c>
      <c r="G166" s="430">
        <f t="shared" si="31"/>
        <v>-2.2499999999999999E-2</v>
      </c>
      <c r="H166" s="430">
        <f t="shared" si="31"/>
        <v>-2.2499999999999999E-2</v>
      </c>
      <c r="I166" s="430">
        <f t="shared" si="31"/>
        <v>-2.2499999999999999E-2</v>
      </c>
      <c r="K166" s="435">
        <v>-7.4999999999999997E-3</v>
      </c>
      <c r="L166">
        <v>1</v>
      </c>
    </row>
    <row r="167" spans="2:12">
      <c r="C167" s="433">
        <f>(C165-C163)+C165</f>
        <v>51</v>
      </c>
      <c r="D167" t="str">
        <f>VLOOKUP($C167,param!$A$4:$B$270,2)</f>
        <v>NCB Distribution Costs for Reg. 1</v>
      </c>
      <c r="E167" s="430">
        <f t="shared" si="31"/>
        <v>-1.125E-2</v>
      </c>
      <c r="F167" s="430">
        <f t="shared" si="31"/>
        <v>-1.125E-2</v>
      </c>
      <c r="G167" s="430">
        <f t="shared" si="31"/>
        <v>-1.125E-2</v>
      </c>
      <c r="H167" s="430">
        <f t="shared" si="31"/>
        <v>-1.125E-2</v>
      </c>
      <c r="I167" s="430">
        <f t="shared" si="31"/>
        <v>-1.125E-2</v>
      </c>
      <c r="K167" s="435">
        <v>-3.7499999999999999E-3</v>
      </c>
      <c r="L167">
        <v>1</v>
      </c>
    </row>
    <row r="168" spans="2:12">
      <c r="C168" s="433">
        <f>(C166-C164)+C166</f>
        <v>52</v>
      </c>
      <c r="D168" t="str">
        <f>VLOOKUP($C168,param!$A$4:$B$270,2)</f>
        <v>NCB Distribution Costs for Reg. 2</v>
      </c>
      <c r="E168" s="430">
        <f t="shared" si="31"/>
        <v>-2.2499999999999999E-2</v>
      </c>
      <c r="F168" s="430">
        <f t="shared" si="31"/>
        <v>-2.2499999999999999E-2</v>
      </c>
      <c r="G168" s="430">
        <f t="shared" si="31"/>
        <v>-2.2499999999999999E-2</v>
      </c>
      <c r="H168" s="430">
        <f t="shared" si="31"/>
        <v>-2.2499999999999999E-2</v>
      </c>
      <c r="I168" s="430">
        <f t="shared" si="31"/>
        <v>-2.2499999999999999E-2</v>
      </c>
      <c r="K168" s="435">
        <v>-7.4999999999999997E-3</v>
      </c>
      <c r="L168">
        <v>1</v>
      </c>
    </row>
    <row r="169" spans="2:12">
      <c r="C169" s="433">
        <f>(C167-C165)+C167</f>
        <v>70</v>
      </c>
      <c r="D169" t="str">
        <f>VLOOKUP($C169,param!$A$4:$B$270,2)</f>
        <v>F&amp;S Distribution Costs for Reg. 1</v>
      </c>
      <c r="E169" s="430">
        <f t="shared" si="31"/>
        <v>-1.125E-2</v>
      </c>
      <c r="F169" s="430">
        <f t="shared" si="31"/>
        <v>-1.125E-2</v>
      </c>
      <c r="G169" s="430">
        <f t="shared" si="31"/>
        <v>-1.125E-2</v>
      </c>
      <c r="H169" s="430">
        <f t="shared" si="31"/>
        <v>-1.125E-2</v>
      </c>
      <c r="I169" s="430">
        <f t="shared" si="31"/>
        <v>-1.125E-2</v>
      </c>
      <c r="K169" s="435">
        <v>-3.7499999999999999E-3</v>
      </c>
      <c r="L169">
        <v>1</v>
      </c>
    </row>
    <row r="170" spans="2:12">
      <c r="C170" s="433">
        <f>(C168-C166)+C168</f>
        <v>71</v>
      </c>
      <c r="D170" t="str">
        <f>VLOOKUP($C170,param!$A$4:$B$270,2)</f>
        <v>F&amp;S Distribution Costs for Reg. 2</v>
      </c>
      <c r="E170" s="430">
        <f t="shared" si="31"/>
        <v>-1.125E-2</v>
      </c>
      <c r="F170" s="430">
        <f t="shared" si="31"/>
        <v>-1.125E-2</v>
      </c>
      <c r="G170" s="430">
        <f t="shared" si="31"/>
        <v>-1.125E-2</v>
      </c>
      <c r="H170" s="430">
        <f t="shared" si="31"/>
        <v>-1.125E-2</v>
      </c>
      <c r="I170" s="430">
        <f t="shared" si="31"/>
        <v>-1.125E-2</v>
      </c>
      <c r="K170" s="435">
        <v>-3.7499999999999999E-3</v>
      </c>
      <c r="L170">
        <v>1</v>
      </c>
    </row>
    <row r="171" spans="2:12">
      <c r="C171" s="433"/>
      <c r="E171" s="448"/>
      <c r="F171" s="448"/>
      <c r="G171" s="448"/>
      <c r="H171" s="448"/>
      <c r="I171" s="448"/>
      <c r="K171" s="435"/>
    </row>
    <row r="172" spans="2:12">
      <c r="B172" s="2" t="s">
        <v>3235</v>
      </c>
      <c r="C172" s="433"/>
      <c r="E172" s="448"/>
      <c r="F172" s="448"/>
      <c r="G172" s="448"/>
      <c r="H172" s="448"/>
      <c r="I172" s="448"/>
      <c r="K172" s="435"/>
    </row>
    <row r="173" spans="2:12">
      <c r="C173" s="433">
        <v>120</v>
      </c>
      <c r="D173" t="str">
        <f>VLOOKUP($C173,param!$A$4:$B$270,2)</f>
        <v>Labor Attrition rate</v>
      </c>
      <c r="E173" s="448">
        <f>IF(obalEmp3Utiliz&gt;1.15,$K$173,0)</f>
        <v>0</v>
      </c>
      <c r="F173" s="448">
        <f>IF(obalEmp3Utiliz&gt;1.15,$K$173,0)</f>
        <v>0</v>
      </c>
      <c r="G173" s="448">
        <f>IF(obalEmp3Utiliz&gt;1.15,$K$173,0)</f>
        <v>0</v>
      </c>
      <c r="H173" s="448">
        <f>IF(obalEmp3Utiliz&gt;1.15,$K$173,0)</f>
        <v>0</v>
      </c>
      <c r="I173" s="448">
        <f>IF(obalEmp3Utiliz&gt;1.15,$K$173,0)</f>
        <v>0</v>
      </c>
      <c r="K173" s="15">
        <v>0.05</v>
      </c>
      <c r="L173">
        <v>1.01</v>
      </c>
    </row>
    <row r="174" spans="2:12">
      <c r="C174" s="433"/>
      <c r="E174" s="448"/>
      <c r="F174" s="448"/>
      <c r="G174" s="448"/>
      <c r="H174" s="448"/>
      <c r="I174" s="448"/>
      <c r="K174" s="15"/>
    </row>
    <row r="175" spans="2:12">
      <c r="B175" s="2" t="s">
        <v>611</v>
      </c>
      <c r="C175" s="433"/>
      <c r="E175" s="448"/>
      <c r="F175" s="448"/>
      <c r="G175" s="448"/>
      <c r="H175" s="448"/>
      <c r="I175" s="448"/>
      <c r="K175" s="15"/>
    </row>
    <row r="176" spans="2:12">
      <c r="B176" s="2"/>
      <c r="C176" s="433">
        <v>116</v>
      </c>
      <c r="D176" t="str">
        <f>VLOOKUP($C176,param!$A$4:$B$270,2)</f>
        <v>Upper Region Sales Force Overtime Rate</v>
      </c>
      <c r="E176" s="448">
        <f>(1/((obalEmp2+capEmp2Change)/obalEmp2))-1</f>
        <v>-0.10447761194029848</v>
      </c>
      <c r="F176" s="448">
        <f>(1/((obalEmp2+capEmp2Change)/obalEmp2))-1</f>
        <v>-0.10447761194029848</v>
      </c>
      <c r="G176" s="448">
        <f>(1/((obalEmp2+capEmp2Change)/obalEmp2))-1</f>
        <v>-0.10447761194029848</v>
      </c>
      <c r="H176" s="448">
        <f>(1/((obalEmp2+capEmp2Change)/obalEmp2))-1</f>
        <v>-0.10447761194029848</v>
      </c>
      <c r="I176" s="448">
        <f>(1/((obalEmp2+capEmp2Change)/obalEmp2))-1</f>
        <v>-0.10447761194029848</v>
      </c>
      <c r="K176" s="15"/>
    </row>
    <row r="177" spans="2:12">
      <c r="C177" s="433"/>
      <c r="E177" s="448"/>
      <c r="F177" s="448"/>
      <c r="G177" s="448"/>
      <c r="H177" s="448"/>
      <c r="I177" s="448"/>
      <c r="K177" s="15"/>
    </row>
    <row r="178" spans="2:12">
      <c r="B178" s="2" t="s">
        <v>139</v>
      </c>
      <c r="C178" s="433"/>
      <c r="E178" s="448"/>
      <c r="F178" s="448"/>
      <c r="G178" s="448"/>
      <c r="H178" s="448"/>
      <c r="I178" s="448"/>
      <c r="K178" s="15"/>
    </row>
    <row r="179" spans="2:12">
      <c r="B179" s="2"/>
      <c r="C179" s="433">
        <v>13</v>
      </c>
      <c r="D179" t="str">
        <f>VLOOKUP($C179,param!$A$4:$B$270,2)</f>
        <v>CSD Distribution Costs for Reg. 1</v>
      </c>
      <c r="E179" s="430">
        <f t="shared" ref="E179:I189" si="32">cbalITcapLevel*$K179*($L179^(cbalITcapLevel-1))</f>
        <v>-0.02</v>
      </c>
      <c r="F179" s="430">
        <f t="shared" si="32"/>
        <v>-0.02</v>
      </c>
      <c r="G179" s="430">
        <f t="shared" si="32"/>
        <v>-0.02</v>
      </c>
      <c r="H179" s="430">
        <f t="shared" si="32"/>
        <v>-0.02</v>
      </c>
      <c r="I179" s="430">
        <f t="shared" si="32"/>
        <v>-0.02</v>
      </c>
      <c r="K179" s="435">
        <v>-0.01</v>
      </c>
      <c r="L179">
        <v>1</v>
      </c>
    </row>
    <row r="180" spans="2:12">
      <c r="B180" s="2"/>
      <c r="C180" s="433">
        <v>14</v>
      </c>
      <c r="D180" t="str">
        <f>VLOOKUP($C180,param!$A$4:$B$270,2)</f>
        <v>CSD Distribution Costs for Reg. 2</v>
      </c>
      <c r="E180" s="430">
        <f t="shared" si="32"/>
        <v>-0.04</v>
      </c>
      <c r="F180" s="430">
        <f t="shared" si="32"/>
        <v>-0.04</v>
      </c>
      <c r="G180" s="430">
        <f t="shared" si="32"/>
        <v>-0.04</v>
      </c>
      <c r="H180" s="430">
        <f t="shared" si="32"/>
        <v>-0.04</v>
      </c>
      <c r="I180" s="430">
        <f t="shared" si="32"/>
        <v>-0.04</v>
      </c>
      <c r="K180" s="435">
        <v>-0.02</v>
      </c>
      <c r="L180">
        <v>1</v>
      </c>
    </row>
    <row r="181" spans="2:12">
      <c r="B181" s="2"/>
      <c r="C181" s="433">
        <v>32</v>
      </c>
      <c r="D181" t="str">
        <f>VLOOKUP($C181,param!$A$4:$B$270,2)</f>
        <v>Breakthrough Distribution Costs for Reg. 1</v>
      </c>
      <c r="E181" s="430">
        <f t="shared" si="32"/>
        <v>-0.02</v>
      </c>
      <c r="F181" s="430">
        <f t="shared" si="32"/>
        <v>-0.02</v>
      </c>
      <c r="G181" s="430">
        <f t="shared" si="32"/>
        <v>-0.02</v>
      </c>
      <c r="H181" s="430">
        <f t="shared" si="32"/>
        <v>-0.02</v>
      </c>
      <c r="I181" s="430">
        <f t="shared" si="32"/>
        <v>-0.02</v>
      </c>
      <c r="K181" s="435">
        <v>-0.01</v>
      </c>
      <c r="L181">
        <v>1</v>
      </c>
    </row>
    <row r="182" spans="2:12">
      <c r="B182" s="2"/>
      <c r="C182" s="433">
        <v>33</v>
      </c>
      <c r="D182" t="str">
        <f>VLOOKUP($C182,param!$A$4:$B$270,2)</f>
        <v>Breakthrough Distribution Costs for Reg. 2</v>
      </c>
      <c r="E182" s="430">
        <f t="shared" si="32"/>
        <v>-0.04</v>
      </c>
      <c r="F182" s="430">
        <f t="shared" si="32"/>
        <v>-0.04</v>
      </c>
      <c r="G182" s="430">
        <f t="shared" si="32"/>
        <v>-0.04</v>
      </c>
      <c r="H182" s="430">
        <f t="shared" si="32"/>
        <v>-0.04</v>
      </c>
      <c r="I182" s="430">
        <f t="shared" si="32"/>
        <v>-0.04</v>
      </c>
      <c r="K182" s="435">
        <v>-0.02</v>
      </c>
      <c r="L182">
        <v>1</v>
      </c>
    </row>
    <row r="183" spans="2:12">
      <c r="B183" s="2"/>
      <c r="C183" s="433">
        <v>51</v>
      </c>
      <c r="D183" t="str">
        <f>VLOOKUP($C183,param!$A$4:$B$270,2)</f>
        <v>NCB Distribution Costs for Reg. 1</v>
      </c>
      <c r="E183" s="430">
        <f t="shared" si="32"/>
        <v>-0.02</v>
      </c>
      <c r="F183" s="430">
        <f t="shared" si="32"/>
        <v>-0.02</v>
      </c>
      <c r="G183" s="430">
        <f t="shared" si="32"/>
        <v>-0.02</v>
      </c>
      <c r="H183" s="430">
        <f t="shared" si="32"/>
        <v>-0.02</v>
      </c>
      <c r="I183" s="430">
        <f t="shared" si="32"/>
        <v>-0.02</v>
      </c>
      <c r="K183" s="435">
        <v>-0.01</v>
      </c>
      <c r="L183">
        <v>1</v>
      </c>
    </row>
    <row r="184" spans="2:12">
      <c r="B184" s="2"/>
      <c r="C184" s="433">
        <v>52</v>
      </c>
      <c r="D184" t="str">
        <f>VLOOKUP($C184,param!$A$4:$B$270,2)</f>
        <v>NCB Distribution Costs for Reg. 2</v>
      </c>
      <c r="E184" s="430">
        <f t="shared" si="32"/>
        <v>-0.04</v>
      </c>
      <c r="F184" s="430">
        <f t="shared" si="32"/>
        <v>-0.04</v>
      </c>
      <c r="G184" s="430">
        <f t="shared" si="32"/>
        <v>-0.04</v>
      </c>
      <c r="H184" s="430">
        <f t="shared" si="32"/>
        <v>-0.04</v>
      </c>
      <c r="I184" s="430">
        <f t="shared" si="32"/>
        <v>-0.04</v>
      </c>
      <c r="K184" s="435">
        <v>-0.02</v>
      </c>
      <c r="L184">
        <v>1</v>
      </c>
    </row>
    <row r="185" spans="2:12">
      <c r="B185" s="2"/>
      <c r="C185" s="433">
        <v>70</v>
      </c>
      <c r="D185" t="str">
        <f>VLOOKUP($C185,param!$A$4:$B$270,2)</f>
        <v>F&amp;S Distribution Costs for Reg. 1</v>
      </c>
      <c r="E185" s="430">
        <f t="shared" si="32"/>
        <v>-0.02</v>
      </c>
      <c r="F185" s="430">
        <f t="shared" si="32"/>
        <v>-0.02</v>
      </c>
      <c r="G185" s="430">
        <f t="shared" si="32"/>
        <v>-0.02</v>
      </c>
      <c r="H185" s="430">
        <f t="shared" si="32"/>
        <v>-0.02</v>
      </c>
      <c r="I185" s="430">
        <f t="shared" si="32"/>
        <v>-0.02</v>
      </c>
      <c r="K185" s="435">
        <v>-0.01</v>
      </c>
      <c r="L185">
        <v>1</v>
      </c>
    </row>
    <row r="186" spans="2:12">
      <c r="B186" s="2"/>
      <c r="C186" s="433">
        <v>71</v>
      </c>
      <c r="D186" t="str">
        <f>VLOOKUP($C186,param!$A$4:$B$270,2)</f>
        <v>F&amp;S Distribution Costs for Reg. 2</v>
      </c>
      <c r="E186" s="430">
        <f t="shared" si="32"/>
        <v>-0.02</v>
      </c>
      <c r="F186" s="430">
        <f t="shared" si="32"/>
        <v>-0.02</v>
      </c>
      <c r="G186" s="430">
        <f t="shared" si="32"/>
        <v>-0.02</v>
      </c>
      <c r="H186" s="430">
        <f t="shared" si="32"/>
        <v>-0.02</v>
      </c>
      <c r="I186" s="430">
        <f t="shared" si="32"/>
        <v>-0.02</v>
      </c>
      <c r="K186" s="435">
        <v>-0.01</v>
      </c>
      <c r="L186">
        <v>1</v>
      </c>
    </row>
    <row r="187" spans="2:12">
      <c r="B187" s="2"/>
      <c r="C187" s="433">
        <v>142</v>
      </c>
      <c r="D187" t="str">
        <f>VLOOKUP($C187,param!$A$4:$B$270,2)</f>
        <v>Plant Efficiency</v>
      </c>
      <c r="E187" s="430">
        <f t="shared" si="32"/>
        <v>0.01</v>
      </c>
      <c r="F187" s="430">
        <f t="shared" si="32"/>
        <v>0.01</v>
      </c>
      <c r="G187" s="430">
        <f t="shared" si="32"/>
        <v>0.01</v>
      </c>
      <c r="H187" s="430">
        <f t="shared" si="32"/>
        <v>0.01</v>
      </c>
      <c r="I187" s="430">
        <f t="shared" si="32"/>
        <v>0.01</v>
      </c>
      <c r="K187" s="435">
        <v>5.0000000000000001E-3</v>
      </c>
      <c r="L187">
        <v>1</v>
      </c>
    </row>
    <row r="188" spans="2:12">
      <c r="B188" s="2"/>
      <c r="C188" s="433">
        <v>125</v>
      </c>
      <c r="D188" t="str">
        <f>VLOOKUP($C188,param!$A$4:$B$270,2)</f>
        <v>Labor Hours Per Year</v>
      </c>
      <c r="E188" s="430">
        <f t="shared" si="32"/>
        <v>0.01</v>
      </c>
      <c r="F188" s="430">
        <f t="shared" si="32"/>
        <v>0.01</v>
      </c>
      <c r="G188" s="430">
        <f t="shared" si="32"/>
        <v>0.01</v>
      </c>
      <c r="H188" s="430">
        <f t="shared" si="32"/>
        <v>0.01</v>
      </c>
      <c r="I188" s="430">
        <f t="shared" si="32"/>
        <v>0.01</v>
      </c>
      <c r="K188" s="435">
        <v>5.0000000000000001E-3</v>
      </c>
      <c r="L188">
        <v>1</v>
      </c>
    </row>
    <row r="189" spans="2:12">
      <c r="B189" s="2"/>
      <c r="C189" s="433">
        <v>164.1</v>
      </c>
      <c r="D189" t="str">
        <f>VLOOKUP($C189,param!$A$4:$B$270,2)</f>
        <v>R&amp;D Time-To-Market Coefficient</v>
      </c>
      <c r="E189" s="430">
        <f t="shared" si="32"/>
        <v>-0.04</v>
      </c>
      <c r="F189" s="430">
        <f t="shared" si="32"/>
        <v>-0.04</v>
      </c>
      <c r="G189" s="430">
        <f t="shared" si="32"/>
        <v>-0.04</v>
      </c>
      <c r="H189" s="430">
        <f t="shared" si="32"/>
        <v>-0.04</v>
      </c>
      <c r="I189" s="430">
        <f t="shared" si="32"/>
        <v>-0.04</v>
      </c>
      <c r="K189" s="435">
        <v>-0.02</v>
      </c>
      <c r="L189">
        <v>1</v>
      </c>
    </row>
    <row r="190" spans="2:12">
      <c r="B190" s="2"/>
      <c r="C190" s="433">
        <v>184</v>
      </c>
      <c r="D190" t="str">
        <f>VLOOKUP($C190,param!$A$4:$B$270,2)</f>
        <v>IT Level Capex</v>
      </c>
      <c r="E190" s="848">
        <f>(decITcapAdd*$K190)*($L190^decITcapAdd)</f>
        <v>5500000</v>
      </c>
      <c r="F190" s="848">
        <f>(decITcapAdd*$K190)*($L190^decITcapAdd)</f>
        <v>5500000</v>
      </c>
      <c r="G190" s="848">
        <f>(decITcapAdd*$K190)*($L190^decITcapAdd)</f>
        <v>5500000</v>
      </c>
      <c r="H190" s="848">
        <f>(decITcapAdd*$K190)*($L190^decITcapAdd)</f>
        <v>5500000</v>
      </c>
      <c r="I190" s="848">
        <f>(decITcapAdd*$K190)*($L190^decITcapAdd)</f>
        <v>5500000</v>
      </c>
      <c r="K190" s="398">
        <v>5000000</v>
      </c>
      <c r="L190">
        <v>1.1000000000000001</v>
      </c>
    </row>
    <row r="191" spans="2:12">
      <c r="B191" s="2"/>
      <c r="C191" s="433">
        <v>185</v>
      </c>
      <c r="D191" t="str">
        <f>VLOOKUP($C191,param!$A$4:$B$270,2)</f>
        <v>GTM Digitization Capex</v>
      </c>
      <c r="E191" s="848">
        <f>(capReg1ChanLevel*$K191)*($L191^capReg1ChanLevel)</f>
        <v>15972000.000000006</v>
      </c>
      <c r="F191" s="848">
        <f>(capReg1ChanLevel*$K191)*($L191^capReg1ChanLevel)</f>
        <v>15972000.000000006</v>
      </c>
      <c r="G191" s="848">
        <f>(capReg1ChanLevel*$K191)*($L191^capReg1ChanLevel)</f>
        <v>15972000.000000006</v>
      </c>
      <c r="H191" s="848">
        <f>(capReg1ChanLevel*$K191)*($L191^capReg1ChanLevel)</f>
        <v>15972000.000000006</v>
      </c>
      <c r="I191" s="848">
        <f>(capReg1ChanLevel*$K191)*($L191^capReg1ChanLevel)</f>
        <v>15972000.000000006</v>
      </c>
      <c r="K191" s="398">
        <v>4000000</v>
      </c>
      <c r="L191">
        <v>1.1000000000000001</v>
      </c>
    </row>
    <row r="192" spans="2:12">
      <c r="C192" s="573"/>
      <c r="E192" s="2488"/>
      <c r="F192" s="448"/>
      <c r="G192" s="448"/>
      <c r="H192" s="448"/>
      <c r="I192" s="448"/>
      <c r="K192" s="15"/>
    </row>
    <row r="193" spans="1:15">
      <c r="B193" s="2" t="s">
        <v>3491</v>
      </c>
      <c r="C193" s="433"/>
      <c r="E193" s="848"/>
      <c r="F193" s="448"/>
      <c r="G193" s="448"/>
      <c r="H193" s="448"/>
      <c r="I193" s="448"/>
      <c r="K193" s="15"/>
    </row>
    <row r="194" spans="1:15">
      <c r="C194" s="433">
        <v>128</v>
      </c>
      <c r="D194" t="str">
        <f>VLOOKUP($C194,param!$A$4:$B$270,2)</f>
        <v>MTU Attrition rate</v>
      </c>
      <c r="E194" s="430">
        <f>decEmpDevLevel*$K194*(-1)*$L194^(1-decEmpDevLevel)</f>
        <v>-3.7037037037037035E-2</v>
      </c>
      <c r="F194" s="430">
        <f>decEmpDevLevel*$K194*(-1)*$L194^(1-decEmpDevLevel)</f>
        <v>-3.7037037037037035E-2</v>
      </c>
      <c r="G194" s="430">
        <f>decEmpDevLevel*$K194*(-1)*$L194^(1-decEmpDevLevel)</f>
        <v>-3.7037037037037035E-2</v>
      </c>
      <c r="H194" s="430">
        <f>decEmpDevLevel*$K194*(-1)*$L194^(1-decEmpDevLevel)</f>
        <v>-3.7037037037037035E-2</v>
      </c>
      <c r="I194" s="430">
        <f>decEmpDevLevel*$K194*(-1)*$L194^(1-decEmpDevLevel)</f>
        <v>-3.7037037037037035E-2</v>
      </c>
      <c r="K194" s="442">
        <v>0.01</v>
      </c>
      <c r="L194">
        <v>0.9</v>
      </c>
    </row>
    <row r="195" spans="1:15">
      <c r="C195" s="433">
        <v>133</v>
      </c>
      <c r="D195" t="str">
        <f>VLOOKUP($C195,param!$A$4:$B$270,2)</f>
        <v>MTU Productivity Coefficient</v>
      </c>
      <c r="E195" s="430">
        <f>decEmpDevLevel*$K195*$L195^(1-decEmpDevLevel)</f>
        <v>2.6203161848196346E-2</v>
      </c>
      <c r="F195" s="430">
        <f>decEmpDevLevel*$K195*$L195^(1-decEmpDevLevel)</f>
        <v>2.6203161848196346E-2</v>
      </c>
      <c r="G195" s="430">
        <f>decEmpDevLevel*$K195*$L195^(1-decEmpDevLevel)</f>
        <v>2.6203161848196346E-2</v>
      </c>
      <c r="H195" s="430">
        <f>decEmpDevLevel*$K195*$L195^(1-decEmpDevLevel)</f>
        <v>2.6203161848196346E-2</v>
      </c>
      <c r="I195" s="430">
        <f>decEmpDevLevel*$K195*$L195^(1-decEmpDevLevel)</f>
        <v>2.6203161848196346E-2</v>
      </c>
      <c r="K195" s="442">
        <v>0.01</v>
      </c>
      <c r="L195">
        <v>1.07</v>
      </c>
    </row>
    <row r="196" spans="1:15">
      <c r="B196" t="s">
        <v>1912</v>
      </c>
      <c r="C196" s="433">
        <v>133</v>
      </c>
      <c r="D196" t="str">
        <f>VLOOKUP($C196,param!$A$4:$B$270,2)</f>
        <v>MTU Productivity Coefficient</v>
      </c>
      <c r="E196" s="430">
        <f>(100*(paramBaseMTUattRate-paramEmp10AttRate))*$K196*$L196^((100*(paramBaseMTUattRate-paramEmp10AttRate))-1)</f>
        <v>5.4363827861245691E-3</v>
      </c>
      <c r="F196" s="430">
        <f>(100*(paramBaseMTUattRate-paramEmp10AttRate))*$K196*$L196^((100*(paramBaseMTUattRate-paramEmp10AttRate))-1)</f>
        <v>5.4363827861245691E-3</v>
      </c>
      <c r="G196" s="430">
        <f>(100*(paramBaseMTUattRate-paramEmp10AttRate))*$K196*$L196^((100*(paramBaseMTUattRate-paramEmp10AttRate))-1)</f>
        <v>5.4363827861245691E-3</v>
      </c>
      <c r="H196" s="430">
        <f>(100*(paramBaseMTUattRate-paramEmp10AttRate))*$K196*$L196^((100*(paramBaseMTUattRate-paramEmp10AttRate))-1)</f>
        <v>5.4363827861245691E-3</v>
      </c>
      <c r="I196" s="430">
        <f>(100*(paramBaseMTUattRate-paramEmp10AttRate))*$K196*$L196^((100*(paramBaseMTUattRate-paramEmp10AttRate))-1)</f>
        <v>5.4363827861245691E-3</v>
      </c>
      <c r="K196" s="442">
        <v>0.01</v>
      </c>
      <c r="L196">
        <v>1.05</v>
      </c>
    </row>
    <row r="197" spans="1:15">
      <c r="C197" s="433">
        <v>181</v>
      </c>
      <c r="D197" t="str">
        <f>VLOOKUP($C197,param!$A$4:$B$270,2)</f>
        <v>Employee Development Level Cost</v>
      </c>
      <c r="E197" s="848">
        <f>MAX(decEmpDevLevel*$K197*$L197^(decEmpDevLevel-1),0)</f>
        <v>32400000</v>
      </c>
      <c r="F197" s="848">
        <f>MAX(decEmpDevLevel*$K197*$L197^(decEmpDevLevel-1),0)</f>
        <v>32400000</v>
      </c>
      <c r="G197" s="848">
        <f>MAX(decEmpDevLevel*$K197*$L197^(decEmpDevLevel-1),0)</f>
        <v>32400000</v>
      </c>
      <c r="H197" s="848">
        <f>MAX(decEmpDevLevel*$K197*$L197^(decEmpDevLevel-1),0)</f>
        <v>32400000</v>
      </c>
      <c r="I197" s="848">
        <f>MAX(decEmpDevLevel*$K197*$L197^(decEmpDevLevel-1),0)</f>
        <v>32400000</v>
      </c>
      <c r="K197" s="398">
        <v>7500000</v>
      </c>
      <c r="L197">
        <v>1.2</v>
      </c>
    </row>
    <row r="198" spans="1:15">
      <c r="C198" s="433">
        <v>182</v>
      </c>
      <c r="D198" t="str">
        <f>VLOOKUP($C198,param!$A$4:$B$270,2)</f>
        <v>Employee Development Level Ramp-Up Cost</v>
      </c>
      <c r="E198" s="848">
        <f>MAX((decEmpDevLevel-obalEmpDevLevel)*$K198*$L198^((decEmpDevLevel-obalEmpDevLevel)-1),0)</f>
        <v>0</v>
      </c>
      <c r="F198" s="848">
        <f>MAX((decEmpDevLevel-obalEmpDevLevel)*$K198*$L198^((decEmpDevLevel-obalEmpDevLevel)-1),0)</f>
        <v>0</v>
      </c>
      <c r="G198" s="848">
        <f>MAX((decEmpDevLevel-obalEmpDevLevel)*$K198*$L198^((decEmpDevLevel-obalEmpDevLevel)-1),0)</f>
        <v>0</v>
      </c>
      <c r="H198" s="848">
        <f>MAX((decEmpDevLevel-obalEmpDevLevel)*$K198*$L198^((decEmpDevLevel-obalEmpDevLevel)-1),0)</f>
        <v>0</v>
      </c>
      <c r="I198" s="848">
        <f>MAX((decEmpDevLevel-obalEmpDevLevel)*$K198*$L198^((decEmpDevLevel-obalEmpDevLevel)-1),0)</f>
        <v>0</v>
      </c>
      <c r="K198" s="398">
        <v>5000000</v>
      </c>
      <c r="L198">
        <v>1.2</v>
      </c>
    </row>
    <row r="199" spans="1:15">
      <c r="C199" s="433">
        <v>109.1</v>
      </c>
      <c r="D199" t="str">
        <f>VLOOKUP($C199,param!$A$4:$B$270,2)</f>
        <v>Lower Region Sales Force Effectiveness</v>
      </c>
      <c r="E199" s="430">
        <f t="shared" ref="E199:I200" si="33">decEmpDevLevel*$K199*$L199^(1-decEmpDevLevel)</f>
        <v>2.6203161848196346E-2</v>
      </c>
      <c r="F199" s="430">
        <f t="shared" si="33"/>
        <v>2.6203161848196346E-2</v>
      </c>
      <c r="G199" s="430">
        <f t="shared" si="33"/>
        <v>2.6203161848196346E-2</v>
      </c>
      <c r="H199" s="430">
        <f t="shared" si="33"/>
        <v>2.6203161848196346E-2</v>
      </c>
      <c r="I199" s="430">
        <f t="shared" si="33"/>
        <v>2.6203161848196346E-2</v>
      </c>
      <c r="K199" s="442">
        <v>0.01</v>
      </c>
      <c r="L199">
        <v>1.07</v>
      </c>
    </row>
    <row r="200" spans="1:15">
      <c r="C200" s="433">
        <v>117.1</v>
      </c>
      <c r="D200" t="str">
        <f>VLOOKUP($C200,param!$A$4:$B$270,2)</f>
        <v>Upper Region Sales Force Effectiveness</v>
      </c>
      <c r="E200" s="430">
        <f t="shared" si="33"/>
        <v>2.6203161848196346E-2</v>
      </c>
      <c r="F200" s="430">
        <f t="shared" si="33"/>
        <v>2.6203161848196346E-2</v>
      </c>
      <c r="G200" s="430">
        <f t="shared" si="33"/>
        <v>2.6203161848196346E-2</v>
      </c>
      <c r="H200" s="430">
        <f t="shared" si="33"/>
        <v>2.6203161848196346E-2</v>
      </c>
      <c r="I200" s="430">
        <f t="shared" si="33"/>
        <v>2.6203161848196346E-2</v>
      </c>
      <c r="K200" s="442">
        <v>0.01</v>
      </c>
      <c r="L200">
        <v>1.07</v>
      </c>
    </row>
    <row r="201" spans="1:15">
      <c r="C201" s="433"/>
      <c r="E201" s="430"/>
      <c r="F201" s="430"/>
      <c r="G201" s="430"/>
      <c r="H201" s="430"/>
      <c r="I201" s="430"/>
      <c r="K201" s="442"/>
    </row>
    <row r="202" spans="1:15">
      <c r="B202" s="2" t="s">
        <v>1913</v>
      </c>
      <c r="C202" s="433"/>
      <c r="E202" s="430"/>
      <c r="F202" s="430"/>
      <c r="G202" s="430"/>
      <c r="H202" s="430"/>
      <c r="I202" s="430"/>
      <c r="K202" s="442"/>
    </row>
    <row r="203" spans="1:15">
      <c r="C203" s="433">
        <v>133</v>
      </c>
      <c r="D203" t="str">
        <f>VLOOKUP($C203,param!$A$4:$B$270,2)</f>
        <v>MTU Productivity Coefficient</v>
      </c>
      <c r="E203" s="430">
        <f t="shared" ref="E203:I204" si="34">decRecruitLevel*$K203*$L203^(1-decRecruitLevel)</f>
        <v>4.9586776859504127E-2</v>
      </c>
      <c r="F203" s="430">
        <f t="shared" si="34"/>
        <v>4.9586776859504127E-2</v>
      </c>
      <c r="G203" s="430">
        <f t="shared" si="34"/>
        <v>4.9586776859504127E-2</v>
      </c>
      <c r="H203" s="430">
        <f t="shared" si="34"/>
        <v>4.9586776859504127E-2</v>
      </c>
      <c r="I203" s="430">
        <f t="shared" si="34"/>
        <v>4.9586776859504127E-2</v>
      </c>
      <c r="K203" s="442">
        <v>0.02</v>
      </c>
      <c r="L203">
        <v>1.1000000000000001</v>
      </c>
    </row>
    <row r="204" spans="1:15">
      <c r="C204" s="433">
        <v>186</v>
      </c>
      <c r="D204" t="str">
        <f>VLOOKUP($C204,param!$A$4:$B$270,2)</f>
        <v>Recruiting Level Cost</v>
      </c>
      <c r="E204" s="848">
        <f t="shared" si="34"/>
        <v>7438016.5289256191</v>
      </c>
      <c r="F204" s="848">
        <f t="shared" si="34"/>
        <v>7438016.5289256191</v>
      </c>
      <c r="G204" s="848">
        <f t="shared" si="34"/>
        <v>7438016.5289256191</v>
      </c>
      <c r="H204" s="848">
        <f t="shared" si="34"/>
        <v>7438016.5289256191</v>
      </c>
      <c r="I204" s="848">
        <f t="shared" si="34"/>
        <v>7438016.5289256191</v>
      </c>
      <c r="K204" s="398">
        <v>3000000</v>
      </c>
      <c r="L204">
        <v>1.1000000000000001</v>
      </c>
    </row>
    <row r="205" spans="1:15">
      <c r="C205" s="433">
        <v>187</v>
      </c>
      <c r="D205" t="str">
        <f>VLOOKUP($C205,param!$A$4:$B$270,2)</f>
        <v>Recruiting Level Ramp-Up Cost</v>
      </c>
      <c r="E205" s="848">
        <f>MAX((decRecruitLevel-obalRecruitLevel)*$K205*$L205^((decRecruitLevel-obalRecruitLevel)-1),0)</f>
        <v>0</v>
      </c>
      <c r="F205" s="848">
        <f>MAX((decRecruitLevel-obalRecruitLevel)*$K205*$L205^((decRecruitLevel-obalRecruitLevel)-1),0)</f>
        <v>0</v>
      </c>
      <c r="G205" s="848">
        <f>MAX((decRecruitLevel-obalRecruitLevel)*$K205*$L205^((decRecruitLevel-obalRecruitLevel)-1),0)</f>
        <v>0</v>
      </c>
      <c r="H205" s="848">
        <f>MAX((decRecruitLevel-obalRecruitLevel)*$K205*$L205^((decRecruitLevel-obalRecruitLevel)-1),0)</f>
        <v>0</v>
      </c>
      <c r="I205" s="848">
        <f>MAX((decRecruitLevel-obalRecruitLevel)*$K205*$L205^((decRecruitLevel-obalRecruitLevel)-1),0)</f>
        <v>0</v>
      </c>
      <c r="K205" s="398">
        <v>5000000</v>
      </c>
      <c r="L205">
        <v>1.1000000000000001</v>
      </c>
    </row>
    <row r="206" spans="1:15">
      <c r="C206" s="433"/>
      <c r="E206" s="448"/>
      <c r="F206" s="448"/>
      <c r="G206" s="448"/>
      <c r="H206" s="448"/>
      <c r="I206" s="448"/>
      <c r="K206" s="435"/>
    </row>
    <row r="207" spans="1:15">
      <c r="A207" s="2" t="s">
        <v>2432</v>
      </c>
      <c r="C207" s="433"/>
      <c r="E207" s="183"/>
      <c r="F207" s="183"/>
      <c r="G207" s="183"/>
      <c r="H207" s="183"/>
      <c r="I207" s="183"/>
      <c r="J207" s="2" t="s">
        <v>3369</v>
      </c>
    </row>
    <row r="208" spans="1:15">
      <c r="A208" s="2"/>
      <c r="B208" t="s">
        <v>3366</v>
      </c>
      <c r="C208" t="s">
        <v>3367</v>
      </c>
      <c r="D208" t="s">
        <v>3368</v>
      </c>
      <c r="E208" s="183"/>
      <c r="F208" s="183"/>
      <c r="G208" s="183"/>
      <c r="H208" s="183"/>
      <c r="I208" s="183"/>
      <c r="J208" t="s">
        <v>1661</v>
      </c>
      <c r="K208" t="s">
        <v>3370</v>
      </c>
      <c r="L208" t="s">
        <v>3371</v>
      </c>
      <c r="M208" t="s">
        <v>3372</v>
      </c>
      <c r="N208" t="s">
        <v>3373</v>
      </c>
      <c r="O208" t="s">
        <v>3374</v>
      </c>
    </row>
    <row r="209" spans="1:19" ht="12" thickBot="1">
      <c r="A209" s="2"/>
      <c r="C209" s="433"/>
      <c r="E209" s="183"/>
      <c r="F209" s="183"/>
      <c r="G209" s="183"/>
      <c r="H209" s="183"/>
      <c r="I209" s="183"/>
      <c r="Q209" s="130" t="s">
        <v>2912</v>
      </c>
    </row>
    <row r="210" spans="1:19" ht="11.25" customHeight="1">
      <c r="B210" s="193" t="s">
        <v>847</v>
      </c>
      <c r="C210" s="1029" t="str">
        <f>INDEX(DataPage!$G$319:$G$333,MATCH(adj!$B210,DataPage!$I$319:$I$333,0))</f>
        <v>Multi-Vitamin &amp; Probiotics Juice</v>
      </c>
      <c r="D210" s="194"/>
      <c r="E210" s="1030"/>
      <c r="F210" s="1030"/>
      <c r="G210" s="1030"/>
      <c r="H210" s="1030"/>
      <c r="I210" s="1030"/>
      <c r="J210" s="194"/>
      <c r="K210" s="194"/>
      <c r="L210" s="1198">
        <v>100</v>
      </c>
      <c r="M210" s="1198">
        <v>150</v>
      </c>
      <c r="N210" s="1198">
        <v>200</v>
      </c>
      <c r="O210" s="1198">
        <v>250</v>
      </c>
      <c r="P210" s="194"/>
      <c r="Q210" s="1195"/>
      <c r="R210" s="1378" t="s">
        <v>4095</v>
      </c>
      <c r="S210" s="2621"/>
    </row>
    <row r="211" spans="1:19" ht="11.25" customHeight="1">
      <c r="B211" s="132" t="s">
        <v>847</v>
      </c>
      <c r="C211" s="1012">
        <v>56.3</v>
      </c>
      <c r="D211" s="21" t="str">
        <f>VLOOKUP($C211,param!$A$4:$B$270,2)</f>
        <v>NCB Innovation Vetera</v>
      </c>
      <c r="E211" s="1191">
        <f>INDEX($K211:$R211,SUMIF(cbal!E$280:E$333,$B211,cbal!$D$280:$D$333)+1)</f>
        <v>0</v>
      </c>
      <c r="F211" s="1191">
        <f>INDEX($K211:$R211,SUMIF(cbal!F$280:F$333,$B211,cbal!$D$280:$D$333)+1)</f>
        <v>0</v>
      </c>
      <c r="G211" s="1191">
        <f>INDEX($K211:$R211,SUMIF(cbal!G$280:G$333,$B211,cbal!$D$280:$D$333)+1)</f>
        <v>0</v>
      </c>
      <c r="H211" s="1191">
        <f>INDEX($K211:$R211,SUMIF(cbal!H$280:H$333,$B211,cbal!$D$280:$D$333)+1)</f>
        <v>0</v>
      </c>
      <c r="I211" s="1191">
        <f>INDEX($K211:$R211,SUMIF(cbal!I$280:I$333,$B211,cbal!$D$280:$D$333)+1)</f>
        <v>0</v>
      </c>
      <c r="J211" s="21"/>
      <c r="K211" s="21">
        <v>0</v>
      </c>
      <c r="L211" s="149">
        <f>L210*$Q211</f>
        <v>65</v>
      </c>
      <c r="M211" s="149">
        <f>M210*$Q211</f>
        <v>97.5</v>
      </c>
      <c r="N211" s="149">
        <f>N210*$Q211</f>
        <v>130</v>
      </c>
      <c r="O211" s="149">
        <f>O210*$Q211</f>
        <v>162.5</v>
      </c>
      <c r="P211" s="21"/>
      <c r="Q211" s="92">
        <v>0.65</v>
      </c>
      <c r="R211" s="1379"/>
      <c r="S211" s="2622"/>
    </row>
    <row r="212" spans="1:19">
      <c r="B212" s="132" t="s">
        <v>847</v>
      </c>
      <c r="C212" s="1012">
        <v>56.4</v>
      </c>
      <c r="D212" s="21" t="str">
        <f>VLOOKUP($C212,param!$A$4:$B$270,2)</f>
        <v>NCB Innovation Escendia</v>
      </c>
      <c r="E212" s="1191">
        <f>INDEX($K212:$R212,SUMIF(cbal!E$280:E$333,$B212,cbal!$D$280:$D$333)+1)</f>
        <v>0</v>
      </c>
      <c r="F212" s="1191">
        <f>INDEX($K212:$R212,SUMIF(cbal!F$280:F$333,$B212,cbal!$D$280:$D$333)+1)</f>
        <v>0</v>
      </c>
      <c r="G212" s="1191">
        <f>INDEX($K212:$R212,SUMIF(cbal!G$280:G$333,$B212,cbal!$D$280:$D$333)+1)</f>
        <v>0</v>
      </c>
      <c r="H212" s="1191">
        <f>INDEX($K212:$R212,SUMIF(cbal!H$280:H$333,$B212,cbal!$D$280:$D$333)+1)</f>
        <v>0</v>
      </c>
      <c r="I212" s="1191">
        <f>INDEX($K212:$R212,SUMIF(cbal!I$280:I$333,$B212,cbal!$D$280:$D$333)+1)</f>
        <v>0</v>
      </c>
      <c r="J212" s="21"/>
      <c r="K212" s="21">
        <v>0</v>
      </c>
      <c r="L212" s="149">
        <f>L210*$Q212</f>
        <v>35</v>
      </c>
      <c r="M212" s="149">
        <f>M210*$Q212</f>
        <v>52.5</v>
      </c>
      <c r="N212" s="149">
        <f>N210*$Q212</f>
        <v>70</v>
      </c>
      <c r="O212" s="149">
        <f>O210*$Q212</f>
        <v>87.5</v>
      </c>
      <c r="P212" s="21"/>
      <c r="Q212" s="92">
        <v>0.35</v>
      </c>
      <c r="R212" s="1379"/>
      <c r="S212" s="2622"/>
    </row>
    <row r="213" spans="1:19">
      <c r="B213" s="132"/>
      <c r="C213" s="1012"/>
      <c r="D213" s="21"/>
      <c r="E213" s="1191"/>
      <c r="F213" s="1191"/>
      <c r="G213" s="1191"/>
      <c r="H213" s="1191"/>
      <c r="I213" s="1191"/>
      <c r="J213" s="21"/>
      <c r="K213" s="21"/>
      <c r="L213" s="149"/>
      <c r="M213" s="149"/>
      <c r="N213" s="149"/>
      <c r="O213" s="149"/>
      <c r="P213" s="21"/>
      <c r="Q213" s="92"/>
      <c r="R213" s="1379"/>
      <c r="S213" s="2622"/>
    </row>
    <row r="214" spans="1:19" ht="12.75">
      <c r="B214" s="132" t="s">
        <v>848</v>
      </c>
      <c r="C214" s="1013" t="str">
        <f>INDEX(DataPage!$G$319:$G$333,MATCH(adj!$B214,DataPage!$I$319:$I$333,0))</f>
        <v>Flavored Sparkling Water</v>
      </c>
      <c r="D214" s="21"/>
      <c r="E214" s="1191"/>
      <c r="F214" s="1191"/>
      <c r="G214" s="1191"/>
      <c r="H214" s="1191"/>
      <c r="I214" s="1191"/>
      <c r="J214" s="21"/>
      <c r="K214" s="21"/>
      <c r="L214" s="452">
        <v>200</v>
      </c>
      <c r="M214" s="452">
        <v>150</v>
      </c>
      <c r="N214" s="452">
        <v>100</v>
      </c>
      <c r="O214" s="452">
        <v>50</v>
      </c>
      <c r="P214" s="21"/>
      <c r="Q214" s="92"/>
      <c r="R214" s="1380" t="s">
        <v>845</v>
      </c>
      <c r="S214" s="2622"/>
    </row>
    <row r="215" spans="1:19">
      <c r="B215" s="132" t="s">
        <v>848</v>
      </c>
      <c r="C215" s="1012">
        <v>18.3</v>
      </c>
      <c r="D215" s="21" t="str">
        <f>VLOOKUP($C215,param!$A$4:$B$270,2)</f>
        <v>CSD Innovation Vetera</v>
      </c>
      <c r="E215" s="1191">
        <f>INDEX($K215:$R215,SUMIF(cbal!E$280:E$333,$B215,cbal!$D$280:$D$333)+1)</f>
        <v>0</v>
      </c>
      <c r="F215" s="1191">
        <f>INDEX($K215:$R215,SUMIF(cbal!F$280:F$333,$B215,cbal!$D$280:$D$333)+1)</f>
        <v>0</v>
      </c>
      <c r="G215" s="1191">
        <f>INDEX($K215:$R215,SUMIF(cbal!G$280:G$333,$B215,cbal!$D$280:$D$333)+1)</f>
        <v>0</v>
      </c>
      <c r="H215" s="1191">
        <f>INDEX($K215:$R215,SUMIF(cbal!H$280:H$333,$B215,cbal!$D$280:$D$333)+1)</f>
        <v>0</v>
      </c>
      <c r="I215" s="1191">
        <f>INDEX($K215:$R215,SUMIF(cbal!I$280:I$333,$B215,cbal!$D$280:$D$333)+1)</f>
        <v>0</v>
      </c>
      <c r="J215" s="21"/>
      <c r="K215" s="21">
        <v>0</v>
      </c>
      <c r="L215" s="149">
        <f>L214*$Q215</f>
        <v>130</v>
      </c>
      <c r="M215" s="149">
        <f>M214*$Q215</f>
        <v>97.5</v>
      </c>
      <c r="N215" s="149">
        <f>N214*$Q215</f>
        <v>65</v>
      </c>
      <c r="O215" s="149">
        <f>O214*$Q215</f>
        <v>32.5</v>
      </c>
      <c r="P215" s="21"/>
      <c r="Q215" s="92">
        <v>0.65</v>
      </c>
      <c r="R215" s="1379"/>
      <c r="S215" s="2622"/>
    </row>
    <row r="216" spans="1:19">
      <c r="B216" s="132" t="s">
        <v>848</v>
      </c>
      <c r="C216" s="1012">
        <v>18.399999999999999</v>
      </c>
      <c r="D216" s="21" t="str">
        <f>VLOOKUP($C216,param!$A$4:$B$270,2)</f>
        <v>CSD Innovation Escendia</v>
      </c>
      <c r="E216" s="1191">
        <f>INDEX($K216:$R216,SUMIF(cbal!E$280:E$333,$B216,cbal!$D$280:$D$333)+1)</f>
        <v>0</v>
      </c>
      <c r="F216" s="1191">
        <f>INDEX($K216:$R216,SUMIF(cbal!F$280:F$333,$B216,cbal!$D$280:$D$333)+1)</f>
        <v>0</v>
      </c>
      <c r="G216" s="1191">
        <f>INDEX($K216:$R216,SUMIF(cbal!G$280:G$333,$B216,cbal!$D$280:$D$333)+1)</f>
        <v>0</v>
      </c>
      <c r="H216" s="1191">
        <f>INDEX($K216:$R216,SUMIF(cbal!H$280:H$333,$B216,cbal!$D$280:$D$333)+1)</f>
        <v>0</v>
      </c>
      <c r="I216" s="1191">
        <f>INDEX($K216:$R216,SUMIF(cbal!I$280:I$333,$B216,cbal!$D$280:$D$333)+1)</f>
        <v>0</v>
      </c>
      <c r="J216" s="21"/>
      <c r="K216" s="21">
        <v>0</v>
      </c>
      <c r="L216" s="149">
        <f>L214*$Q216</f>
        <v>70</v>
      </c>
      <c r="M216" s="149">
        <f>M214*$Q216</f>
        <v>52.5</v>
      </c>
      <c r="N216" s="149">
        <f>N214*$Q216</f>
        <v>35</v>
      </c>
      <c r="O216" s="149">
        <f>O214*$Q216</f>
        <v>17.5</v>
      </c>
      <c r="P216" s="21"/>
      <c r="Q216" s="92">
        <v>0.35</v>
      </c>
      <c r="R216" s="1379"/>
      <c r="S216" s="2622"/>
    </row>
    <row r="217" spans="1:19" ht="3.75" customHeight="1">
      <c r="B217" s="132"/>
      <c r="C217" s="1012"/>
      <c r="D217" s="21"/>
      <c r="E217" s="1191"/>
      <c r="F217" s="1191"/>
      <c r="G217" s="1191"/>
      <c r="H217" s="1191"/>
      <c r="I217" s="1191"/>
      <c r="J217" s="21"/>
      <c r="K217" s="21"/>
      <c r="L217" s="149"/>
      <c r="M217" s="149"/>
      <c r="N217" s="149"/>
      <c r="O217" s="149"/>
      <c r="P217" s="21"/>
      <c r="Q217" s="92"/>
      <c r="R217" s="1379"/>
      <c r="S217" s="2622"/>
    </row>
    <row r="218" spans="1:19">
      <c r="B218" s="132" t="s">
        <v>848</v>
      </c>
      <c r="C218" s="1012">
        <v>190</v>
      </c>
      <c r="D218" s="21" t="str">
        <f>VLOOKUP($C218,param!$A$4:$B$270,2)</f>
        <v>Water Usage Performance</v>
      </c>
      <c r="E218" s="1257">
        <f>COUNTIF(cbal!E$280:E$333,$B218)*$K218*$L218^(1-COUNTIF(cbal!E$280:E$333,$B218))</f>
        <v>0</v>
      </c>
      <c r="F218" s="1257">
        <f>COUNTIF(cbal!F$280:F$333,$B218)*$K218*$L218^(1-COUNTIF(cbal!F$280:F$333,$B218))</f>
        <v>0</v>
      </c>
      <c r="G218" s="1257">
        <f>COUNTIF(cbal!G$280:G$333,$B218)*$K218*$L218^(1-COUNTIF(cbal!G$280:G$333,$B218))</f>
        <v>0</v>
      </c>
      <c r="H218" s="1257">
        <f>COUNTIF(cbal!H$280:H$333,$B218)*$K218*$L218^(1-COUNTIF(cbal!H$280:H$333,$B218))</f>
        <v>0</v>
      </c>
      <c r="I218" s="1257">
        <f>COUNTIF(cbal!I$280:I$333,$B218)*$K218*$L218^(1-COUNTIF(cbal!I$280:I$333,$B218))</f>
        <v>0</v>
      </c>
      <c r="J218" s="92"/>
      <c r="K218" s="92">
        <v>0.01</v>
      </c>
      <c r="L218" s="149">
        <v>1</v>
      </c>
      <c r="M218" s="149"/>
      <c r="N218" s="149"/>
      <c r="O218" s="149"/>
      <c r="P218" s="21"/>
      <c r="Q218" s="92"/>
      <c r="R218" s="1379"/>
      <c r="S218" s="2622"/>
    </row>
    <row r="219" spans="1:19">
      <c r="B219" s="132" t="s">
        <v>848</v>
      </c>
      <c r="C219" s="1012">
        <v>193</v>
      </c>
      <c r="D219" s="21" t="str">
        <f>VLOOKUP($C219,param!$A$4:$B$270,2)</f>
        <v>Healthy Product Innovation</v>
      </c>
      <c r="E219" s="1257">
        <f>COUNTIF(cbal!E$280:E$333,$B219)*$K219*$L219^(1-COUNTIF(cbal!E$280:E$333,$B219))</f>
        <v>0</v>
      </c>
      <c r="F219" s="1257">
        <f>COUNTIF(cbal!F$280:F$333,$B219)*$K219*$L219^(1-COUNTIF(cbal!F$280:F$333,$B219))</f>
        <v>0</v>
      </c>
      <c r="G219" s="1257">
        <f>COUNTIF(cbal!G$280:G$333,$B219)*$K219*$L219^(1-COUNTIF(cbal!G$280:G$333,$B219))</f>
        <v>0</v>
      </c>
      <c r="H219" s="1257">
        <f>COUNTIF(cbal!H$280:H$333,$B219)*$K219*$L219^(1-COUNTIF(cbal!H$280:H$333,$B219))</f>
        <v>0</v>
      </c>
      <c r="I219" s="1257">
        <f>COUNTIF(cbal!I$280:I$333,$B219)*$K219*$L219^(1-COUNTIF(cbal!I$280:I$333,$B219))</f>
        <v>0</v>
      </c>
      <c r="J219" s="92"/>
      <c r="K219" s="92">
        <v>0.01</v>
      </c>
      <c r="L219" s="149">
        <v>1</v>
      </c>
      <c r="M219" s="149"/>
      <c r="N219" s="149"/>
      <c r="O219" s="149"/>
      <c r="P219" s="21"/>
      <c r="Q219" s="92"/>
      <c r="R219" s="1379"/>
      <c r="S219" s="2622"/>
    </row>
    <row r="220" spans="1:19">
      <c r="B220" s="1032" t="s">
        <v>848</v>
      </c>
      <c r="C220" s="1014">
        <v>7</v>
      </c>
      <c r="D220" s="94" t="str">
        <f>VLOOKUP($C220,param!$A$4:$B$270,2)</f>
        <v>CSD Material Cost Per Unit</v>
      </c>
      <c r="E220" s="1258">
        <f>COUNTIF(cbal!E$280:E$333,$B220)*$K220*$L220^(1-COUNTIF(cbal!E$280:E$333,$B220))</f>
        <v>0</v>
      </c>
      <c r="F220" s="1258">
        <f>COUNTIF(cbal!F$280:F$333,$B220)*$K220*$L220^(1-COUNTIF(cbal!F$280:F$333,$B220))</f>
        <v>0</v>
      </c>
      <c r="G220" s="1258">
        <f>COUNTIF(cbal!G$280:G$333,$B220)*$K220*$L220^(1-COUNTIF(cbal!G$280:G$333,$B220))</f>
        <v>0</v>
      </c>
      <c r="H220" s="1258">
        <f>COUNTIF(cbal!H$280:H$333,$B220)*$K220*$L220^(1-COUNTIF(cbal!H$280:H$333,$B220))</f>
        <v>0</v>
      </c>
      <c r="I220" s="1258">
        <f>COUNTIF(cbal!I$280:I$333,$B220)*$K220*$L220^(1-COUNTIF(cbal!I$280:I$333,$B220))</f>
        <v>0</v>
      </c>
      <c r="J220" s="1048"/>
      <c r="K220" s="1048">
        <v>0.01</v>
      </c>
      <c r="L220" s="962">
        <v>1</v>
      </c>
      <c r="M220" s="962"/>
      <c r="N220" s="962"/>
      <c r="O220" s="962"/>
      <c r="P220" s="94"/>
      <c r="Q220" s="1048"/>
      <c r="R220" s="1381"/>
      <c r="S220" s="2622"/>
    </row>
    <row r="221" spans="1:19" ht="12.75">
      <c r="B221" s="132"/>
      <c r="C221" s="1012"/>
      <c r="D221" s="21"/>
      <c r="E221" s="1191"/>
      <c r="F221" s="1191"/>
      <c r="G221" s="1191"/>
      <c r="H221" s="1191"/>
      <c r="I221" s="1191"/>
      <c r="J221" s="21"/>
      <c r="K221" s="21"/>
      <c r="L221" s="149"/>
      <c r="M221" s="149"/>
      <c r="N221" s="149"/>
      <c r="O221" s="149"/>
      <c r="P221" s="21"/>
      <c r="Q221" s="92"/>
      <c r="R221" s="546"/>
      <c r="S221" s="2622"/>
    </row>
    <row r="222" spans="1:19" ht="11.25" customHeight="1">
      <c r="B222" s="1033" t="s">
        <v>849</v>
      </c>
      <c r="C222" s="1011" t="str">
        <f>INDEX(DataPage!$G$319:$G$333,MATCH(adj!$B222,DataPage!$I$319:$I$333,0))</f>
        <v>Flavored Bottled Water</v>
      </c>
      <c r="D222" s="89"/>
      <c r="E222" s="1193"/>
      <c r="F222" s="1193"/>
      <c r="G222" s="1193"/>
      <c r="H222" s="1193"/>
      <c r="I222" s="1193"/>
      <c r="J222" s="89"/>
      <c r="K222" s="89"/>
      <c r="L222" s="1174">
        <v>150</v>
      </c>
      <c r="M222" s="1174">
        <v>200</v>
      </c>
      <c r="N222" s="1174">
        <v>160</v>
      </c>
      <c r="O222" s="1174">
        <v>70</v>
      </c>
      <c r="P222" s="89"/>
      <c r="Q222" s="1196"/>
      <c r="R222" s="1382" t="s">
        <v>845</v>
      </c>
      <c r="S222" s="2622"/>
    </row>
    <row r="223" spans="1:19">
      <c r="B223" s="132" t="s">
        <v>849</v>
      </c>
      <c r="C223" s="1012">
        <v>56.3</v>
      </c>
      <c r="D223" s="21" t="str">
        <f>VLOOKUP($C223,param!$A$4:$B$270,2)</f>
        <v>NCB Innovation Vetera</v>
      </c>
      <c r="E223" s="1191">
        <f>INDEX($K223:$R223,SUMIF(cbal!E$280:E$333,$B223,cbal!$D$280:$D$333)+1)</f>
        <v>0</v>
      </c>
      <c r="F223" s="1191">
        <f>INDEX($K223:$R223,SUMIF(cbal!F$280:F$333,$B223,cbal!$D$280:$D$333)+1)</f>
        <v>0</v>
      </c>
      <c r="G223" s="1191">
        <f>INDEX($K223:$R223,SUMIF(cbal!G$280:G$333,$B223,cbal!$D$280:$D$333)+1)</f>
        <v>0</v>
      </c>
      <c r="H223" s="1191">
        <f>INDEX($K223:$R223,SUMIF(cbal!H$280:H$333,$B223,cbal!$D$280:$D$333)+1)</f>
        <v>0</v>
      </c>
      <c r="I223" s="1191">
        <f>INDEX($K223:$R223,SUMIF(cbal!I$280:I$333,$B223,cbal!$D$280:$D$333)+1)</f>
        <v>0</v>
      </c>
      <c r="J223" s="21"/>
      <c r="K223" s="21">
        <v>0</v>
      </c>
      <c r="L223" s="149">
        <f>L222*$Q223</f>
        <v>112.5</v>
      </c>
      <c r="M223" s="149">
        <f>M222*$Q223</f>
        <v>150</v>
      </c>
      <c r="N223" s="149">
        <f>N222*$Q223</f>
        <v>120</v>
      </c>
      <c r="O223" s="149">
        <f>O222*$Q223</f>
        <v>52.5</v>
      </c>
      <c r="P223" s="21"/>
      <c r="Q223" s="92">
        <v>0.75</v>
      </c>
      <c r="R223" s="1379"/>
      <c r="S223" s="2622"/>
    </row>
    <row r="224" spans="1:19">
      <c r="B224" s="132" t="s">
        <v>849</v>
      </c>
      <c r="C224" s="1012">
        <v>56.4</v>
      </c>
      <c r="D224" s="21" t="str">
        <f>VLOOKUP($C224,param!$A$4:$B$270,2)</f>
        <v>NCB Innovation Escendia</v>
      </c>
      <c r="E224" s="1191">
        <f>INDEX($K224:$R224,SUMIF(cbal!E$280:E$333,$B224,cbal!$D$280:$D$333)+1)</f>
        <v>0</v>
      </c>
      <c r="F224" s="1191">
        <f>INDEX($K224:$R224,SUMIF(cbal!F$280:F$333,$B224,cbal!$D$280:$D$333)+1)</f>
        <v>0</v>
      </c>
      <c r="G224" s="1191">
        <f>INDEX($K224:$R224,SUMIF(cbal!G$280:G$333,$B224,cbal!$D$280:$D$333)+1)</f>
        <v>0</v>
      </c>
      <c r="H224" s="1191">
        <f>INDEX($K224:$R224,SUMIF(cbal!H$280:H$333,$B224,cbal!$D$280:$D$333)+1)</f>
        <v>0</v>
      </c>
      <c r="I224" s="1191">
        <f>INDEX($K224:$R224,SUMIF(cbal!I$280:I$333,$B224,cbal!$D$280:$D$333)+1)</f>
        <v>0</v>
      </c>
      <c r="J224" s="21"/>
      <c r="K224" s="21">
        <v>0</v>
      </c>
      <c r="L224" s="149">
        <f>L222*$Q224</f>
        <v>37.5</v>
      </c>
      <c r="M224" s="149">
        <f>M222*$Q224</f>
        <v>50</v>
      </c>
      <c r="N224" s="149">
        <f>N222*$Q224</f>
        <v>40</v>
      </c>
      <c r="O224" s="149">
        <f>O222*$Q224</f>
        <v>17.5</v>
      </c>
      <c r="P224" s="21"/>
      <c r="Q224" s="92">
        <v>0.25</v>
      </c>
      <c r="R224" s="1379"/>
      <c r="S224" s="2622"/>
    </row>
    <row r="225" spans="2:19">
      <c r="B225" s="132"/>
      <c r="C225" s="1012"/>
      <c r="D225" s="21"/>
      <c r="E225" s="1191"/>
      <c r="F225" s="1191"/>
      <c r="G225" s="1191"/>
      <c r="H225" s="1191"/>
      <c r="I225" s="1191"/>
      <c r="J225" s="21"/>
      <c r="K225" s="21"/>
      <c r="L225" s="149"/>
      <c r="M225" s="149"/>
      <c r="N225" s="149"/>
      <c r="O225" s="149"/>
      <c r="P225" s="21"/>
      <c r="Q225" s="92"/>
      <c r="R225" s="1379"/>
      <c r="S225" s="2622"/>
    </row>
    <row r="226" spans="2:19" ht="12.75">
      <c r="B226" s="132" t="s">
        <v>850</v>
      </c>
      <c r="C226" s="1013" t="str">
        <f>INDEX(DataPage!$G$319:$G$333,MATCH(adj!$B226,DataPage!$I$319:$I$333,0))</f>
        <v>Fruit-Based Colas</v>
      </c>
      <c r="D226" s="21"/>
      <c r="E226" s="1191"/>
      <c r="F226" s="1191"/>
      <c r="G226" s="1191"/>
      <c r="H226" s="1191"/>
      <c r="I226" s="1191"/>
      <c r="J226" s="21"/>
      <c r="K226" s="21"/>
      <c r="L226" s="452">
        <v>150</v>
      </c>
      <c r="M226" s="452">
        <v>200</v>
      </c>
      <c r="N226" s="452">
        <v>160</v>
      </c>
      <c r="O226" s="452">
        <v>70</v>
      </c>
      <c r="P226" s="21"/>
      <c r="Q226" s="92"/>
      <c r="R226" s="1380" t="s">
        <v>4095</v>
      </c>
      <c r="S226" s="2622"/>
    </row>
    <row r="227" spans="2:19">
      <c r="B227" s="132" t="s">
        <v>850</v>
      </c>
      <c r="C227" s="1012">
        <v>18.3</v>
      </c>
      <c r="D227" s="21" t="str">
        <f>VLOOKUP($C227,param!$A$4:$B$270,2)</f>
        <v>CSD Innovation Vetera</v>
      </c>
      <c r="E227" s="1191">
        <f>INDEX($K227:$R227,SUMIF(cbal!E$280:E$333,$B227,cbal!$D$280:$D$333)+1)</f>
        <v>0</v>
      </c>
      <c r="F227" s="1191">
        <f>INDEX($K227:$R227,SUMIF(cbal!F$280:F$333,$B227,cbal!$D$280:$D$333)+1)</f>
        <v>0</v>
      </c>
      <c r="G227" s="1191">
        <f>INDEX($K227:$R227,SUMIF(cbal!G$280:G$333,$B227,cbal!$D$280:$D$333)+1)</f>
        <v>0</v>
      </c>
      <c r="H227" s="1191">
        <f>INDEX($K227:$R227,SUMIF(cbal!H$280:H$333,$B227,cbal!$D$280:$D$333)+1)</f>
        <v>0</v>
      </c>
      <c r="I227" s="1191">
        <f>INDEX($K227:$R227,SUMIF(cbal!I$280:I$333,$B227,cbal!$D$280:$D$333)+1)</f>
        <v>0</v>
      </c>
      <c r="J227" s="21"/>
      <c r="K227" s="21">
        <v>0</v>
      </c>
      <c r="L227" s="149">
        <f>L226*$Q227</f>
        <v>75</v>
      </c>
      <c r="M227" s="149">
        <f>M226*$Q227</f>
        <v>100</v>
      </c>
      <c r="N227" s="149">
        <f>N226*$Q227</f>
        <v>80</v>
      </c>
      <c r="O227" s="149">
        <f>O226*$Q227</f>
        <v>35</v>
      </c>
      <c r="P227" s="21"/>
      <c r="Q227" s="92">
        <v>0.5</v>
      </c>
      <c r="R227" s="1379"/>
      <c r="S227" s="2622"/>
    </row>
    <row r="228" spans="2:19">
      <c r="B228" s="132" t="s">
        <v>850</v>
      </c>
      <c r="C228" s="1012">
        <v>18.399999999999999</v>
      </c>
      <c r="D228" s="21" t="str">
        <f>VLOOKUP($C228,param!$A$4:$B$270,2)</f>
        <v>CSD Innovation Escendia</v>
      </c>
      <c r="E228" s="1191">
        <f>INDEX($K228:$R228,SUMIF(cbal!E$280:E$333,$B228,cbal!$D$280:$D$333)+1)</f>
        <v>0</v>
      </c>
      <c r="F228" s="1191">
        <f>INDEX($K228:$R228,SUMIF(cbal!F$280:F$333,$B228,cbal!$D$280:$D$333)+1)</f>
        <v>0</v>
      </c>
      <c r="G228" s="1191">
        <f>INDEX($K228:$R228,SUMIF(cbal!G$280:G$333,$B228,cbal!$D$280:$D$333)+1)</f>
        <v>0</v>
      </c>
      <c r="H228" s="1191">
        <f>INDEX($K228:$R228,SUMIF(cbal!H$280:H$333,$B228,cbal!$D$280:$D$333)+1)</f>
        <v>0</v>
      </c>
      <c r="I228" s="1191">
        <f>INDEX($K228:$R228,SUMIF(cbal!I$280:I$333,$B228,cbal!$D$280:$D$333)+1)</f>
        <v>0</v>
      </c>
      <c r="J228" s="21"/>
      <c r="K228" s="21">
        <v>0</v>
      </c>
      <c r="L228" s="149">
        <f>L226*$Q228</f>
        <v>75</v>
      </c>
      <c r="M228" s="149">
        <f>M226*$Q228</f>
        <v>100</v>
      </c>
      <c r="N228" s="149">
        <f>N226*$Q228</f>
        <v>80</v>
      </c>
      <c r="O228" s="149">
        <f>O226*$Q228</f>
        <v>35</v>
      </c>
      <c r="P228" s="21"/>
      <c r="Q228" s="92">
        <v>0.5</v>
      </c>
      <c r="R228" s="1379"/>
      <c r="S228" s="2622"/>
    </row>
    <row r="229" spans="2:19" ht="3.75" customHeight="1">
      <c r="B229" s="132"/>
      <c r="C229" s="1012"/>
      <c r="D229" s="21"/>
      <c r="E229" s="1191"/>
      <c r="F229" s="1191"/>
      <c r="G229" s="1191"/>
      <c r="H229" s="1191"/>
      <c r="I229" s="1191"/>
      <c r="J229" s="21"/>
      <c r="K229" s="21"/>
      <c r="L229" s="149"/>
      <c r="M229" s="149"/>
      <c r="N229" s="149"/>
      <c r="O229" s="149"/>
      <c r="P229" s="21"/>
      <c r="Q229" s="92"/>
      <c r="R229" s="1379"/>
      <c r="S229" s="2622"/>
    </row>
    <row r="230" spans="2:19">
      <c r="B230" s="132" t="s">
        <v>850</v>
      </c>
      <c r="C230" s="1012">
        <v>6</v>
      </c>
      <c r="D230" s="21" t="str">
        <f>VLOOKUP($C230,param!$A$4:$B$270,2)</f>
        <v>CSD % FG Retained Units</v>
      </c>
      <c r="E230" s="1256">
        <f>COUNTIF(cbal!E$280:E$333,$B230)*$K230*$L230^(1-COUNTIF(cbal!E$280:E$333,$B230))</f>
        <v>0</v>
      </c>
      <c r="F230" s="1256">
        <f>COUNTIF(cbal!F$280:F$333,$B230)*$K230*$L230^(1-COUNTIF(cbal!F$280:F$333,$B230))</f>
        <v>0</v>
      </c>
      <c r="G230" s="1256">
        <f>COUNTIF(cbal!G$280:G$333,$B230)*$K230*$L230^(1-COUNTIF(cbal!G$280:G$333,$B230))</f>
        <v>0</v>
      </c>
      <c r="H230" s="1256">
        <f>COUNTIF(cbal!H$280:H$333,$B230)*$K230*$L230^(1-COUNTIF(cbal!H$280:H$333,$B230))</f>
        <v>0</v>
      </c>
      <c r="I230" s="1256">
        <f>COUNTIF(cbal!I$280:I$333,$B230)*$K230*$L230^(1-COUNTIF(cbal!I$280:I$333,$B230))</f>
        <v>0</v>
      </c>
      <c r="J230" s="519"/>
      <c r="K230" s="92">
        <v>-0.05</v>
      </c>
      <c r="L230" s="21">
        <v>1</v>
      </c>
      <c r="M230" s="149"/>
      <c r="N230" s="149"/>
      <c r="O230" s="149"/>
      <c r="P230" s="21"/>
      <c r="Q230" s="92"/>
      <c r="R230" s="1379"/>
      <c r="S230" s="2622"/>
    </row>
    <row r="231" spans="2:19" ht="12" thickBot="1">
      <c r="B231" s="134" t="s">
        <v>850</v>
      </c>
      <c r="C231" s="1031">
        <v>7</v>
      </c>
      <c r="D231" s="135" t="str">
        <f>VLOOKUP($C231,param!$A$4:$B$270,2)</f>
        <v>CSD Material Cost Per Unit</v>
      </c>
      <c r="E231" s="1254">
        <f>COUNTIF(cbal!E$280:E$333,$B231)*$K231*$L231^(1-COUNTIF(cbal!E$280:E$333,$B231))</f>
        <v>0</v>
      </c>
      <c r="F231" s="1254">
        <f>COUNTIF(cbal!F$280:F$333,$B231)*$K231*$L231^(1-COUNTIF(cbal!F$280:F$333,$B231))</f>
        <v>0</v>
      </c>
      <c r="G231" s="1254">
        <f>COUNTIF(cbal!G$280:G$333,$B231)*$K231*$L231^(1-COUNTIF(cbal!G$280:G$333,$B231))</f>
        <v>0</v>
      </c>
      <c r="H231" s="1254">
        <f>COUNTIF(cbal!H$280:H$333,$B231)*$K231*$L231^(1-COUNTIF(cbal!H$280:H$333,$B231))</f>
        <v>0</v>
      </c>
      <c r="I231" s="1254">
        <f>COUNTIF(cbal!I$280:I$333,$B231)*$K231*$L231^(1-COUNTIF(cbal!I$280:I$333,$B231))</f>
        <v>0</v>
      </c>
      <c r="J231" s="135"/>
      <c r="K231" s="1255">
        <v>0.03</v>
      </c>
      <c r="L231" s="135">
        <v>1</v>
      </c>
      <c r="M231" s="1199"/>
      <c r="N231" s="1199"/>
      <c r="O231" s="1199"/>
      <c r="P231" s="135"/>
      <c r="Q231" s="1197"/>
      <c r="R231" s="1383"/>
      <c r="S231" s="2623"/>
    </row>
    <row r="232" spans="2:19" ht="13.5" thickBot="1">
      <c r="C232" s="433"/>
      <c r="E232" s="848"/>
      <c r="F232" s="848"/>
      <c r="G232" s="848"/>
      <c r="H232" s="848"/>
      <c r="I232" s="848"/>
      <c r="L232" s="33"/>
      <c r="M232" s="33"/>
      <c r="N232" s="33"/>
      <c r="O232" s="33"/>
      <c r="Q232" s="15"/>
      <c r="R232" s="1066"/>
    </row>
    <row r="233" spans="2:19" ht="11.25" customHeight="1">
      <c r="B233" s="193" t="s">
        <v>655</v>
      </c>
      <c r="C233" s="1029" t="str">
        <f>INDEX(DataPage!$G$319:$G$333,MATCH(adj!$B233,DataPage!$I$319:$I$333,0))</f>
        <v>Organically Grown Green Tea</v>
      </c>
      <c r="D233" s="194"/>
      <c r="E233" s="1194"/>
      <c r="F233" s="1194"/>
      <c r="G233" s="1194"/>
      <c r="H233" s="1194"/>
      <c r="I233" s="1194"/>
      <c r="J233" s="194"/>
      <c r="K233" s="194"/>
      <c r="L233" s="1198">
        <v>100</v>
      </c>
      <c r="M233" s="1198">
        <v>175</v>
      </c>
      <c r="N233" s="1198">
        <v>200</v>
      </c>
      <c r="O233" s="1198">
        <v>150</v>
      </c>
      <c r="P233" s="194"/>
      <c r="Q233" s="1195"/>
      <c r="R233" s="1378" t="s">
        <v>4095</v>
      </c>
      <c r="S233" s="2621"/>
    </row>
    <row r="234" spans="2:19">
      <c r="B234" s="132" t="s">
        <v>655</v>
      </c>
      <c r="C234" s="1012">
        <v>56.3</v>
      </c>
      <c r="D234" s="21" t="str">
        <f>VLOOKUP($C234,param!$A$4:$B$270,2)</f>
        <v>NCB Innovation Vetera</v>
      </c>
      <c r="E234" s="1191">
        <f>INDEX($K234:$R234,SUMIF(cbal!E$280:E$333,$B234,cbal!$D$280:$D$333)+1)</f>
        <v>0</v>
      </c>
      <c r="F234" s="1191">
        <f>INDEX($K234:$R234,SUMIF(cbal!F$280:F$333,$B234,cbal!$D$280:$D$333)+1)</f>
        <v>0</v>
      </c>
      <c r="G234" s="1191">
        <f>INDEX($K234:$R234,SUMIF(cbal!G$280:G$333,$B234,cbal!$D$280:$D$333)+1)</f>
        <v>0</v>
      </c>
      <c r="H234" s="1191">
        <f>INDEX($K234:$R234,SUMIF(cbal!H$280:H$333,$B234,cbal!$D$280:$D$333)+1)</f>
        <v>0</v>
      </c>
      <c r="I234" s="1191">
        <f>INDEX($K234:$R234,SUMIF(cbal!I$280:I$333,$B234,cbal!$D$280:$D$333)+1)</f>
        <v>0</v>
      </c>
      <c r="J234" s="21"/>
      <c r="K234" s="21">
        <v>0</v>
      </c>
      <c r="L234" s="149">
        <f>L233*$Q234</f>
        <v>50</v>
      </c>
      <c r="M234" s="149">
        <f>M233*$Q234</f>
        <v>87.5</v>
      </c>
      <c r="N234" s="149">
        <f>N233*$Q234</f>
        <v>100</v>
      </c>
      <c r="O234" s="149">
        <f>O233*$Q234</f>
        <v>75</v>
      </c>
      <c r="P234" s="21"/>
      <c r="Q234" s="92">
        <v>0.5</v>
      </c>
      <c r="R234" s="1379"/>
      <c r="S234" s="2622"/>
    </row>
    <row r="235" spans="2:19">
      <c r="B235" s="132" t="s">
        <v>655</v>
      </c>
      <c r="C235" s="1012">
        <v>56.4</v>
      </c>
      <c r="D235" s="21" t="str">
        <f>VLOOKUP($C235,param!$A$4:$B$270,2)</f>
        <v>NCB Innovation Escendia</v>
      </c>
      <c r="E235" s="1191">
        <f>INDEX($K235:$R235,SUMIF(cbal!E$280:E$333,$B235,cbal!$D$280:$D$333)+1)</f>
        <v>0</v>
      </c>
      <c r="F235" s="1191">
        <f>INDEX($K235:$R235,SUMIF(cbal!F$280:F$333,$B235,cbal!$D$280:$D$333)+1)</f>
        <v>0</v>
      </c>
      <c r="G235" s="1191">
        <f>INDEX($K235:$R235,SUMIF(cbal!G$280:G$333,$B235,cbal!$D$280:$D$333)+1)</f>
        <v>0</v>
      </c>
      <c r="H235" s="1191">
        <f>INDEX($K235:$R235,SUMIF(cbal!H$280:H$333,$B235,cbal!$D$280:$D$333)+1)</f>
        <v>0</v>
      </c>
      <c r="I235" s="1191">
        <f>INDEX($K235:$R235,SUMIF(cbal!I$280:I$333,$B235,cbal!$D$280:$D$333)+1)</f>
        <v>0</v>
      </c>
      <c r="J235" s="21"/>
      <c r="K235" s="21">
        <v>0</v>
      </c>
      <c r="L235" s="149">
        <f>L233*$Q235</f>
        <v>50</v>
      </c>
      <c r="M235" s="149">
        <f>M233*$Q235</f>
        <v>87.5</v>
      </c>
      <c r="N235" s="149">
        <f>N233*$Q235</f>
        <v>100</v>
      </c>
      <c r="O235" s="149">
        <f>O233*$Q235</f>
        <v>75</v>
      </c>
      <c r="P235" s="21"/>
      <c r="Q235" s="92">
        <v>0.5</v>
      </c>
      <c r="R235" s="1379"/>
      <c r="S235" s="2622"/>
    </row>
    <row r="236" spans="2:19" ht="3.75" customHeight="1">
      <c r="B236" s="132"/>
      <c r="C236" s="1012"/>
      <c r="D236" s="21"/>
      <c r="E236" s="1191"/>
      <c r="F236" s="1191"/>
      <c r="G236" s="1191"/>
      <c r="H236" s="1191"/>
      <c r="I236" s="1191"/>
      <c r="J236" s="21"/>
      <c r="K236" s="21"/>
      <c r="L236" s="149"/>
      <c r="M236" s="149"/>
      <c r="N236" s="149"/>
      <c r="O236" s="149"/>
      <c r="P236" s="21"/>
      <c r="Q236" s="92"/>
      <c r="R236" s="1379"/>
      <c r="S236" s="2622"/>
    </row>
    <row r="237" spans="2:19">
      <c r="B237" s="132" t="s">
        <v>655</v>
      </c>
      <c r="C237" s="1012">
        <v>190</v>
      </c>
      <c r="D237" s="21" t="str">
        <f>VLOOKUP($C237,param!$A$4:$B$270,2)</f>
        <v>Water Usage Performance</v>
      </c>
      <c r="E237" s="430">
        <f>COUNTIF(cbal!E$280:E$333,$B237)*$K237*$L237^(1-COUNTIF(cbal!E$280:E$333,$B237))</f>
        <v>0</v>
      </c>
      <c r="F237" s="430">
        <f>COUNTIF(cbal!F$280:F$333,$B237)*$K237*$L237^(1-COUNTIF(cbal!F$280:F$333,$B237))</f>
        <v>0</v>
      </c>
      <c r="G237" s="430">
        <f>COUNTIF(cbal!G$280:G$333,$B237)*$K237*$L237^(1-COUNTIF(cbal!G$280:G$333,$B237))</f>
        <v>0</v>
      </c>
      <c r="H237" s="430">
        <f>COUNTIF(cbal!H$280:H$333,$B237)*$K237*$L237^(1-COUNTIF(cbal!H$280:H$333,$B237))</f>
        <v>0</v>
      </c>
      <c r="I237" s="430">
        <f>COUNTIF(cbal!I$280:I$333,$B237)*$K237*$L237^(1-COUNTIF(cbal!I$280:I$333,$B237))</f>
        <v>0</v>
      </c>
      <c r="K237" s="442">
        <v>-0.01</v>
      </c>
      <c r="L237">
        <v>1</v>
      </c>
      <c r="M237" s="149"/>
      <c r="N237" s="149"/>
      <c r="O237" s="149"/>
      <c r="P237" s="21"/>
      <c r="Q237" s="92"/>
      <c r="R237" s="1379"/>
      <c r="S237" s="2622"/>
    </row>
    <row r="238" spans="2:19">
      <c r="B238" s="1574" t="s">
        <v>4086</v>
      </c>
      <c r="C238" s="1012">
        <v>56.3</v>
      </c>
      <c r="D238" s="21" t="str">
        <f>VLOOKUP($C238,param!$A$4:$B$270,2)</f>
        <v>NCB Innovation Vetera</v>
      </c>
      <c r="E238" s="1191">
        <f>(E234&lt;&gt;0)*INDEX($K238:$R238,SUMIF(cbal!E$280:E$333,$B238,cbal!$D$280:$D$333)+1)</f>
        <v>0</v>
      </c>
      <c r="F238" s="1191">
        <f>(F234&lt;&gt;0)*INDEX($K238:$R238,SUMIF(cbal!F$280:F$333,$B238,cbal!$D$280:$D$333)+1)</f>
        <v>0</v>
      </c>
      <c r="G238" s="1191">
        <f>(G234&lt;&gt;0)*INDEX($K238:$R238,SUMIF(cbal!G$280:G$333,$B238,cbal!$D$280:$D$333)+1)</f>
        <v>0</v>
      </c>
      <c r="H238" s="1191">
        <f>(H234&lt;&gt;0)*INDEX($K238:$R238,SUMIF(cbal!H$280:H$333,$B238,cbal!$D$280:$D$333)+1)</f>
        <v>0</v>
      </c>
      <c r="I238" s="1191">
        <f>(I234&lt;&gt;0)*INDEX($K238:$R238,SUMIF(cbal!I$280:I$333,$B238,cbal!$D$280:$D$333)+1)</f>
        <v>0</v>
      </c>
      <c r="K238" s="442"/>
      <c r="L238">
        <v>10</v>
      </c>
      <c r="M238" s="149">
        <v>10</v>
      </c>
      <c r="N238" s="149">
        <v>10</v>
      </c>
      <c r="O238" s="149"/>
      <c r="P238" s="21"/>
      <c r="Q238" s="92"/>
      <c r="R238" s="1379"/>
      <c r="S238" s="2622"/>
    </row>
    <row r="239" spans="2:19">
      <c r="B239" s="1574" t="s">
        <v>4086</v>
      </c>
      <c r="C239" s="1012">
        <v>56.4</v>
      </c>
      <c r="D239" s="21" t="str">
        <f>VLOOKUP($C239,param!$A$4:$B$270,2)</f>
        <v>NCB Innovation Escendia</v>
      </c>
      <c r="E239" s="1191">
        <f>(E235&lt;&gt;0)*INDEX($K239:$R239,SUMIF(cbal!E$280:E$333,$B239,cbal!$D$280:$D$333)+1)</f>
        <v>0</v>
      </c>
      <c r="F239" s="1191">
        <f>(F235&lt;&gt;0)*INDEX($K239:$R239,SUMIF(cbal!F$280:F$333,$B239,cbal!$D$280:$D$333)+1)</f>
        <v>0</v>
      </c>
      <c r="G239" s="1191">
        <f>(G235&lt;&gt;0)*INDEX($K239:$R239,SUMIF(cbal!G$280:G$333,$B239,cbal!$D$280:$D$333)+1)</f>
        <v>0</v>
      </c>
      <c r="H239" s="1191">
        <f>(H235&lt;&gt;0)*INDEX($K239:$R239,SUMIF(cbal!H$280:H$333,$B239,cbal!$D$280:$D$333)+1)</f>
        <v>0</v>
      </c>
      <c r="I239" s="1191">
        <f>(I235&lt;&gt;0)*INDEX($K239:$R239,SUMIF(cbal!I$280:I$333,$B239,cbal!$D$280:$D$333)+1)</f>
        <v>0</v>
      </c>
      <c r="K239" s="442"/>
      <c r="L239">
        <v>10</v>
      </c>
      <c r="M239" s="149">
        <v>10</v>
      </c>
      <c r="N239" s="149">
        <v>10</v>
      </c>
      <c r="O239" s="149"/>
      <c r="P239" s="21"/>
      <c r="Q239" s="92"/>
      <c r="R239" s="1379"/>
      <c r="S239" s="2622"/>
    </row>
    <row r="240" spans="2:19">
      <c r="B240" s="132"/>
      <c r="C240" s="1012"/>
      <c r="D240" s="21"/>
      <c r="E240" s="1191"/>
      <c r="F240" s="1191"/>
      <c r="G240" s="1191"/>
      <c r="H240" s="1191"/>
      <c r="I240" s="1191"/>
      <c r="J240" s="21"/>
      <c r="K240" s="21"/>
      <c r="L240" s="149"/>
      <c r="M240" s="149"/>
      <c r="N240" s="149"/>
      <c r="O240" s="149"/>
      <c r="P240" s="21"/>
      <c r="Q240" s="92"/>
      <c r="R240" s="1379"/>
      <c r="S240" s="2622"/>
    </row>
    <row r="241" spans="2:19" ht="12.75">
      <c r="B241" s="132" t="s">
        <v>656</v>
      </c>
      <c r="C241" s="1013" t="str">
        <f>INDEX(DataPage!$G$319:$G$333,MATCH(adj!$B241,DataPage!$I$319:$I$333,0))</f>
        <v>Packaging for Force Energy Drinks</v>
      </c>
      <c r="D241" s="21"/>
      <c r="E241" s="1191"/>
      <c r="F241" s="1191"/>
      <c r="G241" s="1191"/>
      <c r="H241" s="1191"/>
      <c r="I241" s="1191"/>
      <c r="J241" s="21"/>
      <c r="K241" s="21"/>
      <c r="L241" s="452">
        <v>200</v>
      </c>
      <c r="M241" s="452">
        <v>150</v>
      </c>
      <c r="N241" s="452">
        <v>100</v>
      </c>
      <c r="O241" s="452">
        <v>50</v>
      </c>
      <c r="P241" s="21"/>
      <c r="Q241" s="92"/>
      <c r="R241" s="1380" t="s">
        <v>845</v>
      </c>
      <c r="S241" s="2622"/>
    </row>
    <row r="242" spans="2:19">
      <c r="B242" s="132" t="s">
        <v>656</v>
      </c>
      <c r="C242" s="1012">
        <v>56.3</v>
      </c>
      <c r="D242" s="21" t="str">
        <f>VLOOKUP($C242,param!$A$4:$B$270,2)</f>
        <v>NCB Innovation Vetera</v>
      </c>
      <c r="E242" s="1191">
        <f>INDEX($K242:$R242,SUMIF(cbal!E$280:E$333,$B242,cbal!$D$280:$D$333)+1)</f>
        <v>0</v>
      </c>
      <c r="F242" s="1191">
        <f>INDEX($K242:$R242,SUMIF(cbal!F$280:F$333,$B242,cbal!$D$280:$D$333)+1)</f>
        <v>0</v>
      </c>
      <c r="G242" s="1191">
        <f>INDEX($K242:$R242,SUMIF(cbal!G$280:G$333,$B242,cbal!$D$280:$D$333)+1)</f>
        <v>0</v>
      </c>
      <c r="H242" s="1191">
        <f>INDEX($K242:$R242,SUMIF(cbal!H$280:H$333,$B242,cbal!$D$280:$D$333)+1)</f>
        <v>0</v>
      </c>
      <c r="I242" s="1191">
        <f>INDEX($K242:$R242,SUMIF(cbal!I$280:I$333,$B242,cbal!$D$280:$D$333)+1)</f>
        <v>0</v>
      </c>
      <c r="J242" s="21"/>
      <c r="K242" s="21">
        <v>0</v>
      </c>
      <c r="L242" s="149">
        <v>60</v>
      </c>
      <c r="M242" s="149">
        <v>45</v>
      </c>
      <c r="N242" s="149">
        <v>30</v>
      </c>
      <c r="O242" s="149">
        <v>15</v>
      </c>
      <c r="P242" s="21"/>
      <c r="Q242" s="92">
        <v>0.3</v>
      </c>
      <c r="R242" s="1379"/>
      <c r="S242" s="2622"/>
    </row>
    <row r="243" spans="2:19">
      <c r="B243" s="132" t="s">
        <v>656</v>
      </c>
      <c r="C243" s="1012">
        <v>56.4</v>
      </c>
      <c r="D243" s="21" t="str">
        <f>VLOOKUP($C243,param!$A$4:$B$270,2)</f>
        <v>NCB Innovation Escendia</v>
      </c>
      <c r="E243" s="1191">
        <f>INDEX($K243:$R243,SUMIF(cbal!E$280:E$333,$B243,cbal!$D$280:$D$333)+1)</f>
        <v>0</v>
      </c>
      <c r="F243" s="1191">
        <f>INDEX($K243:$R243,SUMIF(cbal!F$280:F$333,$B243,cbal!$D$280:$D$333)+1)</f>
        <v>0</v>
      </c>
      <c r="G243" s="1191">
        <f>INDEX($K243:$R243,SUMIF(cbal!G$280:G$333,$B243,cbal!$D$280:$D$333)+1)</f>
        <v>0</v>
      </c>
      <c r="H243" s="1191">
        <f>INDEX($K243:$R243,SUMIF(cbal!H$280:H$333,$B243,cbal!$D$280:$D$333)+1)</f>
        <v>0</v>
      </c>
      <c r="I243" s="1191">
        <f>INDEX($K243:$R243,SUMIF(cbal!I$280:I$333,$B243,cbal!$D$280:$D$333)+1)</f>
        <v>0</v>
      </c>
      <c r="J243" s="21"/>
      <c r="K243" s="21">
        <v>0</v>
      </c>
      <c r="L243" s="149">
        <v>140</v>
      </c>
      <c r="M243" s="149">
        <v>105</v>
      </c>
      <c r="N243" s="149">
        <v>70</v>
      </c>
      <c r="O243" s="149">
        <v>35</v>
      </c>
      <c r="P243" s="21"/>
      <c r="Q243" s="92">
        <v>0.7</v>
      </c>
      <c r="R243" s="1379"/>
      <c r="S243" s="2622"/>
    </row>
    <row r="244" spans="2:19">
      <c r="B244" s="1574" t="s">
        <v>4069</v>
      </c>
      <c r="C244" s="1012">
        <v>56.3</v>
      </c>
      <c r="D244" s="21" t="str">
        <f>VLOOKUP($C244,param!$A$4:$B$270,2)</f>
        <v>NCB Innovation Vetera</v>
      </c>
      <c r="E244" s="1191">
        <f>(E242&lt;&gt;0)*INDEX($K244:$R244,SUMIF(cbal!E$280:E$333,$B244,cbal!$D$280:$D$333)+1)</f>
        <v>0</v>
      </c>
      <c r="F244" s="1191">
        <f>(F242&lt;&gt;0)*INDEX($K244:$R244,SUMIF(cbal!F$280:F$333,$B244,cbal!$D$280:$D$333)+1)</f>
        <v>0</v>
      </c>
      <c r="G244" s="1191">
        <f>(G242&lt;&gt;0)*INDEX($K244:$R244,SUMIF(cbal!G$280:G$333,$B244,cbal!$D$280:$D$333)+1)</f>
        <v>0</v>
      </c>
      <c r="H244" s="1191">
        <f>(H242&lt;&gt;0)*INDEX($K244:$R244,SUMIF(cbal!H$280:H$333,$B244,cbal!$D$280:$D$333)+1)</f>
        <v>0</v>
      </c>
      <c r="I244" s="1191">
        <f>(I242&lt;&gt;0)*INDEX($K244:$R244,SUMIF(cbal!I$280:I$333,$B244,cbal!$D$280:$D$333)+1)</f>
        <v>0</v>
      </c>
      <c r="J244" s="21"/>
      <c r="K244" s="21">
        <v>0</v>
      </c>
      <c r="L244" s="149">
        <v>6</v>
      </c>
      <c r="M244" s="149">
        <v>6</v>
      </c>
      <c r="N244" s="149">
        <v>6</v>
      </c>
      <c r="O244" s="149">
        <v>6</v>
      </c>
      <c r="P244" s="21"/>
      <c r="Q244" s="92">
        <v>0.3</v>
      </c>
      <c r="R244" s="1379"/>
      <c r="S244" s="2622"/>
    </row>
    <row r="245" spans="2:19">
      <c r="B245" s="1598" t="s">
        <v>4069</v>
      </c>
      <c r="C245" s="1014">
        <v>56.4</v>
      </c>
      <c r="D245" s="94" t="str">
        <f>VLOOKUP($C245,param!$A$4:$B$270,2)</f>
        <v>NCB Innovation Escendia</v>
      </c>
      <c r="E245" s="1192">
        <f>(E243&lt;&gt;0)*INDEX($K245:$R245,SUMIF(cbal!E$280:E$333,$B245,cbal!$D$280:$D$333)+1)</f>
        <v>0</v>
      </c>
      <c r="F245" s="1192">
        <f>(F243&lt;&gt;0)*INDEX($K245:$R245,SUMIF(cbal!F$280:F$333,$B245,cbal!$D$280:$D$333)+1)</f>
        <v>0</v>
      </c>
      <c r="G245" s="1192">
        <f>(G243&lt;&gt;0)*INDEX($K245:$R245,SUMIF(cbal!G$280:G$333,$B245,cbal!$D$280:$D$333)+1)</f>
        <v>0</v>
      </c>
      <c r="H245" s="1192">
        <f>(H243&lt;&gt;0)*INDEX($K245:$R245,SUMIF(cbal!H$280:H$333,$B245,cbal!$D$280:$D$333)+1)</f>
        <v>0</v>
      </c>
      <c r="I245" s="1192">
        <f>(I243&lt;&gt;0)*INDEX($K245:$R245,SUMIF(cbal!I$280:I$333,$B245,cbal!$D$280:$D$333)+1)</f>
        <v>0</v>
      </c>
      <c r="J245" s="94"/>
      <c r="K245" s="94">
        <v>0</v>
      </c>
      <c r="L245" s="962">
        <v>10</v>
      </c>
      <c r="M245" s="962">
        <v>10</v>
      </c>
      <c r="N245" s="962">
        <v>10</v>
      </c>
      <c r="O245" s="962">
        <v>10</v>
      </c>
      <c r="P245" s="94"/>
      <c r="Q245" s="1048">
        <v>0.7</v>
      </c>
      <c r="R245" s="1381"/>
      <c r="S245" s="2622"/>
    </row>
    <row r="246" spans="2:19" ht="11.25" customHeight="1">
      <c r="B246" s="132"/>
      <c r="C246" s="1012"/>
      <c r="D246" s="21"/>
      <c r="E246" s="1191"/>
      <c r="F246" s="1191"/>
      <c r="G246" s="1191"/>
      <c r="H246" s="1191"/>
      <c r="I246" s="1191"/>
      <c r="J246" s="21"/>
      <c r="K246" s="21"/>
      <c r="L246" s="149"/>
      <c r="M246" s="149"/>
      <c r="N246" s="149"/>
      <c r="O246" s="149"/>
      <c r="P246" s="21"/>
      <c r="Q246" s="92"/>
      <c r="R246" s="546"/>
      <c r="S246" s="2622"/>
    </row>
    <row r="247" spans="2:19" ht="11.25" customHeight="1">
      <c r="B247" s="1033" t="s">
        <v>657</v>
      </c>
      <c r="C247" s="1011" t="str">
        <f>INDEX(DataPage!$G$319:$G$333,MATCH(adj!$B247,DataPage!$I$319:$I$333,0))</f>
        <v>Bio-Degradable Packaging</v>
      </c>
      <c r="D247" s="89"/>
      <c r="E247" s="1193"/>
      <c r="F247" s="1193"/>
      <c r="G247" s="1193"/>
      <c r="H247" s="1193"/>
      <c r="I247" s="1193"/>
      <c r="J247" s="89"/>
      <c r="K247" s="89"/>
      <c r="L247" s="1174">
        <v>100</v>
      </c>
      <c r="M247" s="1174">
        <v>175</v>
      </c>
      <c r="N247" s="1174">
        <v>145</v>
      </c>
      <c r="O247" s="1174">
        <v>70</v>
      </c>
      <c r="P247" s="89"/>
      <c r="Q247" s="1196"/>
      <c r="R247" s="1382" t="s">
        <v>845</v>
      </c>
      <c r="S247" s="2622"/>
    </row>
    <row r="248" spans="2:19">
      <c r="B248" s="132" t="s">
        <v>657</v>
      </c>
      <c r="C248" s="1012">
        <v>56.3</v>
      </c>
      <c r="D248" s="21" t="str">
        <f>VLOOKUP($C248,param!$A$4:$B$270,2)</f>
        <v>NCB Innovation Vetera</v>
      </c>
      <c r="E248" s="1191">
        <f>INDEX($K248:$R248,SUMIF(cbal!E$280:E$333,$B248,cbal!$D$280:$D$333)+1)</f>
        <v>0</v>
      </c>
      <c r="F248" s="1191">
        <f>INDEX($K248:$R248,SUMIF(cbal!F$280:F$333,$B248,cbal!$D$280:$D$333)+1)</f>
        <v>0</v>
      </c>
      <c r="G248" s="1191">
        <f>INDEX($K248:$R248,SUMIF(cbal!G$280:G$333,$B248,cbal!$D$280:$D$333)+1)</f>
        <v>0</v>
      </c>
      <c r="H248" s="1191">
        <f>INDEX($K248:$R248,SUMIF(cbal!H$280:H$333,$B248,cbal!$D$280:$D$333)+1)</f>
        <v>0</v>
      </c>
      <c r="I248" s="1191">
        <f>INDEX($K248:$R248,SUMIF(cbal!I$280:I$333,$B248,cbal!$D$280:$D$333)+1)</f>
        <v>0</v>
      </c>
      <c r="J248" s="21"/>
      <c r="K248" s="21">
        <v>0</v>
      </c>
      <c r="L248" s="149">
        <f>L247*$Q248</f>
        <v>65</v>
      </c>
      <c r="M248" s="149">
        <f>M247*$Q248</f>
        <v>113.75</v>
      </c>
      <c r="N248" s="149">
        <f>N247*$Q248</f>
        <v>94.25</v>
      </c>
      <c r="O248" s="149">
        <f>O247*$Q248</f>
        <v>45.5</v>
      </c>
      <c r="P248" s="21"/>
      <c r="Q248" s="92">
        <v>0.65</v>
      </c>
      <c r="R248" s="1379"/>
      <c r="S248" s="2622"/>
    </row>
    <row r="249" spans="2:19">
      <c r="B249" s="132" t="s">
        <v>657</v>
      </c>
      <c r="C249" s="1012">
        <v>56.4</v>
      </c>
      <c r="D249" s="21" t="str">
        <f>VLOOKUP($C249,param!$A$4:$B$270,2)</f>
        <v>NCB Innovation Escendia</v>
      </c>
      <c r="E249" s="1191">
        <f>INDEX($K249:$R249,SUMIF(cbal!E$280:E$333,$B249,cbal!$D$280:$D$333)+1)</f>
        <v>0</v>
      </c>
      <c r="F249" s="1191">
        <f>INDEX($K249:$R249,SUMIF(cbal!F$280:F$333,$B249,cbal!$D$280:$D$333)+1)</f>
        <v>0</v>
      </c>
      <c r="G249" s="1191">
        <f>INDEX($K249:$R249,SUMIF(cbal!G$280:G$333,$B249,cbal!$D$280:$D$333)+1)</f>
        <v>0</v>
      </c>
      <c r="H249" s="1191">
        <f>INDEX($K249:$R249,SUMIF(cbal!H$280:H$333,$B249,cbal!$D$280:$D$333)+1)</f>
        <v>0</v>
      </c>
      <c r="I249" s="1191">
        <f>INDEX($K249:$R249,SUMIF(cbal!I$280:I$333,$B249,cbal!$D$280:$D$333)+1)</f>
        <v>0</v>
      </c>
      <c r="J249" s="21"/>
      <c r="K249" s="21">
        <v>0</v>
      </c>
      <c r="L249" s="149">
        <f>L247*$Q249</f>
        <v>35</v>
      </c>
      <c r="M249" s="149">
        <f>M247*$Q249</f>
        <v>61.249999999999993</v>
      </c>
      <c r="N249" s="149">
        <f>N247*$Q249</f>
        <v>50.75</v>
      </c>
      <c r="O249" s="149">
        <f>O247*$Q249</f>
        <v>24.5</v>
      </c>
      <c r="P249" s="21"/>
      <c r="Q249" s="92">
        <v>0.35</v>
      </c>
      <c r="R249" s="1379"/>
      <c r="S249" s="2622"/>
    </row>
    <row r="250" spans="2:19" ht="3.75" customHeight="1">
      <c r="B250" s="132"/>
      <c r="C250" s="1012"/>
      <c r="D250" s="21"/>
      <c r="E250" s="1191"/>
      <c r="F250" s="1191"/>
      <c r="G250" s="1191"/>
      <c r="H250" s="1191"/>
      <c r="I250" s="1191"/>
      <c r="J250" s="21"/>
      <c r="K250" s="21"/>
      <c r="L250" s="149"/>
      <c r="M250" s="149"/>
      <c r="N250" s="149"/>
      <c r="O250" s="149"/>
      <c r="P250" s="21"/>
      <c r="Q250" s="92"/>
      <c r="R250" s="1379"/>
      <c r="S250" s="2622"/>
    </row>
    <row r="251" spans="2:19">
      <c r="B251" s="132" t="s">
        <v>657</v>
      </c>
      <c r="C251" s="1012">
        <v>45</v>
      </c>
      <c r="D251" s="21" t="str">
        <f>VLOOKUP($C251,param!$A$4:$B$270,2)</f>
        <v>NCB Material Cost Per Unit</v>
      </c>
      <c r="E251" s="430">
        <f>COUNTIF(cbal!E$280:E$333,$B251)*$K251*$L251^(1-COUNTIF(cbal!E$280:E$333,$B251))</f>
        <v>0</v>
      </c>
      <c r="F251" s="430">
        <f>COUNTIF(cbal!F$280:F$333,$B251)*$K251*$L251^(1-COUNTIF(cbal!F$280:F$333,$B251))</f>
        <v>0</v>
      </c>
      <c r="G251" s="430">
        <f>COUNTIF(cbal!G$280:G$333,$B251)*$K251*$L251^(1-COUNTIF(cbal!G$280:G$333,$B251))</f>
        <v>0</v>
      </c>
      <c r="H251" s="430">
        <f>COUNTIF(cbal!H$280:H$333,$B251)*$K251*$L251^(1-COUNTIF(cbal!H$280:H$333,$B251))</f>
        <v>0</v>
      </c>
      <c r="I251" s="430">
        <f>COUNTIF(cbal!I$280:I$333,$B251)*$K251*$L251^(1-COUNTIF(cbal!I$280:I$333,$B251))</f>
        <v>0</v>
      </c>
      <c r="K251" s="442">
        <v>0.01</v>
      </c>
      <c r="L251">
        <v>1</v>
      </c>
      <c r="M251" s="149"/>
      <c r="N251" s="149"/>
      <c r="O251" s="149"/>
      <c r="P251" s="21"/>
      <c r="Q251" s="92"/>
      <c r="R251" s="1379"/>
      <c r="S251" s="2622"/>
    </row>
    <row r="252" spans="2:19">
      <c r="B252" s="132" t="s">
        <v>657</v>
      </c>
      <c r="C252" s="1012">
        <v>191</v>
      </c>
      <c r="D252" s="21" t="str">
        <f>VLOOKUP($C252,param!$A$4:$B$270,2)</f>
        <v>Energy Usage Performance</v>
      </c>
      <c r="E252" s="430">
        <f>COUNTIF(cbal!E$280:E$333,$B252)*$K252*$L252^(1-COUNTIF(cbal!E$280:E$333,$B252))</f>
        <v>0</v>
      </c>
      <c r="F252" s="430">
        <f>COUNTIF(cbal!F$280:F$333,$B252)*$K252*$L252^(1-COUNTIF(cbal!F$280:F$333,$B252))</f>
        <v>0</v>
      </c>
      <c r="G252" s="430">
        <f>COUNTIF(cbal!G$280:G$333,$B252)*$K252*$L252^(1-COUNTIF(cbal!G$280:G$333,$B252))</f>
        <v>0</v>
      </c>
      <c r="H252" s="430">
        <f>COUNTIF(cbal!H$280:H$333,$B252)*$K252*$L252^(1-COUNTIF(cbal!H$280:H$333,$B252))</f>
        <v>0</v>
      </c>
      <c r="I252" s="430">
        <f>COUNTIF(cbal!I$280:I$333,$B252)*$K252*$L252^(1-COUNTIF(cbal!I$280:I$333,$B252))</f>
        <v>0</v>
      </c>
      <c r="K252" s="442">
        <v>-0.02</v>
      </c>
      <c r="L252">
        <v>1</v>
      </c>
      <c r="M252" s="149"/>
      <c r="N252" s="149"/>
      <c r="O252" s="149"/>
      <c r="P252" s="21"/>
      <c r="Q252" s="92"/>
      <c r="R252" s="1379"/>
      <c r="S252" s="2622"/>
    </row>
    <row r="253" spans="2:19">
      <c r="B253" s="132" t="s">
        <v>657</v>
      </c>
      <c r="C253" s="1012">
        <v>192</v>
      </c>
      <c r="D253" s="21" t="str">
        <f>VLOOKUP($C253,param!$A$4:$B$270,2)</f>
        <v>Waste Production Performance</v>
      </c>
      <c r="E253" s="430">
        <f>COUNTIF(cbal!E$280:E$333,$B253)*$K253*$L253^(1-COUNTIF(cbal!E$280:E$333,$B253))</f>
        <v>0</v>
      </c>
      <c r="F253" s="430">
        <f>COUNTIF(cbal!F$280:F$333,$B253)*$K253*$L253^(1-COUNTIF(cbal!F$280:F$333,$B253))</f>
        <v>0</v>
      </c>
      <c r="G253" s="430">
        <f>COUNTIF(cbal!G$280:G$333,$B253)*$K253*$L253^(1-COUNTIF(cbal!G$280:G$333,$B253))</f>
        <v>0</v>
      </c>
      <c r="H253" s="430">
        <f>COUNTIF(cbal!H$280:H$333,$B253)*$K253*$L253^(1-COUNTIF(cbal!H$280:H$333,$B253))</f>
        <v>0</v>
      </c>
      <c r="I253" s="430">
        <f>COUNTIF(cbal!I$280:I$333,$B253)*$K253*$L253^(1-COUNTIF(cbal!I$280:I$333,$B253))</f>
        <v>0</v>
      </c>
      <c r="K253" s="442">
        <v>0.05</v>
      </c>
      <c r="L253">
        <v>1</v>
      </c>
      <c r="M253" s="149"/>
      <c r="N253" s="149"/>
      <c r="O253" s="149"/>
      <c r="P253" s="21"/>
      <c r="Q253" s="92"/>
      <c r="R253" s="1379"/>
      <c r="S253" s="2622"/>
    </row>
    <row r="254" spans="2:19">
      <c r="B254" s="132"/>
      <c r="C254" s="1012"/>
      <c r="D254" s="21"/>
      <c r="E254" s="430"/>
      <c r="F254" s="430"/>
      <c r="G254" s="430"/>
      <c r="H254" s="430"/>
      <c r="I254" s="430"/>
      <c r="K254" s="442"/>
      <c r="M254" s="149"/>
      <c r="N254" s="149"/>
      <c r="O254" s="149"/>
      <c r="P254" s="21"/>
      <c r="Q254" s="92"/>
      <c r="R254" s="1379"/>
      <c r="S254" s="2622"/>
    </row>
    <row r="255" spans="2:19" ht="12.75">
      <c r="B255" s="132" t="s">
        <v>658</v>
      </c>
      <c r="C255" s="1013" t="str">
        <f>INDEX(DataPage!$G$319:$G$333,MATCH(adj!$B255,DataPage!$I$319:$I$333,0))</f>
        <v>Muscle Recovery Sports Drink</v>
      </c>
      <c r="D255" s="21"/>
      <c r="E255" s="1191"/>
      <c r="F255" s="1191"/>
      <c r="G255" s="1191"/>
      <c r="H255" s="1191"/>
      <c r="I255" s="1191"/>
      <c r="J255" s="21"/>
      <c r="K255" s="21"/>
      <c r="L255" s="452">
        <v>150</v>
      </c>
      <c r="M255" s="452">
        <v>200</v>
      </c>
      <c r="N255" s="452">
        <v>160</v>
      </c>
      <c r="O255" s="452">
        <v>70</v>
      </c>
      <c r="P255" s="21"/>
      <c r="Q255" s="92"/>
      <c r="R255" s="1380" t="s">
        <v>4095</v>
      </c>
      <c r="S255" s="2622"/>
    </row>
    <row r="256" spans="2:19">
      <c r="B256" s="132" t="s">
        <v>658</v>
      </c>
      <c r="C256" s="1012">
        <v>56.3</v>
      </c>
      <c r="D256" s="21" t="str">
        <f>VLOOKUP($C256,param!$A$4:$B$270,2)</f>
        <v>NCB Innovation Vetera</v>
      </c>
      <c r="E256" s="1191">
        <f>INDEX($K256:$R256,SUMIF(cbal!E$280:E$333,$B256,cbal!$D$280:$D$333)+1)</f>
        <v>0</v>
      </c>
      <c r="F256" s="1191">
        <f>INDEX($K256:$R256,SUMIF(cbal!F$280:F$333,$B256,cbal!$D$280:$D$333)+1)</f>
        <v>0</v>
      </c>
      <c r="G256" s="1191">
        <f>INDEX($K256:$R256,SUMIF(cbal!G$280:G$333,$B256,cbal!$D$280:$D$333)+1)</f>
        <v>0</v>
      </c>
      <c r="H256" s="1191">
        <f>INDEX($K256:$R256,SUMIF(cbal!H$280:H$333,$B256,cbal!$D$280:$D$333)+1)</f>
        <v>0</v>
      </c>
      <c r="I256" s="1191">
        <f>INDEX($K256:$R256,SUMIF(cbal!I$280:I$333,$B256,cbal!$D$280:$D$333)+1)</f>
        <v>0</v>
      </c>
      <c r="J256" s="21"/>
      <c r="K256" s="21">
        <v>0</v>
      </c>
      <c r="L256" s="149">
        <f>L255*$Q256</f>
        <v>105</v>
      </c>
      <c r="M256" s="149">
        <f>M255*$Q256</f>
        <v>140</v>
      </c>
      <c r="N256" s="149">
        <f>N255*$Q256</f>
        <v>112</v>
      </c>
      <c r="O256" s="149">
        <f>O255*$Q256</f>
        <v>49</v>
      </c>
      <c r="P256" s="21"/>
      <c r="Q256" s="92">
        <v>0.7</v>
      </c>
      <c r="R256" s="1379"/>
      <c r="S256" s="2622"/>
    </row>
    <row r="257" spans="2:19">
      <c r="B257" s="132" t="s">
        <v>658</v>
      </c>
      <c r="C257" s="1012">
        <v>56.4</v>
      </c>
      <c r="D257" s="21" t="str">
        <f>VLOOKUP($C257,param!$A$4:$B$270,2)</f>
        <v>NCB Innovation Escendia</v>
      </c>
      <c r="E257" s="1191">
        <f>INDEX($K257:$R257,SUMIF(cbal!E$280:E$333,$B257,cbal!$D$280:$D$333)+1)</f>
        <v>0</v>
      </c>
      <c r="F257" s="1191">
        <f>INDEX($K257:$R257,SUMIF(cbal!F$280:F$333,$B257,cbal!$D$280:$D$333)+1)</f>
        <v>0</v>
      </c>
      <c r="G257" s="1191">
        <f>INDEX($K257:$R257,SUMIF(cbal!G$280:G$333,$B257,cbal!$D$280:$D$333)+1)</f>
        <v>0</v>
      </c>
      <c r="H257" s="1191">
        <f>INDEX($K257:$R257,SUMIF(cbal!H$280:H$333,$B257,cbal!$D$280:$D$333)+1)</f>
        <v>0</v>
      </c>
      <c r="I257" s="1191">
        <f>INDEX($K257:$R257,SUMIF(cbal!I$280:I$333,$B257,cbal!$D$280:$D$333)+1)</f>
        <v>0</v>
      </c>
      <c r="J257" s="21"/>
      <c r="K257" s="21">
        <v>0</v>
      </c>
      <c r="L257" s="149">
        <f>L255*$Q257</f>
        <v>45</v>
      </c>
      <c r="M257" s="149">
        <f>M255*$Q257</f>
        <v>60</v>
      </c>
      <c r="N257" s="149">
        <f>N255*$Q257</f>
        <v>48</v>
      </c>
      <c r="O257" s="149">
        <f>O255*$Q257</f>
        <v>21</v>
      </c>
      <c r="P257" s="21"/>
      <c r="Q257" s="92">
        <v>0.3</v>
      </c>
      <c r="R257" s="1379"/>
      <c r="S257" s="2622"/>
    </row>
    <row r="258" spans="2:19" ht="12" thickBot="1">
      <c r="B258" s="134"/>
      <c r="C258" s="135"/>
      <c r="D258" s="135"/>
      <c r="E258" s="1293"/>
      <c r="F258" s="1293"/>
      <c r="G258" s="1293"/>
      <c r="H258" s="1293"/>
      <c r="I258" s="1293"/>
      <c r="J258" s="135"/>
      <c r="K258" s="135"/>
      <c r="L258" s="135"/>
      <c r="M258" s="1199"/>
      <c r="N258" s="1199"/>
      <c r="O258" s="1199"/>
      <c r="P258" s="135"/>
      <c r="Q258" s="1197"/>
      <c r="R258" s="1383"/>
      <c r="S258" s="2623"/>
    </row>
    <row r="259" spans="2:19" ht="13.5" thickBot="1">
      <c r="C259" s="433"/>
      <c r="E259" s="848"/>
      <c r="F259" s="848"/>
      <c r="G259" s="848"/>
      <c r="H259" s="848"/>
      <c r="I259" s="848"/>
      <c r="L259" s="33"/>
      <c r="M259" s="33"/>
      <c r="N259" s="33"/>
      <c r="O259" s="33"/>
      <c r="Q259" s="15"/>
      <c r="R259" s="1066"/>
    </row>
    <row r="260" spans="2:19" ht="11.25" customHeight="1">
      <c r="B260" s="193" t="s">
        <v>851</v>
      </c>
      <c r="C260" s="1029" t="str">
        <f>INDEX(DataPage!$G$319:$G$333,MATCH(adj!$B260,DataPage!$I$319:$I$333,0))</f>
        <v>Animal Farm Crisps</v>
      </c>
      <c r="D260" s="194"/>
      <c r="E260" s="1194"/>
      <c r="F260" s="1194"/>
      <c r="G260" s="1194"/>
      <c r="H260" s="1194"/>
      <c r="I260" s="1194"/>
      <c r="J260" s="194"/>
      <c r="K260" s="194"/>
      <c r="L260" s="1198">
        <v>200</v>
      </c>
      <c r="M260" s="1198">
        <v>150</v>
      </c>
      <c r="N260" s="1198">
        <v>100</v>
      </c>
      <c r="O260" s="1198">
        <v>50</v>
      </c>
      <c r="P260" s="194"/>
      <c r="Q260" s="1195"/>
      <c r="R260" s="1378" t="s">
        <v>845</v>
      </c>
      <c r="S260" s="2621"/>
    </row>
    <row r="261" spans="2:19">
      <c r="B261" s="132" t="s">
        <v>851</v>
      </c>
      <c r="C261" s="1012">
        <v>76.2</v>
      </c>
      <c r="D261" s="21" t="str">
        <f>VLOOKUP($C261,param!$A$4:$B$270,2)</f>
        <v>F&amp;S Innovation Vetera</v>
      </c>
      <c r="E261" s="1191">
        <f>INDEX($K261:$P261,SUMIF(cbal!E$280:E$333,$B261,cbal!$D$280:$D$333)+1)</f>
        <v>0</v>
      </c>
      <c r="F261" s="1191">
        <f>INDEX($K261:$P261,SUMIF(cbal!F$280:F$333,$B261,cbal!$D$280:$D$333)+1)</f>
        <v>0</v>
      </c>
      <c r="G261" s="1191">
        <f>INDEX($K261:$P261,SUMIF(cbal!G$280:G$333,$B261,cbal!$D$280:$D$333)+1)</f>
        <v>0</v>
      </c>
      <c r="H261" s="1191">
        <f>INDEX($K261:$P261,SUMIF(cbal!H$280:H$333,$B261,cbal!$D$280:$D$333)+1)</f>
        <v>0</v>
      </c>
      <c r="I261" s="1191">
        <f>INDEX($K261:$P261,SUMIF(cbal!I$280:I$333,$B261,cbal!$D$280:$D$333)+1)</f>
        <v>0</v>
      </c>
      <c r="J261" s="21"/>
      <c r="K261" s="21">
        <v>0</v>
      </c>
      <c r="L261" s="149">
        <f>L260*$Q261</f>
        <v>70</v>
      </c>
      <c r="M261" s="149">
        <f>M260*$Q261</f>
        <v>52.5</v>
      </c>
      <c r="N261" s="149">
        <f>N260*$Q261</f>
        <v>35</v>
      </c>
      <c r="O261" s="149">
        <f>O260*$Q261</f>
        <v>17.5</v>
      </c>
      <c r="P261" s="21"/>
      <c r="Q261" s="92">
        <v>0.35</v>
      </c>
      <c r="R261" s="1379"/>
      <c r="S261" s="2622"/>
    </row>
    <row r="262" spans="2:19">
      <c r="B262" s="132" t="s">
        <v>851</v>
      </c>
      <c r="C262" s="1012">
        <v>76.3</v>
      </c>
      <c r="D262" s="21" t="str">
        <f>VLOOKUP($C262,param!$A$4:$B$270,2)</f>
        <v>F&amp;S Innovation Escendia</v>
      </c>
      <c r="E262" s="1191">
        <f>INDEX($K262:$P262,SUMIF(cbal!E$280:E$333,$B262,cbal!$D$280:$D$333)+1)</f>
        <v>0</v>
      </c>
      <c r="F262" s="1191">
        <f>INDEX($K262:$P262,SUMIF(cbal!F$280:F$333,$B262,cbal!$D$280:$D$333)+1)</f>
        <v>0</v>
      </c>
      <c r="G262" s="1191">
        <f>INDEX($K262:$P262,SUMIF(cbal!G$280:G$333,$B262,cbal!$D$280:$D$333)+1)</f>
        <v>0</v>
      </c>
      <c r="H262" s="1191">
        <f>INDEX($K262:$P262,SUMIF(cbal!H$280:H$333,$B262,cbal!$D$280:$D$333)+1)</f>
        <v>0</v>
      </c>
      <c r="I262" s="1191">
        <f>INDEX($K262:$P262,SUMIF(cbal!I$280:I$333,$B262,cbal!$D$280:$D$333)+1)</f>
        <v>0</v>
      </c>
      <c r="J262" s="21"/>
      <c r="K262" s="21">
        <v>0</v>
      </c>
      <c r="L262" s="149">
        <f>L260*$Q262</f>
        <v>130</v>
      </c>
      <c r="M262" s="149">
        <f>M260*$Q262</f>
        <v>97.5</v>
      </c>
      <c r="N262" s="149">
        <f>N260*$Q262</f>
        <v>65</v>
      </c>
      <c r="O262" s="149">
        <f>O260*$Q262</f>
        <v>32.5</v>
      </c>
      <c r="P262" s="21"/>
      <c r="Q262" s="92">
        <v>0.65</v>
      </c>
      <c r="R262" s="1379"/>
      <c r="S262" s="2622"/>
    </row>
    <row r="263" spans="2:19" ht="3.75" customHeight="1">
      <c r="B263" s="132"/>
      <c r="C263" s="1012"/>
      <c r="D263" s="21"/>
      <c r="E263" s="1191"/>
      <c r="F263" s="1191"/>
      <c r="G263" s="1191"/>
      <c r="H263" s="1191"/>
      <c r="I263" s="1191"/>
      <c r="J263" s="21"/>
      <c r="K263" s="21"/>
      <c r="L263" s="149"/>
      <c r="M263" s="149"/>
      <c r="N263" s="149"/>
      <c r="O263" s="149"/>
      <c r="P263" s="21"/>
      <c r="Q263" s="92"/>
      <c r="R263" s="1379"/>
      <c r="S263" s="2622"/>
    </row>
    <row r="264" spans="2:19">
      <c r="B264" s="132" t="s">
        <v>851</v>
      </c>
      <c r="C264" s="1012">
        <v>64</v>
      </c>
      <c r="D264" s="21" t="str">
        <f>VLOOKUP($C264,param!$A$4:$B$270,2)</f>
        <v>F&amp;S Material Cost Per Unit</v>
      </c>
      <c r="E264" s="1259">
        <f>COUNTIF(cbal!E$280:E$333,$B264)*$K264*$L264^(1-COUNTIF(cbal!E$280:E$333,$B264))</f>
        <v>0</v>
      </c>
      <c r="F264" s="1259">
        <f>COUNTIF(cbal!F$280:F$333,$B264)*$K264*$L264^(1-COUNTIF(cbal!F$280:F$333,$B264))</f>
        <v>0</v>
      </c>
      <c r="G264" s="1259">
        <f>COUNTIF(cbal!G$280:G$333,$B264)*$K264*$L264^(1-COUNTIF(cbal!G$280:G$333,$B264))</f>
        <v>0</v>
      </c>
      <c r="H264" s="1259">
        <f>COUNTIF(cbal!H$280:H$333,$B264)*$K264*$L264^(1-COUNTIF(cbal!H$280:H$333,$B264))</f>
        <v>0</v>
      </c>
      <c r="I264" s="1259">
        <f>COUNTIF(cbal!I$280:I$333,$B264)*$K264*$L264^(1-COUNTIF(cbal!I$280:I$333,$B264))</f>
        <v>0</v>
      </c>
      <c r="J264" s="21"/>
      <c r="K264" s="1260">
        <v>0.01</v>
      </c>
      <c r="L264" s="21">
        <v>1</v>
      </c>
      <c r="M264" s="149"/>
      <c r="N264" s="149"/>
      <c r="O264" s="149"/>
      <c r="P264" s="21"/>
      <c r="Q264" s="92"/>
      <c r="R264" s="1379"/>
      <c r="S264" s="2622"/>
    </row>
    <row r="265" spans="2:19">
      <c r="B265" s="132"/>
      <c r="C265" s="1012"/>
      <c r="D265" s="21"/>
      <c r="E265" s="1191"/>
      <c r="F265" s="1191"/>
      <c r="G265" s="1191"/>
      <c r="H265" s="1191"/>
      <c r="I265" s="1191"/>
      <c r="J265" s="21"/>
      <c r="K265" s="21"/>
      <c r="L265" s="149"/>
      <c r="M265" s="149"/>
      <c r="N265" s="149"/>
      <c r="O265" s="149"/>
      <c r="P265" s="21"/>
      <c r="Q265" s="92"/>
      <c r="R265" s="1379"/>
      <c r="S265" s="2622"/>
    </row>
    <row r="266" spans="2:19" ht="12.75">
      <c r="B266" s="132" t="s">
        <v>852</v>
      </c>
      <c r="C266" s="1013" t="str">
        <f>INDEX(DataPage!$G$319:$G$333,MATCH(adj!$B266,DataPage!$I$319:$I$333,0))</f>
        <v>Oats In A Cup</v>
      </c>
      <c r="D266" s="21"/>
      <c r="E266" s="1191"/>
      <c r="F266" s="1191"/>
      <c r="G266" s="1191"/>
      <c r="H266" s="1191"/>
      <c r="I266" s="1191"/>
      <c r="J266" s="21"/>
      <c r="K266" s="21"/>
      <c r="L266" s="452">
        <v>200</v>
      </c>
      <c r="M266" s="452">
        <v>150</v>
      </c>
      <c r="N266" s="452">
        <v>100</v>
      </c>
      <c r="O266" s="452">
        <v>50</v>
      </c>
      <c r="P266" s="21"/>
      <c r="Q266" s="92"/>
      <c r="R266" s="1380" t="s">
        <v>845</v>
      </c>
      <c r="S266" s="2622"/>
    </row>
    <row r="267" spans="2:19">
      <c r="B267" s="132" t="s">
        <v>852</v>
      </c>
      <c r="C267" s="1012">
        <v>76.2</v>
      </c>
      <c r="D267" s="21" t="str">
        <f>VLOOKUP($C267,param!$A$4:$B$270,2)</f>
        <v>F&amp;S Innovation Vetera</v>
      </c>
      <c r="E267" s="1191">
        <f>INDEX($K267:$P267,SUMIF(cbal!E$280:E$333,$B267,cbal!$D$280:$D$333)+1)</f>
        <v>0</v>
      </c>
      <c r="F267" s="1191">
        <f>INDEX($K267:$P267,SUMIF(cbal!F$280:F$333,$B267,cbal!$D$280:$D$333)+1)</f>
        <v>0</v>
      </c>
      <c r="G267" s="1191">
        <f>INDEX($K267:$P267,SUMIF(cbal!G$280:G$333,$B267,cbal!$D$280:$D$333)+1)</f>
        <v>0</v>
      </c>
      <c r="H267" s="1191">
        <f>INDEX($K267:$P267,SUMIF(cbal!H$280:H$333,$B267,cbal!$D$280:$D$333)+1)</f>
        <v>0</v>
      </c>
      <c r="I267" s="1191">
        <f>INDEX($K267:$P267,SUMIF(cbal!I$280:I$333,$B267,cbal!$D$280:$D$333)+1)</f>
        <v>0</v>
      </c>
      <c r="J267" s="21"/>
      <c r="K267" s="21">
        <v>0</v>
      </c>
      <c r="L267" s="149">
        <f>L266*$Q267</f>
        <v>110.00000000000001</v>
      </c>
      <c r="M267" s="149">
        <f>M266*$Q267</f>
        <v>82.5</v>
      </c>
      <c r="N267" s="149">
        <f>N266*$Q267</f>
        <v>55.000000000000007</v>
      </c>
      <c r="O267" s="149">
        <f>O266*$Q267</f>
        <v>27.500000000000004</v>
      </c>
      <c r="P267" s="21"/>
      <c r="Q267" s="92">
        <v>0.55000000000000004</v>
      </c>
      <c r="R267" s="1379"/>
      <c r="S267" s="2622"/>
    </row>
    <row r="268" spans="2:19">
      <c r="B268" s="1032" t="s">
        <v>852</v>
      </c>
      <c r="C268" s="1014">
        <v>76.3</v>
      </c>
      <c r="D268" s="94" t="str">
        <f>VLOOKUP($C268,param!$A$4:$B$270,2)</f>
        <v>F&amp;S Innovation Escendia</v>
      </c>
      <c r="E268" s="1192">
        <f>INDEX($K268:$P268,SUMIF(cbal!E$280:E$333,$B268,cbal!$D$280:$D$333)+1)</f>
        <v>0</v>
      </c>
      <c r="F268" s="1192">
        <f>INDEX($K268:$P268,SUMIF(cbal!F$280:F$333,$B268,cbal!$D$280:$D$333)+1)</f>
        <v>0</v>
      </c>
      <c r="G268" s="1192">
        <f>INDEX($K268:$P268,SUMIF(cbal!G$280:G$333,$B268,cbal!$D$280:$D$333)+1)</f>
        <v>0</v>
      </c>
      <c r="H268" s="1192">
        <f>INDEX($K268:$P268,SUMIF(cbal!H$280:H$333,$B268,cbal!$D$280:$D$333)+1)</f>
        <v>0</v>
      </c>
      <c r="I268" s="1192">
        <f>INDEX($K268:$P268,SUMIF(cbal!I$280:I$333,$B268,cbal!$D$280:$D$333)+1)</f>
        <v>0</v>
      </c>
      <c r="J268" s="94"/>
      <c r="K268" s="94">
        <v>0</v>
      </c>
      <c r="L268" s="962">
        <f>L266*$Q268</f>
        <v>90</v>
      </c>
      <c r="M268" s="962">
        <f>M266*$Q268</f>
        <v>67.5</v>
      </c>
      <c r="N268" s="962">
        <f>N266*$Q268</f>
        <v>45</v>
      </c>
      <c r="O268" s="962">
        <f>O266*$Q268</f>
        <v>22.5</v>
      </c>
      <c r="P268" s="94"/>
      <c r="Q268" s="1048">
        <v>0.45</v>
      </c>
      <c r="R268" s="1381"/>
      <c r="S268" s="2622"/>
    </row>
    <row r="269" spans="2:19" ht="11.25" customHeight="1">
      <c r="B269" s="132"/>
      <c r="C269" s="1012"/>
      <c r="D269" s="21"/>
      <c r="E269" s="1191"/>
      <c r="F269" s="1191"/>
      <c r="G269" s="1191"/>
      <c r="H269" s="1191"/>
      <c r="I269" s="1191"/>
      <c r="J269" s="21"/>
      <c r="K269" s="21"/>
      <c r="L269" s="149"/>
      <c r="M269" s="149"/>
      <c r="N269" s="149"/>
      <c r="O269" s="149"/>
      <c r="P269" s="21"/>
      <c r="Q269" s="92"/>
      <c r="R269" s="546"/>
      <c r="S269" s="2622"/>
    </row>
    <row r="270" spans="2:19" ht="11.25" customHeight="1">
      <c r="B270" s="1033" t="s">
        <v>853</v>
      </c>
      <c r="C270" s="1011" t="str">
        <f>INDEX(DataPage!$G$319:$G$333,MATCH(adj!$B270,DataPage!$I$319:$I$333,0))</f>
        <v>Carbonated Candy</v>
      </c>
      <c r="D270" s="89"/>
      <c r="E270" s="1193"/>
      <c r="F270" s="1193"/>
      <c r="G270" s="1193"/>
      <c r="H270" s="1193"/>
      <c r="I270" s="1193"/>
      <c r="J270" s="89"/>
      <c r="K270" s="89"/>
      <c r="L270" s="1174">
        <v>150</v>
      </c>
      <c r="M270" s="1174">
        <v>200</v>
      </c>
      <c r="N270" s="1174">
        <v>160</v>
      </c>
      <c r="O270" s="1174">
        <v>70</v>
      </c>
      <c r="P270" s="89"/>
      <c r="Q270" s="1196"/>
      <c r="R270" s="1382" t="s">
        <v>4095</v>
      </c>
      <c r="S270" s="2622"/>
    </row>
    <row r="271" spans="2:19">
      <c r="B271" s="132" t="s">
        <v>853</v>
      </c>
      <c r="C271" s="1012">
        <v>76.2</v>
      </c>
      <c r="D271" s="21" t="str">
        <f>VLOOKUP($C271,param!$A$4:$B$270,2)</f>
        <v>F&amp;S Innovation Vetera</v>
      </c>
      <c r="E271" s="1191">
        <f>INDEX($K271:$P271,SUMIF(cbal!E$280:E$333,$B271,cbal!$D$280:$D$333)+1)</f>
        <v>0</v>
      </c>
      <c r="F271" s="1191">
        <f>INDEX($K271:$P271,SUMIF(cbal!F$280:F$333,$B271,cbal!$D$280:$D$333)+1)</f>
        <v>0</v>
      </c>
      <c r="G271" s="1191">
        <f>INDEX($K271:$P271,SUMIF(cbal!G$280:G$333,$B271,cbal!$D$280:$D$333)+1)</f>
        <v>0</v>
      </c>
      <c r="H271" s="1191">
        <f>INDEX($K271:$P271,SUMIF(cbal!H$280:H$333,$B271,cbal!$D$280:$D$333)+1)</f>
        <v>0</v>
      </c>
      <c r="I271" s="1191">
        <f>INDEX($K271:$P271,SUMIF(cbal!I$280:I$333,$B271,cbal!$D$280:$D$333)+1)</f>
        <v>0</v>
      </c>
      <c r="J271" s="21"/>
      <c r="K271" s="21">
        <v>0</v>
      </c>
      <c r="L271" s="149">
        <f>L270*$Q271</f>
        <v>97.5</v>
      </c>
      <c r="M271" s="149">
        <f>M270*$Q271</f>
        <v>130</v>
      </c>
      <c r="N271" s="149">
        <f>N270*$Q271</f>
        <v>104</v>
      </c>
      <c r="O271" s="149">
        <f>O270*$Q271</f>
        <v>45.5</v>
      </c>
      <c r="P271" s="21"/>
      <c r="Q271" s="92">
        <v>0.65</v>
      </c>
      <c r="R271" s="1379"/>
      <c r="S271" s="2622"/>
    </row>
    <row r="272" spans="2:19">
      <c r="B272" s="132" t="s">
        <v>853</v>
      </c>
      <c r="C272" s="1012">
        <v>76.3</v>
      </c>
      <c r="D272" s="21" t="str">
        <f>VLOOKUP($C272,param!$A$4:$B$270,2)</f>
        <v>F&amp;S Innovation Escendia</v>
      </c>
      <c r="E272" s="1191">
        <f>INDEX($K272:$P272,SUMIF(cbal!E$280:E$333,$B272,cbal!$D$280:$D$333)+1)</f>
        <v>0</v>
      </c>
      <c r="F272" s="1191">
        <f>INDEX($K272:$P272,SUMIF(cbal!F$280:F$333,$B272,cbal!$D$280:$D$333)+1)</f>
        <v>0</v>
      </c>
      <c r="G272" s="1191">
        <f>INDEX($K272:$P272,SUMIF(cbal!G$280:G$333,$B272,cbal!$D$280:$D$333)+1)</f>
        <v>0</v>
      </c>
      <c r="H272" s="1191">
        <f>INDEX($K272:$P272,SUMIF(cbal!H$280:H$333,$B272,cbal!$D$280:$D$333)+1)</f>
        <v>0</v>
      </c>
      <c r="I272" s="1191">
        <f>INDEX($K272:$P272,SUMIF(cbal!I$280:I$333,$B272,cbal!$D$280:$D$333)+1)</f>
        <v>0</v>
      </c>
      <c r="J272" s="21"/>
      <c r="K272" s="21">
        <v>0</v>
      </c>
      <c r="L272" s="149">
        <f>L270*$Q272</f>
        <v>52.5</v>
      </c>
      <c r="M272" s="149">
        <f>M270*$Q272</f>
        <v>70</v>
      </c>
      <c r="N272" s="149">
        <f>N270*$Q272</f>
        <v>56</v>
      </c>
      <c r="O272" s="149">
        <f>O270*$Q272</f>
        <v>24.5</v>
      </c>
      <c r="P272" s="21"/>
      <c r="Q272" s="92">
        <v>0.35</v>
      </c>
      <c r="R272" s="1379"/>
      <c r="S272" s="2622"/>
    </row>
    <row r="273" spans="2:19">
      <c r="B273" s="132"/>
      <c r="C273" s="1012"/>
      <c r="D273" s="21"/>
      <c r="E273" s="1191"/>
      <c r="F273" s="1191"/>
      <c r="G273" s="1191"/>
      <c r="H273" s="1191"/>
      <c r="I273" s="1191"/>
      <c r="J273" s="21"/>
      <c r="K273" s="21"/>
      <c r="L273" s="149"/>
      <c r="M273" s="149"/>
      <c r="N273" s="149"/>
      <c r="O273" s="149"/>
      <c r="P273" s="21"/>
      <c r="Q273" s="92"/>
      <c r="R273" s="1379"/>
      <c r="S273" s="2622"/>
    </row>
    <row r="274" spans="2:19" ht="12.75">
      <c r="B274" s="132" t="s">
        <v>854</v>
      </c>
      <c r="C274" s="1013" t="str">
        <f>INDEX(DataPage!$G$319:$G$333,MATCH(adj!$B274,DataPage!$I$319:$I$333,0))</f>
        <v>Veggie-Bites</v>
      </c>
      <c r="D274" s="21"/>
      <c r="E274" s="1191"/>
      <c r="F274" s="1191"/>
      <c r="G274" s="1191"/>
      <c r="H274" s="1191"/>
      <c r="I274" s="1191"/>
      <c r="J274" s="21"/>
      <c r="K274" s="21"/>
      <c r="L274" s="452">
        <v>150</v>
      </c>
      <c r="M274" s="452">
        <v>200</v>
      </c>
      <c r="N274" s="452">
        <v>160</v>
      </c>
      <c r="O274" s="452">
        <v>70</v>
      </c>
      <c r="P274" s="21"/>
      <c r="Q274" s="92"/>
      <c r="R274" s="1380" t="s">
        <v>4095</v>
      </c>
      <c r="S274" s="2622"/>
    </row>
    <row r="275" spans="2:19">
      <c r="B275" s="132" t="s">
        <v>854</v>
      </c>
      <c r="C275" s="1012">
        <v>76.2</v>
      </c>
      <c r="D275" s="21" t="str">
        <f>VLOOKUP($C275,param!$A$4:$B$270,2)</f>
        <v>F&amp;S Innovation Vetera</v>
      </c>
      <c r="E275" s="1191">
        <f>INDEX($K275:$R275,SUMIF(cbal!E$280:E$333,$B275,cbal!$D$280:$D$333)+1)</f>
        <v>0</v>
      </c>
      <c r="F275" s="1191">
        <f>INDEX($K275:$R275,SUMIF(cbal!F$280:F$333,$B275,cbal!$D$280:$D$333)+1)</f>
        <v>0</v>
      </c>
      <c r="G275" s="1191">
        <f>INDEX($K275:$R275,SUMIF(cbal!G$280:G$333,$B275,cbal!$D$280:$D$333)+1)</f>
        <v>0</v>
      </c>
      <c r="H275" s="1191">
        <f>INDEX($K275:$R275,SUMIF(cbal!H$280:H$333,$B275,cbal!$D$280:$D$333)+1)</f>
        <v>0</v>
      </c>
      <c r="I275" s="1191">
        <f>INDEX($K275:$R275,SUMIF(cbal!I$280:I$333,$B275,cbal!$D$280:$D$333)+1)</f>
        <v>0</v>
      </c>
      <c r="J275" s="21"/>
      <c r="K275" s="21">
        <v>0</v>
      </c>
      <c r="L275" s="149">
        <f>L274*$Q275</f>
        <v>99</v>
      </c>
      <c r="M275" s="149">
        <f>M274*$Q275</f>
        <v>132</v>
      </c>
      <c r="N275" s="149">
        <f>N274*$Q275</f>
        <v>105.60000000000001</v>
      </c>
      <c r="O275" s="149">
        <f>O274*$Q275</f>
        <v>46.2</v>
      </c>
      <c r="P275" s="21"/>
      <c r="Q275" s="92">
        <v>0.66</v>
      </c>
      <c r="R275" s="1379"/>
      <c r="S275" s="2622"/>
    </row>
    <row r="276" spans="2:19">
      <c r="B276" s="1032" t="s">
        <v>854</v>
      </c>
      <c r="C276" s="1014">
        <v>76.3</v>
      </c>
      <c r="D276" s="94" t="str">
        <f>VLOOKUP($C276,param!$A$4:$B$270,2)</f>
        <v>F&amp;S Innovation Escendia</v>
      </c>
      <c r="E276" s="1192">
        <f>INDEX($K276:$R276,SUMIF(cbal!E$280:E$333,$B276,cbal!$D$280:$D$333)+1)</f>
        <v>0</v>
      </c>
      <c r="F276" s="1192">
        <f>INDEX($K276:$R276,SUMIF(cbal!F$280:F$333,$B276,cbal!$D$280:$D$333)+1)</f>
        <v>0</v>
      </c>
      <c r="G276" s="1192">
        <f>INDEX($K276:$R276,SUMIF(cbal!G$280:G$333,$B276,cbal!$D$280:$D$333)+1)</f>
        <v>0</v>
      </c>
      <c r="H276" s="1192">
        <f>INDEX($K276:$R276,SUMIF(cbal!H$280:H$333,$B276,cbal!$D$280:$D$333)+1)</f>
        <v>0</v>
      </c>
      <c r="I276" s="1192">
        <f>INDEX($K276:$R276,SUMIF(cbal!I$280:I$333,$B276,cbal!$D$280:$D$333)+1)</f>
        <v>0</v>
      </c>
      <c r="J276" s="94"/>
      <c r="K276" s="94">
        <v>0</v>
      </c>
      <c r="L276" s="962">
        <f>L274*$Q276</f>
        <v>49.5</v>
      </c>
      <c r="M276" s="962">
        <f>M274*$Q276</f>
        <v>66</v>
      </c>
      <c r="N276" s="962">
        <f>N274*$Q276</f>
        <v>52.800000000000004</v>
      </c>
      <c r="O276" s="962">
        <f>O274*$Q276</f>
        <v>23.1</v>
      </c>
      <c r="P276" s="94"/>
      <c r="Q276" s="1048">
        <v>0.33</v>
      </c>
      <c r="R276" s="1381"/>
      <c r="S276" s="2622"/>
    </row>
    <row r="277" spans="2:19" ht="12.75">
      <c r="B277" s="1033"/>
      <c r="C277" s="1012"/>
      <c r="D277" s="21"/>
      <c r="E277" s="1261"/>
      <c r="F277" s="1261"/>
      <c r="G277" s="1261"/>
      <c r="H277" s="1261"/>
      <c r="I277" s="1261"/>
      <c r="J277" s="21"/>
      <c r="K277" s="21"/>
      <c r="L277" s="21"/>
      <c r="M277" s="21"/>
      <c r="N277" s="21"/>
      <c r="O277" s="21"/>
      <c r="P277" s="21"/>
      <c r="Q277" s="21"/>
      <c r="R277" s="546"/>
      <c r="S277" s="2622"/>
    </row>
    <row r="278" spans="2:19" ht="11.25" customHeight="1">
      <c r="B278" s="1620" t="s">
        <v>3459</v>
      </c>
      <c r="C278" s="1011" t="str">
        <f>INDEX(DataPage!$G$319:$G$333,MATCH(adj!$B278,DataPage!$I$319:$I$333,0))</f>
        <v>Fake Baked Chips Acquisition</v>
      </c>
      <c r="D278" s="89"/>
      <c r="E278" s="1262"/>
      <c r="F278" s="1262"/>
      <c r="G278" s="1262"/>
      <c r="H278" s="1262"/>
      <c r="I278" s="1262"/>
      <c r="J278" s="89"/>
      <c r="K278" s="89"/>
      <c r="L278" s="61">
        <v>350</v>
      </c>
      <c r="M278" s="61">
        <v>450</v>
      </c>
      <c r="N278" s="61">
        <v>450</v>
      </c>
      <c r="O278" s="61">
        <v>300</v>
      </c>
      <c r="P278" s="61"/>
      <c r="Q278" s="61"/>
      <c r="R278" s="1382" t="s">
        <v>1155</v>
      </c>
      <c r="S278" s="2622"/>
    </row>
    <row r="279" spans="2:19" ht="11.25" customHeight="1">
      <c r="B279" s="1574" t="s">
        <v>3459</v>
      </c>
      <c r="C279" s="1012">
        <v>76.2</v>
      </c>
      <c r="D279" s="21" t="str">
        <f>VLOOKUP($C279,param!$A$4:$B$270,2)</f>
        <v>F&amp;S Innovation Vetera</v>
      </c>
      <c r="E279" s="1191">
        <f>INDEX($K279:$R279,SUMIF(cbal!E$280:E$333,$B279,cbal!$D$280:$D$333)+1)</f>
        <v>0</v>
      </c>
      <c r="F279" s="1191">
        <f>INDEX($K279:$R279,SUMIF(cbal!F$280:F$333,$B279,cbal!$D$280:$D$333)+1)</f>
        <v>0</v>
      </c>
      <c r="G279" s="1191">
        <f>INDEX($K279:$R279,SUMIF(cbal!G$280:G$333,$B279,cbal!$D$280:$D$333)+1)</f>
        <v>0</v>
      </c>
      <c r="H279" s="1191">
        <f>INDEX($K279:$R279,SUMIF(cbal!H$280:H$333,$B279,cbal!$D$280:$D$333)+1)</f>
        <v>0</v>
      </c>
      <c r="I279" s="1191">
        <f>INDEX($K279:$R279,SUMIF(cbal!I$280:I$333,$B279,cbal!$D$280:$D$333)+1)</f>
        <v>0</v>
      </c>
      <c r="J279" s="21"/>
      <c r="K279" s="21">
        <v>0</v>
      </c>
      <c r="L279" s="149">
        <f>L278*$Q279</f>
        <v>262.5</v>
      </c>
      <c r="M279" s="149">
        <f>M278*$Q279</f>
        <v>337.5</v>
      </c>
      <c r="N279" s="149">
        <f>N278*$Q279</f>
        <v>337.5</v>
      </c>
      <c r="O279" s="149">
        <f>O278*$Q279</f>
        <v>225</v>
      </c>
      <c r="P279" s="21"/>
      <c r="Q279" s="92">
        <v>0.75</v>
      </c>
      <c r="R279" s="1379"/>
      <c r="S279" s="2622"/>
    </row>
    <row r="280" spans="2:19">
      <c r="B280" s="1574" t="s">
        <v>3459</v>
      </c>
      <c r="C280" s="1012">
        <v>76.3</v>
      </c>
      <c r="D280" s="21" t="str">
        <f>VLOOKUP($C280,param!$A$4:$B$270,2)</f>
        <v>F&amp;S Innovation Escendia</v>
      </c>
      <c r="E280" s="1191">
        <f>INDEX($K280:$R280,SUMIF(cbal!E$280:E$333,$B280,cbal!$D$280:$D$333)+1)</f>
        <v>0</v>
      </c>
      <c r="F280" s="1191">
        <f>INDEX($K280:$R280,SUMIF(cbal!F$280:F$333,$B280,cbal!$D$280:$D$333)+1)</f>
        <v>0</v>
      </c>
      <c r="G280" s="1191">
        <f>INDEX($K280:$R280,SUMIF(cbal!G$280:G$333,$B280,cbal!$D$280:$D$333)+1)</f>
        <v>0</v>
      </c>
      <c r="H280" s="1191">
        <f>INDEX($K280:$R280,SUMIF(cbal!H$280:H$333,$B280,cbal!$D$280:$D$333)+1)</f>
        <v>0</v>
      </c>
      <c r="I280" s="1191">
        <f>INDEX($K280:$R280,SUMIF(cbal!I$280:I$333,$B280,cbal!$D$280:$D$333)+1)</f>
        <v>0</v>
      </c>
      <c r="J280" s="21"/>
      <c r="K280" s="21">
        <v>0</v>
      </c>
      <c r="L280" s="149">
        <f>L278*$Q280</f>
        <v>87.5</v>
      </c>
      <c r="M280" s="149">
        <f>M278*$Q280</f>
        <v>112.5</v>
      </c>
      <c r="N280" s="149">
        <f>N278*$Q280</f>
        <v>112.5</v>
      </c>
      <c r="O280" s="149">
        <f>O278*$Q280</f>
        <v>75</v>
      </c>
      <c r="P280" s="21"/>
      <c r="Q280" s="92">
        <v>0.25</v>
      </c>
      <c r="R280" s="1379"/>
      <c r="S280" s="2622"/>
    </row>
    <row r="281" spans="2:19" ht="3.75" customHeight="1">
      <c r="B281" s="132"/>
      <c r="C281" s="1012"/>
      <c r="D281" s="21"/>
      <c r="E281" s="1261"/>
      <c r="F281" s="1261"/>
      <c r="G281" s="1261"/>
      <c r="H281" s="1261"/>
      <c r="I281" s="1261"/>
      <c r="J281" s="21"/>
      <c r="K281" s="21"/>
      <c r="L281" s="21"/>
      <c r="M281" s="21"/>
      <c r="N281" s="21"/>
      <c r="O281" s="21"/>
      <c r="P281" s="21"/>
      <c r="Q281" s="21"/>
      <c r="R281" s="1379"/>
      <c r="S281" s="2622"/>
    </row>
    <row r="282" spans="2:19">
      <c r="B282" s="1574" t="s">
        <v>3459</v>
      </c>
      <c r="C282" s="1012">
        <v>74</v>
      </c>
      <c r="D282" s="21" t="str">
        <f>VLOOKUP($C282,param!$A$4:$B$270,2)</f>
        <v>F&amp;S Admin Costs</v>
      </c>
      <c r="E282" s="1259">
        <f>COUNTIF(cbal!E$280:E$333,$B282)*$K282*$L282^(1-COUNTIF(cbal!E$280:E$333,$B282))</f>
        <v>0</v>
      </c>
      <c r="F282" s="1259">
        <f>COUNTIF(cbal!F$280:F$333,$B282)*$K282*$L282^(1-COUNTIF(cbal!F$280:F$333,$B282))</f>
        <v>0</v>
      </c>
      <c r="G282" s="1259">
        <f>COUNTIF(cbal!G$280:G$333,$B282)*$K282*$L282^(1-COUNTIF(cbal!G$280:G$333,$B282))</f>
        <v>0</v>
      </c>
      <c r="H282" s="1259">
        <f>COUNTIF(cbal!H$280:H$333,$B282)*$K282*$L282^(1-COUNTIF(cbal!H$280:H$333,$B282))</f>
        <v>0</v>
      </c>
      <c r="I282" s="1259">
        <f>COUNTIF(cbal!I$280:I$333,$B282)*$K282*$L282^(1-COUNTIF(cbal!I$280:I$333,$B282))</f>
        <v>0</v>
      </c>
      <c r="J282" s="21"/>
      <c r="K282" s="1260">
        <v>0.03</v>
      </c>
      <c r="L282" s="21">
        <v>1</v>
      </c>
      <c r="M282" s="21"/>
      <c r="N282" s="21"/>
      <c r="O282" s="21"/>
      <c r="P282" s="21"/>
      <c r="Q282" s="21"/>
      <c r="R282" s="1379"/>
      <c r="S282" s="2622"/>
    </row>
    <row r="283" spans="2:19">
      <c r="B283" s="1574" t="s">
        <v>3459</v>
      </c>
      <c r="C283" s="1012"/>
      <c r="D283" s="21"/>
      <c r="E283" s="1259"/>
      <c r="F283" s="1259"/>
      <c r="G283" s="1259"/>
      <c r="H283" s="1259"/>
      <c r="I283" s="1259"/>
      <c r="J283" s="21"/>
      <c r="K283" s="1260"/>
      <c r="L283" s="21"/>
      <c r="M283" s="21"/>
      <c r="N283" s="21"/>
      <c r="O283" s="21"/>
      <c r="P283" s="21"/>
      <c r="Q283" s="21"/>
      <c r="R283" s="1379"/>
      <c r="S283" s="2622"/>
    </row>
    <row r="284" spans="2:19">
      <c r="B284" s="1574" t="s">
        <v>3459</v>
      </c>
      <c r="C284" s="1012"/>
      <c r="D284" s="21"/>
      <c r="E284" s="1261"/>
      <c r="F284" s="1261"/>
      <c r="G284" s="1261"/>
      <c r="H284" s="1261"/>
      <c r="I284" s="1261"/>
      <c r="J284" s="21"/>
      <c r="K284" s="21"/>
      <c r="L284" s="21"/>
      <c r="M284" s="21"/>
      <c r="N284" s="21"/>
      <c r="O284" s="21"/>
      <c r="P284" s="21"/>
      <c r="Q284" s="21"/>
      <c r="R284" s="1379"/>
      <c r="S284" s="2622"/>
    </row>
    <row r="285" spans="2:19" ht="12.75">
      <c r="B285" s="52" t="s">
        <v>1153</v>
      </c>
      <c r="C285" s="1292" t="str">
        <f>INDEX(DataPage!$G$319:$G$333,MATCH(adj!$B285,DataPage!$I$319:$I$333,0))</f>
        <v>Whole Grain Cookies</v>
      </c>
      <c r="D285" s="38"/>
      <c r="E285" s="1290"/>
      <c r="F285" s="1290"/>
      <c r="G285" s="1290"/>
      <c r="H285" s="1290"/>
      <c r="I285" s="1290"/>
      <c r="J285" s="62"/>
      <c r="K285" s="62"/>
      <c r="L285" s="452">
        <v>200</v>
      </c>
      <c r="M285" s="452">
        <v>220</v>
      </c>
      <c r="N285" s="452">
        <v>230</v>
      </c>
      <c r="O285" s="452">
        <v>240</v>
      </c>
      <c r="P285" s="62"/>
      <c r="Q285" s="1291"/>
      <c r="R285" s="1380" t="s">
        <v>845</v>
      </c>
      <c r="S285" s="2622"/>
    </row>
    <row r="286" spans="2:19">
      <c r="B286" s="132" t="s">
        <v>1153</v>
      </c>
      <c r="C286" s="1012">
        <v>76.2</v>
      </c>
      <c r="D286" s="21" t="str">
        <f>VLOOKUP($C286,param!$A$4:$B$270,2)</f>
        <v>F&amp;S Innovation Vetera</v>
      </c>
      <c r="E286" s="1191">
        <f>INDEX($K286:$R286,SUMIF(cbal!E$280:E$333,$B286,cbal!$D$280:$D$333)+1)</f>
        <v>0</v>
      </c>
      <c r="F286" s="1191">
        <f>INDEX($K286:$R286,SUMIF(cbal!F$280:F$333,$B286,cbal!$D$280:$D$333)+1)</f>
        <v>0</v>
      </c>
      <c r="G286" s="1191">
        <f>INDEX($K286:$R286,SUMIF(cbal!G$280:G$333,$B286,cbal!$D$280:$D$333)+1)</f>
        <v>0</v>
      </c>
      <c r="H286" s="1191">
        <f>INDEX($K286:$R286,SUMIF(cbal!H$280:H$333,$B286,cbal!$D$280:$D$333)+1)</f>
        <v>0</v>
      </c>
      <c r="I286" s="1191">
        <f>INDEX($K286:$R286,SUMIF(cbal!I$280:I$333,$B286,cbal!$D$280:$D$333)+1)</f>
        <v>0</v>
      </c>
      <c r="J286" s="21"/>
      <c r="K286" s="21">
        <v>0</v>
      </c>
      <c r="L286" s="149">
        <f>L285*$Q286</f>
        <v>160</v>
      </c>
      <c r="M286" s="149">
        <f>M285*$Q286</f>
        <v>176</v>
      </c>
      <c r="N286" s="149">
        <f>N285*$Q286</f>
        <v>184</v>
      </c>
      <c r="O286" s="149">
        <f>O285*$Q286</f>
        <v>192</v>
      </c>
      <c r="P286" s="21"/>
      <c r="Q286" s="92">
        <v>0.8</v>
      </c>
      <c r="R286" s="1375"/>
      <c r="S286" s="2622"/>
    </row>
    <row r="287" spans="2:19">
      <c r="B287" s="132" t="s">
        <v>1153</v>
      </c>
      <c r="C287" s="1012">
        <v>76.3</v>
      </c>
      <c r="D287" s="21" t="str">
        <f>VLOOKUP($C287,param!$A$4:$B$270,2)</f>
        <v>F&amp;S Innovation Escendia</v>
      </c>
      <c r="E287" s="1191">
        <f>INDEX($K287:$R287,SUMIF(cbal!E$280:E$333,$B287,cbal!$D$280:$D$333)+1)</f>
        <v>0</v>
      </c>
      <c r="F287" s="1191">
        <f>INDEX($K287:$R287,SUMIF(cbal!F$280:F$333,$B287,cbal!$D$280:$D$333)+1)</f>
        <v>0</v>
      </c>
      <c r="G287" s="1191">
        <f>INDEX($K287:$R287,SUMIF(cbal!G$280:G$333,$B287,cbal!$D$280:$D$333)+1)</f>
        <v>0</v>
      </c>
      <c r="H287" s="1191">
        <f>INDEX($K287:$R287,SUMIF(cbal!H$280:H$333,$B287,cbal!$D$280:$D$333)+1)</f>
        <v>0</v>
      </c>
      <c r="I287" s="1191">
        <f>INDEX($K287:$R287,SUMIF(cbal!I$280:I$333,$B287,cbal!$D$280:$D$333)+1)</f>
        <v>0</v>
      </c>
      <c r="J287" s="21"/>
      <c r="K287" s="21">
        <v>0</v>
      </c>
      <c r="L287" s="149">
        <f>L285*$Q287</f>
        <v>40</v>
      </c>
      <c r="M287" s="149">
        <f>M285*$Q287</f>
        <v>44</v>
      </c>
      <c r="N287" s="149">
        <f>N285*$Q287</f>
        <v>46</v>
      </c>
      <c r="O287" s="149">
        <f>O285*$Q287</f>
        <v>48</v>
      </c>
      <c r="P287" s="21"/>
      <c r="Q287" s="92">
        <v>0.2</v>
      </c>
      <c r="R287" s="1375"/>
      <c r="S287" s="2622"/>
    </row>
    <row r="288" spans="2:19">
      <c r="B288" s="132" t="s">
        <v>1153</v>
      </c>
      <c r="C288" s="1012">
        <v>190</v>
      </c>
      <c r="D288" s="21" t="str">
        <f>VLOOKUP($C288,param!$A$4:$B$270,2)</f>
        <v>Water Usage Performance</v>
      </c>
      <c r="E288" s="1259">
        <f>COUNTIF(cbal!E$280:E$333,$B288)*$K288*$L288^(1-COUNTIF(cbal!E$280:E$333,$B288))</f>
        <v>0</v>
      </c>
      <c r="F288" s="1259">
        <f>COUNTIF(cbal!F$280:F$333,$B288)*$K288*$L288^(1-COUNTIF(cbal!F$280:F$333,$B288))</f>
        <v>0</v>
      </c>
      <c r="G288" s="1259">
        <f>COUNTIF(cbal!G$280:G$333,$B288)*$K288*$L288^(1-COUNTIF(cbal!G$280:G$333,$B288))</f>
        <v>0</v>
      </c>
      <c r="H288" s="1259">
        <f>COUNTIF(cbal!H$280:H$333,$B288)*$K288*$L288^(1-COUNTIF(cbal!H$280:H$333,$B288))</f>
        <v>0</v>
      </c>
      <c r="I288" s="1259">
        <f>COUNTIF(cbal!I$280:I$333,$B288)*$K288*$L288^(1-COUNTIF(cbal!I$280:I$333,$B288))</f>
        <v>0</v>
      </c>
      <c r="J288" s="21"/>
      <c r="K288" s="1260">
        <v>-0.01</v>
      </c>
      <c r="L288" s="21">
        <v>1</v>
      </c>
      <c r="M288" s="21"/>
      <c r="N288" s="21"/>
      <c r="O288" s="21"/>
      <c r="P288" s="21"/>
      <c r="Q288" s="21"/>
      <c r="R288" s="1375"/>
      <c r="S288" s="2622"/>
    </row>
    <row r="289" spans="1:19">
      <c r="B289" s="132" t="s">
        <v>1153</v>
      </c>
      <c r="C289" s="1012">
        <v>193</v>
      </c>
      <c r="D289" s="21" t="str">
        <f>VLOOKUP($C289,param!$A$4:$B$270,2)</f>
        <v>Healthy Product Innovation</v>
      </c>
      <c r="E289" s="1259">
        <f>COUNTIF(cbal!E$280:E$333,$B289)*$K289*$L289^(1-COUNTIF(cbal!E$280:E$333,$B289))</f>
        <v>0</v>
      </c>
      <c r="F289" s="1259">
        <f>COUNTIF(cbal!F$280:F$333,$B289)*$K289*$L289^(1-COUNTIF(cbal!F$280:F$333,$B289))</f>
        <v>0</v>
      </c>
      <c r="G289" s="1259">
        <f>COUNTIF(cbal!G$280:G$333,$B289)*$K289*$L289^(1-COUNTIF(cbal!G$280:G$333,$B289))</f>
        <v>0</v>
      </c>
      <c r="H289" s="1259">
        <f>COUNTIF(cbal!H$280:H$333,$B289)*$K289*$L289^(1-COUNTIF(cbal!H$280:H$333,$B289))</f>
        <v>0</v>
      </c>
      <c r="I289" s="1259">
        <f>COUNTIF(cbal!I$280:I$333,$B289)*$K289*$L289^(1-COUNTIF(cbal!I$280:I$333,$B289))</f>
        <v>0</v>
      </c>
      <c r="J289" s="21"/>
      <c r="K289" s="1260">
        <v>0.05</v>
      </c>
      <c r="L289" s="21">
        <v>1</v>
      </c>
      <c r="M289" s="21"/>
      <c r="N289" s="21"/>
      <c r="O289" s="21"/>
      <c r="P289" s="21"/>
      <c r="Q289" s="21"/>
      <c r="R289" s="1375"/>
      <c r="S289" s="2622"/>
    </row>
    <row r="290" spans="1:19" ht="12" thickBot="1">
      <c r="B290" s="134" t="s">
        <v>1153</v>
      </c>
      <c r="C290" s="1031">
        <v>64</v>
      </c>
      <c r="D290" s="135" t="str">
        <f>VLOOKUP($C290,param!$A$4:$B$270,2)</f>
        <v>F&amp;S Material Cost Per Unit</v>
      </c>
      <c r="E290" s="1254">
        <f>COUNTIF(cbal!E$280:E$333,$B290)*$K290*$L290^(1-COUNTIF(cbal!E$280:E$333,$B290))</f>
        <v>0</v>
      </c>
      <c r="F290" s="1254">
        <f>COUNTIF(cbal!F$280:F$333,$B290)*$K290*$L290^(1-COUNTIF(cbal!F$280:F$333,$B290))</f>
        <v>0</v>
      </c>
      <c r="G290" s="1254">
        <f>COUNTIF(cbal!G$280:G$333,$B290)*$K290*$L290^(1-COUNTIF(cbal!G$280:G$333,$B290))</f>
        <v>0</v>
      </c>
      <c r="H290" s="1254">
        <f>COUNTIF(cbal!H$280:H$333,$B290)*$K290*$L290^(1-COUNTIF(cbal!H$280:H$333,$B290))</f>
        <v>0</v>
      </c>
      <c r="I290" s="1254">
        <f>COUNTIF(cbal!I$280:I$333,$B290)*$K290*$L290^(1-COUNTIF(cbal!I$280:I$333,$B290))</f>
        <v>0</v>
      </c>
      <c r="J290" s="135"/>
      <c r="K290" s="1255">
        <v>0.01</v>
      </c>
      <c r="L290" s="135">
        <v>1</v>
      </c>
      <c r="M290" s="135"/>
      <c r="N290" s="135"/>
      <c r="O290" s="135"/>
      <c r="P290" s="135"/>
      <c r="Q290" s="1197"/>
      <c r="R290" s="1376"/>
      <c r="S290" s="2623"/>
    </row>
    <row r="291" spans="1:19" ht="12" thickBot="1">
      <c r="B291" s="21"/>
      <c r="C291" s="1012"/>
      <c r="D291" s="21"/>
      <c r="E291" s="1259"/>
      <c r="F291" s="1259"/>
      <c r="G291" s="1259"/>
      <c r="H291" s="1259"/>
      <c r="I291" s="1259"/>
      <c r="J291" s="21"/>
      <c r="K291" s="1260"/>
      <c r="L291" s="21"/>
      <c r="M291" s="21"/>
      <c r="N291" s="21"/>
      <c r="O291" s="21"/>
      <c r="P291" s="21"/>
      <c r="Q291" s="92"/>
      <c r="R291" s="1375"/>
      <c r="S291" s="1621"/>
    </row>
    <row r="292" spans="1:19" ht="12.75">
      <c r="B292" s="1622" t="s">
        <v>1154</v>
      </c>
      <c r="C292" s="1029" t="str">
        <f>INDEX(DataPage!$G$319:$G$333,MATCH(adj!$B292,DataPage!$I$319:$I$333,0))</f>
        <v>Rice Pops</v>
      </c>
      <c r="D292" s="194"/>
      <c r="E292" s="1194"/>
      <c r="F292" s="1194"/>
      <c r="G292" s="1194"/>
      <c r="H292" s="1194"/>
      <c r="I292" s="1194"/>
      <c r="J292" s="194"/>
      <c r="K292" s="194"/>
      <c r="L292" s="1198">
        <v>150</v>
      </c>
      <c r="M292" s="1198">
        <v>200</v>
      </c>
      <c r="N292" s="1198">
        <v>160</v>
      </c>
      <c r="O292" s="1198">
        <v>70</v>
      </c>
      <c r="P292" s="194"/>
      <c r="Q292" s="1195"/>
      <c r="R292" s="1378" t="s">
        <v>4095</v>
      </c>
      <c r="S292" s="1611"/>
    </row>
    <row r="293" spans="1:19">
      <c r="B293" s="1574" t="s">
        <v>1154</v>
      </c>
      <c r="C293" s="1012">
        <v>76.2</v>
      </c>
      <c r="D293" s="21" t="str">
        <f>VLOOKUP($C293,param!$A$4:$B$270,2)</f>
        <v>F&amp;S Innovation Vetera</v>
      </c>
      <c r="E293" s="1191">
        <f>INDEX($K293:$R293,SUMIF(cbal!E$280:E$333,$B293,cbal!$D$280:$D$333)+1)</f>
        <v>0</v>
      </c>
      <c r="F293" s="1191">
        <f>INDEX($K293:$R293,SUMIF(cbal!F$280:F$333,$B293,cbal!$D$280:$D$333)+1)</f>
        <v>0</v>
      </c>
      <c r="G293" s="1191">
        <f>INDEX($K293:$R293,SUMIF(cbal!G$280:G$333,$B293,cbal!$D$280:$D$333)+1)</f>
        <v>0</v>
      </c>
      <c r="H293" s="1191">
        <f>INDEX($K293:$R293,SUMIF(cbal!H$280:H$333,$B293,cbal!$D$280:$D$333)+1)</f>
        <v>0</v>
      </c>
      <c r="I293" s="1191">
        <f>INDEX($K293:$R293,SUMIF(cbal!I$280:I$333,$B293,cbal!$D$280:$D$333)+1)</f>
        <v>0</v>
      </c>
      <c r="J293" s="21"/>
      <c r="K293" s="21">
        <v>0</v>
      </c>
      <c r="L293" s="149">
        <f>L292*$Q293</f>
        <v>67.5</v>
      </c>
      <c r="M293" s="149">
        <f>M292*$Q293</f>
        <v>90</v>
      </c>
      <c r="N293" s="149">
        <f>N292*$Q293</f>
        <v>72</v>
      </c>
      <c r="O293" s="149">
        <f>O292*$Q293</f>
        <v>31.5</v>
      </c>
      <c r="P293" s="21"/>
      <c r="Q293" s="92">
        <v>0.45</v>
      </c>
      <c r="R293" s="1379"/>
      <c r="S293" s="1612"/>
    </row>
    <row r="294" spans="1:19" ht="12" thickBot="1">
      <c r="B294" s="1623" t="s">
        <v>1154</v>
      </c>
      <c r="C294" s="1031">
        <v>76.3</v>
      </c>
      <c r="D294" s="135" t="str">
        <f>VLOOKUP($C294,param!$A$4:$B$270,2)</f>
        <v>F&amp;S Innovation Escendia</v>
      </c>
      <c r="E294" s="1293">
        <f>INDEX($K294:$R294,SUMIF(cbal!E$280:E$333,$B294,cbal!$D$280:$D$333)+1)</f>
        <v>0</v>
      </c>
      <c r="F294" s="1293">
        <f>INDEX($K294:$R294,SUMIF(cbal!F$280:F$333,$B294,cbal!$D$280:$D$333)+1)</f>
        <v>0</v>
      </c>
      <c r="G294" s="1293">
        <f>INDEX($K294:$R294,SUMIF(cbal!G$280:G$333,$B294,cbal!$D$280:$D$333)+1)</f>
        <v>0</v>
      </c>
      <c r="H294" s="1293">
        <f>INDEX($K294:$R294,SUMIF(cbal!H$280:H$333,$B294,cbal!$D$280:$D$333)+1)</f>
        <v>0</v>
      </c>
      <c r="I294" s="1293">
        <f>INDEX($K294:$R294,SUMIF(cbal!I$280:I$333,$B294,cbal!$D$280:$D$333)+1)</f>
        <v>0</v>
      </c>
      <c r="J294" s="135"/>
      <c r="K294" s="135">
        <v>0</v>
      </c>
      <c r="L294" s="1199">
        <f>L292*$Q294</f>
        <v>82.5</v>
      </c>
      <c r="M294" s="1199">
        <f>M292*$Q294</f>
        <v>110.00000000000001</v>
      </c>
      <c r="N294" s="1199">
        <f>N292*$Q294</f>
        <v>88</v>
      </c>
      <c r="O294" s="1199">
        <f>O292*$Q294</f>
        <v>38.5</v>
      </c>
      <c r="P294" s="135"/>
      <c r="Q294" s="1197">
        <v>0.55000000000000004</v>
      </c>
      <c r="R294" s="1383"/>
      <c r="S294" s="1613"/>
    </row>
    <row r="295" spans="1:19">
      <c r="C295" s="433"/>
      <c r="E295" s="183"/>
      <c r="F295" s="183"/>
      <c r="G295" s="183"/>
      <c r="H295" s="183"/>
      <c r="I295" s="183"/>
    </row>
    <row r="296" spans="1:19">
      <c r="B296" s="1619" t="s">
        <v>3460</v>
      </c>
      <c r="C296" s="1116" t="str">
        <f>DataNameProd2Seg1</f>
        <v>*Holy Cow Cup</v>
      </c>
      <c r="E296" s="183"/>
      <c r="F296" s="183"/>
      <c r="G296" s="183"/>
      <c r="H296" s="183"/>
      <c r="I296" s="183"/>
      <c r="R296" t="s">
        <v>846</v>
      </c>
    </row>
    <row r="297" spans="1:19">
      <c r="B297" s="1619" t="s">
        <v>3461</v>
      </c>
      <c r="C297" s="1116" t="str">
        <f>DataNameProd2Seg2</f>
        <v>*Nitro Nachos</v>
      </c>
      <c r="E297" s="183"/>
      <c r="F297" s="183"/>
      <c r="G297" s="183"/>
      <c r="H297" s="183"/>
      <c r="I297" s="183"/>
      <c r="R297" t="s">
        <v>846</v>
      </c>
    </row>
    <row r="298" spans="1:19">
      <c r="B298" s="1619" t="s">
        <v>3462</v>
      </c>
      <c r="C298" s="1116" t="str">
        <f>DataNameProd2Seg3</f>
        <v>*Home Fountain</v>
      </c>
      <c r="E298" s="183"/>
      <c r="F298" s="183"/>
      <c r="G298" s="183"/>
      <c r="H298" s="183"/>
      <c r="I298" s="183"/>
      <c r="R298" t="s">
        <v>846</v>
      </c>
    </row>
    <row r="299" spans="1:19">
      <c r="B299" s="1619" t="s">
        <v>4161</v>
      </c>
      <c r="C299" s="1116" t="str">
        <f>DataNameProd2Seg4</f>
        <v>*CentrePlate</v>
      </c>
      <c r="E299" s="183"/>
      <c r="F299" s="183"/>
      <c r="G299" s="183"/>
      <c r="H299" s="183"/>
      <c r="I299" s="183"/>
      <c r="R299" t="s">
        <v>846</v>
      </c>
    </row>
    <row r="300" spans="1:19">
      <c r="B300" s="1116"/>
      <c r="C300" s="1116" t="s">
        <v>3889</v>
      </c>
      <c r="E300" s="183"/>
      <c r="F300" s="183"/>
      <c r="G300" s="183"/>
      <c r="H300" s="183"/>
      <c r="I300" s="183"/>
    </row>
    <row r="301" spans="1:19">
      <c r="C301" s="433"/>
      <c r="E301" s="183"/>
      <c r="F301" s="183"/>
      <c r="G301" s="183"/>
      <c r="H301" s="183"/>
      <c r="I301" s="183"/>
    </row>
    <row r="302" spans="1:19">
      <c r="A302" s="2" t="s">
        <v>3559</v>
      </c>
      <c r="C302" s="433"/>
      <c r="E302" s="183"/>
      <c r="F302" s="183"/>
      <c r="G302" s="183"/>
      <c r="H302" s="183"/>
      <c r="I302" s="183"/>
    </row>
    <row r="303" spans="1:19">
      <c r="C303" s="433" t="s">
        <v>3367</v>
      </c>
      <c r="D303" t="s">
        <v>3646</v>
      </c>
      <c r="E303" s="183"/>
      <c r="F303" s="183"/>
      <c r="G303" s="183"/>
      <c r="H303" s="183"/>
      <c r="I303" s="183"/>
    </row>
    <row r="304" spans="1:19">
      <c r="C304" s="433">
        <v>190</v>
      </c>
      <c r="D304" t="str">
        <f>VLOOKUP($C304,param!$A$4:$B$270,2)</f>
        <v>Water Usage Performance</v>
      </c>
      <c r="E304" s="183"/>
      <c r="F304" s="183"/>
      <c r="G304" s="183"/>
      <c r="H304" s="183"/>
      <c r="I304" s="183"/>
      <c r="M304" t="s">
        <v>1753</v>
      </c>
    </row>
    <row r="305" spans="1:20">
      <c r="B305" t="s">
        <v>3648</v>
      </c>
      <c r="C305" s="433">
        <v>191</v>
      </c>
      <c r="D305" t="str">
        <f>VLOOKUP($C305,param!$A$4:$B$270,2)</f>
        <v>Energy Usage Performance</v>
      </c>
      <c r="E305" s="1064">
        <f ca="1">(paramPlant1Efficiency-$M305)*100*$K305*($L305^(ABS(paramPlant1Efficiency-$M305)*100))</f>
        <v>-3.1138081748665489E-2</v>
      </c>
      <c r="F305" s="1064">
        <f ca="1">(paramPlant1Efficiency-$M305)*100*$K305*($L305^(ABS(paramPlant1Efficiency-$M305)*100))</f>
        <v>-3.1138081748665489E-2</v>
      </c>
      <c r="G305" s="1064">
        <f ca="1">(paramPlant1Efficiency-$M305)*100*$K305*($L305^(ABS(paramPlant1Efficiency-$M305)*100))</f>
        <v>-3.1138081748665489E-2</v>
      </c>
      <c r="H305" s="1064">
        <f ca="1">(paramPlant1Efficiency-$M305)*100*$K305*($L305^(ABS(paramPlant1Efficiency-$M305)*100))</f>
        <v>-3.1138081748665489E-2</v>
      </c>
      <c r="I305" s="1064">
        <f ca="1">(paramPlant1Efficiency-$M305)*100*$K305*($L305^(ABS(paramPlant1Efficiency-$M305)*100))</f>
        <v>-3.1138081748665489E-2</v>
      </c>
      <c r="K305" s="105">
        <v>7.4999999999999997E-3</v>
      </c>
      <c r="L305">
        <v>1.05</v>
      </c>
      <c r="M305">
        <v>0.8</v>
      </c>
    </row>
    <row r="306" spans="1:20">
      <c r="B306" t="s">
        <v>3647</v>
      </c>
      <c r="C306" s="433">
        <v>191</v>
      </c>
      <c r="D306" t="str">
        <f>VLOOKUP($C306,param!$A$4:$B$270,2)</f>
        <v>Energy Usage Performance</v>
      </c>
      <c r="E306" s="1064">
        <f t="shared" ref="E306:I307" ca="1" si="35">(capPlant1Utiliz-$M306)*100*$K306*($L306^(ABS(capPlant1Utiliz-$M306)*100))</f>
        <v>-1.8656468995338168E-2</v>
      </c>
      <c r="F306" s="1064">
        <f t="shared" ca="1" si="35"/>
        <v>-1.8656468995338168E-2</v>
      </c>
      <c r="G306" s="1064">
        <f t="shared" ca="1" si="35"/>
        <v>-1.8656468995338168E-2</v>
      </c>
      <c r="H306" s="1064">
        <f t="shared" ca="1" si="35"/>
        <v>-1.8656468995338168E-2</v>
      </c>
      <c r="I306" s="1064">
        <f t="shared" ca="1" si="35"/>
        <v>-1.8656468995338168E-2</v>
      </c>
      <c r="K306" s="105">
        <v>5.0000000000000001E-3</v>
      </c>
      <c r="L306">
        <v>1.01</v>
      </c>
      <c r="M306">
        <v>0.95</v>
      </c>
    </row>
    <row r="307" spans="1:20">
      <c r="B307" t="s">
        <v>3648</v>
      </c>
      <c r="C307" s="433">
        <v>192</v>
      </c>
      <c r="D307" t="str">
        <f>VLOOKUP($C307,param!$A$4:$B$270,2)</f>
        <v>Waste Production Performance</v>
      </c>
      <c r="E307" s="1064">
        <f t="shared" ca="1" si="35"/>
        <v>3.4104113934734413E-2</v>
      </c>
      <c r="F307" s="1064">
        <f t="shared" ca="1" si="35"/>
        <v>3.4104113934734413E-2</v>
      </c>
      <c r="G307" s="1064">
        <f t="shared" ca="1" si="35"/>
        <v>3.4104113934734413E-2</v>
      </c>
      <c r="H307" s="1064">
        <f t="shared" ca="1" si="35"/>
        <v>3.4104113934734413E-2</v>
      </c>
      <c r="I307" s="1064">
        <f t="shared" ca="1" si="35"/>
        <v>3.4104113934734413E-2</v>
      </c>
      <c r="K307" s="105">
        <v>5.0000000000000001E-3</v>
      </c>
      <c r="L307">
        <v>1.01</v>
      </c>
      <c r="M307">
        <v>0.85</v>
      </c>
    </row>
    <row r="308" spans="1:20">
      <c r="B308" t="s">
        <v>3768</v>
      </c>
      <c r="C308" s="433">
        <v>192</v>
      </c>
      <c r="D308" t="str">
        <f>VLOOKUP($C308,param!$A$4:$B$270,2)</f>
        <v>Waste Production Performance</v>
      </c>
      <c r="E308" s="1064">
        <f>MAX(0,capReg1ChanLevel-$M308)*$K308*($L308^(MAX(0,capReg1ChanLevel-$M308)))</f>
        <v>0</v>
      </c>
      <c r="F308" s="1064">
        <f>MAX(0,capReg1ChanLevel-$M308)*$K308*($L308^(MAX(0,capReg1ChanLevel-$M308)))</f>
        <v>0</v>
      </c>
      <c r="G308" s="1064">
        <f>MAX(0,capReg1ChanLevel-$M308)*$K308*($L308^(MAX(0,capReg1ChanLevel-$M308)))</f>
        <v>0</v>
      </c>
      <c r="H308" s="1064">
        <f>MAX(0,capReg1ChanLevel-$M308)*$K308*($L308^(MAX(0,capReg1ChanLevel-$M308)))</f>
        <v>0</v>
      </c>
      <c r="I308" s="1064">
        <f>MAX(0,capReg1ChanLevel-$M308)*$K308*($L308^(MAX(0,capReg1ChanLevel-$M308)))</f>
        <v>0</v>
      </c>
      <c r="K308" s="105">
        <v>-5.0000000000000001E-3</v>
      </c>
      <c r="L308">
        <v>1.01</v>
      </c>
      <c r="M308">
        <v>3</v>
      </c>
    </row>
    <row r="309" spans="1:20">
      <c r="C309" s="433">
        <v>193</v>
      </c>
      <c r="D309" t="str">
        <f>VLOOKUP($C309,param!$A$4:$B$270,2)</f>
        <v>Healthy Product Innovation</v>
      </c>
      <c r="E309" s="183"/>
      <c r="F309" s="183"/>
      <c r="G309" s="183"/>
      <c r="H309" s="183"/>
      <c r="I309" s="183"/>
    </row>
    <row r="310" spans="1:20">
      <c r="C310" s="433">
        <v>194</v>
      </c>
      <c r="D310" t="str">
        <f>VLOOKUP($C310,param!$A$4:$B$270,2)</f>
        <v>Marketing for Consumption Awareness</v>
      </c>
      <c r="E310" s="183"/>
      <c r="F310" s="183"/>
      <c r="G310" s="183"/>
      <c r="H310" s="183"/>
      <c r="I310" s="183"/>
    </row>
    <row r="311" spans="1:20">
      <c r="C311" s="433">
        <v>195</v>
      </c>
      <c r="D311" t="str">
        <f>VLOOKUP($C311,param!$A$4:$B$270,2)</f>
        <v>Labelling for Consumption Awareness</v>
      </c>
      <c r="E311" s="183"/>
      <c r="F311" s="183"/>
      <c r="G311" s="183"/>
      <c r="H311" s="183"/>
      <c r="I311" s="183"/>
    </row>
    <row r="312" spans="1:20">
      <c r="B312" t="s">
        <v>3649</v>
      </c>
      <c r="C312" s="433">
        <v>196</v>
      </c>
      <c r="D312" t="str">
        <f>VLOOKUP($C312,param!$A$4:$B$270,2)</f>
        <v>Career Path</v>
      </c>
      <c r="E312" s="1064">
        <f>decEmpDevLevel*$K312*($L312^(decEmpDevLevel-1))</f>
        <v>3.3075E-2</v>
      </c>
      <c r="F312" s="1064">
        <f>decEmpDevLevel*$K312*($L312^(decEmpDevLevel-1))</f>
        <v>3.3075E-2</v>
      </c>
      <c r="G312" s="1064">
        <f>decEmpDevLevel*$K312*($L312^(decEmpDevLevel-1))</f>
        <v>3.3075E-2</v>
      </c>
      <c r="H312" s="1064">
        <f>decEmpDevLevel*$K312*($L312^(decEmpDevLevel-1))</f>
        <v>3.3075E-2</v>
      </c>
      <c r="I312" s="1064">
        <f>decEmpDevLevel*$K312*($L312^(decEmpDevLevel-1))</f>
        <v>3.3075E-2</v>
      </c>
      <c r="K312" s="105">
        <v>0.01</v>
      </c>
      <c r="L312">
        <v>1.05</v>
      </c>
    </row>
    <row r="313" spans="1:20">
      <c r="B313" t="s">
        <v>3650</v>
      </c>
      <c r="C313" s="433">
        <v>197</v>
      </c>
      <c r="D313" t="str">
        <f>VLOOKUP($C313,param!$A$4:$B$270,2)</f>
        <v>Company Culture</v>
      </c>
      <c r="E313" s="183"/>
      <c r="F313" s="183"/>
      <c r="G313" s="183"/>
      <c r="H313" s="183"/>
      <c r="I313" s="183"/>
    </row>
    <row r="314" spans="1:20">
      <c r="B314" t="s">
        <v>3651</v>
      </c>
      <c r="C314" s="433">
        <v>197</v>
      </c>
      <c r="D314" t="str">
        <f>VLOOKUP($C314,param!$A$4:$B$270,2)</f>
        <v>Company Culture</v>
      </c>
      <c r="E314" s="1064">
        <f>(ABS(capEmp1Utiliz-$M314))*100*$K314*($L314^(ABS(capEmp1Utiliz-$M314)*100))</f>
        <v>-2.049606350110629E-2</v>
      </c>
      <c r="F314" s="1064">
        <f>(ABS(capEmp1Utiliz-$M314))*100*$K314*($L314^(ABS(capEmp1Utiliz-$M314)*100))</f>
        <v>-2.049606350110629E-2</v>
      </c>
      <c r="G314" s="1064">
        <f>(ABS(capEmp1Utiliz-$M314))*100*$K314*($L314^(ABS(capEmp1Utiliz-$M314)*100))</f>
        <v>-2.049606350110629E-2</v>
      </c>
      <c r="H314" s="1064">
        <f>(ABS(capEmp1Utiliz-$M314))*100*$K314*($L314^(ABS(capEmp1Utiliz-$M314)*100))</f>
        <v>-2.049606350110629E-2</v>
      </c>
      <c r="I314" s="1064">
        <f>(ABS(capEmp1Utiliz-$M314))*100*$K314*($L314^(ABS(capEmp1Utiliz-$M314)*100))</f>
        <v>-2.049606350110629E-2</v>
      </c>
      <c r="K314" s="105">
        <v>-1E-3</v>
      </c>
      <c r="L314">
        <v>1.05</v>
      </c>
      <c r="M314">
        <v>0.95</v>
      </c>
    </row>
    <row r="315" spans="1:20">
      <c r="B315" t="s">
        <v>3652</v>
      </c>
      <c r="C315" s="433">
        <v>197</v>
      </c>
      <c r="D315" t="str">
        <f>VLOOKUP($C315,param!$A$4:$B$270,2)</f>
        <v>Company Culture</v>
      </c>
      <c r="E315" s="1064">
        <f>(ABS(capEmp2Utiliz-$M315))*100*$K315*($L315^(ABS(capEmp2Utiliz-$M315)*100))</f>
        <v>-4.98528107043852E-2</v>
      </c>
      <c r="F315" s="1064">
        <f>(ABS(capEmp2Utiliz-$M315))*100*$K315*($L315^(ABS(capEmp2Utiliz-$M315)*100))</f>
        <v>-4.98528107043852E-2</v>
      </c>
      <c r="G315" s="1064">
        <f>(ABS(capEmp2Utiliz-$M315))*100*$K315*($L315^(ABS(capEmp2Utiliz-$M315)*100))</f>
        <v>-4.98528107043852E-2</v>
      </c>
      <c r="H315" s="1064">
        <f>(ABS(capEmp2Utiliz-$M315))*100*$K315*($L315^(ABS(capEmp2Utiliz-$M315)*100))</f>
        <v>-4.98528107043852E-2</v>
      </c>
      <c r="I315" s="1064">
        <f>(ABS(capEmp2Utiliz-$M315))*100*$K315*($L315^(ABS(capEmp2Utiliz-$M315)*100))</f>
        <v>-4.98528107043852E-2</v>
      </c>
      <c r="K315" s="105">
        <v>-1E-3</v>
      </c>
      <c r="L315">
        <v>1.05</v>
      </c>
      <c r="M315">
        <v>0.8</v>
      </c>
    </row>
    <row r="316" spans="1:20">
      <c r="B316" t="s">
        <v>1754</v>
      </c>
      <c r="C316" s="433">
        <v>197</v>
      </c>
      <c r="D316" t="str">
        <f>VLOOKUP($C316,param!$A$4:$B$270,2)</f>
        <v>Company Culture</v>
      </c>
      <c r="E316" s="1064">
        <f>MAX(0,decRecruitLevel-$M316)*$K316*($L316^(MAX(0,decRecruitLevel-$M316)))</f>
        <v>3.4728750000000003E-2</v>
      </c>
      <c r="F316" s="1064">
        <f>MAX(0,decRecruitLevel-$M316)*$K316*($L316^(MAX(0,decRecruitLevel-$M316)))</f>
        <v>3.4728750000000003E-2</v>
      </c>
      <c r="G316" s="1064">
        <f>MAX(0,decRecruitLevel-$M316)*$K316*($L316^(MAX(0,decRecruitLevel-$M316)))</f>
        <v>3.4728750000000003E-2</v>
      </c>
      <c r="H316" s="1064">
        <f>MAX(0,decRecruitLevel-$M316)*$K316*($L316^(MAX(0,decRecruitLevel-$M316)))</f>
        <v>3.4728750000000003E-2</v>
      </c>
      <c r="I316" s="1064">
        <f>MAX(0,decRecruitLevel-$M316)*$K316*($L316^(MAX(0,decRecruitLevel-$M316)))</f>
        <v>3.4728750000000003E-2</v>
      </c>
      <c r="K316" s="105">
        <v>0.01</v>
      </c>
      <c r="L316">
        <v>1.05</v>
      </c>
    </row>
    <row r="317" spans="1:20">
      <c r="C317" s="433">
        <v>198</v>
      </c>
      <c r="D317" t="str">
        <f>VLOOKUP($C317,param!$A$4:$B$270,2)</f>
        <v>Community</v>
      </c>
      <c r="E317" s="183"/>
      <c r="F317" s="183"/>
      <c r="G317" s="183"/>
      <c r="H317" s="183"/>
      <c r="I317" s="183"/>
    </row>
    <row r="318" spans="1:20">
      <c r="C318" s="433"/>
      <c r="E318" s="183"/>
      <c r="F318" s="183"/>
      <c r="G318" s="183"/>
      <c r="H318" s="183"/>
      <c r="I318" s="183"/>
    </row>
    <row r="319" spans="1:20">
      <c r="A319" s="2" t="s">
        <v>751</v>
      </c>
      <c r="E319" s="183"/>
      <c r="F319" s="183"/>
      <c r="G319" s="183"/>
      <c r="H319" s="183"/>
      <c r="I319" s="183"/>
      <c r="J319" s="2" t="s">
        <v>3369</v>
      </c>
      <c r="R319" s="2624" t="s">
        <v>3820</v>
      </c>
      <c r="S319" s="2624"/>
      <c r="T319" s="2624"/>
    </row>
    <row r="320" spans="1:20">
      <c r="A320" s="2"/>
      <c r="B320" t="s">
        <v>3366</v>
      </c>
      <c r="C320" t="s">
        <v>3367</v>
      </c>
      <c r="D320" t="s">
        <v>3368</v>
      </c>
      <c r="E320" s="183"/>
      <c r="F320" s="183"/>
      <c r="G320" s="183"/>
      <c r="H320" s="183"/>
      <c r="I320" s="183"/>
      <c r="K320" t="s">
        <v>3370</v>
      </c>
      <c r="L320" t="s">
        <v>3371</v>
      </c>
      <c r="M320" t="s">
        <v>3372</v>
      </c>
      <c r="N320" t="s">
        <v>3373</v>
      </c>
      <c r="O320" t="s">
        <v>3374</v>
      </c>
      <c r="R320" s="73" t="s">
        <v>2916</v>
      </c>
      <c r="S320" s="61" t="s">
        <v>2917</v>
      </c>
      <c r="T320" s="1092" t="s">
        <v>1994</v>
      </c>
    </row>
    <row r="321" spans="1:20">
      <c r="A321" s="2"/>
      <c r="E321" s="183"/>
      <c r="F321" s="183"/>
      <c r="G321" s="183"/>
      <c r="H321" s="183"/>
      <c r="I321" s="183"/>
      <c r="R321" s="91"/>
      <c r="S321" s="21"/>
      <c r="T321" s="97"/>
    </row>
    <row r="322" spans="1:20">
      <c r="B322" t="s">
        <v>4014</v>
      </c>
      <c r="C322" t="str">
        <f>VLOOKUP(B322,DataInitiativesGrid,2,0)</f>
        <v>Balanced Living Ad Campaign</v>
      </c>
      <c r="E322" s="183"/>
      <c r="F322" s="183"/>
      <c r="G322" s="183"/>
      <c r="H322" s="183"/>
      <c r="I322" s="183"/>
      <c r="R322" s="91">
        <v>0</v>
      </c>
      <c r="S322" s="21">
        <v>0</v>
      </c>
      <c r="T322" s="97">
        <v>0</v>
      </c>
    </row>
    <row r="323" spans="1:20">
      <c r="B323" t="s">
        <v>4014</v>
      </c>
      <c r="C323" s="433">
        <v>5</v>
      </c>
      <c r="D323" t="str">
        <f>VLOOKUP($C323,param!$A$4:$B$266,2)</f>
        <v>CSD Region A Marketing Spend Effectiveness</v>
      </c>
      <c r="E323" s="430">
        <f>INDEX($K323:$O323,SUMIF(cbal!E$280:E$296,$B323,cbal!$D$280:$D$296)+1)</f>
        <v>0</v>
      </c>
      <c r="F323" s="430">
        <f>INDEX($K323:$O323,SUMIF(cbal!F$280:F$296,$B323,cbal!$D$280:$D$296)+1)</f>
        <v>0</v>
      </c>
      <c r="G323" s="430">
        <f>INDEX($K323:$O323,SUMIF(cbal!G$280:G$296,$B323,cbal!$D$280:$D$296)+1)</f>
        <v>0</v>
      </c>
      <c r="H323" s="430">
        <f>INDEX($K323:$O323,SUMIF(cbal!H$280:H$296,$B323,cbal!$D$280:$D$296)+1)</f>
        <v>0</v>
      </c>
      <c r="I323" s="430">
        <f>INDEX($K323:$O323,SUMIF(cbal!I$280:I$296,$B323,cbal!$D$280:$D$296)+1)</f>
        <v>0</v>
      </c>
      <c r="K323" s="1577">
        <v>0</v>
      </c>
      <c r="L323" s="1578">
        <v>5.0000000000000001E-3</v>
      </c>
      <c r="M323" s="1578">
        <v>5.0000000000000001E-3</v>
      </c>
      <c r="N323" s="1578">
        <v>5.0000000000000001E-3</v>
      </c>
      <c r="O323" s="1578">
        <v>5.0000000000000001E-3</v>
      </c>
      <c r="R323" s="91" t="b">
        <f>IF(AND(C323&gt;166,C323&lt;171.5),L323)</f>
        <v>0</v>
      </c>
      <c r="S323" s="21" t="b">
        <f>IF(AND(C323&gt;166,C323&lt;171.5),M323)</f>
        <v>0</v>
      </c>
      <c r="T323" s="97" t="b">
        <f>IF(C323=133.5,L323)</f>
        <v>0</v>
      </c>
    </row>
    <row r="324" spans="1:20">
      <c r="B324" t="s">
        <v>4014</v>
      </c>
      <c r="C324" s="433">
        <v>43</v>
      </c>
      <c r="D324" t="str">
        <f>VLOOKUP($C324,param!$A$4:$B$266,2)</f>
        <v>NCB Region A Marketing Spend Effectiveness</v>
      </c>
      <c r="E324" s="430">
        <f>INDEX($K324:$O324,SUMIF(cbal!E$280:E$296,$B324,cbal!$D$280:$D$296)+1)</f>
        <v>0</v>
      </c>
      <c r="F324" s="430">
        <f>INDEX($K324:$O324,SUMIF(cbal!F$280:F$296,$B324,cbal!$D$280:$D$296)+1)</f>
        <v>0</v>
      </c>
      <c r="G324" s="430">
        <f>INDEX($K324:$O324,SUMIF(cbal!G$280:G$296,$B324,cbal!$D$280:$D$296)+1)</f>
        <v>0</v>
      </c>
      <c r="H324" s="430">
        <f>INDEX($K324:$O324,SUMIF(cbal!H$280:H$296,$B324,cbal!$D$280:$D$296)+1)</f>
        <v>0</v>
      </c>
      <c r="I324" s="430">
        <f>INDEX($K324:$O324,SUMIF(cbal!I$280:I$296,$B324,cbal!$D$280:$D$296)+1)</f>
        <v>0</v>
      </c>
      <c r="K324" s="1577">
        <v>0</v>
      </c>
      <c r="L324" s="1579">
        <v>0.02</v>
      </c>
      <c r="M324" s="1579">
        <v>0.01</v>
      </c>
      <c r="N324" s="1579">
        <v>0.01</v>
      </c>
      <c r="O324" s="1579">
        <v>0.01</v>
      </c>
      <c r="R324" s="91" t="b">
        <f t="shared" ref="R324:R413" si="36">IF(AND(C324&gt;166,C324&lt;171.5),L324)</f>
        <v>0</v>
      </c>
      <c r="S324" s="21" t="b">
        <f t="shared" ref="S324:S413" si="37">IF(AND(C324&gt;166,C324&lt;171.5),M324)</f>
        <v>0</v>
      </c>
      <c r="T324" s="97" t="b">
        <f t="shared" ref="T324:T429" si="38">IF(C324=133.5,L324)</f>
        <v>0</v>
      </c>
    </row>
    <row r="325" spans="1:20">
      <c r="B325" t="s">
        <v>4014</v>
      </c>
      <c r="C325" s="433">
        <v>76</v>
      </c>
      <c r="D325" t="str">
        <f>VLOOKUP($C325,param!$A$4:$B$266,2)</f>
        <v>F&amp;S Region A Marketing Spend Effectiveness</v>
      </c>
      <c r="E325" s="430">
        <f>INDEX($K325:$O325,SUMIF(cbal!E$280:E$296,$B325,cbal!$D$280:$D$296)+1)</f>
        <v>0</v>
      </c>
      <c r="F325" s="430">
        <f>INDEX($K325:$O325,SUMIF(cbal!F$280:F$296,$B325,cbal!$D$280:$D$296)+1)</f>
        <v>0</v>
      </c>
      <c r="G325" s="430">
        <f>INDEX($K325:$O325,SUMIF(cbal!G$280:G$296,$B325,cbal!$D$280:$D$296)+1)</f>
        <v>0</v>
      </c>
      <c r="H325" s="430">
        <f>INDEX($K325:$O325,SUMIF(cbal!H$280:H$296,$B325,cbal!$D$280:$D$296)+1)</f>
        <v>0</v>
      </c>
      <c r="I325" s="430">
        <f>INDEX($K325:$O325,SUMIF(cbal!I$280:I$296,$B325,cbal!$D$280:$D$296)+1)</f>
        <v>0</v>
      </c>
      <c r="K325" s="1577">
        <v>0</v>
      </c>
      <c r="L325" s="1579">
        <v>0.01</v>
      </c>
      <c r="M325" s="1579">
        <v>0.01</v>
      </c>
      <c r="N325" s="1579">
        <v>0.01</v>
      </c>
      <c r="O325" s="1579">
        <v>0.01</v>
      </c>
      <c r="R325" s="91" t="b">
        <f t="shared" si="36"/>
        <v>0</v>
      </c>
      <c r="S325" s="21" t="b">
        <f t="shared" si="37"/>
        <v>0</v>
      </c>
      <c r="T325" s="97" t="b">
        <f t="shared" si="38"/>
        <v>0</v>
      </c>
    </row>
    <row r="326" spans="1:20">
      <c r="B326" t="s">
        <v>4014</v>
      </c>
      <c r="C326" s="433">
        <v>194</v>
      </c>
      <c r="D326" t="str">
        <f>VLOOKUP($C326,param!$A$4:$B$266,2)</f>
        <v>Marketing for Consumption Awareness</v>
      </c>
      <c r="E326" s="430">
        <f>INDEX($K326:$O326,SUMIF(cbal!E$280:E$296,$B326,cbal!$D$280:$D$296)+1)</f>
        <v>0</v>
      </c>
      <c r="F326" s="430">
        <f>INDEX($K326:$O326,SUMIF(cbal!F$280:F$296,$B326,cbal!$D$280:$D$296)+1)</f>
        <v>0</v>
      </c>
      <c r="G326" s="430">
        <f>INDEX($K326:$O326,SUMIF(cbal!G$280:G$296,$B326,cbal!$D$280:$D$296)+1)</f>
        <v>0</v>
      </c>
      <c r="H326" s="430">
        <f>INDEX($K326:$O326,SUMIF(cbal!H$280:H$296,$B326,cbal!$D$280:$D$296)+1)</f>
        <v>0</v>
      </c>
      <c r="I326" s="430">
        <f>INDEX($K326:$O326,SUMIF(cbal!I$280:I$296,$B326,cbal!$D$280:$D$296)+1)</f>
        <v>0</v>
      </c>
      <c r="K326" s="1577">
        <v>0</v>
      </c>
      <c r="L326" s="1579">
        <v>7.0000000000000007E-2</v>
      </c>
      <c r="M326" s="1579">
        <v>7.0000000000000007E-2</v>
      </c>
      <c r="N326" s="1579">
        <v>7.0000000000000007E-2</v>
      </c>
      <c r="O326" s="1579">
        <v>7.0000000000000007E-2</v>
      </c>
      <c r="R326" s="91" t="b">
        <f t="shared" si="36"/>
        <v>0</v>
      </c>
      <c r="S326" s="21" t="b">
        <f t="shared" si="37"/>
        <v>0</v>
      </c>
      <c r="T326" s="97" t="b">
        <f t="shared" si="38"/>
        <v>0</v>
      </c>
    </row>
    <row r="327" spans="1:20">
      <c r="B327" t="s">
        <v>4014</v>
      </c>
      <c r="C327" s="433">
        <v>168</v>
      </c>
      <c r="D327" t="str">
        <f>VLOOKUP($C327,param!$A$4:$B$266,2)</f>
        <v>Special Programs Expense Product 1 Region 1</v>
      </c>
      <c r="E327" s="183">
        <f>INDEX($K327:$O327,SUMIF(cbal!E$280:E$296,$B327,cbal!$D$280:$D$296)+1)</f>
        <v>0</v>
      </c>
      <c r="F327" s="183">
        <f>INDEX($K327:$O327,SUMIF(cbal!F$280:F$296,$B327,cbal!$D$280:$D$296)+1)</f>
        <v>0</v>
      </c>
      <c r="G327" s="183">
        <f>INDEX($K327:$O327,SUMIF(cbal!G$280:G$296,$B327,cbal!$D$280:$D$296)+1)</f>
        <v>0</v>
      </c>
      <c r="H327" s="183">
        <f>INDEX($K327:$O327,SUMIF(cbal!H$280:H$296,$B327,cbal!$D$280:$D$296)+1)</f>
        <v>0</v>
      </c>
      <c r="I327" s="183">
        <f>INDEX($K327:$O327,SUMIF(cbal!I$280:I$296,$B327,cbal!$D$280:$D$296)+1)</f>
        <v>0</v>
      </c>
      <c r="K327" s="1577">
        <v>0</v>
      </c>
      <c r="L327" s="1580">
        <f>2000000/3</f>
        <v>666666.66666666663</v>
      </c>
      <c r="M327" s="1581"/>
      <c r="N327" s="1581"/>
      <c r="O327" s="1581"/>
      <c r="R327" s="91">
        <f t="shared" si="36"/>
        <v>666666.66666666663</v>
      </c>
      <c r="S327" s="21">
        <f t="shared" si="37"/>
        <v>0</v>
      </c>
      <c r="T327" s="97" t="b">
        <f t="shared" si="38"/>
        <v>0</v>
      </c>
    </row>
    <row r="328" spans="1:20">
      <c r="B328" t="s">
        <v>4014</v>
      </c>
      <c r="C328" s="433">
        <v>170</v>
      </c>
      <c r="D328" t="str">
        <f>VLOOKUP($C328,param!$A$4:$B$266,2)</f>
        <v>Special Programs Expense Product 3 Region 1</v>
      </c>
      <c r="E328" s="183">
        <f>INDEX($K328:$O328,SUMIF(cbal!E$280:E$296,$B328,cbal!$D$280:$D$296)+1)</f>
        <v>0</v>
      </c>
      <c r="F328" s="183">
        <f>INDEX($K328:$O328,SUMIF(cbal!F$280:F$296,$B328,cbal!$D$280:$D$296)+1)</f>
        <v>0</v>
      </c>
      <c r="G328" s="183">
        <f>INDEX($K328:$O328,SUMIF(cbal!G$280:G$296,$B328,cbal!$D$280:$D$296)+1)</f>
        <v>0</v>
      </c>
      <c r="H328" s="183">
        <f>INDEX($K328:$O328,SUMIF(cbal!H$280:H$296,$B328,cbal!$D$280:$D$296)+1)</f>
        <v>0</v>
      </c>
      <c r="I328" s="183">
        <f>INDEX($K328:$O328,SUMIF(cbal!I$280:I$296,$B328,cbal!$D$280:$D$296)+1)</f>
        <v>0</v>
      </c>
      <c r="K328" s="1577">
        <v>0</v>
      </c>
      <c r="L328" s="1580">
        <f>2000000/3</f>
        <v>666666.66666666663</v>
      </c>
      <c r="M328" s="1581"/>
      <c r="N328" s="1581"/>
      <c r="O328" s="1581"/>
      <c r="R328" s="91">
        <f t="shared" si="36"/>
        <v>666666.66666666663</v>
      </c>
      <c r="S328" s="21">
        <f t="shared" si="37"/>
        <v>0</v>
      </c>
      <c r="T328" s="97" t="b">
        <f t="shared" si="38"/>
        <v>0</v>
      </c>
    </row>
    <row r="329" spans="1:20">
      <c r="B329" t="s">
        <v>4014</v>
      </c>
      <c r="C329" s="433">
        <v>171</v>
      </c>
      <c r="D329" t="str">
        <f>VLOOKUP($C329,param!$A$4:$B$266,2)</f>
        <v>Special Programs Expense Product 4 Region 1</v>
      </c>
      <c r="E329" s="183">
        <f>INDEX($K329:$O329,SUMIF(cbal!E$280:E$296,$B329,cbal!$D$280:$D$296)+1)</f>
        <v>0</v>
      </c>
      <c r="F329" s="183">
        <f>INDEX($K329:$O329,SUMIF(cbal!F$280:F$296,$B329,cbal!$D$280:$D$296)+1)</f>
        <v>0</v>
      </c>
      <c r="G329" s="183">
        <f>INDEX($K329:$O329,SUMIF(cbal!G$280:G$296,$B329,cbal!$D$280:$D$296)+1)</f>
        <v>0</v>
      </c>
      <c r="H329" s="183">
        <f>INDEX($K329:$O329,SUMIF(cbal!H$280:H$296,$B329,cbal!$D$280:$D$296)+1)</f>
        <v>0</v>
      </c>
      <c r="I329" s="183">
        <f>INDEX($K329:$O329,SUMIF(cbal!I$280:I$296,$B329,cbal!$D$280:$D$296)+1)</f>
        <v>0</v>
      </c>
      <c r="K329" s="1577">
        <v>0</v>
      </c>
      <c r="L329" s="1580">
        <f>2000000/3</f>
        <v>666666.66666666663</v>
      </c>
      <c r="M329" s="1581"/>
      <c r="N329" s="1581"/>
      <c r="O329" s="1581"/>
      <c r="R329" s="91">
        <f t="shared" si="36"/>
        <v>666666.66666666663</v>
      </c>
      <c r="S329" s="21">
        <f t="shared" si="37"/>
        <v>0</v>
      </c>
      <c r="T329" s="97" t="b">
        <f t="shared" si="38"/>
        <v>0</v>
      </c>
    </row>
    <row r="330" spans="1:20">
      <c r="B330" t="s">
        <v>4014</v>
      </c>
      <c r="C330" s="433">
        <v>133.5</v>
      </c>
      <c r="D330" t="str">
        <f>VLOOKUP($C330,param!$A$4:$B$266,2)</f>
        <v>MTU Initiatives Allocation</v>
      </c>
      <c r="E330" s="183">
        <f>INDEX($K330:$O330,SUMIF(cbal!E$280:E$296,$B330,cbal!$D$280:$D$296)+1)</f>
        <v>0</v>
      </c>
      <c r="F330" s="183">
        <f>INDEX($K330:$O330,SUMIF(cbal!F$280:F$296,$B330,cbal!$D$280:$D$296)+1)</f>
        <v>0</v>
      </c>
      <c r="G330" s="183">
        <f>INDEX($K330:$O330,SUMIF(cbal!G$280:G$296,$B330,cbal!$D$280:$D$296)+1)</f>
        <v>0</v>
      </c>
      <c r="H330" s="183">
        <f>INDEX($K330:$O330,SUMIF(cbal!H$280:H$296,$B330,cbal!$D$280:$D$296)+1)</f>
        <v>0</v>
      </c>
      <c r="I330" s="183">
        <f>INDEX($K330:$O330,SUMIF(cbal!I$280:I$296,$B330,cbal!$D$280:$D$296)+1)</f>
        <v>0</v>
      </c>
      <c r="K330" s="1577">
        <v>0</v>
      </c>
      <c r="L330" s="1580">
        <v>5</v>
      </c>
      <c r="M330" s="1581"/>
      <c r="N330" s="1581"/>
      <c r="O330" s="1581"/>
      <c r="R330" s="91" t="b">
        <f t="shared" si="36"/>
        <v>0</v>
      </c>
      <c r="S330" s="149" t="b">
        <f t="shared" si="37"/>
        <v>0</v>
      </c>
      <c r="T330" s="97">
        <f t="shared" si="38"/>
        <v>5</v>
      </c>
    </row>
    <row r="331" spans="1:20">
      <c r="B331" t="s">
        <v>4014</v>
      </c>
      <c r="C331" s="433">
        <v>201</v>
      </c>
      <c r="D331" t="str">
        <f>VLOOKUP($C331,param!$A$4:$B$266,2)</f>
        <v>Brands Strategy</v>
      </c>
      <c r="E331" s="183">
        <f>INDEX($K331:$O331,SUMIF(cbal!E$280:E$296,$B331,cbal!$D$280:$D$296)+1)</f>
        <v>0</v>
      </c>
      <c r="F331" s="183">
        <f>INDEX($K331:$O331,SUMIF(cbal!F$280:F$296,$B331,cbal!$D$280:$D$296)+1)</f>
        <v>0</v>
      </c>
      <c r="G331" s="183">
        <f>INDEX($K331:$O331,SUMIF(cbal!G$280:G$296,$B331,cbal!$D$280:$D$296)+1)</f>
        <v>0</v>
      </c>
      <c r="H331" s="183">
        <f>INDEX($K331:$O331,SUMIF(cbal!H$280:H$296,$B331,cbal!$D$280:$D$296)+1)</f>
        <v>0</v>
      </c>
      <c r="I331" s="183">
        <f>INDEX($K331:$O331,SUMIF(cbal!I$280:I$296,$B331,cbal!$D$280:$D$296)+1)</f>
        <v>0</v>
      </c>
      <c r="K331" s="1577">
        <v>0</v>
      </c>
      <c r="L331" s="1580">
        <f>L330</f>
        <v>5</v>
      </c>
      <c r="M331" s="1582">
        <f>L331</f>
        <v>5</v>
      </c>
      <c r="N331" s="1582">
        <f>M331</f>
        <v>5</v>
      </c>
      <c r="O331" s="1582">
        <f>N331</f>
        <v>5</v>
      </c>
      <c r="R331" s="91" t="b">
        <f>IF(AND(C331&gt;166,C331&lt;171.5),L331)</f>
        <v>0</v>
      </c>
      <c r="S331" s="21" t="b">
        <f>IF(AND(C331&gt;166,C331&lt;171.5),M331)</f>
        <v>0</v>
      </c>
      <c r="T331" s="97" t="b">
        <f>IF(C331=133.5,L331)</f>
        <v>0</v>
      </c>
    </row>
    <row r="332" spans="1:20">
      <c r="B332">
        <v>0</v>
      </c>
      <c r="C332" s="433">
        <v>0</v>
      </c>
      <c r="E332" s="183"/>
      <c r="F332" s="183"/>
      <c r="G332" s="183"/>
      <c r="H332" s="183"/>
      <c r="I332" s="183"/>
      <c r="K332" s="1577"/>
      <c r="L332" s="1580"/>
      <c r="M332" s="1581"/>
      <c r="N332" s="1581"/>
      <c r="O332" s="1581"/>
      <c r="R332" s="91">
        <v>0</v>
      </c>
      <c r="S332" s="21">
        <v>0</v>
      </c>
      <c r="T332" s="97">
        <v>0</v>
      </c>
    </row>
    <row r="333" spans="1:20">
      <c r="B333" t="s">
        <v>4015</v>
      </c>
      <c r="C333" t="str">
        <f>VLOOKUP(B333,DataInitiativesGrid,2,0)</f>
        <v>Cross-Category Bundling Promotion - Vetera</v>
      </c>
      <c r="E333" s="183"/>
      <c r="F333" s="183"/>
      <c r="G333" s="183"/>
      <c r="H333" s="183"/>
      <c r="I333" s="183"/>
      <c r="K333" s="1577">
        <v>0</v>
      </c>
      <c r="L333" s="1580"/>
      <c r="M333" s="1581"/>
      <c r="N333" s="1581"/>
      <c r="O333" s="1581"/>
      <c r="R333" s="91">
        <v>0</v>
      </c>
      <c r="S333" s="21">
        <v>0</v>
      </c>
      <c r="T333" s="97">
        <v>0</v>
      </c>
    </row>
    <row r="334" spans="1:20">
      <c r="B334" t="s">
        <v>4015</v>
      </c>
      <c r="C334" s="433">
        <v>5</v>
      </c>
      <c r="D334" t="str">
        <f>VLOOKUP($C334,param!$A$4:$B$266,2)</f>
        <v>CSD Region A Marketing Spend Effectiveness</v>
      </c>
      <c r="E334" s="430">
        <f>INDEX($K334:$O334,SUMIF(cbal!E$280:E$296,$B334,cbal!$D$280:$D$296)+1)</f>
        <v>0</v>
      </c>
      <c r="F334" s="430">
        <f>INDEX($K334:$O334,SUMIF(cbal!F$280:F$296,$B334,cbal!$D$280:$D$296)+1)</f>
        <v>0</v>
      </c>
      <c r="G334" s="430">
        <f>INDEX($K334:$O334,SUMIF(cbal!G$280:G$296,$B334,cbal!$D$280:$D$296)+1)</f>
        <v>0</v>
      </c>
      <c r="H334" s="430">
        <f>INDEX($K334:$O334,SUMIF(cbal!H$280:H$296,$B334,cbal!$D$280:$D$296)+1)</f>
        <v>0</v>
      </c>
      <c r="I334" s="430">
        <f>INDEX($K334:$O334,SUMIF(cbal!I$280:I$296,$B334,cbal!$D$280:$D$296)+1)</f>
        <v>0</v>
      </c>
      <c r="K334" s="1577">
        <v>0</v>
      </c>
      <c r="L334" s="1579">
        <v>0.01</v>
      </c>
      <c r="M334" s="1579">
        <v>0.01</v>
      </c>
      <c r="N334" s="1579">
        <v>0.01</v>
      </c>
      <c r="O334" s="1579">
        <v>0.01</v>
      </c>
      <c r="R334" s="91" t="b">
        <f t="shared" si="36"/>
        <v>0</v>
      </c>
      <c r="S334" s="21" t="b">
        <f t="shared" si="37"/>
        <v>0</v>
      </c>
      <c r="T334" s="97" t="b">
        <f t="shared" si="38"/>
        <v>0</v>
      </c>
    </row>
    <row r="335" spans="1:20">
      <c r="B335" t="s">
        <v>4015</v>
      </c>
      <c r="C335" s="433">
        <v>43</v>
      </c>
      <c r="D335" t="str">
        <f>VLOOKUP($C335,param!$A$4:$B$266,2)</f>
        <v>NCB Region A Marketing Spend Effectiveness</v>
      </c>
      <c r="E335" s="430">
        <f>INDEX($K335:$O335,SUMIF(cbal!E$280:E$296,$B335,cbal!$D$280:$D$296)+1)</f>
        <v>0</v>
      </c>
      <c r="F335" s="430">
        <f>INDEX($K335:$O335,SUMIF(cbal!F$280:F$296,$B335,cbal!$D$280:$D$296)+1)</f>
        <v>0</v>
      </c>
      <c r="G335" s="430">
        <f>INDEX($K335:$O335,SUMIF(cbal!G$280:G$296,$B335,cbal!$D$280:$D$296)+1)</f>
        <v>0</v>
      </c>
      <c r="H335" s="430">
        <f>INDEX($K335:$O335,SUMIF(cbal!H$280:H$296,$B335,cbal!$D$280:$D$296)+1)</f>
        <v>0</v>
      </c>
      <c r="I335" s="430">
        <f>INDEX($K335:$O335,SUMIF(cbal!I$280:I$296,$B335,cbal!$D$280:$D$296)+1)</f>
        <v>0</v>
      </c>
      <c r="K335" s="1577">
        <v>0</v>
      </c>
      <c r="L335" s="1579">
        <v>0.01</v>
      </c>
      <c r="M335" s="1579">
        <v>0.01</v>
      </c>
      <c r="N335" s="1579">
        <v>0.01</v>
      </c>
      <c r="O335" s="1579">
        <v>0.01</v>
      </c>
      <c r="R335" s="91" t="b">
        <f t="shared" si="36"/>
        <v>0</v>
      </c>
      <c r="S335" s="21" t="b">
        <f t="shared" si="37"/>
        <v>0</v>
      </c>
      <c r="T335" s="97" t="b">
        <f t="shared" si="38"/>
        <v>0</v>
      </c>
    </row>
    <row r="336" spans="1:20">
      <c r="B336" t="s">
        <v>4015</v>
      </c>
      <c r="C336" s="433">
        <v>76</v>
      </c>
      <c r="D336" t="str">
        <f>VLOOKUP($C336,param!$A$4:$B$266,2)</f>
        <v>F&amp;S Region A Marketing Spend Effectiveness</v>
      </c>
      <c r="E336" s="430">
        <f>INDEX($K336:$O336,SUMIF(cbal!E$280:E$296,$B336,cbal!$D$280:$D$296)+1)</f>
        <v>0</v>
      </c>
      <c r="F336" s="430">
        <f>INDEX($K336:$O336,SUMIF(cbal!F$280:F$296,$B336,cbal!$D$280:$D$296)+1)</f>
        <v>0</v>
      </c>
      <c r="G336" s="430">
        <f>INDEX($K336:$O336,SUMIF(cbal!G$280:G$296,$B336,cbal!$D$280:$D$296)+1)</f>
        <v>0</v>
      </c>
      <c r="H336" s="430">
        <f>INDEX($K336:$O336,SUMIF(cbal!H$280:H$296,$B336,cbal!$D$280:$D$296)+1)</f>
        <v>0</v>
      </c>
      <c r="I336" s="430">
        <f>INDEX($K336:$O336,SUMIF(cbal!I$280:I$296,$B336,cbal!$D$280:$D$296)+1)</f>
        <v>0</v>
      </c>
      <c r="K336" s="1577">
        <v>0</v>
      </c>
      <c r="L336" s="1579">
        <v>0.01</v>
      </c>
      <c r="M336" s="1579">
        <v>0.01</v>
      </c>
      <c r="N336" s="1579">
        <v>0.01</v>
      </c>
      <c r="O336" s="1579">
        <v>0.01</v>
      </c>
      <c r="R336" s="91" t="b">
        <f t="shared" si="36"/>
        <v>0</v>
      </c>
      <c r="S336" s="21" t="b">
        <f t="shared" si="37"/>
        <v>0</v>
      </c>
      <c r="T336" s="97" t="b">
        <f t="shared" si="38"/>
        <v>0</v>
      </c>
    </row>
    <row r="337" spans="2:20">
      <c r="B337" t="s">
        <v>4015</v>
      </c>
      <c r="C337" s="433">
        <v>193</v>
      </c>
      <c r="D337" t="str">
        <f>VLOOKUP($C337,param!$A$4:$B$266,2)</f>
        <v>Healthy Product Innovation</v>
      </c>
      <c r="E337" s="430">
        <f>INDEX($K337:$O337,SUMIF(cbal!E$280:E$296,$B337,cbal!$D$280:$D$296)+1)</f>
        <v>0</v>
      </c>
      <c r="F337" s="430">
        <f>INDEX($K337:$O337,SUMIF(cbal!F$280:F$296,$B337,cbal!$D$280:$D$296)+1)</f>
        <v>0</v>
      </c>
      <c r="G337" s="430">
        <f>INDEX($K337:$O337,SUMIF(cbal!G$280:G$296,$B337,cbal!$D$280:$D$296)+1)</f>
        <v>0</v>
      </c>
      <c r="H337" s="430">
        <f>INDEX($K337:$O337,SUMIF(cbal!H$280:H$296,$B337,cbal!$D$280:$D$296)+1)</f>
        <v>0</v>
      </c>
      <c r="I337" s="430">
        <f>INDEX($K337:$O337,SUMIF(cbal!I$280:I$296,$B337,cbal!$D$280:$D$296)+1)</f>
        <v>0</v>
      </c>
      <c r="K337" s="1577">
        <v>0</v>
      </c>
      <c r="L337" s="1579">
        <v>0.02</v>
      </c>
      <c r="M337" s="1579">
        <v>0.02</v>
      </c>
      <c r="N337" s="1579">
        <v>0.02</v>
      </c>
      <c r="O337" s="1579">
        <v>0.02</v>
      </c>
      <c r="R337" s="91" t="b">
        <f t="shared" si="36"/>
        <v>0</v>
      </c>
      <c r="S337" s="21" t="b">
        <f t="shared" si="37"/>
        <v>0</v>
      </c>
      <c r="T337" s="97" t="b">
        <f t="shared" si="38"/>
        <v>0</v>
      </c>
    </row>
    <row r="338" spans="2:20">
      <c r="B338" t="s">
        <v>4015</v>
      </c>
      <c r="C338" s="433">
        <v>168</v>
      </c>
      <c r="D338" t="str">
        <f>VLOOKUP($C338,param!$A$4:$B$266,2)</f>
        <v>Special Programs Expense Product 1 Region 1</v>
      </c>
      <c r="E338" s="183">
        <f>INDEX($K338:$O338,SUMIF(cbal!E$280:E$296,$B338,cbal!$D$280:$D$296)+1)</f>
        <v>0</v>
      </c>
      <c r="F338" s="183">
        <f>INDEX($K338:$O338,SUMIF(cbal!F$280:F$296,$B338,cbal!$D$280:$D$296)+1)</f>
        <v>0</v>
      </c>
      <c r="G338" s="183">
        <f>INDEX($K338:$O338,SUMIF(cbal!G$280:G$296,$B338,cbal!$D$280:$D$296)+1)</f>
        <v>0</v>
      </c>
      <c r="H338" s="183">
        <f>INDEX($K338:$O338,SUMIF(cbal!H$280:H$296,$B338,cbal!$D$280:$D$296)+1)</f>
        <v>0</v>
      </c>
      <c r="I338" s="183">
        <f>INDEX($K338:$O338,SUMIF(cbal!I$280:I$296,$B338,cbal!$D$280:$D$296)+1)</f>
        <v>0</v>
      </c>
      <c r="K338" s="1577">
        <v>0</v>
      </c>
      <c r="L338" s="1580">
        <f>2500000/3</f>
        <v>833333.33333333337</v>
      </c>
      <c r="M338" s="1581"/>
      <c r="N338" s="1581"/>
      <c r="O338" s="1581"/>
      <c r="R338" s="91">
        <f t="shared" si="36"/>
        <v>833333.33333333337</v>
      </c>
      <c r="S338" s="21">
        <f t="shared" si="37"/>
        <v>0</v>
      </c>
      <c r="T338" s="97" t="b">
        <f t="shared" si="38"/>
        <v>0</v>
      </c>
    </row>
    <row r="339" spans="2:20">
      <c r="B339" t="s">
        <v>4015</v>
      </c>
      <c r="C339" s="433">
        <v>170</v>
      </c>
      <c r="D339" t="str">
        <f>VLOOKUP($C339,param!$A$4:$B$266,2)</f>
        <v>Special Programs Expense Product 3 Region 1</v>
      </c>
      <c r="E339" s="183">
        <f>INDEX($K339:$O339,SUMIF(cbal!E$280:E$296,$B339,cbal!$D$280:$D$296)+1)</f>
        <v>0</v>
      </c>
      <c r="F339" s="183">
        <f>INDEX($K339:$O339,SUMIF(cbal!F$280:F$296,$B339,cbal!$D$280:$D$296)+1)</f>
        <v>0</v>
      </c>
      <c r="G339" s="183">
        <f>INDEX($K339:$O339,SUMIF(cbal!G$280:G$296,$B339,cbal!$D$280:$D$296)+1)</f>
        <v>0</v>
      </c>
      <c r="H339" s="183">
        <f>INDEX($K339:$O339,SUMIF(cbal!H$280:H$296,$B339,cbal!$D$280:$D$296)+1)</f>
        <v>0</v>
      </c>
      <c r="I339" s="183">
        <f>INDEX($K339:$O339,SUMIF(cbal!I$280:I$296,$B339,cbal!$D$280:$D$296)+1)</f>
        <v>0</v>
      </c>
      <c r="K339" s="1577">
        <v>0</v>
      </c>
      <c r="L339" s="1580">
        <f>2500000/3</f>
        <v>833333.33333333337</v>
      </c>
      <c r="M339" s="1581"/>
      <c r="N339" s="1581"/>
      <c r="O339" s="1581"/>
      <c r="R339" s="91">
        <f t="shared" si="36"/>
        <v>833333.33333333337</v>
      </c>
      <c r="S339" s="21">
        <f t="shared" si="37"/>
        <v>0</v>
      </c>
      <c r="T339" s="97" t="b">
        <f t="shared" si="38"/>
        <v>0</v>
      </c>
    </row>
    <row r="340" spans="2:20">
      <c r="B340" t="s">
        <v>4015</v>
      </c>
      <c r="C340" s="433">
        <v>171</v>
      </c>
      <c r="D340" t="str">
        <f>VLOOKUP($C340,param!$A$4:$B$266,2)</f>
        <v>Special Programs Expense Product 4 Region 1</v>
      </c>
      <c r="E340" s="183">
        <f>INDEX($K340:$O340,SUMIF(cbal!E$280:E$296,$B340,cbal!$D$280:$D$296)+1)</f>
        <v>0</v>
      </c>
      <c r="F340" s="183">
        <f>INDEX($K340:$O340,SUMIF(cbal!F$280:F$296,$B340,cbal!$D$280:$D$296)+1)</f>
        <v>0</v>
      </c>
      <c r="G340" s="183">
        <f>INDEX($K340:$O340,SUMIF(cbal!G$280:G$296,$B340,cbal!$D$280:$D$296)+1)</f>
        <v>0</v>
      </c>
      <c r="H340" s="183">
        <f>INDEX($K340:$O340,SUMIF(cbal!H$280:H$296,$B340,cbal!$D$280:$D$296)+1)</f>
        <v>0</v>
      </c>
      <c r="I340" s="183">
        <f>INDEX($K340:$O340,SUMIF(cbal!I$280:I$296,$B340,cbal!$D$280:$D$296)+1)</f>
        <v>0</v>
      </c>
      <c r="K340" s="1577">
        <v>0</v>
      </c>
      <c r="L340" s="1580">
        <f>2500000/3</f>
        <v>833333.33333333337</v>
      </c>
      <c r="M340" s="1581"/>
      <c r="N340" s="1581"/>
      <c r="O340" s="1581"/>
      <c r="R340" s="91">
        <f t="shared" si="36"/>
        <v>833333.33333333337</v>
      </c>
      <c r="S340" s="21">
        <f t="shared" si="37"/>
        <v>0</v>
      </c>
      <c r="T340" s="97" t="b">
        <f t="shared" si="38"/>
        <v>0</v>
      </c>
    </row>
    <row r="341" spans="2:20">
      <c r="B341" t="s">
        <v>4015</v>
      </c>
      <c r="C341" s="433">
        <v>133.5</v>
      </c>
      <c r="D341" t="str">
        <f>VLOOKUP($C341,param!$A$4:$B$266,2)</f>
        <v>MTU Initiatives Allocation</v>
      </c>
      <c r="E341" s="183">
        <f>INDEX($K341:$O341,SUMIF(cbal!E$280:E$296,$B341,cbal!$D$280:$D$296)+1)</f>
        <v>0</v>
      </c>
      <c r="F341" s="183">
        <f>INDEX($K341:$O341,SUMIF(cbal!F$280:F$296,$B341,cbal!$D$280:$D$296)+1)</f>
        <v>0</v>
      </c>
      <c r="G341" s="183">
        <f>INDEX($K341:$O341,SUMIF(cbal!G$280:G$296,$B341,cbal!$D$280:$D$296)+1)</f>
        <v>0</v>
      </c>
      <c r="H341" s="183">
        <f>INDEX($K341:$O341,SUMIF(cbal!H$280:H$296,$B341,cbal!$D$280:$D$296)+1)</f>
        <v>0</v>
      </c>
      <c r="I341" s="183">
        <f>INDEX($K341:$O341,SUMIF(cbal!I$280:I$296,$B341,cbal!$D$280:$D$296)+1)</f>
        <v>0</v>
      </c>
      <c r="K341" s="1577">
        <v>0</v>
      </c>
      <c r="L341" s="1580">
        <v>5</v>
      </c>
      <c r="M341" s="1581"/>
      <c r="N341" s="1581"/>
      <c r="O341" s="1581"/>
      <c r="R341" s="91" t="b">
        <f t="shared" si="36"/>
        <v>0</v>
      </c>
      <c r="S341" s="21" t="b">
        <f t="shared" si="37"/>
        <v>0</v>
      </c>
      <c r="T341" s="97">
        <f t="shared" si="38"/>
        <v>5</v>
      </c>
    </row>
    <row r="342" spans="2:20">
      <c r="B342" t="s">
        <v>4015</v>
      </c>
      <c r="C342" s="433">
        <v>201</v>
      </c>
      <c r="D342" t="str">
        <f>VLOOKUP($C342,param!$A$4:$B$266,2)</f>
        <v>Brands Strategy</v>
      </c>
      <c r="E342" s="183">
        <f>INDEX($K342:$O342,SUMIF(cbal!E$280:E$296,$B342,cbal!$D$280:$D$296)+1)</f>
        <v>0</v>
      </c>
      <c r="F342" s="183">
        <f>INDEX($K342:$O342,SUMIF(cbal!F$280:F$296,$B342,cbal!$D$280:$D$296)+1)</f>
        <v>0</v>
      </c>
      <c r="G342" s="183">
        <f>INDEX($K342:$O342,SUMIF(cbal!G$280:G$296,$B342,cbal!$D$280:$D$296)+1)</f>
        <v>0</v>
      </c>
      <c r="H342" s="183">
        <f>INDEX($K342:$O342,SUMIF(cbal!H$280:H$296,$B342,cbal!$D$280:$D$296)+1)</f>
        <v>0</v>
      </c>
      <c r="I342" s="183">
        <f>INDEX($K342:$O342,SUMIF(cbal!I$280:I$296,$B342,cbal!$D$280:$D$296)+1)</f>
        <v>0</v>
      </c>
      <c r="K342" s="1577">
        <v>0</v>
      </c>
      <c r="L342" s="1580">
        <f>L341/2</f>
        <v>2.5</v>
      </c>
      <c r="M342" s="1582">
        <f t="shared" ref="M342:O343" si="39">L342</f>
        <v>2.5</v>
      </c>
      <c r="N342" s="1582">
        <f t="shared" si="39"/>
        <v>2.5</v>
      </c>
      <c r="O342" s="1582">
        <f t="shared" si="39"/>
        <v>2.5</v>
      </c>
      <c r="R342" s="91" t="b">
        <f>IF(AND(C342&gt;166,C342&lt;171.5),L342)</f>
        <v>0</v>
      </c>
      <c r="S342" s="21" t="b">
        <f>IF(AND(C342&gt;166,C342&lt;171.5),M342)</f>
        <v>0</v>
      </c>
      <c r="T342" s="97" t="b">
        <f>IF(C342=133.5,L342)</f>
        <v>0</v>
      </c>
    </row>
    <row r="343" spans="2:20">
      <c r="B343" t="s">
        <v>4015</v>
      </c>
      <c r="C343" s="433">
        <v>202</v>
      </c>
      <c r="D343" t="str">
        <f>VLOOKUP($C343,param!$A$4:$B$266,2)</f>
        <v>Go-to-Market Strategy</v>
      </c>
      <c r="E343" s="183">
        <f>INDEX($K343:$O343,SUMIF(cbal!E$280:E$296,$B343,cbal!$D$280:$D$296)+1)</f>
        <v>0</v>
      </c>
      <c r="F343" s="183">
        <f>INDEX($K343:$O343,SUMIF(cbal!F$280:F$296,$B343,cbal!$D$280:$D$296)+1)</f>
        <v>0</v>
      </c>
      <c r="G343" s="183">
        <f>INDEX($K343:$O343,SUMIF(cbal!G$280:G$296,$B343,cbal!$D$280:$D$296)+1)</f>
        <v>0</v>
      </c>
      <c r="H343" s="183">
        <f>INDEX($K343:$O343,SUMIF(cbal!H$280:H$296,$B343,cbal!$D$280:$D$296)+1)</f>
        <v>0</v>
      </c>
      <c r="I343" s="183">
        <f>INDEX($K343:$O343,SUMIF(cbal!I$280:I$296,$B343,cbal!$D$280:$D$296)+1)</f>
        <v>0</v>
      </c>
      <c r="K343" s="1577">
        <v>0</v>
      </c>
      <c r="L343" s="1580">
        <f>L341-L342</f>
        <v>2.5</v>
      </c>
      <c r="M343" s="1582">
        <f t="shared" si="39"/>
        <v>2.5</v>
      </c>
      <c r="N343" s="1582">
        <f t="shared" si="39"/>
        <v>2.5</v>
      </c>
      <c r="O343" s="1582">
        <f t="shared" si="39"/>
        <v>2.5</v>
      </c>
      <c r="R343" s="91" t="b">
        <f>IF(AND(C343&gt;166,C343&lt;171.5),L343)</f>
        <v>0</v>
      </c>
      <c r="S343" s="21" t="b">
        <f>IF(AND(C343&gt;166,C343&lt;171.5),M343)</f>
        <v>0</v>
      </c>
      <c r="T343" s="97" t="b">
        <f>IF(C343=133.5,L343)</f>
        <v>0</v>
      </c>
    </row>
    <row r="344" spans="2:20">
      <c r="B344">
        <v>0</v>
      </c>
      <c r="C344" s="433">
        <v>0</v>
      </c>
      <c r="E344" s="183"/>
      <c r="F344" s="183"/>
      <c r="G344" s="183"/>
      <c r="H344" s="183"/>
      <c r="I344" s="183"/>
      <c r="K344" s="1577"/>
      <c r="L344" s="1580"/>
      <c r="M344" s="1581"/>
      <c r="N344" s="1581"/>
      <c r="O344" s="1581"/>
      <c r="R344" s="91">
        <v>0</v>
      </c>
      <c r="S344" s="21">
        <v>0</v>
      </c>
      <c r="T344" s="97">
        <v>0</v>
      </c>
    </row>
    <row r="345" spans="2:20">
      <c r="B345" s="1568" t="s">
        <v>4016</v>
      </c>
      <c r="C345" s="33" t="str">
        <f>VLOOKUP(B345,DataInitiativesGrid,2,0)</f>
        <v>Cross-Category Bundling Promotion - Escendia</v>
      </c>
      <c r="D345" s="33"/>
      <c r="E345" s="183"/>
      <c r="F345" s="183"/>
      <c r="G345" s="183"/>
      <c r="H345" s="183"/>
      <c r="I345" s="183"/>
      <c r="K345" s="1577">
        <v>0</v>
      </c>
      <c r="L345" s="1580"/>
      <c r="M345" s="1581"/>
      <c r="N345" s="1581"/>
      <c r="O345" s="1581"/>
      <c r="R345" s="91">
        <v>0</v>
      </c>
      <c r="S345" s="21">
        <v>0</v>
      </c>
      <c r="T345" s="97">
        <v>0</v>
      </c>
    </row>
    <row r="346" spans="2:20">
      <c r="B346" s="1568" t="s">
        <v>4016</v>
      </c>
      <c r="C346" s="433">
        <v>5.0999999999999996</v>
      </c>
      <c r="D346" t="str">
        <f>VLOOKUP($C346,param!$A$4:$B$266,2)</f>
        <v>CSD Region B Marketing Spend Effectiveness</v>
      </c>
      <c r="E346" s="430">
        <f>INDEX($K346:$O346,SUMIF(cbal!E$280:E$296,$B346,cbal!$D$280:$D$296)+1)</f>
        <v>0</v>
      </c>
      <c r="F346" s="430">
        <f>INDEX($K346:$O346,SUMIF(cbal!F$280:F$296,$B346,cbal!$D$280:$D$296)+1)</f>
        <v>0</v>
      </c>
      <c r="G346" s="430">
        <f>INDEX($K346:$O346,SUMIF(cbal!G$280:G$296,$B346,cbal!$D$280:$D$296)+1)</f>
        <v>0</v>
      </c>
      <c r="H346" s="430">
        <f>INDEX($K346:$O346,SUMIF(cbal!H$280:H$296,$B346,cbal!$D$280:$D$296)+1)</f>
        <v>0</v>
      </c>
      <c r="I346" s="430">
        <f>INDEX($K346:$O346,SUMIF(cbal!I$280:I$296,$B346,cbal!$D$280:$D$296)+1)</f>
        <v>0</v>
      </c>
      <c r="K346" s="1577">
        <v>0</v>
      </c>
      <c r="L346" s="1579">
        <v>0.01</v>
      </c>
      <c r="M346" s="1579">
        <v>0.01</v>
      </c>
      <c r="N346" s="1579">
        <v>0.01</v>
      </c>
      <c r="O346" s="1579">
        <v>0.01</v>
      </c>
      <c r="R346" s="91" t="b">
        <f t="shared" ref="R346:R353" si="40">IF(AND(C346&gt;166,C346&lt;171.5),L346)</f>
        <v>0</v>
      </c>
      <c r="S346" s="21" t="b">
        <f t="shared" ref="S346:S353" si="41">IF(AND(C346&gt;166,C346&lt;171.5),M346)</f>
        <v>0</v>
      </c>
      <c r="T346" s="97" t="b">
        <f t="shared" ref="T346:T353" si="42">IF(C346=133.5,L346)</f>
        <v>0</v>
      </c>
    </row>
    <row r="347" spans="2:20">
      <c r="B347" s="1568" t="s">
        <v>4016</v>
      </c>
      <c r="C347" s="433">
        <v>43.1</v>
      </c>
      <c r="D347" t="str">
        <f>VLOOKUP($C347,param!$A$4:$B$266,2)</f>
        <v>NCB Region B Marketing Spend Effectiveness</v>
      </c>
      <c r="E347" s="430">
        <f>INDEX($K347:$O347,SUMIF(cbal!E$280:E$296,$B347,cbal!$D$280:$D$296)+1)</f>
        <v>0</v>
      </c>
      <c r="F347" s="430">
        <f>INDEX($K347:$O347,SUMIF(cbal!F$280:F$296,$B347,cbal!$D$280:$D$296)+1)</f>
        <v>0</v>
      </c>
      <c r="G347" s="430">
        <f>INDEX($K347:$O347,SUMIF(cbal!G$280:G$296,$B347,cbal!$D$280:$D$296)+1)</f>
        <v>0</v>
      </c>
      <c r="H347" s="430">
        <f>INDEX($K347:$O347,SUMIF(cbal!H$280:H$296,$B347,cbal!$D$280:$D$296)+1)</f>
        <v>0</v>
      </c>
      <c r="I347" s="430">
        <f>INDEX($K347:$O347,SUMIF(cbal!I$280:I$296,$B347,cbal!$D$280:$D$296)+1)</f>
        <v>0</v>
      </c>
      <c r="K347" s="1577">
        <v>0</v>
      </c>
      <c r="L347" s="1579">
        <v>0.01</v>
      </c>
      <c r="M347" s="1579">
        <v>0.01</v>
      </c>
      <c r="N347" s="1579">
        <v>0.01</v>
      </c>
      <c r="O347" s="1579">
        <v>0.01</v>
      </c>
      <c r="R347" s="91" t="b">
        <f t="shared" si="40"/>
        <v>0</v>
      </c>
      <c r="S347" s="21" t="b">
        <f t="shared" si="41"/>
        <v>0</v>
      </c>
      <c r="T347" s="97" t="b">
        <f t="shared" si="42"/>
        <v>0</v>
      </c>
    </row>
    <row r="348" spans="2:20">
      <c r="B348" s="1568" t="s">
        <v>4016</v>
      </c>
      <c r="C348" s="433">
        <v>76.099999999999994</v>
      </c>
      <c r="D348" t="str">
        <f>VLOOKUP($C348,param!$A$4:$B$266,2)</f>
        <v>F&amp;S Region B Marketing Spend Effectiveness</v>
      </c>
      <c r="E348" s="430">
        <f>INDEX($K348:$O348,SUMIF(cbal!E$280:E$296,$B348,cbal!$D$280:$D$296)+1)</f>
        <v>0</v>
      </c>
      <c r="F348" s="430">
        <f>INDEX($K348:$O348,SUMIF(cbal!F$280:F$296,$B348,cbal!$D$280:$D$296)+1)</f>
        <v>0</v>
      </c>
      <c r="G348" s="430">
        <f>INDEX($K348:$O348,SUMIF(cbal!G$280:G$296,$B348,cbal!$D$280:$D$296)+1)</f>
        <v>0</v>
      </c>
      <c r="H348" s="430">
        <f>INDEX($K348:$O348,SUMIF(cbal!H$280:H$296,$B348,cbal!$D$280:$D$296)+1)</f>
        <v>0</v>
      </c>
      <c r="I348" s="430">
        <f>INDEX($K348:$O348,SUMIF(cbal!I$280:I$296,$B348,cbal!$D$280:$D$296)+1)</f>
        <v>0</v>
      </c>
      <c r="K348" s="1577">
        <v>0</v>
      </c>
      <c r="L348" s="1579">
        <v>0.01</v>
      </c>
      <c r="M348" s="1579">
        <v>0.01</v>
      </c>
      <c r="N348" s="1579">
        <v>0.01</v>
      </c>
      <c r="O348" s="1579">
        <v>0.01</v>
      </c>
      <c r="R348" s="91" t="b">
        <f t="shared" si="40"/>
        <v>0</v>
      </c>
      <c r="S348" s="21" t="b">
        <f t="shared" si="41"/>
        <v>0</v>
      </c>
      <c r="T348" s="97" t="b">
        <f t="shared" si="42"/>
        <v>0</v>
      </c>
    </row>
    <row r="349" spans="2:20">
      <c r="B349" s="1568" t="s">
        <v>4016</v>
      </c>
      <c r="C349" s="433">
        <v>193</v>
      </c>
      <c r="D349" t="str">
        <f>VLOOKUP($C349,param!$A$4:$B$266,2)</f>
        <v>Healthy Product Innovation</v>
      </c>
      <c r="E349" s="430">
        <f>INDEX($K349:$O349,SUMIF(cbal!E$280:E$296,$B349,cbal!$D$280:$D$296)+1)</f>
        <v>0</v>
      </c>
      <c r="F349" s="430">
        <f>INDEX($K349:$O349,SUMIF(cbal!F$280:F$296,$B349,cbal!$D$280:$D$296)+1)</f>
        <v>0</v>
      </c>
      <c r="G349" s="430">
        <f>INDEX($K349:$O349,SUMIF(cbal!G$280:G$296,$B349,cbal!$D$280:$D$296)+1)</f>
        <v>0</v>
      </c>
      <c r="H349" s="430">
        <f>INDEX($K349:$O349,SUMIF(cbal!H$280:H$296,$B349,cbal!$D$280:$D$296)+1)</f>
        <v>0</v>
      </c>
      <c r="I349" s="430">
        <f>INDEX($K349:$O349,SUMIF(cbal!I$280:I$296,$B349,cbal!$D$280:$D$296)+1)</f>
        <v>0</v>
      </c>
      <c r="K349" s="1577">
        <v>0</v>
      </c>
      <c r="L349" s="1579">
        <v>0.02</v>
      </c>
      <c r="M349" s="1579">
        <v>0.02</v>
      </c>
      <c r="N349" s="1579">
        <v>0.02</v>
      </c>
      <c r="O349" s="1579">
        <v>0.02</v>
      </c>
      <c r="R349" s="91" t="b">
        <f t="shared" si="40"/>
        <v>0</v>
      </c>
      <c r="S349" s="21" t="b">
        <f t="shared" si="41"/>
        <v>0</v>
      </c>
      <c r="T349" s="97" t="b">
        <f t="shared" si="42"/>
        <v>0</v>
      </c>
    </row>
    <row r="350" spans="2:20">
      <c r="B350" s="1568" t="s">
        <v>4016</v>
      </c>
      <c r="C350" s="433">
        <v>168.1</v>
      </c>
      <c r="D350" t="str">
        <f>VLOOKUP($C350,param!$A$4:$B$266,2)</f>
        <v>Special Programs Expense Product 1 Region 2</v>
      </c>
      <c r="E350" s="183">
        <f>INDEX($K350:$O350,SUMIF(cbal!E$280:E$296,$B350,cbal!$D$280:$D$296)+1)</f>
        <v>0</v>
      </c>
      <c r="F350" s="183">
        <f>INDEX($K350:$O350,SUMIF(cbal!F$280:F$296,$B350,cbal!$D$280:$D$296)+1)</f>
        <v>0</v>
      </c>
      <c r="G350" s="183">
        <f>INDEX($K350:$O350,SUMIF(cbal!G$280:G$296,$B350,cbal!$D$280:$D$296)+1)</f>
        <v>0</v>
      </c>
      <c r="H350" s="183">
        <f>INDEX($K350:$O350,SUMIF(cbal!H$280:H$296,$B350,cbal!$D$280:$D$296)+1)</f>
        <v>0</v>
      </c>
      <c r="I350" s="183">
        <f>INDEX($K350:$O350,SUMIF(cbal!I$280:I$296,$B350,cbal!$D$280:$D$296)+1)</f>
        <v>0</v>
      </c>
      <c r="K350" s="1577">
        <v>0</v>
      </c>
      <c r="L350" s="1580">
        <f>2500000/3</f>
        <v>833333.33333333337</v>
      </c>
      <c r="M350" s="1581"/>
      <c r="N350" s="1581"/>
      <c r="O350" s="1581"/>
      <c r="R350" s="91">
        <f t="shared" si="40"/>
        <v>833333.33333333337</v>
      </c>
      <c r="S350" s="21">
        <f t="shared" si="41"/>
        <v>0</v>
      </c>
      <c r="T350" s="97" t="b">
        <f t="shared" si="42"/>
        <v>0</v>
      </c>
    </row>
    <row r="351" spans="2:20">
      <c r="B351" s="1568" t="s">
        <v>4016</v>
      </c>
      <c r="C351" s="433">
        <v>170.1</v>
      </c>
      <c r="D351" t="str">
        <f>VLOOKUP($C351,param!$A$4:$B$266,2)</f>
        <v>Special Programs Expense Product 3 Region 2</v>
      </c>
      <c r="E351" s="183">
        <f>INDEX($K351:$O351,SUMIF(cbal!E$280:E$296,$B351,cbal!$D$280:$D$296)+1)</f>
        <v>0</v>
      </c>
      <c r="F351" s="183">
        <f>INDEX($K351:$O351,SUMIF(cbal!F$280:F$296,$B351,cbal!$D$280:$D$296)+1)</f>
        <v>0</v>
      </c>
      <c r="G351" s="183">
        <f>INDEX($K351:$O351,SUMIF(cbal!G$280:G$296,$B351,cbal!$D$280:$D$296)+1)</f>
        <v>0</v>
      </c>
      <c r="H351" s="183">
        <f>INDEX($K351:$O351,SUMIF(cbal!H$280:H$296,$B351,cbal!$D$280:$D$296)+1)</f>
        <v>0</v>
      </c>
      <c r="I351" s="183">
        <f>INDEX($K351:$O351,SUMIF(cbal!I$280:I$296,$B351,cbal!$D$280:$D$296)+1)</f>
        <v>0</v>
      </c>
      <c r="K351" s="1577">
        <v>0</v>
      </c>
      <c r="L351" s="1580">
        <f>2500000/3</f>
        <v>833333.33333333337</v>
      </c>
      <c r="M351" s="1581"/>
      <c r="N351" s="1581"/>
      <c r="O351" s="1581"/>
      <c r="R351" s="91">
        <f t="shared" si="40"/>
        <v>833333.33333333337</v>
      </c>
      <c r="S351" s="21">
        <f t="shared" si="41"/>
        <v>0</v>
      </c>
      <c r="T351" s="97" t="b">
        <f t="shared" si="42"/>
        <v>0</v>
      </c>
    </row>
    <row r="352" spans="2:20">
      <c r="B352" s="1568" t="s">
        <v>4016</v>
      </c>
      <c r="C352" s="433">
        <v>171.1</v>
      </c>
      <c r="D352" t="str">
        <f>VLOOKUP($C352,param!$A$4:$B$266,2)</f>
        <v>Special Programs Expense Product 4 Region 2</v>
      </c>
      <c r="E352" s="183">
        <f>INDEX($K352:$O352,SUMIF(cbal!E$280:E$296,$B352,cbal!$D$280:$D$296)+1)</f>
        <v>0</v>
      </c>
      <c r="F352" s="183">
        <f>INDEX($K352:$O352,SUMIF(cbal!F$280:F$296,$B352,cbal!$D$280:$D$296)+1)</f>
        <v>0</v>
      </c>
      <c r="G352" s="183">
        <f>INDEX($K352:$O352,SUMIF(cbal!G$280:G$296,$B352,cbal!$D$280:$D$296)+1)</f>
        <v>0</v>
      </c>
      <c r="H352" s="183">
        <f>INDEX($K352:$O352,SUMIF(cbal!H$280:H$296,$B352,cbal!$D$280:$D$296)+1)</f>
        <v>0</v>
      </c>
      <c r="I352" s="183">
        <f>INDEX($K352:$O352,SUMIF(cbal!I$280:I$296,$B352,cbal!$D$280:$D$296)+1)</f>
        <v>0</v>
      </c>
      <c r="K352" s="1577">
        <v>0</v>
      </c>
      <c r="L352" s="1580">
        <f>2500000/3</f>
        <v>833333.33333333337</v>
      </c>
      <c r="M352" s="1581"/>
      <c r="N352" s="1581"/>
      <c r="O352" s="1581"/>
      <c r="R352" s="91">
        <f t="shared" si="40"/>
        <v>833333.33333333337</v>
      </c>
      <c r="S352" s="21">
        <f t="shared" si="41"/>
        <v>0</v>
      </c>
      <c r="T352" s="97" t="b">
        <f t="shared" si="42"/>
        <v>0</v>
      </c>
    </row>
    <row r="353" spans="2:20">
      <c r="B353" s="1568" t="s">
        <v>4016</v>
      </c>
      <c r="C353" s="433">
        <v>133.5</v>
      </c>
      <c r="D353" t="str">
        <f>VLOOKUP($C353,param!$A$4:$B$266,2)</f>
        <v>MTU Initiatives Allocation</v>
      </c>
      <c r="E353" s="183">
        <f>INDEX($K353:$O353,SUMIF(cbal!E$280:E$296,$B353,cbal!$D$280:$D$296)+1)</f>
        <v>0</v>
      </c>
      <c r="F353" s="183">
        <f>INDEX($K353:$O353,SUMIF(cbal!F$280:F$296,$B353,cbal!$D$280:$D$296)+1)</f>
        <v>0</v>
      </c>
      <c r="G353" s="183">
        <f>INDEX($K353:$O353,SUMIF(cbal!G$280:G$296,$B353,cbal!$D$280:$D$296)+1)</f>
        <v>0</v>
      </c>
      <c r="H353" s="183">
        <f>INDEX($K353:$O353,SUMIF(cbal!H$280:H$296,$B353,cbal!$D$280:$D$296)+1)</f>
        <v>0</v>
      </c>
      <c r="I353" s="183">
        <f>INDEX($K353:$O353,SUMIF(cbal!I$280:I$296,$B353,cbal!$D$280:$D$296)+1)</f>
        <v>0</v>
      </c>
      <c r="K353" s="1577">
        <v>0</v>
      </c>
      <c r="L353" s="1580">
        <v>5</v>
      </c>
      <c r="M353" s="1581"/>
      <c r="N353" s="1581"/>
      <c r="O353" s="1581"/>
      <c r="R353" s="91" t="b">
        <f t="shared" si="40"/>
        <v>0</v>
      </c>
      <c r="S353" s="21" t="b">
        <f t="shared" si="41"/>
        <v>0</v>
      </c>
      <c r="T353" s="97">
        <f t="shared" si="42"/>
        <v>5</v>
      </c>
    </row>
    <row r="354" spans="2:20">
      <c r="B354" s="1568" t="s">
        <v>4016</v>
      </c>
      <c r="C354" s="433">
        <v>201</v>
      </c>
      <c r="D354" t="str">
        <f>VLOOKUP($C354,param!$A$4:$B$266,2)</f>
        <v>Brands Strategy</v>
      </c>
      <c r="E354" s="183">
        <f>INDEX($K354:$O354,SUMIF(cbal!E$280:E$296,$B354,cbal!$D$280:$D$296)+1)</f>
        <v>0</v>
      </c>
      <c r="F354" s="183">
        <f>INDEX($K354:$O354,SUMIF(cbal!F$280:F$296,$B354,cbal!$D$280:$D$296)+1)</f>
        <v>0</v>
      </c>
      <c r="G354" s="183">
        <f>INDEX($K354:$O354,SUMIF(cbal!G$280:G$296,$B354,cbal!$D$280:$D$296)+1)</f>
        <v>0</v>
      </c>
      <c r="H354" s="183">
        <f>INDEX($K354:$O354,SUMIF(cbal!H$280:H$296,$B354,cbal!$D$280:$D$296)+1)</f>
        <v>0</v>
      </c>
      <c r="I354" s="183">
        <f>INDEX($K354:$O354,SUMIF(cbal!I$280:I$296,$B354,cbal!$D$280:$D$296)+1)</f>
        <v>0</v>
      </c>
      <c r="K354" s="1577">
        <v>0</v>
      </c>
      <c r="L354" s="1580">
        <f>L353/2</f>
        <v>2.5</v>
      </c>
      <c r="M354" s="1582">
        <f t="shared" ref="M354:O355" si="43">L354</f>
        <v>2.5</v>
      </c>
      <c r="N354" s="1582">
        <f t="shared" si="43"/>
        <v>2.5</v>
      </c>
      <c r="O354" s="1582">
        <f t="shared" si="43"/>
        <v>2.5</v>
      </c>
      <c r="R354" s="91" t="b">
        <f>IF(AND(C354&gt;166,C354&lt;171.5),L354)</f>
        <v>0</v>
      </c>
      <c r="S354" s="21" t="b">
        <f>IF(AND(C354&gt;166,C354&lt;171.5),M354)</f>
        <v>0</v>
      </c>
      <c r="T354" s="97" t="b">
        <f>IF(C354=133.5,L354)</f>
        <v>0</v>
      </c>
    </row>
    <row r="355" spans="2:20">
      <c r="B355" s="1568" t="s">
        <v>4016</v>
      </c>
      <c r="C355" s="433">
        <v>202</v>
      </c>
      <c r="D355" t="str">
        <f>VLOOKUP($C355,param!$A$4:$B$266,2)</f>
        <v>Go-to-Market Strategy</v>
      </c>
      <c r="E355" s="183">
        <f>INDEX($K355:$O355,SUMIF(cbal!E$280:E$296,$B355,cbal!$D$280:$D$296)+1)</f>
        <v>0</v>
      </c>
      <c r="F355" s="183">
        <f>INDEX($K355:$O355,SUMIF(cbal!F$280:F$296,$B355,cbal!$D$280:$D$296)+1)</f>
        <v>0</v>
      </c>
      <c r="G355" s="183">
        <f>INDEX($K355:$O355,SUMIF(cbal!G$280:G$296,$B355,cbal!$D$280:$D$296)+1)</f>
        <v>0</v>
      </c>
      <c r="H355" s="183">
        <f>INDEX($K355:$O355,SUMIF(cbal!H$280:H$296,$B355,cbal!$D$280:$D$296)+1)</f>
        <v>0</v>
      </c>
      <c r="I355" s="183">
        <f>INDEX($K355:$O355,SUMIF(cbal!I$280:I$296,$B355,cbal!$D$280:$D$296)+1)</f>
        <v>0</v>
      </c>
      <c r="K355" s="1577">
        <v>0</v>
      </c>
      <c r="L355" s="1580">
        <f>L353-L354</f>
        <v>2.5</v>
      </c>
      <c r="M355" s="1582">
        <f t="shared" si="43"/>
        <v>2.5</v>
      </c>
      <c r="N355" s="1582">
        <f t="shared" si="43"/>
        <v>2.5</v>
      </c>
      <c r="O355" s="1582">
        <f t="shared" si="43"/>
        <v>2.5</v>
      </c>
      <c r="R355" s="91" t="b">
        <f>IF(AND(C355&gt;166,C355&lt;171.5),L355)</f>
        <v>0</v>
      </c>
      <c r="S355" s="21" t="b">
        <f>IF(AND(C355&gt;166,C355&lt;171.5),M355)</f>
        <v>0</v>
      </c>
      <c r="T355" s="97" t="b">
        <f>IF(C355=133.5,L355)</f>
        <v>0</v>
      </c>
    </row>
    <row r="356" spans="2:20">
      <c r="B356">
        <v>0</v>
      </c>
      <c r="C356" s="433">
        <v>0</v>
      </c>
      <c r="E356" s="183"/>
      <c r="F356" s="183"/>
      <c r="G356" s="183"/>
      <c r="H356" s="183"/>
      <c r="I356" s="183"/>
      <c r="K356" s="1577"/>
      <c r="L356" s="1580"/>
      <c r="M356" s="1581"/>
      <c r="N356" s="1581"/>
      <c r="O356" s="1581"/>
      <c r="R356" s="91">
        <v>0</v>
      </c>
      <c r="S356" s="21">
        <v>0</v>
      </c>
      <c r="T356" s="97">
        <v>0</v>
      </c>
    </row>
    <row r="357" spans="2:20">
      <c r="B357" s="358" t="s">
        <v>4017</v>
      </c>
      <c r="C357" s="358" t="str">
        <f>VLOOKUP(B357,DataInitiativesGrid,2,0)</f>
        <v>APC Program - Vetera</v>
      </c>
      <c r="D357" s="358"/>
      <c r="E357" s="183"/>
      <c r="F357" s="183"/>
      <c r="G357" s="183"/>
      <c r="H357" s="183"/>
      <c r="I357" s="183"/>
      <c r="K357" s="1577"/>
      <c r="L357" s="1583"/>
      <c r="M357" s="1581"/>
      <c r="N357" s="1581"/>
      <c r="O357" s="1581"/>
      <c r="R357" s="91">
        <v>0</v>
      </c>
      <c r="S357" s="21">
        <v>0</v>
      </c>
      <c r="T357" s="97">
        <v>0</v>
      </c>
    </row>
    <row r="358" spans="2:20">
      <c r="B358" t="s">
        <v>4017</v>
      </c>
      <c r="C358" s="506">
        <v>172</v>
      </c>
      <c r="D358" t="str">
        <f>VLOOKUP($C358,param!$A$4:$B$266,2)</f>
        <v>Region 1 Special Program Success CSD</v>
      </c>
      <c r="E358" s="430">
        <f>INDEX($K358:$O358,SUMIF(cbal!E$280:E$296,$B358,cbal!$D$280:$D$296)+1)</f>
        <v>0</v>
      </c>
      <c r="F358" s="430">
        <f>INDEX($K358:$O358,SUMIF(cbal!F$280:F$296,$B358,cbal!$D$280:$D$296)+1)</f>
        <v>0</v>
      </c>
      <c r="G358" s="430">
        <f>INDEX($K358:$O358,SUMIF(cbal!G$280:G$296,$B358,cbal!$D$280:$D$296)+1)</f>
        <v>0</v>
      </c>
      <c r="H358" s="430">
        <f>INDEX($K358:$O358,SUMIF(cbal!H$280:H$296,$B358,cbal!$D$280:$D$296)+1)</f>
        <v>0</v>
      </c>
      <c r="I358" s="430">
        <f>INDEX($K358:$O358,SUMIF(cbal!I$280:I$296,$B358,cbal!$D$280:$D$296)+1)</f>
        <v>0</v>
      </c>
      <c r="K358" s="1577">
        <v>0</v>
      </c>
      <c r="L358" s="1584">
        <v>0.01</v>
      </c>
      <c r="M358" s="1584">
        <v>0.01</v>
      </c>
      <c r="N358" s="1584">
        <v>0.01</v>
      </c>
      <c r="O358" s="1584">
        <v>0.01</v>
      </c>
      <c r="R358" s="91" t="b">
        <f t="shared" si="36"/>
        <v>0</v>
      </c>
      <c r="S358" s="21" t="b">
        <f t="shared" si="37"/>
        <v>0</v>
      </c>
      <c r="T358" s="97" t="b">
        <f t="shared" si="38"/>
        <v>0</v>
      </c>
    </row>
    <row r="359" spans="2:20">
      <c r="B359" t="s">
        <v>4017</v>
      </c>
      <c r="C359" s="506">
        <v>174</v>
      </c>
      <c r="D359" t="str">
        <f>VLOOKUP($C359,param!$A$4:$B$266,2)</f>
        <v>Region 1 Special Program Success NCB</v>
      </c>
      <c r="E359" s="430">
        <f>INDEX($K359:$O359,SUMIF(cbal!E$280:E$296,$B359,cbal!$D$280:$D$296)+1)</f>
        <v>0</v>
      </c>
      <c r="F359" s="430">
        <f>INDEX($K359:$O359,SUMIF(cbal!F$280:F$296,$B359,cbal!$D$280:$D$296)+1)</f>
        <v>0</v>
      </c>
      <c r="G359" s="430">
        <f>INDEX($K359:$O359,SUMIF(cbal!G$280:G$296,$B359,cbal!$D$280:$D$296)+1)</f>
        <v>0</v>
      </c>
      <c r="H359" s="430">
        <f>INDEX($K359:$O359,SUMIF(cbal!H$280:H$296,$B359,cbal!$D$280:$D$296)+1)</f>
        <v>0</v>
      </c>
      <c r="I359" s="430">
        <f>INDEX($K359:$O359,SUMIF(cbal!I$280:I$296,$B359,cbal!$D$280:$D$296)+1)</f>
        <v>0</v>
      </c>
      <c r="K359" s="1577">
        <v>0</v>
      </c>
      <c r="L359" s="1584">
        <v>0.01</v>
      </c>
      <c r="M359" s="1584">
        <v>0.01</v>
      </c>
      <c r="N359" s="1584">
        <v>0.01</v>
      </c>
      <c r="O359" s="1584">
        <v>0.01</v>
      </c>
      <c r="R359" s="91" t="b">
        <f t="shared" si="36"/>
        <v>0</v>
      </c>
      <c r="S359" s="21" t="b">
        <f t="shared" si="37"/>
        <v>0</v>
      </c>
      <c r="T359" s="97" t="b">
        <f t="shared" si="38"/>
        <v>0</v>
      </c>
    </row>
    <row r="360" spans="2:20">
      <c r="B360" t="s">
        <v>4017</v>
      </c>
      <c r="C360" s="506">
        <v>175</v>
      </c>
      <c r="D360" t="str">
        <f>VLOOKUP($C360,param!$A$4:$B$266,2)</f>
        <v>Region 1 Special Program Success F&amp;S</v>
      </c>
      <c r="E360" s="430">
        <f>INDEX($K360:$O360,SUMIF(cbal!E$280:E$296,$B360,cbal!$D$280:$D$296)+1)</f>
        <v>0</v>
      </c>
      <c r="F360" s="430">
        <f>INDEX($K360:$O360,SUMIF(cbal!F$280:F$296,$B360,cbal!$D$280:$D$296)+1)</f>
        <v>0</v>
      </c>
      <c r="G360" s="430">
        <f>INDEX($K360:$O360,SUMIF(cbal!G$280:G$296,$B360,cbal!$D$280:$D$296)+1)</f>
        <v>0</v>
      </c>
      <c r="H360" s="430">
        <f>INDEX($K360:$O360,SUMIF(cbal!H$280:H$296,$B360,cbal!$D$280:$D$296)+1)</f>
        <v>0</v>
      </c>
      <c r="I360" s="430">
        <f>INDEX($K360:$O360,SUMIF(cbal!I$280:I$296,$B360,cbal!$D$280:$D$296)+1)</f>
        <v>0</v>
      </c>
      <c r="K360" s="1577">
        <v>0</v>
      </c>
      <c r="L360" s="1584">
        <v>0.01</v>
      </c>
      <c r="M360" s="1584">
        <v>0.01</v>
      </c>
      <c r="N360" s="1584">
        <v>0.01</v>
      </c>
      <c r="O360" s="1584">
        <v>0.01</v>
      </c>
      <c r="R360" s="91" t="b">
        <f t="shared" si="36"/>
        <v>0</v>
      </c>
      <c r="S360" s="21" t="b">
        <f t="shared" si="37"/>
        <v>0</v>
      </c>
      <c r="T360" s="97" t="b">
        <f t="shared" si="38"/>
        <v>0</v>
      </c>
    </row>
    <row r="361" spans="2:20">
      <c r="B361" t="s">
        <v>4017</v>
      </c>
      <c r="C361" s="433">
        <v>107</v>
      </c>
      <c r="D361" t="str">
        <f>VLOOKUP($C361,param!$A$4:$B$266,2)</f>
        <v>Lower Region Sales Force Admin Cost as Pct of Salary</v>
      </c>
      <c r="E361" s="430">
        <f>INDEX($K361:$O361,SUMIF(cbal!E$280:E$296,$B361,cbal!$D$280:$D$296)+1)</f>
        <v>0</v>
      </c>
      <c r="F361" s="430">
        <f>INDEX($K361:$O361,SUMIF(cbal!F$280:F$296,$B361,cbal!$D$280:$D$296)+1)</f>
        <v>0</v>
      </c>
      <c r="G361" s="430">
        <f>INDEX($K361:$O361,SUMIF(cbal!G$280:G$296,$B361,cbal!$D$280:$D$296)+1)</f>
        <v>0</v>
      </c>
      <c r="H361" s="430">
        <f>INDEX($K361:$O361,SUMIF(cbal!H$280:H$296,$B361,cbal!$D$280:$D$296)+1)</f>
        <v>0</v>
      </c>
      <c r="I361" s="430">
        <f>INDEX($K361:$O361,SUMIF(cbal!I$280:I$296,$B361,cbal!$D$280:$D$296)+1)</f>
        <v>0</v>
      </c>
      <c r="K361" s="1577">
        <v>0</v>
      </c>
      <c r="L361" s="1585">
        <v>-0.05</v>
      </c>
      <c r="M361" s="1585">
        <v>-0.05</v>
      </c>
      <c r="N361" s="1585">
        <v>-0.05</v>
      </c>
      <c r="O361" s="1585">
        <v>-0.05</v>
      </c>
      <c r="R361" s="91" t="b">
        <f t="shared" si="36"/>
        <v>0</v>
      </c>
      <c r="S361" s="21" t="b">
        <f t="shared" si="37"/>
        <v>0</v>
      </c>
      <c r="T361" s="97" t="b">
        <f t="shared" si="38"/>
        <v>0</v>
      </c>
    </row>
    <row r="362" spans="2:20">
      <c r="B362" t="s">
        <v>4017</v>
      </c>
      <c r="C362" s="433">
        <v>104</v>
      </c>
      <c r="D362" t="str">
        <f>VLOOKUP($C362,param!$A$4:$B$266,2)</f>
        <v>Lower Region Sales Force Attrition rate</v>
      </c>
      <c r="E362" s="430">
        <f>INDEX($K362:$O362,SUMIF(cbal!E$280:E$296,$B362,cbal!$D$280:$D$296)+1)</f>
        <v>0</v>
      </c>
      <c r="F362" s="430">
        <f>INDEX($K362:$O362,SUMIF(cbal!F$280:F$296,$B362,cbal!$D$280:$D$296)+1)</f>
        <v>0</v>
      </c>
      <c r="G362" s="430">
        <f>INDEX($K362:$O362,SUMIF(cbal!G$280:G$296,$B362,cbal!$D$280:$D$296)+1)</f>
        <v>0</v>
      </c>
      <c r="H362" s="430">
        <f>INDEX($K362:$O362,SUMIF(cbal!H$280:H$296,$B362,cbal!$D$280:$D$296)+1)</f>
        <v>0</v>
      </c>
      <c r="I362" s="430">
        <f>INDEX($K362:$O362,SUMIF(cbal!I$280:I$296,$B362,cbal!$D$280:$D$296)+1)</f>
        <v>0</v>
      </c>
      <c r="K362" s="1577">
        <v>0</v>
      </c>
      <c r="L362" s="1585">
        <v>-0.01</v>
      </c>
      <c r="M362" s="1585">
        <v>-0.01</v>
      </c>
      <c r="N362" s="1585">
        <v>-0.01</v>
      </c>
      <c r="O362" s="1585">
        <v>-0.01</v>
      </c>
      <c r="R362" s="91" t="b">
        <f t="shared" si="36"/>
        <v>0</v>
      </c>
      <c r="S362" s="21" t="b">
        <f t="shared" si="37"/>
        <v>0</v>
      </c>
      <c r="T362" s="97" t="b">
        <f t="shared" si="38"/>
        <v>0</v>
      </c>
    </row>
    <row r="363" spans="2:20">
      <c r="B363" t="s">
        <v>4017</v>
      </c>
      <c r="C363" s="433">
        <v>196</v>
      </c>
      <c r="D363" t="str">
        <f>VLOOKUP($C363,param!$A$4:$B$266,2)</f>
        <v>Career Path</v>
      </c>
      <c r="E363" s="430">
        <f>INDEX($K363:$O363,SUMIF(cbal!E$280:E$296,$B363,cbal!$D$280:$D$296)+1)</f>
        <v>0</v>
      </c>
      <c r="F363" s="430">
        <f>INDEX($K363:$O363,SUMIF(cbal!F$280:F$296,$B363,cbal!$D$280:$D$296)+1)</f>
        <v>0</v>
      </c>
      <c r="G363" s="430">
        <f>INDEX($K363:$O363,SUMIF(cbal!G$280:G$296,$B363,cbal!$D$280:$D$296)+1)</f>
        <v>0</v>
      </c>
      <c r="H363" s="430">
        <f>INDEX($K363:$O363,SUMIF(cbal!H$280:H$296,$B363,cbal!$D$280:$D$296)+1)</f>
        <v>0</v>
      </c>
      <c r="I363" s="430">
        <f>INDEX($K363:$O363,SUMIF(cbal!I$280:I$296,$B363,cbal!$D$280:$D$296)+1)</f>
        <v>0</v>
      </c>
      <c r="K363" s="1577">
        <v>0</v>
      </c>
      <c r="L363" s="1585">
        <v>0.03</v>
      </c>
      <c r="M363" s="1585">
        <v>0.03</v>
      </c>
      <c r="N363" s="1585">
        <v>0.03</v>
      </c>
      <c r="O363" s="1585">
        <v>0.03</v>
      </c>
      <c r="R363" s="91" t="b">
        <f t="shared" si="36"/>
        <v>0</v>
      </c>
      <c r="S363" s="21" t="b">
        <f t="shared" si="37"/>
        <v>0</v>
      </c>
      <c r="T363" s="97" t="b">
        <f t="shared" si="38"/>
        <v>0</v>
      </c>
    </row>
    <row r="364" spans="2:20">
      <c r="B364" t="s">
        <v>4017</v>
      </c>
      <c r="C364" s="433">
        <v>167</v>
      </c>
      <c r="D364" t="str">
        <f>VLOOKUP($C364,param!$A$4:$B$266,2)</f>
        <v>Special Program Expense</v>
      </c>
      <c r="E364" s="183">
        <f>INDEX($K364:$O364,SUMIF(cbal!E$280:E$296,$B364,cbal!$D$280:$D$296)+1)</f>
        <v>0</v>
      </c>
      <c r="F364" s="183">
        <f>INDEX($K364:$O364,SUMIF(cbal!F$280:F$296,$B364,cbal!$D$280:$D$296)+1)</f>
        <v>0</v>
      </c>
      <c r="G364" s="183">
        <f>INDEX($K364:$O364,SUMIF(cbal!G$280:G$296,$B364,cbal!$D$280:$D$296)+1)</f>
        <v>0</v>
      </c>
      <c r="H364" s="183">
        <f>INDEX($K364:$O364,SUMIF(cbal!H$280:H$296,$B364,cbal!$D$280:$D$296)+1)</f>
        <v>0</v>
      </c>
      <c r="I364" s="183">
        <f>INDEX($K364:$O364,SUMIF(cbal!I$280:I$296,$B364,cbal!$D$280:$D$296)+1)</f>
        <v>0</v>
      </c>
      <c r="K364" s="1577">
        <v>0</v>
      </c>
      <c r="L364" s="1580">
        <v>2000000</v>
      </c>
      <c r="M364" s="1580">
        <v>1000000</v>
      </c>
      <c r="N364" s="1580">
        <v>1000000</v>
      </c>
      <c r="O364" s="1580">
        <v>1000000</v>
      </c>
      <c r="R364" s="91">
        <f t="shared" si="36"/>
        <v>2000000</v>
      </c>
      <c r="S364" s="21">
        <f t="shared" si="37"/>
        <v>1000000</v>
      </c>
      <c r="T364" s="97" t="b">
        <f t="shared" si="38"/>
        <v>0</v>
      </c>
    </row>
    <row r="365" spans="2:20">
      <c r="B365" t="s">
        <v>4017</v>
      </c>
      <c r="C365" s="433">
        <v>133.5</v>
      </c>
      <c r="D365" t="str">
        <f>VLOOKUP($C365,param!$A$4:$B$266,2)</f>
        <v>MTU Initiatives Allocation</v>
      </c>
      <c r="E365" s="183">
        <f>INDEX($K365:$O365,SUMIF(cbal!E$280:E$296,$B365,cbal!$D$280:$D$296)+1)</f>
        <v>0</v>
      </c>
      <c r="F365" s="183">
        <f>INDEX($K365:$O365,SUMIF(cbal!F$280:F$296,$B365,cbal!$D$280:$D$296)+1)</f>
        <v>0</v>
      </c>
      <c r="G365" s="183">
        <f>INDEX($K365:$O365,SUMIF(cbal!G$280:G$296,$B365,cbal!$D$280:$D$296)+1)</f>
        <v>0</v>
      </c>
      <c r="H365" s="183">
        <f>INDEX($K365:$O365,SUMIF(cbal!H$280:H$296,$B365,cbal!$D$280:$D$296)+1)</f>
        <v>0</v>
      </c>
      <c r="I365" s="183">
        <f>INDEX($K365:$O365,SUMIF(cbal!I$280:I$296,$B365,cbal!$D$280:$D$296)+1)</f>
        <v>0</v>
      </c>
      <c r="K365" s="1577">
        <v>0</v>
      </c>
      <c r="L365" s="1580">
        <v>10</v>
      </c>
      <c r="M365" s="1580"/>
      <c r="N365" s="1580"/>
      <c r="O365" s="1580"/>
      <c r="R365" s="91" t="b">
        <f t="shared" si="36"/>
        <v>0</v>
      </c>
      <c r="S365" s="21" t="b">
        <f t="shared" si="37"/>
        <v>0</v>
      </c>
      <c r="T365" s="97">
        <f t="shared" si="38"/>
        <v>10</v>
      </c>
    </row>
    <row r="366" spans="2:20">
      <c r="B366" t="s">
        <v>4017</v>
      </c>
      <c r="C366" s="433">
        <v>202</v>
      </c>
      <c r="D366" t="str">
        <f>VLOOKUP($C366,param!$A$4:$B$266,2)</f>
        <v>Go-to-Market Strategy</v>
      </c>
      <c r="E366" s="183">
        <f>INDEX($K366:$O366,SUMIF(cbal!E$280:E$296,$B366,cbal!$D$280:$D$296)+1)</f>
        <v>0</v>
      </c>
      <c r="F366" s="183">
        <f>INDEX($K366:$O366,SUMIF(cbal!F$280:F$296,$B366,cbal!$D$280:$D$296)+1)</f>
        <v>0</v>
      </c>
      <c r="G366" s="183">
        <f>INDEX($K366:$O366,SUMIF(cbal!G$280:G$296,$B366,cbal!$D$280:$D$296)+1)</f>
        <v>0</v>
      </c>
      <c r="H366" s="183">
        <f>INDEX($K366:$O366,SUMIF(cbal!H$280:H$296,$B366,cbal!$D$280:$D$296)+1)</f>
        <v>0</v>
      </c>
      <c r="I366" s="183">
        <f>INDEX($K366:$O366,SUMIF(cbal!I$280:I$296,$B366,cbal!$D$280:$D$296)+1)</f>
        <v>0</v>
      </c>
      <c r="K366" s="1577">
        <v>0</v>
      </c>
      <c r="L366" s="1580">
        <f>L365/2</f>
        <v>5</v>
      </c>
      <c r="M366" s="1580">
        <f t="shared" ref="M366:O367" si="44">L366</f>
        <v>5</v>
      </c>
      <c r="N366" s="1580">
        <f t="shared" si="44"/>
        <v>5</v>
      </c>
      <c r="O366" s="1580">
        <f t="shared" si="44"/>
        <v>5</v>
      </c>
      <c r="R366" s="91" t="b">
        <f>IF(AND(C366&gt;166,C366&lt;171.5),L366)</f>
        <v>0</v>
      </c>
      <c r="S366" s="21" t="b">
        <f>IF(AND(C366&gt;166,C366&lt;171.5),M366)</f>
        <v>0</v>
      </c>
      <c r="T366" s="97" t="b">
        <f>IF(C366=133.5,L366)</f>
        <v>0</v>
      </c>
    </row>
    <row r="367" spans="2:20">
      <c r="B367" t="s">
        <v>4017</v>
      </c>
      <c r="C367" s="433">
        <v>203</v>
      </c>
      <c r="D367" t="str">
        <f>VLOOKUP($C367,param!$A$4:$B$266,2)</f>
        <v>Productivity Strategy</v>
      </c>
      <c r="E367" s="183">
        <f>INDEX($K367:$O367,SUMIF(cbal!E$280:E$296,$B367,cbal!$D$280:$D$296)+1)</f>
        <v>0</v>
      </c>
      <c r="F367" s="183">
        <f>INDEX($K367:$O367,SUMIF(cbal!F$280:F$296,$B367,cbal!$D$280:$D$296)+1)</f>
        <v>0</v>
      </c>
      <c r="G367" s="183">
        <f>INDEX($K367:$O367,SUMIF(cbal!G$280:G$296,$B367,cbal!$D$280:$D$296)+1)</f>
        <v>0</v>
      </c>
      <c r="H367" s="183">
        <f>INDEX($K367:$O367,SUMIF(cbal!H$280:H$296,$B367,cbal!$D$280:$D$296)+1)</f>
        <v>0</v>
      </c>
      <c r="I367" s="183">
        <f>INDEX($K367:$O367,SUMIF(cbal!I$280:I$296,$B367,cbal!$D$280:$D$296)+1)</f>
        <v>0</v>
      </c>
      <c r="K367" s="1577">
        <v>0</v>
      </c>
      <c r="L367" s="1580">
        <f>L365-L366</f>
        <v>5</v>
      </c>
      <c r="M367" s="1580">
        <f t="shared" si="44"/>
        <v>5</v>
      </c>
      <c r="N367" s="1580">
        <f t="shared" si="44"/>
        <v>5</v>
      </c>
      <c r="O367" s="1580">
        <f t="shared" si="44"/>
        <v>5</v>
      </c>
      <c r="R367" s="91" t="b">
        <f>IF(AND(C367&gt;166,C367&lt;171.5),L367)</f>
        <v>0</v>
      </c>
      <c r="S367" s="21" t="b">
        <f>IF(AND(C367&gt;166,C367&lt;171.5),M367)</f>
        <v>0</v>
      </c>
      <c r="T367" s="97" t="b">
        <f>IF(C367=133.5,L367)</f>
        <v>0</v>
      </c>
    </row>
    <row r="368" spans="2:20">
      <c r="B368">
        <v>0</v>
      </c>
      <c r="C368" s="433">
        <v>0</v>
      </c>
      <c r="E368" s="183"/>
      <c r="F368" s="183"/>
      <c r="G368" s="183"/>
      <c r="H368" s="183"/>
      <c r="I368" s="183"/>
      <c r="K368" s="1577"/>
      <c r="L368" s="1583"/>
      <c r="M368" s="1581"/>
      <c r="N368" s="1581"/>
      <c r="O368" s="1581"/>
      <c r="R368" s="91">
        <v>0</v>
      </c>
      <c r="S368" s="21">
        <v>0</v>
      </c>
      <c r="T368" s="97">
        <v>0</v>
      </c>
    </row>
    <row r="369" spans="2:20">
      <c r="B369" s="358" t="s">
        <v>4018</v>
      </c>
      <c r="C369" s="358" t="str">
        <f>VLOOKUP(B369,DataInitiativesGrid,2,0)</f>
        <v>APC Program - Escendia</v>
      </c>
      <c r="D369" s="358"/>
      <c r="E369" s="183"/>
      <c r="F369" s="183"/>
      <c r="G369" s="183"/>
      <c r="H369" s="183"/>
      <c r="I369" s="183"/>
      <c r="K369" s="1577"/>
      <c r="L369" s="1583"/>
      <c r="M369" s="1581"/>
      <c r="N369" s="1581"/>
      <c r="O369" s="1581"/>
      <c r="R369" s="91">
        <v>0</v>
      </c>
      <c r="S369" s="21">
        <v>0</v>
      </c>
      <c r="T369" s="97">
        <v>0</v>
      </c>
    </row>
    <row r="370" spans="2:20">
      <c r="B370" t="s">
        <v>4018</v>
      </c>
      <c r="C370" s="506">
        <v>176</v>
      </c>
      <c r="D370" t="str">
        <f>VLOOKUP($C370,param!$A$4:$B$266,2)</f>
        <v>Region 2 Special Program Success CSD</v>
      </c>
      <c r="E370" s="430">
        <f>INDEX($K370:$O370,SUMIF(cbal!E$280:E$296,$B370,cbal!$D$280:$D$296)+1)</f>
        <v>0</v>
      </c>
      <c r="F370" s="430">
        <f>INDEX($K370:$O370,SUMIF(cbal!F$280:F$296,$B370,cbal!$D$280:$D$296)+1)</f>
        <v>0</v>
      </c>
      <c r="G370" s="430">
        <f>INDEX($K370:$O370,SUMIF(cbal!G$280:G$296,$B370,cbal!$D$280:$D$296)+1)</f>
        <v>0</v>
      </c>
      <c r="H370" s="430">
        <f>INDEX($K370:$O370,SUMIF(cbal!H$280:H$296,$B370,cbal!$D$280:$D$296)+1)</f>
        <v>0</v>
      </c>
      <c r="I370" s="430">
        <f>INDEX($K370:$O370,SUMIF(cbal!I$280:I$296,$B370,cbal!$D$280:$D$296)+1)</f>
        <v>0</v>
      </c>
      <c r="K370" s="1577">
        <v>0</v>
      </c>
      <c r="L370" s="1584">
        <v>0.01</v>
      </c>
      <c r="M370" s="1584">
        <v>0.01</v>
      </c>
      <c r="N370" s="1584">
        <v>0.01</v>
      </c>
      <c r="O370" s="1584">
        <v>0.01</v>
      </c>
      <c r="R370" s="91" t="b">
        <f t="shared" ref="R370:R378" si="45">IF(AND(C370&gt;166,C370&lt;171.5),L370)</f>
        <v>0</v>
      </c>
      <c r="S370" s="21" t="b">
        <f t="shared" ref="S370:S378" si="46">IF(AND(C370&gt;166,C370&lt;171.5),M370)</f>
        <v>0</v>
      </c>
      <c r="T370" s="97" t="b">
        <f t="shared" ref="T370:T378" si="47">IF(C370=133.5,L370)</f>
        <v>0</v>
      </c>
    </row>
    <row r="371" spans="2:20">
      <c r="B371" t="s">
        <v>4018</v>
      </c>
      <c r="C371" s="506">
        <v>178</v>
      </c>
      <c r="D371" t="str">
        <f>VLOOKUP($C371,param!$A$4:$B$266,2)</f>
        <v>Region 2 Special Program Success NCB</v>
      </c>
      <c r="E371" s="430">
        <f>INDEX($K371:$O371,SUMIF(cbal!E$280:E$296,$B371,cbal!$D$280:$D$296)+1)</f>
        <v>0</v>
      </c>
      <c r="F371" s="430">
        <f>INDEX($K371:$O371,SUMIF(cbal!F$280:F$296,$B371,cbal!$D$280:$D$296)+1)</f>
        <v>0</v>
      </c>
      <c r="G371" s="430">
        <f>INDEX($K371:$O371,SUMIF(cbal!G$280:G$296,$B371,cbal!$D$280:$D$296)+1)</f>
        <v>0</v>
      </c>
      <c r="H371" s="430">
        <f>INDEX($K371:$O371,SUMIF(cbal!H$280:H$296,$B371,cbal!$D$280:$D$296)+1)</f>
        <v>0</v>
      </c>
      <c r="I371" s="430">
        <f>INDEX($K371:$O371,SUMIF(cbal!I$280:I$296,$B371,cbal!$D$280:$D$296)+1)</f>
        <v>0</v>
      </c>
      <c r="K371" s="1577">
        <v>0</v>
      </c>
      <c r="L371" s="1584">
        <v>0.01</v>
      </c>
      <c r="M371" s="1584">
        <v>0.01</v>
      </c>
      <c r="N371" s="1584">
        <v>0.01</v>
      </c>
      <c r="O371" s="1584">
        <v>0.01</v>
      </c>
      <c r="R371" s="91" t="b">
        <f t="shared" si="45"/>
        <v>0</v>
      </c>
      <c r="S371" s="21" t="b">
        <f t="shared" si="46"/>
        <v>0</v>
      </c>
      <c r="T371" s="97" t="b">
        <f t="shared" si="47"/>
        <v>0</v>
      </c>
    </row>
    <row r="372" spans="2:20">
      <c r="B372" t="s">
        <v>4018</v>
      </c>
      <c r="C372" s="506">
        <v>179</v>
      </c>
      <c r="D372" t="str">
        <f>VLOOKUP($C372,param!$A$4:$B$266,2)</f>
        <v>Region 2 Special Program Success F&amp;S</v>
      </c>
      <c r="E372" s="430">
        <f>INDEX($K372:$O372,SUMIF(cbal!E$280:E$296,$B372,cbal!$D$280:$D$296)+1)</f>
        <v>0</v>
      </c>
      <c r="F372" s="430">
        <f>INDEX($K372:$O372,SUMIF(cbal!F$280:F$296,$B372,cbal!$D$280:$D$296)+1)</f>
        <v>0</v>
      </c>
      <c r="G372" s="430">
        <f>INDEX($K372:$O372,SUMIF(cbal!G$280:G$296,$B372,cbal!$D$280:$D$296)+1)</f>
        <v>0</v>
      </c>
      <c r="H372" s="430">
        <f>INDEX($K372:$O372,SUMIF(cbal!H$280:H$296,$B372,cbal!$D$280:$D$296)+1)</f>
        <v>0</v>
      </c>
      <c r="I372" s="430">
        <f>INDEX($K372:$O372,SUMIF(cbal!I$280:I$296,$B372,cbal!$D$280:$D$296)+1)</f>
        <v>0</v>
      </c>
      <c r="K372" s="1577">
        <v>0</v>
      </c>
      <c r="L372" s="1584">
        <v>0.01</v>
      </c>
      <c r="M372" s="1584">
        <v>0.01</v>
      </c>
      <c r="N372" s="1584">
        <v>0.01</v>
      </c>
      <c r="O372" s="1584">
        <v>0.01</v>
      </c>
      <c r="R372" s="91" t="b">
        <f t="shared" si="45"/>
        <v>0</v>
      </c>
      <c r="S372" s="21" t="b">
        <f t="shared" si="46"/>
        <v>0</v>
      </c>
      <c r="T372" s="97" t="b">
        <f t="shared" si="47"/>
        <v>0</v>
      </c>
    </row>
    <row r="373" spans="2:20">
      <c r="B373" t="s">
        <v>4018</v>
      </c>
      <c r="C373" s="433">
        <v>115</v>
      </c>
      <c r="D373" t="str">
        <f>VLOOKUP($C373,param!$A$4:$B$266,2)</f>
        <v>Upper Region Sales Force Admin Cost as Pct of Salary</v>
      </c>
      <c r="E373" s="430">
        <f>INDEX($K373:$O373,SUMIF(cbal!E$280:E$296,$B373,cbal!$D$280:$D$296)+1)</f>
        <v>0</v>
      </c>
      <c r="F373" s="430">
        <f>INDEX($K373:$O373,SUMIF(cbal!F$280:F$296,$B373,cbal!$D$280:$D$296)+1)</f>
        <v>0</v>
      </c>
      <c r="G373" s="430">
        <f>INDEX($K373:$O373,SUMIF(cbal!G$280:G$296,$B373,cbal!$D$280:$D$296)+1)</f>
        <v>0</v>
      </c>
      <c r="H373" s="430">
        <f>INDEX($K373:$O373,SUMIF(cbal!H$280:H$296,$B373,cbal!$D$280:$D$296)+1)</f>
        <v>0</v>
      </c>
      <c r="I373" s="430">
        <f>INDEX($K373:$O373,SUMIF(cbal!I$280:I$296,$B373,cbal!$D$280:$D$296)+1)</f>
        <v>0</v>
      </c>
      <c r="K373" s="1577">
        <v>0</v>
      </c>
      <c r="L373" s="1585">
        <v>-0.05</v>
      </c>
      <c r="M373" s="1585">
        <v>-0.05</v>
      </c>
      <c r="N373" s="1585">
        <v>-0.05</v>
      </c>
      <c r="O373" s="1585">
        <v>-0.05</v>
      </c>
      <c r="R373" s="91" t="b">
        <f t="shared" si="45"/>
        <v>0</v>
      </c>
      <c r="S373" s="21" t="b">
        <f t="shared" si="46"/>
        <v>0</v>
      </c>
      <c r="T373" s="97" t="b">
        <f t="shared" si="47"/>
        <v>0</v>
      </c>
    </row>
    <row r="374" spans="2:20">
      <c r="B374" t="s">
        <v>4018</v>
      </c>
      <c r="C374" s="433">
        <v>112</v>
      </c>
      <c r="D374" t="str">
        <f>VLOOKUP($C374,param!$A$4:$B$266,2)</f>
        <v>Upper Region Sales Force Attrition rate</v>
      </c>
      <c r="E374" s="430">
        <f>INDEX($K374:$O374,SUMIF(cbal!E$280:E$296,$B374,cbal!$D$280:$D$296)+1)</f>
        <v>0</v>
      </c>
      <c r="F374" s="430">
        <f>INDEX($K374:$O374,SUMIF(cbal!F$280:F$296,$B374,cbal!$D$280:$D$296)+1)</f>
        <v>0</v>
      </c>
      <c r="G374" s="430">
        <f>INDEX($K374:$O374,SUMIF(cbal!G$280:G$296,$B374,cbal!$D$280:$D$296)+1)</f>
        <v>0</v>
      </c>
      <c r="H374" s="430">
        <f>INDEX($K374:$O374,SUMIF(cbal!H$280:H$296,$B374,cbal!$D$280:$D$296)+1)</f>
        <v>0</v>
      </c>
      <c r="I374" s="430">
        <f>INDEX($K374:$O374,SUMIF(cbal!I$280:I$296,$B374,cbal!$D$280:$D$296)+1)</f>
        <v>0</v>
      </c>
      <c r="K374" s="1577">
        <v>0</v>
      </c>
      <c r="L374" s="1585">
        <v>-0.01</v>
      </c>
      <c r="M374" s="1585">
        <v>-0.01</v>
      </c>
      <c r="N374" s="1585">
        <v>-0.01</v>
      </c>
      <c r="O374" s="1585">
        <v>-0.01</v>
      </c>
      <c r="R374" s="91" t="b">
        <f t="shared" si="45"/>
        <v>0</v>
      </c>
      <c r="S374" s="21" t="b">
        <f t="shared" si="46"/>
        <v>0</v>
      </c>
      <c r="T374" s="97" t="b">
        <f t="shared" si="47"/>
        <v>0</v>
      </c>
    </row>
    <row r="375" spans="2:20">
      <c r="B375" t="s">
        <v>4018</v>
      </c>
      <c r="C375" s="433">
        <v>196</v>
      </c>
      <c r="D375" t="str">
        <f>VLOOKUP($C375,param!$A$4:$B$266,2)</f>
        <v>Career Path</v>
      </c>
      <c r="E375" s="430">
        <f>INDEX($K375:$O375,SUMIF(cbal!E$280:E$296,$B375,cbal!$D$280:$D$296)+1)</f>
        <v>0</v>
      </c>
      <c r="F375" s="430">
        <f>INDEX($K375:$O375,SUMIF(cbal!F$280:F$296,$B375,cbal!$D$280:$D$296)+1)</f>
        <v>0</v>
      </c>
      <c r="G375" s="430">
        <f>INDEX($K375:$O375,SUMIF(cbal!G$280:G$296,$B375,cbal!$D$280:$D$296)+1)</f>
        <v>0</v>
      </c>
      <c r="H375" s="430">
        <f>INDEX($K375:$O375,SUMIF(cbal!H$280:H$296,$B375,cbal!$D$280:$D$296)+1)</f>
        <v>0</v>
      </c>
      <c r="I375" s="430">
        <f>INDEX($K375:$O375,SUMIF(cbal!I$280:I$296,$B375,cbal!$D$280:$D$296)+1)</f>
        <v>0</v>
      </c>
      <c r="K375" s="1577">
        <v>0</v>
      </c>
      <c r="L375" s="1585">
        <v>0.03</v>
      </c>
      <c r="M375" s="1585">
        <v>0.03</v>
      </c>
      <c r="N375" s="1585">
        <v>0.03</v>
      </c>
      <c r="O375" s="1585">
        <v>0.03</v>
      </c>
      <c r="R375" s="91" t="b">
        <f t="shared" si="45"/>
        <v>0</v>
      </c>
      <c r="S375" s="21" t="b">
        <f t="shared" si="46"/>
        <v>0</v>
      </c>
      <c r="T375" s="97" t="b">
        <f t="shared" si="47"/>
        <v>0</v>
      </c>
    </row>
    <row r="376" spans="2:20">
      <c r="B376" t="s">
        <v>4018</v>
      </c>
      <c r="C376" s="433">
        <v>167</v>
      </c>
      <c r="D376" t="str">
        <f>VLOOKUP($C376,param!$A$4:$B$266,2)</f>
        <v>Special Program Expense</v>
      </c>
      <c r="E376" s="183">
        <f>INDEX($K376:$O376,SUMIF(cbal!E$280:E$296,$B376,cbal!$D$280:$D$296)+1)</f>
        <v>0</v>
      </c>
      <c r="F376" s="183">
        <f>INDEX($K376:$O376,SUMIF(cbal!F$280:F$296,$B376,cbal!$D$280:$D$296)+1)</f>
        <v>0</v>
      </c>
      <c r="G376" s="183">
        <f>INDEX($K376:$O376,SUMIF(cbal!G$280:G$296,$B376,cbal!$D$280:$D$296)+1)</f>
        <v>0</v>
      </c>
      <c r="H376" s="183">
        <f>INDEX($K376:$O376,SUMIF(cbal!H$280:H$296,$B376,cbal!$D$280:$D$296)+1)</f>
        <v>0</v>
      </c>
      <c r="I376" s="183">
        <f>INDEX($K376:$O376,SUMIF(cbal!I$280:I$296,$B376,cbal!$D$280:$D$296)+1)</f>
        <v>0</v>
      </c>
      <c r="K376" s="1577">
        <v>0</v>
      </c>
      <c r="L376" s="1580">
        <v>2000000</v>
      </c>
      <c r="M376" s="1580">
        <v>1000000</v>
      </c>
      <c r="N376" s="1580">
        <v>1000000</v>
      </c>
      <c r="O376" s="1580">
        <v>1000000</v>
      </c>
      <c r="R376" s="91">
        <f t="shared" si="45"/>
        <v>2000000</v>
      </c>
      <c r="S376" s="21">
        <f t="shared" si="46"/>
        <v>1000000</v>
      </c>
      <c r="T376" s="97" t="b">
        <f t="shared" si="47"/>
        <v>0</v>
      </c>
    </row>
    <row r="377" spans="2:20">
      <c r="B377" t="s">
        <v>4018</v>
      </c>
      <c r="C377" s="433">
        <v>133.5</v>
      </c>
      <c r="D377" t="str">
        <f>VLOOKUP($C377,param!$A$4:$B$266,2)</f>
        <v>MTU Initiatives Allocation</v>
      </c>
      <c r="E377" s="183">
        <f>INDEX($K377:$O377,SUMIF(cbal!E$280:E$296,$B377,cbal!$D$280:$D$296)+1)</f>
        <v>0</v>
      </c>
      <c r="F377" s="183">
        <f>INDEX($K377:$O377,SUMIF(cbal!F$280:F$296,$B377,cbal!$D$280:$D$296)+1)</f>
        <v>0</v>
      </c>
      <c r="G377" s="183">
        <f>INDEX($K377:$O377,SUMIF(cbal!G$280:G$296,$B377,cbal!$D$280:$D$296)+1)</f>
        <v>0</v>
      </c>
      <c r="H377" s="183">
        <f>INDEX($K377:$O377,SUMIF(cbal!H$280:H$296,$B377,cbal!$D$280:$D$296)+1)</f>
        <v>0</v>
      </c>
      <c r="I377" s="183">
        <f>INDEX($K377:$O377,SUMIF(cbal!I$280:I$296,$B377,cbal!$D$280:$D$296)+1)</f>
        <v>0</v>
      </c>
      <c r="K377" s="1577">
        <v>0</v>
      </c>
      <c r="L377" s="1580">
        <v>10</v>
      </c>
      <c r="M377" s="1580"/>
      <c r="N377" s="1580"/>
      <c r="O377" s="1580"/>
      <c r="R377" s="91" t="b">
        <f t="shared" si="45"/>
        <v>0</v>
      </c>
      <c r="S377" s="21" t="b">
        <f t="shared" si="46"/>
        <v>0</v>
      </c>
      <c r="T377" s="97">
        <f t="shared" si="47"/>
        <v>10</v>
      </c>
    </row>
    <row r="378" spans="2:20">
      <c r="B378" t="s">
        <v>4018</v>
      </c>
      <c r="C378" s="433">
        <v>202</v>
      </c>
      <c r="D378" t="str">
        <f>VLOOKUP($C378,param!$A$4:$B$266,2)</f>
        <v>Go-to-Market Strategy</v>
      </c>
      <c r="E378" s="183">
        <f>INDEX($K378:$O378,SUMIF(cbal!E$280:E$296,$B378,cbal!$D$280:$D$296)+1)</f>
        <v>0</v>
      </c>
      <c r="F378" s="183">
        <f>INDEX($K378:$O378,SUMIF(cbal!F$280:F$296,$B378,cbal!$D$280:$D$296)+1)</f>
        <v>0</v>
      </c>
      <c r="G378" s="183">
        <f>INDEX($K378:$O378,SUMIF(cbal!G$280:G$296,$B378,cbal!$D$280:$D$296)+1)</f>
        <v>0</v>
      </c>
      <c r="H378" s="183">
        <f>INDEX($K378:$O378,SUMIF(cbal!H$280:H$296,$B378,cbal!$D$280:$D$296)+1)</f>
        <v>0</v>
      </c>
      <c r="I378" s="183">
        <f>INDEX($K378:$O378,SUMIF(cbal!I$280:I$296,$B378,cbal!$D$280:$D$296)+1)</f>
        <v>0</v>
      </c>
      <c r="K378" s="1577">
        <v>0</v>
      </c>
      <c r="L378" s="1580">
        <f>L377/2</f>
        <v>5</v>
      </c>
      <c r="M378" s="1580">
        <f t="shared" ref="M378:O379" si="48">L378</f>
        <v>5</v>
      </c>
      <c r="N378" s="1580">
        <f t="shared" si="48"/>
        <v>5</v>
      </c>
      <c r="O378" s="1580">
        <f t="shared" si="48"/>
        <v>5</v>
      </c>
      <c r="R378" s="91" t="b">
        <f t="shared" si="45"/>
        <v>0</v>
      </c>
      <c r="S378" s="21" t="b">
        <f t="shared" si="46"/>
        <v>0</v>
      </c>
      <c r="T378" s="97" t="b">
        <f t="shared" si="47"/>
        <v>0</v>
      </c>
    </row>
    <row r="379" spans="2:20">
      <c r="B379" s="905" t="s">
        <v>4018</v>
      </c>
      <c r="C379" s="433">
        <v>203</v>
      </c>
      <c r="D379" t="str">
        <f>VLOOKUP($C379,param!$A$4:$B$266,2)</f>
        <v>Productivity Strategy</v>
      </c>
      <c r="E379" s="183">
        <f>INDEX($K379:$O379,SUMIF(cbal!E$280:E$296,$B379,cbal!$D$280:$D$296)+1)</f>
        <v>0</v>
      </c>
      <c r="F379" s="183">
        <f>INDEX($K379:$O379,SUMIF(cbal!F$280:F$296,$B379,cbal!$D$280:$D$296)+1)</f>
        <v>0</v>
      </c>
      <c r="G379" s="183">
        <f>INDEX($K379:$O379,SUMIF(cbal!G$280:G$296,$B379,cbal!$D$280:$D$296)+1)</f>
        <v>0</v>
      </c>
      <c r="H379" s="183">
        <f>INDEX($K379:$O379,SUMIF(cbal!H$280:H$296,$B379,cbal!$D$280:$D$296)+1)</f>
        <v>0</v>
      </c>
      <c r="I379" s="183">
        <f>INDEX($K379:$O379,SUMIF(cbal!I$280:I$296,$B379,cbal!$D$280:$D$296)+1)</f>
        <v>0</v>
      </c>
      <c r="K379" s="1577">
        <v>0</v>
      </c>
      <c r="L379" s="1580">
        <f>L377-L378</f>
        <v>5</v>
      </c>
      <c r="M379" s="1580">
        <f t="shared" si="48"/>
        <v>5</v>
      </c>
      <c r="N379" s="1580">
        <f t="shared" si="48"/>
        <v>5</v>
      </c>
      <c r="O379" s="1580">
        <f t="shared" si="48"/>
        <v>5</v>
      </c>
      <c r="R379" s="91" t="b">
        <f>IF(AND(C379&gt;166,C379&lt;171.5),L379)</f>
        <v>0</v>
      </c>
      <c r="S379" s="21" t="b">
        <f>IF(AND(C379&gt;166,C379&lt;171.5),M379)</f>
        <v>0</v>
      </c>
      <c r="T379" s="97" t="b">
        <f>IF(C379=133.5,L379)</f>
        <v>0</v>
      </c>
    </row>
    <row r="380" spans="2:20">
      <c r="B380">
        <v>0</v>
      </c>
      <c r="C380" s="433">
        <v>0</v>
      </c>
      <c r="E380" s="183"/>
      <c r="F380" s="183"/>
      <c r="G380" s="183"/>
      <c r="H380" s="183"/>
      <c r="I380" s="183"/>
      <c r="K380" s="1577"/>
      <c r="L380" s="1583"/>
      <c r="M380" s="1581"/>
      <c r="N380" s="1581"/>
      <c r="O380" s="1581"/>
      <c r="R380" s="91">
        <v>0</v>
      </c>
      <c r="S380" s="21">
        <v>0</v>
      </c>
      <c r="T380" s="97">
        <v>0</v>
      </c>
    </row>
    <row r="381" spans="2:20">
      <c r="B381" t="s">
        <v>4019</v>
      </c>
      <c r="C381" t="str">
        <f>VLOOKUP(B381,DataInitiativesGrid,2,0)</f>
        <v>Packaging Upgrade</v>
      </c>
      <c r="E381" s="183"/>
      <c r="F381" s="183"/>
      <c r="G381" s="183"/>
      <c r="H381" s="183"/>
      <c r="I381" s="183"/>
      <c r="K381" s="1577"/>
      <c r="L381" s="1583"/>
      <c r="M381" s="1581"/>
      <c r="N381" s="1581"/>
      <c r="O381" s="1581"/>
      <c r="R381" s="91">
        <v>0</v>
      </c>
      <c r="S381" s="21">
        <v>0</v>
      </c>
      <c r="T381" s="97">
        <v>0</v>
      </c>
    </row>
    <row r="382" spans="2:20">
      <c r="B382" t="s">
        <v>4019</v>
      </c>
      <c r="C382" s="506">
        <v>76</v>
      </c>
      <c r="D382" t="str">
        <f>VLOOKUP($C382,param!$A$4:$B$266,2)</f>
        <v>F&amp;S Region A Marketing Spend Effectiveness</v>
      </c>
      <c r="E382" s="448">
        <f>INDEX($K382:$O382,SUMIF(cbal!E$280:E$296,$B382,cbal!$D$280:$D$296)+1)</f>
        <v>0</v>
      </c>
      <c r="F382" s="448">
        <f>INDEX($K382:$O382,SUMIF(cbal!F$280:F$296,$B382,cbal!$D$280:$D$296)+1)</f>
        <v>0</v>
      </c>
      <c r="G382" s="448">
        <f>INDEX($K382:$O382,SUMIF(cbal!G$280:G$296,$B382,cbal!$D$280:$D$296)+1)</f>
        <v>0</v>
      </c>
      <c r="H382" s="448">
        <f>INDEX($K382:$O382,SUMIF(cbal!H$280:H$296,$B382,cbal!$D$280:$D$296)+1)</f>
        <v>0</v>
      </c>
      <c r="I382" s="448">
        <f>INDEX($K382:$O382,SUMIF(cbal!I$280:I$296,$B382,cbal!$D$280:$D$296)+1)</f>
        <v>0</v>
      </c>
      <c r="K382" s="1577">
        <v>0</v>
      </c>
      <c r="L382" s="1584">
        <v>1.4999999999999999E-2</v>
      </c>
      <c r="M382" s="1584">
        <v>1.4999999999999999E-2</v>
      </c>
      <c r="N382" s="1584">
        <v>1.4999999999999999E-2</v>
      </c>
      <c r="O382" s="1584">
        <v>1.4999999999999999E-2</v>
      </c>
      <c r="R382" s="91" t="b">
        <f t="shared" si="36"/>
        <v>0</v>
      </c>
      <c r="S382" s="21" t="b">
        <f t="shared" si="37"/>
        <v>0</v>
      </c>
      <c r="T382" s="97" t="b">
        <f t="shared" si="38"/>
        <v>0</v>
      </c>
    </row>
    <row r="383" spans="2:20">
      <c r="B383" t="s">
        <v>4019</v>
      </c>
      <c r="C383" s="506">
        <v>76.099999999999994</v>
      </c>
      <c r="D383" t="str">
        <f>VLOOKUP($C383,param!$A$4:$B$266,2)</f>
        <v>F&amp;S Region B Marketing Spend Effectiveness</v>
      </c>
      <c r="E383" s="448">
        <f>INDEX($K383:$O383,SUMIF(cbal!E$280:E$296,$B383,cbal!$D$280:$D$296)+1)</f>
        <v>0</v>
      </c>
      <c r="F383" s="448">
        <f>INDEX($K383:$O383,SUMIF(cbal!F$280:F$296,$B383,cbal!$D$280:$D$296)+1)</f>
        <v>0</v>
      </c>
      <c r="G383" s="448">
        <f>INDEX($K383:$O383,SUMIF(cbal!G$280:G$296,$B383,cbal!$D$280:$D$296)+1)</f>
        <v>0</v>
      </c>
      <c r="H383" s="448">
        <f>INDEX($K383:$O383,SUMIF(cbal!H$280:H$296,$B383,cbal!$D$280:$D$296)+1)</f>
        <v>0</v>
      </c>
      <c r="I383" s="448">
        <f>INDEX($K383:$O383,SUMIF(cbal!I$280:I$296,$B383,cbal!$D$280:$D$296)+1)</f>
        <v>0</v>
      </c>
      <c r="K383" s="1577">
        <v>0</v>
      </c>
      <c r="L383" s="1584">
        <v>1.4999999999999999E-2</v>
      </c>
      <c r="M383" s="1584">
        <v>1.4999999999999999E-2</v>
      </c>
      <c r="N383" s="1584">
        <v>1.4999999999999999E-2</v>
      </c>
      <c r="O383" s="1584">
        <v>1.4999999999999999E-2</v>
      </c>
      <c r="R383" s="91" t="b">
        <f t="shared" si="36"/>
        <v>0</v>
      </c>
      <c r="S383" s="21" t="b">
        <f t="shared" si="37"/>
        <v>0</v>
      </c>
      <c r="T383" s="97" t="b">
        <f t="shared" si="38"/>
        <v>0</v>
      </c>
    </row>
    <row r="384" spans="2:20">
      <c r="B384" t="s">
        <v>4019</v>
      </c>
      <c r="C384" s="433">
        <v>64</v>
      </c>
      <c r="D384" t="str">
        <f>VLOOKUP($C384,param!$A$4:$B$266,2)</f>
        <v>F&amp;S Material Cost Per Unit</v>
      </c>
      <c r="E384" s="448">
        <f>INDEX($K384:$O384,SUMIF(cbal!E$280:E$296,$B384,cbal!$D$280:$D$296)+1)</f>
        <v>0</v>
      </c>
      <c r="F384" s="448">
        <f>INDEX($K384:$O384,SUMIF(cbal!F$280:F$296,$B384,cbal!$D$280:$D$296)+1)</f>
        <v>0</v>
      </c>
      <c r="G384" s="448">
        <f>INDEX($K384:$O384,SUMIF(cbal!G$280:G$296,$B384,cbal!$D$280:$D$296)+1)</f>
        <v>0</v>
      </c>
      <c r="H384" s="448">
        <f>INDEX($K384:$O384,SUMIF(cbal!H$280:H$296,$B384,cbal!$D$280:$D$296)+1)</f>
        <v>0</v>
      </c>
      <c r="I384" s="448">
        <f>INDEX($K384:$O384,SUMIF(cbal!I$280:I$296,$B384,cbal!$D$280:$D$296)+1)</f>
        <v>0</v>
      </c>
      <c r="K384" s="1577">
        <v>0</v>
      </c>
      <c r="L384" s="1585">
        <v>5.0000000000000001E-3</v>
      </c>
      <c r="M384" s="1585">
        <v>5.0000000000000001E-3</v>
      </c>
      <c r="N384" s="1585">
        <v>5.0000000000000001E-3</v>
      </c>
      <c r="O384" s="1585">
        <v>5.0000000000000001E-3</v>
      </c>
      <c r="R384" s="91" t="b">
        <f t="shared" si="36"/>
        <v>0</v>
      </c>
      <c r="S384" s="21" t="b">
        <f t="shared" si="37"/>
        <v>0</v>
      </c>
      <c r="T384" s="97" t="b">
        <f t="shared" si="38"/>
        <v>0</v>
      </c>
    </row>
    <row r="385" spans="1:20">
      <c r="B385" t="s">
        <v>4019</v>
      </c>
      <c r="C385" s="433">
        <v>66</v>
      </c>
      <c r="D385" t="str">
        <f>VLOOKUP($C385,param!$A$4:$B$266,2)</f>
        <v>F&amp;S Labor Hours Req. Per Unit</v>
      </c>
      <c r="E385" s="448">
        <f>INDEX($K385:$O385,SUMIF(cbal!E$280:E$296,$B385,cbal!$D$280:$D$296)+1)</f>
        <v>0</v>
      </c>
      <c r="F385" s="448">
        <f>INDEX($K385:$O385,SUMIF(cbal!F$280:F$296,$B385,cbal!$D$280:$D$296)+1)</f>
        <v>0</v>
      </c>
      <c r="G385" s="448">
        <f>INDEX($K385:$O385,SUMIF(cbal!G$280:G$296,$B385,cbal!$D$280:$D$296)+1)</f>
        <v>0</v>
      </c>
      <c r="H385" s="448">
        <f>INDEX($K385:$O385,SUMIF(cbal!H$280:H$296,$B385,cbal!$D$280:$D$296)+1)</f>
        <v>0</v>
      </c>
      <c r="I385" s="448">
        <f>INDEX($K385:$O385,SUMIF(cbal!I$280:I$296,$B385,cbal!$D$280:$D$296)+1)</f>
        <v>0</v>
      </c>
      <c r="K385" s="1577">
        <v>0</v>
      </c>
      <c r="L385" s="1585">
        <v>5.0000000000000001E-3</v>
      </c>
      <c r="M385" s="1585">
        <v>5.0000000000000001E-3</v>
      </c>
      <c r="N385" s="1585">
        <v>5.0000000000000001E-3</v>
      </c>
      <c r="O385" s="1585">
        <v>5.0000000000000001E-3</v>
      </c>
      <c r="R385" s="91" t="b">
        <f t="shared" si="36"/>
        <v>0</v>
      </c>
      <c r="S385" s="21" t="b">
        <f t="shared" si="37"/>
        <v>0</v>
      </c>
      <c r="T385" s="97" t="b">
        <f t="shared" si="38"/>
        <v>0</v>
      </c>
    </row>
    <row r="386" spans="1:20">
      <c r="B386" t="s">
        <v>4019</v>
      </c>
      <c r="C386" s="433">
        <v>67</v>
      </c>
      <c r="D386" t="str">
        <f>VLOOKUP($C386,param!$A$4:$B$266,2)</f>
        <v>F&amp;S Machinery Hours Req. Per Unit</v>
      </c>
      <c r="E386" s="448">
        <f>INDEX($K386:$O386,SUMIF(cbal!E$280:E$296,$B386,cbal!$D$280:$D$296)+1)</f>
        <v>0</v>
      </c>
      <c r="F386" s="448">
        <f>INDEX($K386:$O386,SUMIF(cbal!F$280:F$296,$B386,cbal!$D$280:$D$296)+1)</f>
        <v>0</v>
      </c>
      <c r="G386" s="448">
        <f>INDEX($K386:$O386,SUMIF(cbal!G$280:G$296,$B386,cbal!$D$280:$D$296)+1)</f>
        <v>0</v>
      </c>
      <c r="H386" s="448">
        <f>INDEX($K386:$O386,SUMIF(cbal!H$280:H$296,$B386,cbal!$D$280:$D$296)+1)</f>
        <v>0</v>
      </c>
      <c r="I386" s="448">
        <f>INDEX($K386:$O386,SUMIF(cbal!I$280:I$296,$B386,cbal!$D$280:$D$296)+1)</f>
        <v>0</v>
      </c>
      <c r="K386" s="1577">
        <v>0</v>
      </c>
      <c r="L386" s="1585">
        <v>5.0000000000000001E-3</v>
      </c>
      <c r="M386" s="1585">
        <v>5.0000000000000001E-3</v>
      </c>
      <c r="N386" s="1585">
        <v>5.0000000000000001E-3</v>
      </c>
      <c r="O386" s="1585">
        <v>5.0000000000000001E-3</v>
      </c>
      <c r="R386" s="91" t="b">
        <f t="shared" si="36"/>
        <v>0</v>
      </c>
      <c r="S386" s="21" t="b">
        <f t="shared" si="37"/>
        <v>0</v>
      </c>
      <c r="T386" s="97" t="b">
        <f t="shared" si="38"/>
        <v>0</v>
      </c>
    </row>
    <row r="387" spans="1:20">
      <c r="B387" t="s">
        <v>4019</v>
      </c>
      <c r="C387" s="433">
        <v>70</v>
      </c>
      <c r="D387" t="str">
        <f>VLOOKUP($C387,param!$A$4:$B$266,2)</f>
        <v>F&amp;S Distribution Costs for Reg. 1</v>
      </c>
      <c r="E387" s="448">
        <f>INDEX($K387:$O387,SUMIF(cbal!E$280:E$296,$B387,cbal!$D$280:$D$296)+1)</f>
        <v>0</v>
      </c>
      <c r="F387" s="448">
        <f>INDEX($K387:$O387,SUMIF(cbal!F$280:F$296,$B387,cbal!$D$280:$D$296)+1)</f>
        <v>0</v>
      </c>
      <c r="G387" s="448">
        <f>INDEX($K387:$O387,SUMIF(cbal!G$280:G$296,$B387,cbal!$D$280:$D$296)+1)</f>
        <v>0</v>
      </c>
      <c r="H387" s="448">
        <f>INDEX($K387:$O387,SUMIF(cbal!H$280:H$296,$B387,cbal!$D$280:$D$296)+1)</f>
        <v>0</v>
      </c>
      <c r="I387" s="448">
        <f>INDEX($K387:$O387,SUMIF(cbal!I$280:I$296,$B387,cbal!$D$280:$D$296)+1)</f>
        <v>0</v>
      </c>
      <c r="K387" s="1577">
        <v>0</v>
      </c>
      <c r="L387" s="1585">
        <v>0</v>
      </c>
      <c r="M387" s="1585">
        <v>0</v>
      </c>
      <c r="N387" s="1585">
        <v>0</v>
      </c>
      <c r="O387" s="1585">
        <v>0</v>
      </c>
      <c r="R387" s="91" t="b">
        <f t="shared" si="36"/>
        <v>0</v>
      </c>
      <c r="S387" s="21" t="b">
        <f t="shared" si="37"/>
        <v>0</v>
      </c>
      <c r="T387" s="97" t="b">
        <f t="shared" si="38"/>
        <v>0</v>
      </c>
    </row>
    <row r="388" spans="1:20">
      <c r="B388" t="s">
        <v>4019</v>
      </c>
      <c r="C388" s="433">
        <v>71</v>
      </c>
      <c r="D388" t="str">
        <f>VLOOKUP($C388,param!$A$4:$B$266,2)</f>
        <v>F&amp;S Distribution Costs for Reg. 2</v>
      </c>
      <c r="E388" s="448">
        <f>INDEX($K388:$O388,SUMIF(cbal!E$280:E$296,$B388,cbal!$D$280:$D$296)+1)</f>
        <v>0</v>
      </c>
      <c r="F388" s="448">
        <f>INDEX($K388:$O388,SUMIF(cbal!F$280:F$296,$B388,cbal!$D$280:$D$296)+1)</f>
        <v>0</v>
      </c>
      <c r="G388" s="448">
        <f>INDEX($K388:$O388,SUMIF(cbal!G$280:G$296,$B388,cbal!$D$280:$D$296)+1)</f>
        <v>0</v>
      </c>
      <c r="H388" s="448">
        <f>INDEX($K388:$O388,SUMIF(cbal!H$280:H$296,$B388,cbal!$D$280:$D$296)+1)</f>
        <v>0</v>
      </c>
      <c r="I388" s="448">
        <f>INDEX($K388:$O388,SUMIF(cbal!I$280:I$296,$B388,cbal!$D$280:$D$296)+1)</f>
        <v>0</v>
      </c>
      <c r="K388" s="1577">
        <v>0</v>
      </c>
      <c r="L388" s="1585">
        <v>0</v>
      </c>
      <c r="M388" s="1585">
        <v>0</v>
      </c>
      <c r="N388" s="1585">
        <v>0</v>
      </c>
      <c r="O388" s="1585">
        <v>0</v>
      </c>
      <c r="R388" s="91" t="b">
        <f t="shared" si="36"/>
        <v>0</v>
      </c>
      <c r="S388" s="21" t="b">
        <f t="shared" si="37"/>
        <v>0</v>
      </c>
      <c r="T388" s="97" t="b">
        <f t="shared" si="38"/>
        <v>0</v>
      </c>
    </row>
    <row r="389" spans="1:20">
      <c r="B389" t="s">
        <v>4019</v>
      </c>
      <c r="C389" s="433">
        <v>171</v>
      </c>
      <c r="D389" t="str">
        <f>VLOOKUP($C389,param!$A$4:$B$266,2)</f>
        <v>Special Programs Expense Product 4 Region 1</v>
      </c>
      <c r="E389" s="183">
        <f>INDEX($K389:$O389,SUMIF(cbal!E$280:E$296,$B389,cbal!$D$280:$D$296)+1)</f>
        <v>0</v>
      </c>
      <c r="F389" s="183">
        <f>INDEX($K389:$O389,SUMIF(cbal!F$280:F$296,$B389,cbal!$D$280:$D$296)+1)</f>
        <v>0</v>
      </c>
      <c r="G389" s="183">
        <f>INDEX($K389:$O389,SUMIF(cbal!G$280:G$296,$B389,cbal!$D$280:$D$296)+1)</f>
        <v>0</v>
      </c>
      <c r="H389" s="183">
        <f>INDEX($K389:$O389,SUMIF(cbal!H$280:H$296,$B389,cbal!$D$280:$D$296)+1)</f>
        <v>0</v>
      </c>
      <c r="I389" s="183">
        <f>INDEX($K389:$O389,SUMIF(cbal!I$280:I$296,$B389,cbal!$D$280:$D$296)+1)</f>
        <v>0</v>
      </c>
      <c r="K389" s="1577">
        <v>0</v>
      </c>
      <c r="L389" s="1580">
        <v>1500000</v>
      </c>
      <c r="M389" s="1580"/>
      <c r="N389" s="1580"/>
      <c r="O389" s="1580"/>
      <c r="R389" s="91">
        <f t="shared" si="36"/>
        <v>1500000</v>
      </c>
      <c r="S389" s="21">
        <f t="shared" si="37"/>
        <v>0</v>
      </c>
      <c r="T389" s="97" t="b">
        <f t="shared" si="38"/>
        <v>0</v>
      </c>
    </row>
    <row r="390" spans="1:20">
      <c r="B390" t="s">
        <v>4019</v>
      </c>
      <c r="C390" s="433">
        <v>171.1</v>
      </c>
      <c r="D390" t="str">
        <f>VLOOKUP($C390,param!$A$4:$B$266,2)</f>
        <v>Special Programs Expense Product 4 Region 2</v>
      </c>
      <c r="E390" s="183">
        <f>INDEX($K390:$O390,SUMIF(cbal!E$280:E$296,$B390,cbal!$D$280:$D$296)+1)</f>
        <v>0</v>
      </c>
      <c r="F390" s="183">
        <f>INDEX($K390:$O390,SUMIF(cbal!F$280:F$296,$B390,cbal!$D$280:$D$296)+1)</f>
        <v>0</v>
      </c>
      <c r="G390" s="183">
        <f>INDEX($K390:$O390,SUMIF(cbal!G$280:G$296,$B390,cbal!$D$280:$D$296)+1)</f>
        <v>0</v>
      </c>
      <c r="H390" s="183">
        <f>INDEX($K390:$O390,SUMIF(cbal!H$280:H$296,$B390,cbal!$D$280:$D$296)+1)</f>
        <v>0</v>
      </c>
      <c r="I390" s="183">
        <f>INDEX($K390:$O390,SUMIF(cbal!I$280:I$296,$B390,cbal!$D$280:$D$296)+1)</f>
        <v>0</v>
      </c>
      <c r="K390" s="1577">
        <v>0</v>
      </c>
      <c r="L390" s="1580">
        <v>1500000</v>
      </c>
      <c r="M390" s="1580"/>
      <c r="N390" s="1580"/>
      <c r="O390" s="1580"/>
      <c r="R390" s="91">
        <f t="shared" si="36"/>
        <v>1500000</v>
      </c>
      <c r="S390" s="21">
        <f t="shared" si="37"/>
        <v>0</v>
      </c>
      <c r="T390" s="97" t="b">
        <f t="shared" si="38"/>
        <v>0</v>
      </c>
    </row>
    <row r="391" spans="1:20">
      <c r="B391" t="s">
        <v>4019</v>
      </c>
      <c r="C391" s="433">
        <v>133.5</v>
      </c>
      <c r="D391" t="str">
        <f>VLOOKUP($C391,param!$A$4:$B$266,2)</f>
        <v>MTU Initiatives Allocation</v>
      </c>
      <c r="E391" s="183">
        <f>INDEX($K391:$O391,SUMIF(cbal!E$280:E$296,$B391,cbal!$D$280:$D$296)+1)</f>
        <v>0</v>
      </c>
      <c r="F391" s="183">
        <f>INDEX($K391:$O391,SUMIF(cbal!F$280:F$296,$B391,cbal!$D$280:$D$296)+1)</f>
        <v>0</v>
      </c>
      <c r="G391" s="183">
        <f>INDEX($K391:$O391,SUMIF(cbal!G$280:G$296,$B391,cbal!$D$280:$D$296)+1)</f>
        <v>0</v>
      </c>
      <c r="H391" s="183">
        <f>INDEX($K391:$O391,SUMIF(cbal!H$280:H$296,$B391,cbal!$D$280:$D$296)+1)</f>
        <v>0</v>
      </c>
      <c r="I391" s="183">
        <f>INDEX($K391:$O391,SUMIF(cbal!I$280:I$296,$B391,cbal!$D$280:$D$296)+1)</f>
        <v>0</v>
      </c>
      <c r="K391" s="1577">
        <v>0</v>
      </c>
      <c r="L391" s="1580">
        <v>10</v>
      </c>
      <c r="M391" s="1580"/>
      <c r="N391" s="1580"/>
      <c r="O391" s="1580"/>
      <c r="R391" s="91" t="b">
        <f t="shared" si="36"/>
        <v>0</v>
      </c>
      <c r="S391" s="21" t="b">
        <f t="shared" si="37"/>
        <v>0</v>
      </c>
      <c r="T391" s="97">
        <f>IF(C391=133.5,L391)</f>
        <v>10</v>
      </c>
    </row>
    <row r="392" spans="1:20">
      <c r="B392" t="s">
        <v>4019</v>
      </c>
      <c r="C392" s="433">
        <v>201</v>
      </c>
      <c r="D392" t="str">
        <f>VLOOKUP($C392,param!$A$4:$B$266,2)</f>
        <v>Brands Strategy</v>
      </c>
      <c r="E392" s="183">
        <f>INDEX($K392:$O392,SUMIF(cbal!E$280:E$296,$B392,cbal!$D$280:$D$296)+1)</f>
        <v>0</v>
      </c>
      <c r="F392" s="183">
        <f>INDEX($K392:$O392,SUMIF(cbal!F$280:F$296,$B392,cbal!$D$280:$D$296)+1)</f>
        <v>0</v>
      </c>
      <c r="G392" s="183">
        <f>INDEX($K392:$O392,SUMIF(cbal!G$280:G$296,$B392,cbal!$D$280:$D$296)+1)</f>
        <v>0</v>
      </c>
      <c r="H392" s="183">
        <f>INDEX($K392:$O392,SUMIF(cbal!H$280:H$296,$B392,cbal!$D$280:$D$296)+1)</f>
        <v>0</v>
      </c>
      <c r="I392" s="183">
        <f>INDEX($K392:$O392,SUMIF(cbal!I$280:I$296,$B392,cbal!$D$280:$D$296)+1)</f>
        <v>0</v>
      </c>
      <c r="K392" s="1577">
        <v>0</v>
      </c>
      <c r="L392" s="1580">
        <f>L391/2</f>
        <v>5</v>
      </c>
      <c r="M392" s="1582">
        <f t="shared" ref="M392:O393" si="49">L392</f>
        <v>5</v>
      </c>
      <c r="N392" s="1582">
        <f t="shared" si="49"/>
        <v>5</v>
      </c>
      <c r="O392" s="1582">
        <f t="shared" si="49"/>
        <v>5</v>
      </c>
      <c r="R392" s="91" t="b">
        <f>IF(AND(C392&gt;166,C392&lt;171.5),L392)</f>
        <v>0</v>
      </c>
      <c r="S392" s="21" t="b">
        <f>IF(AND(C392&gt;166,C392&lt;171.5),M392)</f>
        <v>0</v>
      </c>
      <c r="T392" s="97" t="b">
        <f>IF(C392=133.5,L392)</f>
        <v>0</v>
      </c>
    </row>
    <row r="393" spans="1:20">
      <c r="B393" t="s">
        <v>4019</v>
      </c>
      <c r="C393" s="433">
        <v>202</v>
      </c>
      <c r="D393" t="str">
        <f>VLOOKUP($C393,param!$A$4:$B$266,2)</f>
        <v>Go-to-Market Strategy</v>
      </c>
      <c r="E393" s="183">
        <f>INDEX($K393:$O393,SUMIF(cbal!E$280:E$296,$B393,cbal!$D$280:$D$296)+1)</f>
        <v>0</v>
      </c>
      <c r="F393" s="183">
        <f>INDEX($K393:$O393,SUMIF(cbal!F$280:F$296,$B393,cbal!$D$280:$D$296)+1)</f>
        <v>0</v>
      </c>
      <c r="G393" s="183">
        <f>INDEX($K393:$O393,SUMIF(cbal!G$280:G$296,$B393,cbal!$D$280:$D$296)+1)</f>
        <v>0</v>
      </c>
      <c r="H393" s="183">
        <f>INDEX($K393:$O393,SUMIF(cbal!H$280:H$296,$B393,cbal!$D$280:$D$296)+1)</f>
        <v>0</v>
      </c>
      <c r="I393" s="183">
        <f>INDEX($K393:$O393,SUMIF(cbal!I$280:I$296,$B393,cbal!$D$280:$D$296)+1)</f>
        <v>0</v>
      </c>
      <c r="K393" s="1577">
        <v>0</v>
      </c>
      <c r="L393" s="1580">
        <f>L391-L392</f>
        <v>5</v>
      </c>
      <c r="M393" s="1582">
        <f t="shared" si="49"/>
        <v>5</v>
      </c>
      <c r="N393" s="1582">
        <f t="shared" si="49"/>
        <v>5</v>
      </c>
      <c r="O393" s="1582">
        <f t="shared" si="49"/>
        <v>5</v>
      </c>
      <c r="R393" s="91" t="b">
        <f>IF(AND(C393&gt;166,C393&lt;171.5),L393)</f>
        <v>0</v>
      </c>
      <c r="S393" s="21" t="b">
        <f>IF(AND(C393&gt;166,C393&lt;171.5),M393)</f>
        <v>0</v>
      </c>
      <c r="T393" s="97" t="b">
        <f>IF(C393=133.5,L393)</f>
        <v>0</v>
      </c>
    </row>
    <row r="394" spans="1:20">
      <c r="B394">
        <v>0</v>
      </c>
      <c r="C394" s="433">
        <v>0</v>
      </c>
      <c r="E394" s="183"/>
      <c r="F394" s="183"/>
      <c r="G394" s="183"/>
      <c r="H394" s="183"/>
      <c r="I394" s="183"/>
      <c r="K394" s="1577"/>
      <c r="L394" s="1580"/>
      <c r="M394" s="1580"/>
      <c r="N394" s="1580"/>
      <c r="O394" s="1580"/>
      <c r="R394" s="91">
        <v>0</v>
      </c>
      <c r="S394" s="21">
        <v>0</v>
      </c>
      <c r="T394" s="97">
        <v>0</v>
      </c>
    </row>
    <row r="395" spans="1:20">
      <c r="A395" s="33"/>
      <c r="B395" s="33" t="s">
        <v>4020</v>
      </c>
      <c r="C395" s="33" t="str">
        <f>VLOOKUP(B395,DataInitiativesGrid,2,0)</f>
        <v>e-Commerce Capability Building</v>
      </c>
      <c r="D395" s="33"/>
      <c r="E395" s="183"/>
      <c r="F395" s="183"/>
      <c r="G395" s="183"/>
      <c r="H395" s="183"/>
      <c r="I395" s="183"/>
      <c r="K395" s="1577"/>
      <c r="L395" s="1580"/>
      <c r="M395" s="1580"/>
      <c r="N395" s="1580"/>
      <c r="O395" s="1580"/>
      <c r="R395" s="91">
        <v>0</v>
      </c>
      <c r="S395" s="21">
        <v>0</v>
      </c>
      <c r="T395" s="97">
        <v>0</v>
      </c>
    </row>
    <row r="396" spans="1:20">
      <c r="A396" s="33"/>
      <c r="B396" s="33" t="s">
        <v>4020</v>
      </c>
      <c r="C396" s="593">
        <v>174</v>
      </c>
      <c r="D396" t="str">
        <f>VLOOKUP($C396,param!$A$4:$B$266,2)</f>
        <v>Region 1 Special Program Success NCB</v>
      </c>
      <c r="E396" s="448">
        <f>INDEX($K396:$O396,SUMIF(cbal!E$280:E$296,$B396,cbal!$D$280:$D$296)+1)</f>
        <v>0</v>
      </c>
      <c r="F396" s="448">
        <f>INDEX($K396:$O396,SUMIF(cbal!F$280:F$296,$B396,cbal!$D$280:$D$296)+1)</f>
        <v>0</v>
      </c>
      <c r="G396" s="448">
        <f>INDEX($K396:$O396,SUMIF(cbal!G$280:G$296,$B396,cbal!$D$280:$D$296)+1)</f>
        <v>0</v>
      </c>
      <c r="H396" s="448">
        <f>INDEX($K396:$O396,SUMIF(cbal!H$280:H$296,$B396,cbal!$D$280:$D$296)+1)</f>
        <v>0</v>
      </c>
      <c r="I396" s="448">
        <f>INDEX($K396:$O396,SUMIF(cbal!I$280:I$296,$B396,cbal!$D$280:$D$296)+1)</f>
        <v>0</v>
      </c>
      <c r="K396" s="1577">
        <v>0</v>
      </c>
      <c r="L396" s="1584">
        <v>0.01</v>
      </c>
      <c r="M396" s="1584">
        <v>0.01</v>
      </c>
      <c r="N396" s="1584">
        <v>0.01</v>
      </c>
      <c r="O396" s="1584">
        <v>0.01</v>
      </c>
      <c r="R396" s="91" t="b">
        <f t="shared" ref="R396:R401" si="50">IF(AND(C396&gt;166,C396&lt;171.5),L396)</f>
        <v>0</v>
      </c>
      <c r="S396" s="21" t="b">
        <f t="shared" ref="S396:S401" si="51">IF(AND(C396&gt;166,C396&lt;171.5),M396)</f>
        <v>0</v>
      </c>
      <c r="T396" s="97" t="b">
        <f t="shared" ref="T396:T401" si="52">IF(C396=133.5,L396)</f>
        <v>0</v>
      </c>
    </row>
    <row r="397" spans="1:20">
      <c r="A397" s="33"/>
      <c r="B397" s="33" t="s">
        <v>4020</v>
      </c>
      <c r="C397" s="593">
        <v>175</v>
      </c>
      <c r="D397" t="str">
        <f>VLOOKUP($C397,param!$A$4:$B$266,2)</f>
        <v>Region 1 Special Program Success F&amp;S</v>
      </c>
      <c r="E397" s="448">
        <f>INDEX($K397:$O397,SUMIF(cbal!E$280:E$296,$B397,cbal!$D$280:$D$296)+1)</f>
        <v>0</v>
      </c>
      <c r="F397" s="448">
        <f>INDEX($K397:$O397,SUMIF(cbal!F$280:F$296,$B397,cbal!$D$280:$D$296)+1)</f>
        <v>0</v>
      </c>
      <c r="G397" s="448">
        <f>INDEX($K397:$O397,SUMIF(cbal!G$280:G$296,$B397,cbal!$D$280:$D$296)+1)</f>
        <v>0</v>
      </c>
      <c r="H397" s="448">
        <f>INDEX($K397:$O397,SUMIF(cbal!H$280:H$296,$B397,cbal!$D$280:$D$296)+1)</f>
        <v>0</v>
      </c>
      <c r="I397" s="448">
        <f>INDEX($K397:$O397,SUMIF(cbal!I$280:I$296,$B397,cbal!$D$280:$D$296)+1)</f>
        <v>0</v>
      </c>
      <c r="K397" s="1577">
        <v>0</v>
      </c>
      <c r="L397" s="1584">
        <v>0.01</v>
      </c>
      <c r="M397" s="1584">
        <v>0.01</v>
      </c>
      <c r="N397" s="1584">
        <v>0.01</v>
      </c>
      <c r="O397" s="1584">
        <v>0.01</v>
      </c>
      <c r="R397" s="91" t="b">
        <f t="shared" si="50"/>
        <v>0</v>
      </c>
      <c r="S397" s="21" t="b">
        <f t="shared" si="51"/>
        <v>0</v>
      </c>
      <c r="T397" s="97" t="b">
        <f t="shared" si="52"/>
        <v>0</v>
      </c>
    </row>
    <row r="398" spans="1:20">
      <c r="A398" s="33"/>
      <c r="B398" s="33" t="s">
        <v>4020</v>
      </c>
      <c r="C398" s="593">
        <v>173</v>
      </c>
      <c r="D398" t="str">
        <f>VLOOKUP($C398,param!$A$4:$B$266,2)</f>
        <v>Region 1 Special Program Success CSD</v>
      </c>
      <c r="E398" s="448">
        <f>INDEX($K398:$O398,SUMIF(cbal!E$280:E$296,$B398,cbal!$D$280:$D$296)+1)</f>
        <v>0</v>
      </c>
      <c r="F398" s="448">
        <f>INDEX($K398:$O398,SUMIF(cbal!F$280:F$296,$B398,cbal!$D$280:$D$296)+1)</f>
        <v>0</v>
      </c>
      <c r="G398" s="448">
        <f>INDEX($K398:$O398,SUMIF(cbal!G$280:G$296,$B398,cbal!$D$280:$D$296)+1)</f>
        <v>0</v>
      </c>
      <c r="H398" s="448">
        <f>INDEX($K398:$O398,SUMIF(cbal!H$280:H$296,$B398,cbal!$D$280:$D$296)+1)</f>
        <v>0</v>
      </c>
      <c r="I398" s="448">
        <f>INDEX($K398:$O398,SUMIF(cbal!I$280:I$296,$B398,cbal!$D$280:$D$296)+1)</f>
        <v>0</v>
      </c>
      <c r="K398" s="1577">
        <v>0</v>
      </c>
      <c r="L398" s="1584">
        <v>0.01</v>
      </c>
      <c r="M398" s="1584">
        <v>0.01</v>
      </c>
      <c r="N398" s="1584">
        <v>0.01</v>
      </c>
      <c r="O398" s="1584">
        <v>0.01</v>
      </c>
      <c r="R398" s="91" t="b">
        <f t="shared" si="50"/>
        <v>0</v>
      </c>
      <c r="S398" s="21" t="b">
        <f t="shared" si="51"/>
        <v>0</v>
      </c>
      <c r="T398" s="97" t="b">
        <f t="shared" si="52"/>
        <v>0</v>
      </c>
    </row>
    <row r="399" spans="1:20">
      <c r="B399" s="33" t="s">
        <v>4020</v>
      </c>
      <c r="C399" s="433">
        <v>5</v>
      </c>
      <c r="D399" t="str">
        <f>VLOOKUP($C399,param!$A$4:$B$266,2)</f>
        <v>CSD Region A Marketing Spend Effectiveness</v>
      </c>
      <c r="E399" s="430">
        <f>INDEX($K399:$O399,SUMIF(cbal!E$280:E$296,$B399,cbal!$D$280:$D$296)+1)</f>
        <v>0</v>
      </c>
      <c r="F399" s="430">
        <f>INDEX($K399:$O399,SUMIF(cbal!F$280:F$296,$B399,cbal!$D$280:$D$296)+1)</f>
        <v>0</v>
      </c>
      <c r="G399" s="430">
        <f>INDEX($K399:$O399,SUMIF(cbal!G$280:G$296,$B399,cbal!$D$280:$D$296)+1)</f>
        <v>0</v>
      </c>
      <c r="H399" s="430">
        <f>INDEX($K399:$O399,SUMIF(cbal!H$280:H$296,$B399,cbal!$D$280:$D$296)+1)</f>
        <v>0</v>
      </c>
      <c r="I399" s="430">
        <f>INDEX($K399:$O399,SUMIF(cbal!I$280:I$296,$B399,cbal!$D$280:$D$296)+1)</f>
        <v>0</v>
      </c>
      <c r="K399" s="1577">
        <v>0</v>
      </c>
      <c r="L399" s="1579">
        <v>0.01</v>
      </c>
      <c r="M399" s="1579">
        <v>0.01</v>
      </c>
      <c r="N399" s="1579">
        <v>0.01</v>
      </c>
      <c r="O399" s="1579">
        <v>0.01</v>
      </c>
      <c r="R399" s="91" t="b">
        <f t="shared" si="50"/>
        <v>0</v>
      </c>
      <c r="S399" s="21" t="b">
        <f t="shared" si="51"/>
        <v>0</v>
      </c>
      <c r="T399" s="97" t="b">
        <f t="shared" si="52"/>
        <v>0</v>
      </c>
    </row>
    <row r="400" spans="1:20">
      <c r="B400" s="33" t="s">
        <v>4020</v>
      </c>
      <c r="C400" s="433">
        <v>43</v>
      </c>
      <c r="D400" t="str">
        <f>VLOOKUP($C400,param!$A$4:$B$266,2)</f>
        <v>NCB Region A Marketing Spend Effectiveness</v>
      </c>
      <c r="E400" s="430">
        <f>INDEX($K400:$O400,SUMIF(cbal!E$280:E$296,$B400,cbal!$D$280:$D$296)+1)</f>
        <v>0</v>
      </c>
      <c r="F400" s="430">
        <f>INDEX($K400:$O400,SUMIF(cbal!F$280:F$296,$B400,cbal!$D$280:$D$296)+1)</f>
        <v>0</v>
      </c>
      <c r="G400" s="430">
        <f>INDEX($K400:$O400,SUMIF(cbal!G$280:G$296,$B400,cbal!$D$280:$D$296)+1)</f>
        <v>0</v>
      </c>
      <c r="H400" s="430">
        <f>INDEX($K400:$O400,SUMIF(cbal!H$280:H$296,$B400,cbal!$D$280:$D$296)+1)</f>
        <v>0</v>
      </c>
      <c r="I400" s="430">
        <f>INDEX($K400:$O400,SUMIF(cbal!I$280:I$296,$B400,cbal!$D$280:$D$296)+1)</f>
        <v>0</v>
      </c>
      <c r="K400" s="1577">
        <v>0</v>
      </c>
      <c r="L400" s="1579">
        <v>0.01</v>
      </c>
      <c r="M400" s="1579">
        <v>0.01</v>
      </c>
      <c r="N400" s="1579">
        <v>0.01</v>
      </c>
      <c r="O400" s="1579">
        <v>0.01</v>
      </c>
      <c r="R400" s="91" t="b">
        <f t="shared" si="50"/>
        <v>0</v>
      </c>
      <c r="S400" s="21" t="b">
        <f t="shared" si="51"/>
        <v>0</v>
      </c>
      <c r="T400" s="97" t="b">
        <f t="shared" si="52"/>
        <v>0</v>
      </c>
    </row>
    <row r="401" spans="1:20">
      <c r="B401" s="33" t="s">
        <v>4020</v>
      </c>
      <c r="C401" s="433">
        <v>76</v>
      </c>
      <c r="D401" t="str">
        <f>VLOOKUP($C401,param!$A$4:$B$266,2)</f>
        <v>F&amp;S Region A Marketing Spend Effectiveness</v>
      </c>
      <c r="E401" s="430">
        <f>INDEX($K401:$O401,SUMIF(cbal!E$280:E$296,$B401,cbal!$D$280:$D$296)+1)</f>
        <v>0</v>
      </c>
      <c r="F401" s="430">
        <f>INDEX($K401:$O401,SUMIF(cbal!F$280:F$296,$B401,cbal!$D$280:$D$296)+1)</f>
        <v>0</v>
      </c>
      <c r="G401" s="430">
        <f>INDEX($K401:$O401,SUMIF(cbal!G$280:G$296,$B401,cbal!$D$280:$D$296)+1)</f>
        <v>0</v>
      </c>
      <c r="H401" s="430">
        <f>INDEX($K401:$O401,SUMIF(cbal!H$280:H$296,$B401,cbal!$D$280:$D$296)+1)</f>
        <v>0</v>
      </c>
      <c r="I401" s="430">
        <f>INDEX($K401:$O401,SUMIF(cbal!I$280:I$296,$B401,cbal!$D$280:$D$296)+1)</f>
        <v>0</v>
      </c>
      <c r="K401" s="1577">
        <v>0</v>
      </c>
      <c r="L401" s="1579">
        <v>0.01</v>
      </c>
      <c r="M401" s="1579">
        <v>0.01</v>
      </c>
      <c r="N401" s="1579">
        <v>0.01</v>
      </c>
      <c r="O401" s="1579">
        <v>0.01</v>
      </c>
      <c r="R401" s="91" t="b">
        <f t="shared" si="50"/>
        <v>0</v>
      </c>
      <c r="S401" s="21" t="b">
        <f t="shared" si="51"/>
        <v>0</v>
      </c>
      <c r="T401" s="97" t="b">
        <f t="shared" si="52"/>
        <v>0</v>
      </c>
    </row>
    <row r="402" spans="1:20">
      <c r="A402" s="33"/>
      <c r="B402" s="33" t="s">
        <v>4020</v>
      </c>
      <c r="C402" s="433">
        <v>167</v>
      </c>
      <c r="D402" t="str">
        <f>VLOOKUP($C402,param!$A$4:$B$266,2)</f>
        <v>Special Program Expense</v>
      </c>
      <c r="E402" s="183">
        <v>0</v>
      </c>
      <c r="F402" s="183">
        <v>0</v>
      </c>
      <c r="G402" s="183">
        <v>0</v>
      </c>
      <c r="H402" s="183">
        <v>0</v>
      </c>
      <c r="I402" s="183">
        <v>0</v>
      </c>
      <c r="K402" s="1577">
        <v>0</v>
      </c>
      <c r="L402" s="1580">
        <v>1000000</v>
      </c>
      <c r="M402" s="1580">
        <v>500000</v>
      </c>
      <c r="N402" s="1580">
        <v>500000</v>
      </c>
      <c r="O402" s="1580">
        <v>500000</v>
      </c>
      <c r="R402" s="91">
        <f t="shared" si="36"/>
        <v>1000000</v>
      </c>
      <c r="S402" s="21">
        <f t="shared" si="37"/>
        <v>500000</v>
      </c>
      <c r="T402" s="97" t="b">
        <f t="shared" si="38"/>
        <v>0</v>
      </c>
    </row>
    <row r="403" spans="1:20">
      <c r="B403" t="s">
        <v>4020</v>
      </c>
      <c r="C403" s="433">
        <v>133.5</v>
      </c>
      <c r="D403" t="str">
        <f>VLOOKUP($C403,param!$A$4:$B$266,2)</f>
        <v>MTU Initiatives Allocation</v>
      </c>
      <c r="E403" s="183">
        <f>INDEX($K403:$O403,SUMIF(cbal!E$280:E$296,$B403,cbal!$D$280:$D$296)+1)</f>
        <v>0</v>
      </c>
      <c r="F403" s="183">
        <f>INDEX($K403:$O403,SUMIF(cbal!F$280:F$296,$B403,cbal!$D$280:$D$296)+1)</f>
        <v>0</v>
      </c>
      <c r="G403" s="183">
        <f>INDEX($K403:$O403,SUMIF(cbal!G$280:G$296,$B403,cbal!$D$280:$D$296)+1)</f>
        <v>0</v>
      </c>
      <c r="H403" s="183">
        <f>INDEX($K403:$O403,SUMIF(cbal!H$280:H$296,$B403,cbal!$D$280:$D$296)+1)</f>
        <v>0</v>
      </c>
      <c r="I403" s="183">
        <f>INDEX($K403:$O403,SUMIF(cbal!I$280:I$296,$B403,cbal!$D$280:$D$296)+1)</f>
        <v>0</v>
      </c>
      <c r="K403" s="1577">
        <v>0</v>
      </c>
      <c r="L403" s="1580">
        <v>5</v>
      </c>
      <c r="M403" s="1580"/>
      <c r="N403" s="1580"/>
      <c r="O403" s="1580"/>
      <c r="R403" s="91" t="b">
        <f t="shared" si="36"/>
        <v>0</v>
      </c>
      <c r="S403" s="21" t="b">
        <f t="shared" si="37"/>
        <v>0</v>
      </c>
      <c r="T403" s="97">
        <f t="shared" si="38"/>
        <v>5</v>
      </c>
    </row>
    <row r="404" spans="1:20">
      <c r="B404" t="s">
        <v>4020</v>
      </c>
      <c r="C404" s="1595">
        <v>202</v>
      </c>
      <c r="D404" t="str">
        <f>VLOOKUP($C404,param!$A$4:$B$266,2)</f>
        <v>Go-to-Market Strategy</v>
      </c>
      <c r="E404" s="183">
        <f>INDEX($K404:$O404,SUMIF(cbal!E$280:E$296,$B404,cbal!$D$280:$D$296)+1)</f>
        <v>0</v>
      </c>
      <c r="F404" s="183">
        <f>INDEX($K404:$O404,SUMIF(cbal!F$280:F$296,$B404,cbal!$D$280:$D$296)+1)</f>
        <v>0</v>
      </c>
      <c r="G404" s="183">
        <f>INDEX($K404:$O404,SUMIF(cbal!G$280:G$296,$B404,cbal!$D$280:$D$296)+1)</f>
        <v>0</v>
      </c>
      <c r="H404" s="183">
        <f>INDEX($K404:$O404,SUMIF(cbal!H$280:H$296,$B404,cbal!$D$280:$D$296)+1)</f>
        <v>0</v>
      </c>
      <c r="I404" s="183">
        <f>INDEX($K404:$O404,SUMIF(cbal!I$280:I$296,$B404,cbal!$D$280:$D$296)+1)</f>
        <v>0</v>
      </c>
      <c r="K404" s="1577">
        <v>0</v>
      </c>
      <c r="L404" s="1580">
        <f>L403</f>
        <v>5</v>
      </c>
      <c r="M404" s="1580">
        <f>L404</f>
        <v>5</v>
      </c>
      <c r="N404" s="1580">
        <f>M404</f>
        <v>5</v>
      </c>
      <c r="O404" s="1580">
        <f>N404</f>
        <v>5</v>
      </c>
      <c r="R404" s="91" t="b">
        <f>IF(AND(C404&gt;166,C404&lt;171.5),L404)</f>
        <v>0</v>
      </c>
      <c r="S404" s="21" t="b">
        <f>IF(AND(C404&gt;166,C404&lt;171.5),M404)</f>
        <v>0</v>
      </c>
      <c r="T404" s="97" t="b">
        <f>IF(C404=133.5,L404)</f>
        <v>0</v>
      </c>
    </row>
    <row r="405" spans="1:20">
      <c r="A405" s="33"/>
      <c r="B405">
        <v>0</v>
      </c>
      <c r="C405" s="433">
        <v>0</v>
      </c>
      <c r="D405" s="33"/>
      <c r="E405" s="183"/>
      <c r="F405" s="183"/>
      <c r="G405" s="183"/>
      <c r="H405" s="183"/>
      <c r="I405" s="183"/>
      <c r="K405" s="1577"/>
      <c r="L405" s="1580"/>
      <c r="M405" s="1580"/>
      <c r="N405" s="1580"/>
      <c r="O405" s="1580"/>
      <c r="R405" s="91">
        <v>0</v>
      </c>
      <c r="S405" s="21">
        <v>0</v>
      </c>
      <c r="T405" s="97">
        <v>0</v>
      </c>
    </row>
    <row r="406" spans="1:20">
      <c r="A406" s="33"/>
      <c r="B406" s="33" t="s">
        <v>4021</v>
      </c>
      <c r="C406" s="33" t="str">
        <f>VLOOKUP(B406,DataInitiativesGrid,2,0)</f>
        <v>Top Priority Account Management - Vetera</v>
      </c>
      <c r="D406" s="33"/>
      <c r="E406" s="183"/>
      <c r="F406" s="183"/>
      <c r="G406" s="183"/>
      <c r="H406" s="183"/>
      <c r="I406" s="183"/>
      <c r="K406" s="1577"/>
      <c r="L406" s="1580"/>
      <c r="M406" s="1580"/>
      <c r="N406" s="1580"/>
      <c r="O406" s="1580"/>
      <c r="R406" s="91">
        <v>0</v>
      </c>
      <c r="S406" s="21">
        <v>0</v>
      </c>
      <c r="T406" s="97">
        <v>0</v>
      </c>
    </row>
    <row r="407" spans="1:20">
      <c r="A407" s="33"/>
      <c r="B407" s="33" t="s">
        <v>4021</v>
      </c>
      <c r="C407" s="593">
        <v>174</v>
      </c>
      <c r="D407" t="str">
        <f>VLOOKUP($C407,param!$A$4:$B$266,2)</f>
        <v>Region 1 Special Program Success NCB</v>
      </c>
      <c r="E407" s="448">
        <f>INDEX($K407:$O407,SUMIF(cbal!E$280:E$296,$B407,cbal!$D$280:$D$296)+1)</f>
        <v>0</v>
      </c>
      <c r="F407" s="448">
        <f>INDEX($K407:$O407,SUMIF(cbal!F$280:F$296,$B407,cbal!$D$280:$D$296)+1)</f>
        <v>0</v>
      </c>
      <c r="G407" s="448">
        <f>INDEX($K407:$O407,SUMIF(cbal!G$280:G$296,$B407,cbal!$D$280:$D$296)+1)</f>
        <v>0</v>
      </c>
      <c r="H407" s="448">
        <f>INDEX($K407:$O407,SUMIF(cbal!H$280:H$296,$B407,cbal!$D$280:$D$296)+1)</f>
        <v>0</v>
      </c>
      <c r="I407" s="448">
        <f>INDEX($K407:$O407,SUMIF(cbal!I$280:I$296,$B407,cbal!$D$280:$D$296)+1)</f>
        <v>0</v>
      </c>
      <c r="K407" s="1577">
        <v>0</v>
      </c>
      <c r="L407" s="1584">
        <v>0.01</v>
      </c>
      <c r="M407" s="1584">
        <v>0.01</v>
      </c>
      <c r="N407" s="1584">
        <v>0.01</v>
      </c>
      <c r="O407" s="1584">
        <v>0.01</v>
      </c>
      <c r="R407" s="91" t="b">
        <f t="shared" si="36"/>
        <v>0</v>
      </c>
      <c r="S407" s="21" t="b">
        <f t="shared" si="37"/>
        <v>0</v>
      </c>
      <c r="T407" s="97" t="b">
        <f t="shared" si="38"/>
        <v>0</v>
      </c>
    </row>
    <row r="408" spans="1:20">
      <c r="A408" s="33"/>
      <c r="B408" s="33" t="s">
        <v>4021</v>
      </c>
      <c r="C408" s="593">
        <v>175</v>
      </c>
      <c r="D408" t="str">
        <f>VLOOKUP($C408,param!$A$4:$B$266,2)</f>
        <v>Region 1 Special Program Success F&amp;S</v>
      </c>
      <c r="E408" s="448">
        <f>INDEX($K408:$O408,SUMIF(cbal!E$280:E$296,$B408,cbal!$D$280:$D$296)+1)</f>
        <v>0</v>
      </c>
      <c r="F408" s="448">
        <f>INDEX($K408:$O408,SUMIF(cbal!F$280:F$296,$B408,cbal!$D$280:$D$296)+1)</f>
        <v>0</v>
      </c>
      <c r="G408" s="448">
        <f>INDEX($K408:$O408,SUMIF(cbal!G$280:G$296,$B408,cbal!$D$280:$D$296)+1)</f>
        <v>0</v>
      </c>
      <c r="H408" s="448">
        <f>INDEX($K408:$O408,SUMIF(cbal!H$280:H$296,$B408,cbal!$D$280:$D$296)+1)</f>
        <v>0</v>
      </c>
      <c r="I408" s="448">
        <f>INDEX($K408:$O408,SUMIF(cbal!I$280:I$296,$B408,cbal!$D$280:$D$296)+1)</f>
        <v>0</v>
      </c>
      <c r="K408" s="1577">
        <v>0</v>
      </c>
      <c r="L408" s="1584">
        <v>0.01</v>
      </c>
      <c r="M408" s="1584">
        <v>0.01</v>
      </c>
      <c r="N408" s="1584">
        <v>0.01</v>
      </c>
      <c r="O408" s="1584">
        <v>0.01</v>
      </c>
      <c r="R408" s="91" t="b">
        <f t="shared" ref="R408:R412" si="53">IF(AND(C408&gt;166,C408&lt;171.5),L408)</f>
        <v>0</v>
      </c>
      <c r="S408" s="21" t="b">
        <f t="shared" ref="S408:S412" si="54">IF(AND(C408&gt;166,C408&lt;171.5),M408)</f>
        <v>0</v>
      </c>
      <c r="T408" s="97" t="b">
        <f t="shared" ref="T408:T412" si="55">IF(C408=133.5,L408)</f>
        <v>0</v>
      </c>
    </row>
    <row r="409" spans="1:20">
      <c r="A409" s="33"/>
      <c r="B409" s="33" t="s">
        <v>4021</v>
      </c>
      <c r="C409" s="593">
        <v>173</v>
      </c>
      <c r="D409" t="str">
        <f>VLOOKUP($C409,param!$A$4:$B$266,2)</f>
        <v>Region 1 Special Program Success CSD</v>
      </c>
      <c r="E409" s="448">
        <f>INDEX($K409:$O409,SUMIF(cbal!E$280:E$296,$B409,cbal!$D$280:$D$296)+1)</f>
        <v>0</v>
      </c>
      <c r="F409" s="448">
        <f>INDEX($K409:$O409,SUMIF(cbal!F$280:F$296,$B409,cbal!$D$280:$D$296)+1)</f>
        <v>0</v>
      </c>
      <c r="G409" s="448">
        <f>INDEX($K409:$O409,SUMIF(cbal!G$280:G$296,$B409,cbal!$D$280:$D$296)+1)</f>
        <v>0</v>
      </c>
      <c r="H409" s="448">
        <f>INDEX($K409:$O409,SUMIF(cbal!H$280:H$296,$B409,cbal!$D$280:$D$296)+1)</f>
        <v>0</v>
      </c>
      <c r="I409" s="448">
        <f>INDEX($K409:$O409,SUMIF(cbal!I$280:I$296,$B409,cbal!$D$280:$D$296)+1)</f>
        <v>0</v>
      </c>
      <c r="K409" s="1577">
        <v>0</v>
      </c>
      <c r="L409" s="1584">
        <v>0.01</v>
      </c>
      <c r="M409" s="1584">
        <v>0.01</v>
      </c>
      <c r="N409" s="1584">
        <v>0.01</v>
      </c>
      <c r="O409" s="1584">
        <v>0.01</v>
      </c>
      <c r="R409" s="91" t="b">
        <f t="shared" si="53"/>
        <v>0</v>
      </c>
      <c r="S409" s="21" t="b">
        <f t="shared" si="54"/>
        <v>0</v>
      </c>
      <c r="T409" s="97" t="b">
        <f t="shared" si="55"/>
        <v>0</v>
      </c>
    </row>
    <row r="410" spans="1:20">
      <c r="B410" s="33" t="s">
        <v>4021</v>
      </c>
      <c r="C410" s="433">
        <v>5</v>
      </c>
      <c r="D410" t="str">
        <f>VLOOKUP($C410,param!$A$4:$B$266,2)</f>
        <v>CSD Region A Marketing Spend Effectiveness</v>
      </c>
      <c r="E410" s="430">
        <f>INDEX($K410:$O410,SUMIF(cbal!E$280:E$296,$B410,cbal!$D$280:$D$296)+1)</f>
        <v>0</v>
      </c>
      <c r="F410" s="430">
        <f>INDEX($K410:$O410,SUMIF(cbal!F$280:F$296,$B410,cbal!$D$280:$D$296)+1)</f>
        <v>0</v>
      </c>
      <c r="G410" s="430">
        <f>INDEX($K410:$O410,SUMIF(cbal!G$280:G$296,$B410,cbal!$D$280:$D$296)+1)</f>
        <v>0</v>
      </c>
      <c r="H410" s="430">
        <f>INDEX($K410:$O410,SUMIF(cbal!H$280:H$296,$B410,cbal!$D$280:$D$296)+1)</f>
        <v>0</v>
      </c>
      <c r="I410" s="430">
        <f>INDEX($K410:$O410,SUMIF(cbal!I$280:I$296,$B410,cbal!$D$280:$D$296)+1)</f>
        <v>0</v>
      </c>
      <c r="K410" s="1577">
        <v>0</v>
      </c>
      <c r="L410" s="1579">
        <v>0.01</v>
      </c>
      <c r="M410" s="1579">
        <v>0.01</v>
      </c>
      <c r="N410" s="1579">
        <v>0.01</v>
      </c>
      <c r="O410" s="1579">
        <v>0.01</v>
      </c>
      <c r="R410" s="91" t="b">
        <f t="shared" si="53"/>
        <v>0</v>
      </c>
      <c r="S410" s="21" t="b">
        <f t="shared" si="54"/>
        <v>0</v>
      </c>
      <c r="T410" s="97" t="b">
        <f t="shared" si="55"/>
        <v>0</v>
      </c>
    </row>
    <row r="411" spans="1:20">
      <c r="B411" s="33" t="s">
        <v>4021</v>
      </c>
      <c r="C411" s="433">
        <v>43</v>
      </c>
      <c r="D411" t="str">
        <f>VLOOKUP($C411,param!$A$4:$B$266,2)</f>
        <v>NCB Region A Marketing Spend Effectiveness</v>
      </c>
      <c r="E411" s="430">
        <f>INDEX($K411:$O411,SUMIF(cbal!E$280:E$296,$B411,cbal!$D$280:$D$296)+1)</f>
        <v>0</v>
      </c>
      <c r="F411" s="430">
        <f>INDEX($K411:$O411,SUMIF(cbal!F$280:F$296,$B411,cbal!$D$280:$D$296)+1)</f>
        <v>0</v>
      </c>
      <c r="G411" s="430">
        <f>INDEX($K411:$O411,SUMIF(cbal!G$280:G$296,$B411,cbal!$D$280:$D$296)+1)</f>
        <v>0</v>
      </c>
      <c r="H411" s="430">
        <f>INDEX($K411:$O411,SUMIF(cbal!H$280:H$296,$B411,cbal!$D$280:$D$296)+1)</f>
        <v>0</v>
      </c>
      <c r="I411" s="430">
        <f>INDEX($K411:$O411,SUMIF(cbal!I$280:I$296,$B411,cbal!$D$280:$D$296)+1)</f>
        <v>0</v>
      </c>
      <c r="K411" s="1577">
        <v>0</v>
      </c>
      <c r="L411" s="1579">
        <v>0.01</v>
      </c>
      <c r="M411" s="1579">
        <v>0.01</v>
      </c>
      <c r="N411" s="1579">
        <v>0.01</v>
      </c>
      <c r="O411" s="1579">
        <v>0.01</v>
      </c>
      <c r="R411" s="91" t="b">
        <f t="shared" si="53"/>
        <v>0</v>
      </c>
      <c r="S411" s="21" t="b">
        <f t="shared" si="54"/>
        <v>0</v>
      </c>
      <c r="T411" s="97" t="b">
        <f t="shared" si="55"/>
        <v>0</v>
      </c>
    </row>
    <row r="412" spans="1:20">
      <c r="B412" s="33" t="s">
        <v>4021</v>
      </c>
      <c r="C412" s="433">
        <v>76</v>
      </c>
      <c r="D412" t="str">
        <f>VLOOKUP($C412,param!$A$4:$B$266,2)</f>
        <v>F&amp;S Region A Marketing Spend Effectiveness</v>
      </c>
      <c r="E412" s="430">
        <f>INDEX($K412:$O412,SUMIF(cbal!E$280:E$296,$B412,cbal!$D$280:$D$296)+1)</f>
        <v>0</v>
      </c>
      <c r="F412" s="430">
        <f>INDEX($K412:$O412,SUMIF(cbal!F$280:F$296,$B412,cbal!$D$280:$D$296)+1)</f>
        <v>0</v>
      </c>
      <c r="G412" s="430">
        <f>INDEX($K412:$O412,SUMIF(cbal!G$280:G$296,$B412,cbal!$D$280:$D$296)+1)</f>
        <v>0</v>
      </c>
      <c r="H412" s="430">
        <f>INDEX($K412:$O412,SUMIF(cbal!H$280:H$296,$B412,cbal!$D$280:$D$296)+1)</f>
        <v>0</v>
      </c>
      <c r="I412" s="430">
        <f>INDEX($K412:$O412,SUMIF(cbal!I$280:I$296,$B412,cbal!$D$280:$D$296)+1)</f>
        <v>0</v>
      </c>
      <c r="K412" s="1577">
        <v>0</v>
      </c>
      <c r="L412" s="1579">
        <v>0.01</v>
      </c>
      <c r="M412" s="1579">
        <v>0.01</v>
      </c>
      <c r="N412" s="1579">
        <v>0.01</v>
      </c>
      <c r="O412" s="1579">
        <v>0.01</v>
      </c>
      <c r="R412" s="91" t="b">
        <f t="shared" si="53"/>
        <v>0</v>
      </c>
      <c r="S412" s="21" t="b">
        <f t="shared" si="54"/>
        <v>0</v>
      </c>
      <c r="T412" s="97" t="b">
        <f t="shared" si="55"/>
        <v>0</v>
      </c>
    </row>
    <row r="413" spans="1:20">
      <c r="B413" s="33" t="s">
        <v>4021</v>
      </c>
      <c r="C413" s="433">
        <v>170</v>
      </c>
      <c r="D413" t="str">
        <f>VLOOKUP($C413,param!$A$4:$B$266,2)</f>
        <v>Special Programs Expense Product 3 Region 1</v>
      </c>
      <c r="E413" s="183">
        <v>0</v>
      </c>
      <c r="F413" s="183">
        <v>0</v>
      </c>
      <c r="G413" s="183">
        <v>0</v>
      </c>
      <c r="H413" s="183">
        <v>0</v>
      </c>
      <c r="I413" s="183">
        <v>0</v>
      </c>
      <c r="K413" s="1577">
        <v>0</v>
      </c>
      <c r="L413" s="1580">
        <v>750000</v>
      </c>
      <c r="M413" s="1580">
        <v>750000</v>
      </c>
      <c r="N413" s="1580">
        <v>750000</v>
      </c>
      <c r="O413" s="1580">
        <v>750000</v>
      </c>
      <c r="R413" s="91">
        <f t="shared" si="36"/>
        <v>750000</v>
      </c>
      <c r="S413" s="21">
        <f t="shared" si="37"/>
        <v>750000</v>
      </c>
      <c r="T413" s="97" t="b">
        <f t="shared" si="38"/>
        <v>0</v>
      </c>
    </row>
    <row r="414" spans="1:20">
      <c r="B414" s="33" t="s">
        <v>4021</v>
      </c>
      <c r="C414" s="433">
        <v>133.5</v>
      </c>
      <c r="D414" t="str">
        <f>VLOOKUP($C414,param!$A$4:$B$266,2)</f>
        <v>MTU Initiatives Allocation</v>
      </c>
      <c r="E414" s="183">
        <f>INDEX($K414:$O414,SUMIF(cbal!E$280:E$296,$B414,cbal!$D$280:$D$296)+1)</f>
        <v>0</v>
      </c>
      <c r="F414" s="183">
        <f>INDEX($K414:$O414,SUMIF(cbal!F$280:F$296,$B414,cbal!$D$280:$D$296)+1)</f>
        <v>0</v>
      </c>
      <c r="G414" s="183">
        <f>INDEX($K414:$O414,SUMIF(cbal!G$280:G$296,$B414,cbal!$D$280:$D$296)+1)</f>
        <v>0</v>
      </c>
      <c r="H414" s="183">
        <f>INDEX($K414:$O414,SUMIF(cbal!H$280:H$296,$B414,cbal!$D$280:$D$296)+1)</f>
        <v>0</v>
      </c>
      <c r="I414" s="183">
        <f>INDEX($K414:$O414,SUMIF(cbal!I$280:I$296,$B414,cbal!$D$280:$D$296)+1)</f>
        <v>0</v>
      </c>
      <c r="K414" s="1577">
        <v>0</v>
      </c>
      <c r="L414" s="2463">
        <v>8</v>
      </c>
      <c r="M414" s="1580"/>
      <c r="N414" s="1580"/>
      <c r="O414" s="1580"/>
      <c r="R414" s="91" t="b">
        <f t="shared" ref="R414:R510" si="56">IF(AND(C414&gt;166,C414&lt;171.5),L414)</f>
        <v>0</v>
      </c>
      <c r="S414" s="21" t="b">
        <f t="shared" ref="S414:S510" si="57">IF(AND(C414&gt;166,C414&lt;171.5),M414)</f>
        <v>0</v>
      </c>
      <c r="T414" s="97">
        <f>IF(C414=133.5,L414)</f>
        <v>8</v>
      </c>
    </row>
    <row r="415" spans="1:20">
      <c r="B415" s="33" t="s">
        <v>4021</v>
      </c>
      <c r="C415" s="433">
        <v>202</v>
      </c>
      <c r="D415" t="str">
        <f>VLOOKUP($C415,param!$A$4:$B$266,2)</f>
        <v>Go-to-Market Strategy</v>
      </c>
      <c r="E415" s="183">
        <f>INDEX($K415:$O415,SUMIF(cbal!E$280:E$296,$B415,cbal!$D$280:$D$296)+1)</f>
        <v>0</v>
      </c>
      <c r="F415" s="183">
        <f>INDEX($K415:$O415,SUMIF(cbal!F$280:F$296,$B415,cbal!$D$280:$D$296)+1)</f>
        <v>0</v>
      </c>
      <c r="G415" s="183">
        <f>INDEX($K415:$O415,SUMIF(cbal!G$280:G$296,$B415,cbal!$D$280:$D$296)+1)</f>
        <v>0</v>
      </c>
      <c r="H415" s="183">
        <f>INDEX($K415:$O415,SUMIF(cbal!H$280:H$296,$B415,cbal!$D$280:$D$296)+1)</f>
        <v>0</v>
      </c>
      <c r="I415" s="183">
        <f>INDEX($K415:$O415,SUMIF(cbal!I$280:I$296,$B415,cbal!$D$280:$D$296)+1)</f>
        <v>0</v>
      </c>
      <c r="K415" s="1577">
        <v>0</v>
      </c>
      <c r="L415" s="1580">
        <f>L414</f>
        <v>8</v>
      </c>
      <c r="M415" s="1582">
        <f t="shared" ref="M415:O415" si="58">L415</f>
        <v>8</v>
      </c>
      <c r="N415" s="1582">
        <f t="shared" si="58"/>
        <v>8</v>
      </c>
      <c r="O415" s="1582">
        <f t="shared" si="58"/>
        <v>8</v>
      </c>
      <c r="R415" s="91" t="b">
        <f>IF(AND(C416&gt;166,C416&lt;171.5),L415)</f>
        <v>0</v>
      </c>
      <c r="S415" s="21" t="b">
        <f>IF(AND(C416&gt;166,C416&lt;171.5),M415)</f>
        <v>0</v>
      </c>
      <c r="T415" s="97" t="b">
        <f>IF(C416=133.5,L415)</f>
        <v>0</v>
      </c>
    </row>
    <row r="416" spans="1:20">
      <c r="B416">
        <v>0</v>
      </c>
      <c r="C416" s="433">
        <v>0</v>
      </c>
      <c r="E416" s="183"/>
      <c r="F416" s="183"/>
      <c r="G416" s="183"/>
      <c r="H416" s="183"/>
      <c r="I416" s="183"/>
      <c r="K416" s="1577"/>
      <c r="L416" s="1580"/>
      <c r="M416" s="1580"/>
      <c r="N416" s="1580"/>
      <c r="O416" s="1580"/>
      <c r="R416" s="91">
        <v>0</v>
      </c>
      <c r="S416" s="21">
        <v>0</v>
      </c>
      <c r="T416" s="97">
        <v>0</v>
      </c>
    </row>
    <row r="417" spans="1:20">
      <c r="A417" s="33"/>
      <c r="B417" s="33" t="s">
        <v>4022</v>
      </c>
      <c r="C417" s="33" t="str">
        <f>VLOOKUP(B417,DataInitiativesGrid,2,0)</f>
        <v>Top Priority Account Managemen - Escendia</v>
      </c>
      <c r="D417" s="33"/>
      <c r="E417" s="183"/>
      <c r="F417" s="183"/>
      <c r="G417" s="183"/>
      <c r="H417" s="183"/>
      <c r="I417" s="183"/>
      <c r="K417" s="1577"/>
      <c r="L417" s="1580"/>
      <c r="M417" s="1580"/>
      <c r="N417" s="1580"/>
      <c r="O417" s="1580"/>
      <c r="R417" s="91">
        <v>0</v>
      </c>
      <c r="S417" s="21">
        <v>0</v>
      </c>
      <c r="T417" s="97">
        <v>0</v>
      </c>
    </row>
    <row r="418" spans="1:20">
      <c r="A418" s="33"/>
      <c r="B418" s="33" t="s">
        <v>4022</v>
      </c>
      <c r="C418" s="593">
        <v>178</v>
      </c>
      <c r="D418" t="str">
        <f>VLOOKUP($C418,param!$A$4:$B$266,2)</f>
        <v>Region 2 Special Program Success NCB</v>
      </c>
      <c r="E418" s="448">
        <f>INDEX($K418:$O418,SUMIF(cbal!E$280:E$296,$B418,cbal!$D$280:$D$296)+1)</f>
        <v>0</v>
      </c>
      <c r="F418" s="448">
        <f>INDEX($K418:$O418,SUMIF(cbal!F$280:F$296,$B418,cbal!$D$280:$D$296)+1)</f>
        <v>0</v>
      </c>
      <c r="G418" s="448">
        <f>INDEX($K418:$O418,SUMIF(cbal!G$280:G$296,$B418,cbal!$D$280:$D$296)+1)</f>
        <v>0</v>
      </c>
      <c r="H418" s="448">
        <f>INDEX($K418:$O418,SUMIF(cbal!H$280:H$296,$B418,cbal!$D$280:$D$296)+1)</f>
        <v>0</v>
      </c>
      <c r="I418" s="448">
        <f>INDEX($K418:$O418,SUMIF(cbal!I$280:I$296,$B418,cbal!$D$280:$D$296)+1)</f>
        <v>0</v>
      </c>
      <c r="K418" s="1577">
        <v>0</v>
      </c>
      <c r="L418" s="1584">
        <v>0.01</v>
      </c>
      <c r="M418" s="1584">
        <v>0.01</v>
      </c>
      <c r="N418" s="1584">
        <v>0.01</v>
      </c>
      <c r="O418" s="1584">
        <v>0.01</v>
      </c>
      <c r="R418" s="91" t="b">
        <f t="shared" si="56"/>
        <v>0</v>
      </c>
      <c r="S418" s="21" t="b">
        <f t="shared" si="57"/>
        <v>0</v>
      </c>
      <c r="T418" s="97" t="b">
        <f t="shared" ref="T418:T425" si="59">IF(C418=133.5,L418)</f>
        <v>0</v>
      </c>
    </row>
    <row r="419" spans="1:20">
      <c r="A419" s="33"/>
      <c r="B419" s="33" t="s">
        <v>4022</v>
      </c>
      <c r="C419" s="593">
        <v>176</v>
      </c>
      <c r="D419" t="str">
        <f>VLOOKUP($C419,param!$A$4:$B$266,2)</f>
        <v>Region 2 Special Program Success CSD</v>
      </c>
      <c r="E419" s="448">
        <f>INDEX($K419:$O419,SUMIF(cbal!E$280:E$296,$B419,cbal!$D$280:$D$296)+1)</f>
        <v>0</v>
      </c>
      <c r="F419" s="448">
        <f>INDEX($K419:$O419,SUMIF(cbal!F$280:F$296,$B419,cbal!$D$280:$D$296)+1)</f>
        <v>0</v>
      </c>
      <c r="G419" s="448">
        <f>INDEX($K419:$O419,SUMIF(cbal!G$280:G$296,$B419,cbal!$D$280:$D$296)+1)</f>
        <v>0</v>
      </c>
      <c r="H419" s="448">
        <f>INDEX($K419:$O419,SUMIF(cbal!H$280:H$296,$B419,cbal!$D$280:$D$296)+1)</f>
        <v>0</v>
      </c>
      <c r="I419" s="448">
        <f>INDEX($K419:$O419,SUMIF(cbal!I$280:I$296,$B419,cbal!$D$280:$D$296)+1)</f>
        <v>0</v>
      </c>
      <c r="K419" s="1577">
        <v>0</v>
      </c>
      <c r="L419" s="1584">
        <v>0.01</v>
      </c>
      <c r="M419" s="1584">
        <v>0.01</v>
      </c>
      <c r="N419" s="1584">
        <v>0.01</v>
      </c>
      <c r="O419" s="1584">
        <v>0.01</v>
      </c>
      <c r="R419" s="91" t="b">
        <f t="shared" ref="R419:R423" si="60">IF(AND(C419&gt;166,C419&lt;171.5),L419)</f>
        <v>0</v>
      </c>
      <c r="S419" s="21" t="b">
        <f t="shared" ref="S419:S423" si="61">IF(AND(C419&gt;166,C419&lt;171.5),M419)</f>
        <v>0</v>
      </c>
      <c r="T419" s="97" t="b">
        <f t="shared" ref="T419:T423" si="62">IF(C419=133.5,L419)</f>
        <v>0</v>
      </c>
    </row>
    <row r="420" spans="1:20">
      <c r="A420" s="33"/>
      <c r="B420" s="33" t="s">
        <v>4022</v>
      </c>
      <c r="C420" s="593">
        <v>179</v>
      </c>
      <c r="D420" t="str">
        <f>VLOOKUP($C420,param!$A$4:$B$266,2)</f>
        <v>Region 2 Special Program Success F&amp;S</v>
      </c>
      <c r="E420" s="448">
        <f>INDEX($K420:$O420,SUMIF(cbal!E$280:E$296,$B420,cbal!$D$280:$D$296)+1)</f>
        <v>0</v>
      </c>
      <c r="F420" s="448">
        <f>INDEX($K420:$O420,SUMIF(cbal!F$280:F$296,$B420,cbal!$D$280:$D$296)+1)</f>
        <v>0</v>
      </c>
      <c r="G420" s="448">
        <f>INDEX($K420:$O420,SUMIF(cbal!G$280:G$296,$B420,cbal!$D$280:$D$296)+1)</f>
        <v>0</v>
      </c>
      <c r="H420" s="448">
        <f>INDEX($K420:$O420,SUMIF(cbal!H$280:H$296,$B420,cbal!$D$280:$D$296)+1)</f>
        <v>0</v>
      </c>
      <c r="I420" s="448">
        <f>INDEX($K420:$O420,SUMIF(cbal!I$280:I$296,$B420,cbal!$D$280:$D$296)+1)</f>
        <v>0</v>
      </c>
      <c r="K420" s="1577">
        <v>0</v>
      </c>
      <c r="L420" s="1584">
        <v>0.01</v>
      </c>
      <c r="M420" s="1584">
        <v>0.01</v>
      </c>
      <c r="N420" s="1584">
        <v>0.01</v>
      </c>
      <c r="O420" s="1584">
        <v>0.01</v>
      </c>
      <c r="R420" s="91" t="b">
        <f t="shared" si="60"/>
        <v>0</v>
      </c>
      <c r="S420" s="21" t="b">
        <f t="shared" si="61"/>
        <v>0</v>
      </c>
      <c r="T420" s="97" t="b">
        <f t="shared" si="62"/>
        <v>0</v>
      </c>
    </row>
    <row r="421" spans="1:20">
      <c r="B421" s="33" t="s">
        <v>4022</v>
      </c>
      <c r="C421" s="433">
        <v>5.0999999999999996</v>
      </c>
      <c r="D421" t="str">
        <f>VLOOKUP($C421,param!$A$4:$B$266,2)</f>
        <v>CSD Region B Marketing Spend Effectiveness</v>
      </c>
      <c r="E421" s="430">
        <f>INDEX($K421:$O421,SUMIF(cbal!E$280:E$296,$B421,cbal!$D$280:$D$296)+1)</f>
        <v>0</v>
      </c>
      <c r="F421" s="430">
        <f>INDEX($K421:$O421,SUMIF(cbal!F$280:F$296,$B421,cbal!$D$280:$D$296)+1)</f>
        <v>0</v>
      </c>
      <c r="G421" s="430">
        <f>INDEX($K421:$O421,SUMIF(cbal!G$280:G$296,$B421,cbal!$D$280:$D$296)+1)</f>
        <v>0</v>
      </c>
      <c r="H421" s="430">
        <f>INDEX($K421:$O421,SUMIF(cbal!H$280:H$296,$B421,cbal!$D$280:$D$296)+1)</f>
        <v>0</v>
      </c>
      <c r="I421" s="430">
        <f>INDEX($K421:$O421,SUMIF(cbal!I$280:I$296,$B421,cbal!$D$280:$D$296)+1)</f>
        <v>0</v>
      </c>
      <c r="K421" s="1577">
        <v>0</v>
      </c>
      <c r="L421" s="1579">
        <v>0.01</v>
      </c>
      <c r="M421" s="1579">
        <v>0.01</v>
      </c>
      <c r="N421" s="1579">
        <v>0.01</v>
      </c>
      <c r="O421" s="1579">
        <v>0.01</v>
      </c>
      <c r="R421" s="91" t="b">
        <f t="shared" si="60"/>
        <v>0</v>
      </c>
      <c r="S421" s="21" t="b">
        <f t="shared" si="61"/>
        <v>0</v>
      </c>
      <c r="T421" s="97" t="b">
        <f t="shared" si="62"/>
        <v>0</v>
      </c>
    </row>
    <row r="422" spans="1:20">
      <c r="B422" s="33" t="s">
        <v>4022</v>
      </c>
      <c r="C422" s="433">
        <v>43.1</v>
      </c>
      <c r="D422" t="str">
        <f>VLOOKUP($C422,param!$A$4:$B$266,2)</f>
        <v>NCB Region B Marketing Spend Effectiveness</v>
      </c>
      <c r="E422" s="430">
        <f>INDEX($K422:$O422,SUMIF(cbal!E$280:E$296,$B422,cbal!$D$280:$D$296)+1)</f>
        <v>0</v>
      </c>
      <c r="F422" s="430">
        <f>INDEX($K422:$O422,SUMIF(cbal!F$280:F$296,$B422,cbal!$D$280:$D$296)+1)</f>
        <v>0</v>
      </c>
      <c r="G422" s="430">
        <f>INDEX($K422:$O422,SUMIF(cbal!G$280:G$296,$B422,cbal!$D$280:$D$296)+1)</f>
        <v>0</v>
      </c>
      <c r="H422" s="430">
        <f>INDEX($K422:$O422,SUMIF(cbal!H$280:H$296,$B422,cbal!$D$280:$D$296)+1)</f>
        <v>0</v>
      </c>
      <c r="I422" s="430">
        <f>INDEX($K422:$O422,SUMIF(cbal!I$280:I$296,$B422,cbal!$D$280:$D$296)+1)</f>
        <v>0</v>
      </c>
      <c r="K422" s="1577">
        <v>0</v>
      </c>
      <c r="L422" s="1579">
        <v>0.01</v>
      </c>
      <c r="M422" s="1579">
        <v>0.01</v>
      </c>
      <c r="N422" s="1579">
        <v>0.01</v>
      </c>
      <c r="O422" s="1579">
        <v>0.01</v>
      </c>
      <c r="R422" s="91" t="b">
        <f t="shared" si="60"/>
        <v>0</v>
      </c>
      <c r="S422" s="21" t="b">
        <f t="shared" si="61"/>
        <v>0</v>
      </c>
      <c r="T422" s="97" t="b">
        <f t="shared" si="62"/>
        <v>0</v>
      </c>
    </row>
    <row r="423" spans="1:20">
      <c r="B423" s="33" t="s">
        <v>4022</v>
      </c>
      <c r="C423" s="433">
        <v>76.099999999999994</v>
      </c>
      <c r="D423" t="str">
        <f>VLOOKUP($C423,param!$A$4:$B$266,2)</f>
        <v>F&amp;S Region B Marketing Spend Effectiveness</v>
      </c>
      <c r="E423" s="430">
        <f>INDEX($K423:$O423,SUMIF(cbal!E$280:E$296,$B423,cbal!$D$280:$D$296)+1)</f>
        <v>0</v>
      </c>
      <c r="F423" s="430">
        <f>INDEX($K423:$O423,SUMIF(cbal!F$280:F$296,$B423,cbal!$D$280:$D$296)+1)</f>
        <v>0</v>
      </c>
      <c r="G423" s="430">
        <f>INDEX($K423:$O423,SUMIF(cbal!G$280:G$296,$B423,cbal!$D$280:$D$296)+1)</f>
        <v>0</v>
      </c>
      <c r="H423" s="430">
        <f>INDEX($K423:$O423,SUMIF(cbal!H$280:H$296,$B423,cbal!$D$280:$D$296)+1)</f>
        <v>0</v>
      </c>
      <c r="I423" s="430">
        <f>INDEX($K423:$O423,SUMIF(cbal!I$280:I$296,$B423,cbal!$D$280:$D$296)+1)</f>
        <v>0</v>
      </c>
      <c r="K423" s="1577">
        <v>0</v>
      </c>
      <c r="L423" s="1579">
        <v>0.01</v>
      </c>
      <c r="M423" s="1579">
        <v>0.01</v>
      </c>
      <c r="N423" s="1579">
        <v>0.01</v>
      </c>
      <c r="O423" s="1579">
        <v>0.01</v>
      </c>
      <c r="R423" s="91" t="b">
        <f t="shared" si="60"/>
        <v>0</v>
      </c>
      <c r="S423" s="21" t="b">
        <f t="shared" si="61"/>
        <v>0</v>
      </c>
      <c r="T423" s="97" t="b">
        <f t="shared" si="62"/>
        <v>0</v>
      </c>
    </row>
    <row r="424" spans="1:20">
      <c r="B424" s="33" t="s">
        <v>4022</v>
      </c>
      <c r="C424" s="433">
        <v>170.1</v>
      </c>
      <c r="D424" t="str">
        <f>VLOOKUP($C424,param!$A$4:$B$266,2)</f>
        <v>Special Programs Expense Product 3 Region 2</v>
      </c>
      <c r="E424" s="183">
        <v>0</v>
      </c>
      <c r="F424" s="183">
        <v>0</v>
      </c>
      <c r="G424" s="183">
        <v>0</v>
      </c>
      <c r="H424" s="183">
        <v>0</v>
      </c>
      <c r="I424" s="183">
        <v>0</v>
      </c>
      <c r="K424" s="1577">
        <v>0</v>
      </c>
      <c r="L424" s="1580">
        <v>750000</v>
      </c>
      <c r="M424" s="1580">
        <v>750000</v>
      </c>
      <c r="N424" s="1580">
        <v>750000</v>
      </c>
      <c r="O424" s="1580">
        <v>750000</v>
      </c>
      <c r="R424" s="91">
        <f t="shared" si="56"/>
        <v>750000</v>
      </c>
      <c r="S424" s="21">
        <f t="shared" si="57"/>
        <v>750000</v>
      </c>
      <c r="T424" s="97" t="b">
        <f t="shared" si="59"/>
        <v>0</v>
      </c>
    </row>
    <row r="425" spans="1:20">
      <c r="B425" s="33" t="s">
        <v>4022</v>
      </c>
      <c r="C425" s="433">
        <v>133.5</v>
      </c>
      <c r="D425" t="str">
        <f>VLOOKUP($C425,param!$A$4:$B$266,2)</f>
        <v>MTU Initiatives Allocation</v>
      </c>
      <c r="E425" s="183">
        <f>INDEX($K425:$O425,SUMIF(cbal!E$280:E$296,$B425,cbal!$D$280:$D$296)+1)</f>
        <v>0</v>
      </c>
      <c r="F425" s="183">
        <f>INDEX($K425:$O425,SUMIF(cbal!F$280:F$296,$B425,cbal!$D$280:$D$296)+1)</f>
        <v>0</v>
      </c>
      <c r="G425" s="183">
        <f>INDEX($K425:$O425,SUMIF(cbal!G$280:G$296,$B425,cbal!$D$280:$D$296)+1)</f>
        <v>0</v>
      </c>
      <c r="H425" s="183">
        <f>INDEX($K425:$O425,SUMIF(cbal!H$280:H$296,$B425,cbal!$D$280:$D$296)+1)</f>
        <v>0</v>
      </c>
      <c r="I425" s="183">
        <f>INDEX($K425:$O425,SUMIF(cbal!I$280:I$296,$B425,cbal!$D$280:$D$296)+1)</f>
        <v>0</v>
      </c>
      <c r="K425" s="1577">
        <v>0</v>
      </c>
      <c r="L425" s="1580">
        <v>8</v>
      </c>
      <c r="M425" s="1580"/>
      <c r="N425" s="1580"/>
      <c r="O425" s="1580"/>
      <c r="R425" s="91" t="b">
        <f>IF(AND(C425&gt;166,C425&lt;171.5),L425)</f>
        <v>0</v>
      </c>
      <c r="S425" s="21" t="b">
        <f>IF(AND(C425&gt;166,C425&lt;171.5),M425)</f>
        <v>0</v>
      </c>
      <c r="T425" s="97">
        <f t="shared" si="59"/>
        <v>8</v>
      </c>
    </row>
    <row r="426" spans="1:20">
      <c r="B426" s="33" t="s">
        <v>4022</v>
      </c>
      <c r="C426" s="433">
        <v>202</v>
      </c>
      <c r="D426" t="str">
        <f>VLOOKUP($C426,param!$A$4:$B$266,2)</f>
        <v>Go-to-Market Strategy</v>
      </c>
      <c r="E426" s="183">
        <f>INDEX($K426:$O426,SUMIF(cbal!E$280:E$296,$B426,cbal!$D$280:$D$296)+1)</f>
        <v>0</v>
      </c>
      <c r="F426" s="183">
        <f>INDEX($K426:$O426,SUMIF(cbal!F$280:F$296,$B426,cbal!$D$280:$D$296)+1)</f>
        <v>0</v>
      </c>
      <c r="G426" s="183">
        <f>INDEX($K426:$O426,SUMIF(cbal!G$280:G$296,$B426,cbal!$D$280:$D$296)+1)</f>
        <v>0</v>
      </c>
      <c r="H426" s="183">
        <f>INDEX($K426:$O426,SUMIF(cbal!H$280:H$296,$B426,cbal!$D$280:$D$296)+1)</f>
        <v>0</v>
      </c>
      <c r="I426" s="183">
        <f>INDEX($K426:$O426,SUMIF(cbal!I$280:I$296,$B426,cbal!$D$280:$D$296)+1)</f>
        <v>0</v>
      </c>
      <c r="K426" s="1577">
        <v>0</v>
      </c>
      <c r="L426" s="1580">
        <f>L425</f>
        <v>8</v>
      </c>
      <c r="M426" s="1582">
        <f t="shared" ref="M426:O426" si="63">L426</f>
        <v>8</v>
      </c>
      <c r="N426" s="1582">
        <f t="shared" si="63"/>
        <v>8</v>
      </c>
      <c r="O426" s="1582">
        <f t="shared" si="63"/>
        <v>8</v>
      </c>
      <c r="R426" s="91" t="b">
        <f>IF(AND(C426&gt;166,C426&lt;171.5),L426)</f>
        <v>0</v>
      </c>
      <c r="S426" s="21" t="b">
        <f>IF(AND(C426&gt;166,C426&lt;171.5),M426)</f>
        <v>0</v>
      </c>
      <c r="T426" s="97" t="b">
        <f>IF(C426=133.5,L426)</f>
        <v>0</v>
      </c>
    </row>
    <row r="427" spans="1:20">
      <c r="B427">
        <v>0</v>
      </c>
      <c r="C427" s="433">
        <v>0</v>
      </c>
      <c r="E427" s="183"/>
      <c r="F427" s="183"/>
      <c r="G427" s="183"/>
      <c r="H427" s="183"/>
      <c r="I427" s="183"/>
      <c r="K427" s="1577"/>
      <c r="L427" s="1580"/>
      <c r="M427" s="1580"/>
      <c r="N427" s="1580"/>
      <c r="O427" s="1580"/>
      <c r="R427" s="91">
        <v>0</v>
      </c>
      <c r="S427" s="21">
        <v>0</v>
      </c>
      <c r="T427" s="97">
        <v>0</v>
      </c>
    </row>
    <row r="428" spans="1:20">
      <c r="B428" t="s">
        <v>4023</v>
      </c>
      <c r="C428" t="str">
        <f>VLOOKUP(B428,DataInitiativesGrid,2,0)</f>
        <v>Sales Force Education Program - Vetera</v>
      </c>
      <c r="E428" s="183"/>
      <c r="F428" s="183"/>
      <c r="G428" s="183"/>
      <c r="H428" s="183"/>
      <c r="I428" s="183"/>
      <c r="K428" s="1577"/>
      <c r="L428" s="1580"/>
      <c r="M428" s="1580"/>
      <c r="N428" s="1580"/>
      <c r="O428" s="1580"/>
      <c r="R428" s="91">
        <v>0</v>
      </c>
      <c r="S428" s="21">
        <v>0</v>
      </c>
      <c r="T428" s="97">
        <v>0</v>
      </c>
    </row>
    <row r="429" spans="1:20">
      <c r="B429" t="s">
        <v>4023</v>
      </c>
      <c r="C429" s="506">
        <v>172</v>
      </c>
      <c r="D429" t="str">
        <f>VLOOKUP($C429,param!$A$4:$B$266,2)</f>
        <v>Region 1 Special Program Success CSD</v>
      </c>
      <c r="E429" s="448">
        <f>INDEX($K429:$O429,SUMIF(cbal!E$280:E$296,$B429,cbal!$D$280:$D$296)+1)</f>
        <v>0</v>
      </c>
      <c r="F429" s="448">
        <f>INDEX($K429:$O429,SUMIF(cbal!F$280:F$296,$B429,cbal!$D$280:$D$296)+1)</f>
        <v>0</v>
      </c>
      <c r="G429" s="448">
        <f>INDEX($K429:$O429,SUMIF(cbal!G$280:G$296,$B429,cbal!$D$280:$D$296)+1)</f>
        <v>0</v>
      </c>
      <c r="H429" s="448">
        <f>INDEX($K429:$O429,SUMIF(cbal!H$280:H$296,$B429,cbal!$D$280:$D$296)+1)</f>
        <v>0</v>
      </c>
      <c r="I429" s="448">
        <f>INDEX($K429:$O429,SUMIF(cbal!I$280:I$296,$B429,cbal!$D$280:$D$296)+1)</f>
        <v>0</v>
      </c>
      <c r="K429" s="1577">
        <v>0</v>
      </c>
      <c r="L429" s="1584">
        <v>5.0000000000000001E-3</v>
      </c>
      <c r="M429" s="1586">
        <v>7.4999999999999997E-3</v>
      </c>
      <c r="N429" s="1584">
        <v>0.01</v>
      </c>
      <c r="O429" s="1584">
        <v>0.01</v>
      </c>
      <c r="R429" s="91" t="b">
        <f t="shared" si="56"/>
        <v>0</v>
      </c>
      <c r="S429" s="21" t="b">
        <f t="shared" si="57"/>
        <v>0</v>
      </c>
      <c r="T429" s="97" t="b">
        <f t="shared" si="38"/>
        <v>0</v>
      </c>
    </row>
    <row r="430" spans="1:20">
      <c r="B430" t="s">
        <v>4023</v>
      </c>
      <c r="C430" s="506">
        <v>174</v>
      </c>
      <c r="D430" t="str">
        <f>VLOOKUP($C430,param!$A$4:$B$266,2)</f>
        <v>Region 1 Special Program Success NCB</v>
      </c>
      <c r="E430" s="448">
        <f>INDEX($K430:$O430,SUMIF(cbal!E$280:E$296,$B430,cbal!$D$280:$D$296)+1)</f>
        <v>0</v>
      </c>
      <c r="F430" s="448">
        <f>INDEX($K430:$O430,SUMIF(cbal!F$280:F$296,$B430,cbal!$D$280:$D$296)+1)</f>
        <v>0</v>
      </c>
      <c r="G430" s="448">
        <f>INDEX($K430:$O430,SUMIF(cbal!G$280:G$296,$B430,cbal!$D$280:$D$296)+1)</f>
        <v>0</v>
      </c>
      <c r="H430" s="448">
        <f>INDEX($K430:$O430,SUMIF(cbal!H$280:H$296,$B430,cbal!$D$280:$D$296)+1)</f>
        <v>0</v>
      </c>
      <c r="I430" s="448">
        <f>INDEX($K430:$O430,SUMIF(cbal!I$280:I$296,$B430,cbal!$D$280:$D$296)+1)</f>
        <v>0</v>
      </c>
      <c r="K430" s="1577">
        <v>0</v>
      </c>
      <c r="L430" s="1584">
        <v>5.0000000000000001E-3</v>
      </c>
      <c r="M430" s="1586">
        <v>7.4999999999999997E-3</v>
      </c>
      <c r="N430" s="1584">
        <v>0.01</v>
      </c>
      <c r="O430" s="1584">
        <v>0.01</v>
      </c>
      <c r="R430" s="91" t="b">
        <f t="shared" si="56"/>
        <v>0</v>
      </c>
      <c r="S430" s="21" t="b">
        <f t="shared" si="57"/>
        <v>0</v>
      </c>
      <c r="T430" s="97" t="b">
        <f t="shared" ref="T430:T529" si="64">IF(C430=133.5,L430)</f>
        <v>0</v>
      </c>
    </row>
    <row r="431" spans="1:20">
      <c r="B431" t="s">
        <v>4023</v>
      </c>
      <c r="C431" s="506">
        <v>175</v>
      </c>
      <c r="D431" t="str">
        <f>VLOOKUP($C431,param!$A$4:$B$266,2)</f>
        <v>Region 1 Special Program Success F&amp;S</v>
      </c>
      <c r="E431" s="448">
        <f>INDEX($K431:$O431,SUMIF(cbal!E$280:E$296,$B431,cbal!$D$280:$D$296)+1)</f>
        <v>0</v>
      </c>
      <c r="F431" s="448">
        <f>INDEX($K431:$O431,SUMIF(cbal!F$280:F$296,$B431,cbal!$D$280:$D$296)+1)</f>
        <v>0</v>
      </c>
      <c r="G431" s="448">
        <f>INDEX($K431:$O431,SUMIF(cbal!G$280:G$296,$B431,cbal!$D$280:$D$296)+1)</f>
        <v>0</v>
      </c>
      <c r="H431" s="448">
        <f>INDEX($K431:$O431,SUMIF(cbal!H$280:H$296,$B431,cbal!$D$280:$D$296)+1)</f>
        <v>0</v>
      </c>
      <c r="I431" s="448">
        <f>INDEX($K431:$O431,SUMIF(cbal!I$280:I$296,$B431,cbal!$D$280:$D$296)+1)</f>
        <v>0</v>
      </c>
      <c r="K431" s="1577">
        <v>0</v>
      </c>
      <c r="L431" s="1584">
        <v>5.0000000000000001E-3</v>
      </c>
      <c r="M431" s="1586">
        <v>7.4999999999999997E-3</v>
      </c>
      <c r="N431" s="1584">
        <v>0.01</v>
      </c>
      <c r="O431" s="1584">
        <v>0.01</v>
      </c>
      <c r="R431" s="91" t="b">
        <f t="shared" si="56"/>
        <v>0</v>
      </c>
      <c r="S431" s="21" t="b">
        <f t="shared" si="57"/>
        <v>0</v>
      </c>
      <c r="T431" s="97" t="b">
        <f t="shared" si="64"/>
        <v>0</v>
      </c>
    </row>
    <row r="432" spans="1:20">
      <c r="B432" t="s">
        <v>4023</v>
      </c>
      <c r="C432" s="506">
        <v>196</v>
      </c>
      <c r="D432" t="str">
        <f>VLOOKUP($C432,param!$A$4:$B$266,2)</f>
        <v>Career Path</v>
      </c>
      <c r="E432" s="448">
        <f>INDEX($K432:$O432,SUMIF(cbal!E$280:E$296,$B432,cbal!$D$280:$D$296)+1)</f>
        <v>0</v>
      </c>
      <c r="F432" s="448">
        <f>INDEX($K432:$O432,SUMIF(cbal!F$280:F$296,$B432,cbal!$D$280:$D$296)+1)</f>
        <v>0</v>
      </c>
      <c r="G432" s="448">
        <f>INDEX($K432:$O432,SUMIF(cbal!G$280:G$296,$B432,cbal!$D$280:$D$296)+1)</f>
        <v>0</v>
      </c>
      <c r="H432" s="448">
        <f>INDEX($K432:$O432,SUMIF(cbal!H$280:H$296,$B432,cbal!$D$280:$D$296)+1)</f>
        <v>0</v>
      </c>
      <c r="I432" s="448">
        <f>INDEX($K432:$O432,SUMIF(cbal!I$280:I$296,$B432,cbal!$D$280:$D$296)+1)</f>
        <v>0</v>
      </c>
      <c r="K432" s="1577">
        <v>0</v>
      </c>
      <c r="L432" s="1584">
        <v>0.02</v>
      </c>
      <c r="M432" s="1584">
        <v>0.04</v>
      </c>
      <c r="N432" s="1584">
        <v>0.06</v>
      </c>
      <c r="O432" s="1584">
        <v>0.06</v>
      </c>
      <c r="R432" s="91" t="b">
        <f>IF(AND(C432&gt;166,C432&lt;171.5),L432)</f>
        <v>0</v>
      </c>
      <c r="S432" s="21" t="b">
        <f>IF(AND(C432&gt;166,C432&lt;171.5),M432)</f>
        <v>0</v>
      </c>
      <c r="T432" s="97" t="b">
        <f>IF(C432=133.5,L432)</f>
        <v>0</v>
      </c>
    </row>
    <row r="433" spans="2:20">
      <c r="B433" t="s">
        <v>4023</v>
      </c>
      <c r="C433" s="506">
        <v>179.5</v>
      </c>
      <c r="D433" t="str">
        <f>VLOOKUP($C433,param!$A$4:$B$266,2)</f>
        <v>Special Program Success Breakthrough</v>
      </c>
      <c r="E433" s="448">
        <f>INDEX($K433:$O433,SUMIF(cbal!E$280:E$296,$B433,cbal!$D$280:$D$296)+1)</f>
        <v>0</v>
      </c>
      <c r="F433" s="448">
        <f>INDEX($K433:$O433,SUMIF(cbal!F$280:F$296,$B433,cbal!$D$280:$D$296)+1)</f>
        <v>0</v>
      </c>
      <c r="G433" s="448">
        <f>INDEX($K433:$O433,SUMIF(cbal!G$280:G$296,$B433,cbal!$D$280:$D$296)+1)</f>
        <v>0</v>
      </c>
      <c r="H433" s="448">
        <f>INDEX($K433:$O433,SUMIF(cbal!H$280:H$296,$B433,cbal!$D$280:$D$296)+1)</f>
        <v>0</v>
      </c>
      <c r="I433" s="448">
        <f>INDEX($K433:$O433,SUMIF(cbal!I$280:I$296,$B433,cbal!$D$280:$D$296)+1)</f>
        <v>0</v>
      </c>
      <c r="K433" s="1577">
        <v>0</v>
      </c>
      <c r="L433" s="1585">
        <v>0.03</v>
      </c>
      <c r="M433" s="1585">
        <v>0.03</v>
      </c>
      <c r="N433" s="1585">
        <v>0.03</v>
      </c>
      <c r="O433" s="1585">
        <v>0.03</v>
      </c>
      <c r="R433" s="91" t="b">
        <f>IF(AND(C433&gt;166,C433&lt;171.5),L433)</f>
        <v>0</v>
      </c>
      <c r="S433" s="21" t="b">
        <f>IF(AND(C433&gt;166,C433&lt;171.5),M433)</f>
        <v>0</v>
      </c>
      <c r="T433" s="97" t="b">
        <f>IF(C433=133.5,L433)</f>
        <v>0</v>
      </c>
    </row>
    <row r="434" spans="2:20">
      <c r="B434" t="s">
        <v>4023</v>
      </c>
      <c r="C434" s="580">
        <v>167</v>
      </c>
      <c r="D434" t="str">
        <f>VLOOKUP($C434,param!$A$4:$B$266,2)</f>
        <v>Special Program Expense</v>
      </c>
      <c r="E434" s="1190">
        <v>0</v>
      </c>
      <c r="F434" s="1190">
        <v>0</v>
      </c>
      <c r="G434" s="1190">
        <v>0</v>
      </c>
      <c r="H434" s="1190">
        <v>0</v>
      </c>
      <c r="I434" s="1190">
        <v>0</v>
      </c>
      <c r="K434" s="1577">
        <v>0</v>
      </c>
      <c r="L434" s="1580">
        <v>1500000</v>
      </c>
      <c r="M434" s="1584"/>
      <c r="N434" s="1584"/>
      <c r="O434" s="1584"/>
      <c r="R434" s="91">
        <f t="shared" si="56"/>
        <v>1500000</v>
      </c>
      <c r="S434" s="21">
        <f t="shared" si="57"/>
        <v>0</v>
      </c>
      <c r="T434" s="97" t="b">
        <f t="shared" si="64"/>
        <v>0</v>
      </c>
    </row>
    <row r="435" spans="2:20">
      <c r="B435" t="s">
        <v>4023</v>
      </c>
      <c r="C435" s="433">
        <v>133.5</v>
      </c>
      <c r="D435" t="str">
        <f>VLOOKUP($C435,param!$A$4:$B$266,2)</f>
        <v>MTU Initiatives Allocation</v>
      </c>
      <c r="E435" s="183">
        <f>INDEX($K435:$O435,SUMIF(cbal!E$280:E$296,$B435,cbal!$D$280:$D$296)+1)</f>
        <v>0</v>
      </c>
      <c r="F435" s="183">
        <f>INDEX($K435:$O435,SUMIF(cbal!F$280:F$296,$B435,cbal!$D$280:$D$296)+1)</f>
        <v>0</v>
      </c>
      <c r="G435" s="183">
        <f>INDEX($K435:$O435,SUMIF(cbal!G$280:G$296,$B435,cbal!$D$280:$D$296)+1)</f>
        <v>0</v>
      </c>
      <c r="H435" s="183">
        <f>INDEX($K435:$O435,SUMIF(cbal!H$280:H$296,$B435,cbal!$D$280:$D$296)+1)</f>
        <v>0</v>
      </c>
      <c r="I435" s="183">
        <f>INDEX($K435:$O435,SUMIF(cbal!I$280:I$296,$B435,cbal!$D$280:$D$296)+1)</f>
        <v>0</v>
      </c>
      <c r="K435" s="1577">
        <v>0</v>
      </c>
      <c r="L435" s="1580">
        <v>10</v>
      </c>
      <c r="M435" s="1580"/>
      <c r="N435" s="1580"/>
      <c r="O435" s="1580"/>
      <c r="R435" s="91" t="b">
        <f t="shared" si="56"/>
        <v>0</v>
      </c>
      <c r="S435" s="21" t="b">
        <f t="shared" si="57"/>
        <v>0</v>
      </c>
      <c r="T435" s="97">
        <f t="shared" si="64"/>
        <v>10</v>
      </c>
    </row>
    <row r="436" spans="2:20">
      <c r="B436" t="s">
        <v>4023</v>
      </c>
      <c r="C436" s="433">
        <v>202</v>
      </c>
      <c r="D436" t="str">
        <f>VLOOKUP($C436,param!$A$4:$B$266,2)</f>
        <v>Go-to-Market Strategy</v>
      </c>
      <c r="E436" s="183">
        <f>INDEX($K436:$O436,SUMIF(cbal!E$280:E$296,$B436,cbal!$D$280:$D$296)+1)</f>
        <v>0</v>
      </c>
      <c r="F436" s="183">
        <f>INDEX($K436:$O436,SUMIF(cbal!F$280:F$296,$B436,cbal!$D$280:$D$296)+1)</f>
        <v>0</v>
      </c>
      <c r="G436" s="183">
        <f>INDEX($K436:$O436,SUMIF(cbal!G$280:G$296,$B436,cbal!$D$280:$D$296)+1)</f>
        <v>0</v>
      </c>
      <c r="H436" s="183">
        <f>INDEX($K436:$O436,SUMIF(cbal!H$280:H$296,$B436,cbal!$D$280:$D$296)+1)</f>
        <v>0</v>
      </c>
      <c r="I436" s="183">
        <f>INDEX($K436:$O436,SUMIF(cbal!I$280:I$296,$B436,cbal!$D$280:$D$296)+1)</f>
        <v>0</v>
      </c>
      <c r="K436" s="1577">
        <v>0</v>
      </c>
      <c r="L436" s="1580">
        <f>L435/2</f>
        <v>5</v>
      </c>
      <c r="M436" s="1582">
        <f t="shared" ref="M436:O437" si="65">L436</f>
        <v>5</v>
      </c>
      <c r="N436" s="1582">
        <f t="shared" si="65"/>
        <v>5</v>
      </c>
      <c r="O436" s="1582">
        <f t="shared" si="65"/>
        <v>5</v>
      </c>
      <c r="R436" s="91" t="b">
        <f t="shared" si="56"/>
        <v>0</v>
      </c>
      <c r="S436" s="21" t="b">
        <f t="shared" si="57"/>
        <v>0</v>
      </c>
      <c r="T436" s="97" t="b">
        <f t="shared" si="64"/>
        <v>0</v>
      </c>
    </row>
    <row r="437" spans="2:20">
      <c r="B437" t="s">
        <v>4023</v>
      </c>
      <c r="C437" s="433">
        <v>203</v>
      </c>
      <c r="D437" t="str">
        <f>VLOOKUP($C437,param!$A$4:$B$266,2)</f>
        <v>Productivity Strategy</v>
      </c>
      <c r="E437" s="183">
        <f>INDEX($K437:$O437,SUMIF(cbal!E$280:E$296,$B437,cbal!$D$280:$D$296)+1)</f>
        <v>0</v>
      </c>
      <c r="F437" s="183">
        <f>INDEX($K437:$O437,SUMIF(cbal!F$280:F$296,$B437,cbal!$D$280:$D$296)+1)</f>
        <v>0</v>
      </c>
      <c r="G437" s="183">
        <f>INDEX($K437:$O437,SUMIF(cbal!G$280:G$296,$B437,cbal!$D$280:$D$296)+1)</f>
        <v>0</v>
      </c>
      <c r="H437" s="183">
        <f>INDEX($K437:$O437,SUMIF(cbal!H$280:H$296,$B437,cbal!$D$280:$D$296)+1)</f>
        <v>0</v>
      </c>
      <c r="I437" s="183">
        <f>INDEX($K437:$O437,SUMIF(cbal!I$280:I$296,$B437,cbal!$D$280:$D$296)+1)</f>
        <v>0</v>
      </c>
      <c r="K437" s="1577">
        <v>0</v>
      </c>
      <c r="L437" s="1580">
        <f>L435-L436</f>
        <v>5</v>
      </c>
      <c r="M437" s="1582">
        <f t="shared" si="65"/>
        <v>5</v>
      </c>
      <c r="N437" s="1582">
        <f t="shared" si="65"/>
        <v>5</v>
      </c>
      <c r="O437" s="1582">
        <f t="shared" si="65"/>
        <v>5</v>
      </c>
      <c r="R437" s="91" t="b">
        <f>IF(AND(C437&gt;166,C437&lt;171.5),L437)</f>
        <v>0</v>
      </c>
      <c r="S437" s="21" t="b">
        <f>IF(AND(C437&gt;166,C437&lt;171.5),M437)</f>
        <v>0</v>
      </c>
      <c r="T437" s="97" t="b">
        <f>IF(C437=133.5,L437)</f>
        <v>0</v>
      </c>
    </row>
    <row r="438" spans="2:20">
      <c r="B438">
        <v>0</v>
      </c>
      <c r="C438" s="433">
        <v>0</v>
      </c>
      <c r="E438" s="183"/>
      <c r="F438" s="183"/>
      <c r="G438" s="183"/>
      <c r="H438" s="183"/>
      <c r="I438" s="183"/>
      <c r="K438" s="1577"/>
      <c r="L438" s="1580"/>
      <c r="M438" s="1580"/>
      <c r="N438" s="1580"/>
      <c r="O438" s="1580"/>
      <c r="R438" s="91">
        <v>0</v>
      </c>
      <c r="S438" s="21">
        <v>0</v>
      </c>
      <c r="T438" s="97">
        <v>0</v>
      </c>
    </row>
    <row r="439" spans="2:20">
      <c r="B439" t="s">
        <v>4024</v>
      </c>
      <c r="C439" t="str">
        <f>VLOOKUP(B439,DataInitiativesGrid,2,0)</f>
        <v>Sales Force Education Program - Escendia</v>
      </c>
      <c r="E439" s="183"/>
      <c r="F439" s="183"/>
      <c r="G439" s="183"/>
      <c r="H439" s="183"/>
      <c r="I439" s="183"/>
      <c r="K439" s="1577"/>
      <c r="L439" s="1580"/>
      <c r="M439" s="1580"/>
      <c r="N439" s="1580"/>
      <c r="O439" s="1580"/>
      <c r="R439" s="91">
        <v>0</v>
      </c>
      <c r="S439" s="21">
        <v>0</v>
      </c>
      <c r="T439" s="97">
        <v>0</v>
      </c>
    </row>
    <row r="440" spans="2:20">
      <c r="B440" t="s">
        <v>4024</v>
      </c>
      <c r="C440" s="506">
        <v>176</v>
      </c>
      <c r="D440" t="str">
        <f>VLOOKUP($C440,param!$A$4:$B$266,2)</f>
        <v>Region 2 Special Program Success CSD</v>
      </c>
      <c r="E440" s="448">
        <f>INDEX($K440:$O440,SUMIF(cbal!E$280:E$296,$B440,cbal!$D$280:$D$296)+1)</f>
        <v>0</v>
      </c>
      <c r="F440" s="448">
        <f>INDEX($K440:$O440,SUMIF(cbal!F$280:F$296,$B440,cbal!$D$280:$D$296)+1)</f>
        <v>0</v>
      </c>
      <c r="G440" s="448">
        <f>INDEX($K440:$O440,SUMIF(cbal!G$280:G$296,$B440,cbal!$D$280:$D$296)+1)</f>
        <v>0</v>
      </c>
      <c r="H440" s="448">
        <f>INDEX($K440:$O440,SUMIF(cbal!H$280:H$296,$B440,cbal!$D$280:$D$296)+1)</f>
        <v>0</v>
      </c>
      <c r="I440" s="448">
        <f>INDEX($K440:$O440,SUMIF(cbal!I$280:I$296,$B440,cbal!$D$280:$D$296)+1)</f>
        <v>0</v>
      </c>
      <c r="K440" s="1577">
        <v>0</v>
      </c>
      <c r="L440" s="1584">
        <v>1.4999999999999999E-2</v>
      </c>
      <c r="M440" s="1584">
        <v>0.02</v>
      </c>
      <c r="N440" s="1584">
        <v>0.03</v>
      </c>
      <c r="O440" s="1584">
        <v>0.03</v>
      </c>
      <c r="R440" s="91" t="b">
        <f t="shared" ref="R440:R446" si="66">IF(AND(C440&gt;166,C440&lt;171.5),L440)</f>
        <v>0</v>
      </c>
      <c r="S440" s="21" t="b">
        <f t="shared" ref="S440:S446" si="67">IF(AND(C440&gt;166,C440&lt;171.5),M440)</f>
        <v>0</v>
      </c>
      <c r="T440" s="97" t="b">
        <f t="shared" ref="T440:T446" si="68">IF(C440=133.5,L440)</f>
        <v>0</v>
      </c>
    </row>
    <row r="441" spans="2:20">
      <c r="B441" t="s">
        <v>4024</v>
      </c>
      <c r="C441" s="506">
        <v>178</v>
      </c>
      <c r="D441" t="str">
        <f>VLOOKUP($C441,param!$A$4:$B$266,2)</f>
        <v>Region 2 Special Program Success NCB</v>
      </c>
      <c r="E441" s="448">
        <f>INDEX($K441:$O441,SUMIF(cbal!E$280:E$296,$B441,cbal!$D$280:$D$296)+1)</f>
        <v>0</v>
      </c>
      <c r="F441" s="448">
        <f>INDEX($K441:$O441,SUMIF(cbal!F$280:F$296,$B441,cbal!$D$280:$D$296)+1)</f>
        <v>0</v>
      </c>
      <c r="G441" s="448">
        <f>INDEX($K441:$O441,SUMIF(cbal!G$280:G$296,$B441,cbal!$D$280:$D$296)+1)</f>
        <v>0</v>
      </c>
      <c r="H441" s="448">
        <f>INDEX($K441:$O441,SUMIF(cbal!H$280:H$296,$B441,cbal!$D$280:$D$296)+1)</f>
        <v>0</v>
      </c>
      <c r="I441" s="448">
        <f>INDEX($K441:$O441,SUMIF(cbal!I$280:I$296,$B441,cbal!$D$280:$D$296)+1)</f>
        <v>0</v>
      </c>
      <c r="K441" s="1577">
        <v>0</v>
      </c>
      <c r="L441" s="1584">
        <v>1.4999999999999999E-2</v>
      </c>
      <c r="M441" s="1584">
        <v>0.02</v>
      </c>
      <c r="N441" s="1584">
        <v>0.03</v>
      </c>
      <c r="O441" s="1584">
        <v>0.03</v>
      </c>
      <c r="R441" s="91" t="b">
        <f t="shared" si="66"/>
        <v>0</v>
      </c>
      <c r="S441" s="21" t="b">
        <f t="shared" si="67"/>
        <v>0</v>
      </c>
      <c r="T441" s="97" t="b">
        <f t="shared" si="68"/>
        <v>0</v>
      </c>
    </row>
    <row r="442" spans="2:20">
      <c r="B442" t="s">
        <v>4024</v>
      </c>
      <c r="C442" s="506">
        <v>179</v>
      </c>
      <c r="D442" t="str">
        <f>VLOOKUP($C442,param!$A$4:$B$266,2)</f>
        <v>Region 2 Special Program Success F&amp;S</v>
      </c>
      <c r="E442" s="448">
        <f>INDEX($K442:$O442,SUMIF(cbal!E$280:E$296,$B442,cbal!$D$280:$D$296)+1)</f>
        <v>0</v>
      </c>
      <c r="F442" s="448">
        <f>INDEX($K442:$O442,SUMIF(cbal!F$280:F$296,$B442,cbal!$D$280:$D$296)+1)</f>
        <v>0</v>
      </c>
      <c r="G442" s="448">
        <f>INDEX($K442:$O442,SUMIF(cbal!G$280:G$296,$B442,cbal!$D$280:$D$296)+1)</f>
        <v>0</v>
      </c>
      <c r="H442" s="448">
        <f>INDEX($K442:$O442,SUMIF(cbal!H$280:H$296,$B442,cbal!$D$280:$D$296)+1)</f>
        <v>0</v>
      </c>
      <c r="I442" s="448">
        <f>INDEX($K442:$O442,SUMIF(cbal!I$280:I$296,$B442,cbal!$D$280:$D$296)+1)</f>
        <v>0</v>
      </c>
      <c r="K442" s="1577">
        <v>0</v>
      </c>
      <c r="L442" s="1584">
        <v>1.4999999999999999E-2</v>
      </c>
      <c r="M442" s="1584">
        <v>0.02</v>
      </c>
      <c r="N442" s="1584">
        <v>0.03</v>
      </c>
      <c r="O442" s="1584">
        <v>0.03</v>
      </c>
      <c r="R442" s="91" t="b">
        <f t="shared" si="66"/>
        <v>0</v>
      </c>
      <c r="S442" s="21" t="b">
        <f t="shared" si="67"/>
        <v>0</v>
      </c>
      <c r="T442" s="97" t="b">
        <f t="shared" si="68"/>
        <v>0</v>
      </c>
    </row>
    <row r="443" spans="2:20">
      <c r="B443" t="s">
        <v>4024</v>
      </c>
      <c r="C443" s="506">
        <v>196</v>
      </c>
      <c r="D443" t="str">
        <f>VLOOKUP($C443,param!$A$4:$B$266,2)</f>
        <v>Career Path</v>
      </c>
      <c r="E443" s="448">
        <f>INDEX($K443:$O443,SUMIF(cbal!E$280:E$296,$B443,cbal!$D$280:$D$296)+1)</f>
        <v>0</v>
      </c>
      <c r="F443" s="448">
        <f>INDEX($K443:$O443,SUMIF(cbal!F$280:F$296,$B443,cbal!$D$280:$D$296)+1)</f>
        <v>0</v>
      </c>
      <c r="G443" s="448">
        <f>INDEX($K443:$O443,SUMIF(cbal!G$280:G$296,$B443,cbal!$D$280:$D$296)+1)</f>
        <v>0</v>
      </c>
      <c r="H443" s="448">
        <f>INDEX($K443:$O443,SUMIF(cbal!H$280:H$296,$B443,cbal!$D$280:$D$296)+1)</f>
        <v>0</v>
      </c>
      <c r="I443" s="448">
        <f>INDEX($K443:$O443,SUMIF(cbal!I$280:I$296,$B443,cbal!$D$280:$D$296)+1)</f>
        <v>0</v>
      </c>
      <c r="K443" s="1577">
        <v>0</v>
      </c>
      <c r="L443" s="1584">
        <v>0.02</v>
      </c>
      <c r="M443" s="1584">
        <v>0.04</v>
      </c>
      <c r="N443" s="1584">
        <v>0.06</v>
      </c>
      <c r="O443" s="1584">
        <v>0.06</v>
      </c>
      <c r="R443" s="91" t="b">
        <f t="shared" si="66"/>
        <v>0</v>
      </c>
      <c r="S443" s="21" t="b">
        <f t="shared" si="67"/>
        <v>0</v>
      </c>
      <c r="T443" s="97" t="b">
        <f t="shared" si="68"/>
        <v>0</v>
      </c>
    </row>
    <row r="444" spans="2:20">
      <c r="B444" t="s">
        <v>4024</v>
      </c>
      <c r="C444" s="506">
        <v>179.5</v>
      </c>
      <c r="D444" t="str">
        <f>VLOOKUP($C444,param!$A$4:$B$266,2)</f>
        <v>Special Program Success Breakthrough</v>
      </c>
      <c r="E444" s="448">
        <f>INDEX($K444:$O444,SUMIF(cbal!E$280:E$296,$B444,cbal!$D$280:$D$296)+1)</f>
        <v>0</v>
      </c>
      <c r="F444" s="448">
        <f>INDEX($K444:$O444,SUMIF(cbal!F$280:F$296,$B444,cbal!$D$280:$D$296)+1)</f>
        <v>0</v>
      </c>
      <c r="G444" s="448">
        <f>INDEX($K444:$O444,SUMIF(cbal!G$280:G$296,$B444,cbal!$D$280:$D$296)+1)</f>
        <v>0</v>
      </c>
      <c r="H444" s="448">
        <f>INDEX($K444:$O444,SUMIF(cbal!H$280:H$296,$B444,cbal!$D$280:$D$296)+1)</f>
        <v>0</v>
      </c>
      <c r="I444" s="448">
        <f>INDEX($K444:$O444,SUMIF(cbal!I$280:I$296,$B444,cbal!$D$280:$D$296)+1)</f>
        <v>0</v>
      </c>
      <c r="K444" s="1577">
        <v>0</v>
      </c>
      <c r="L444" s="1585">
        <v>0.03</v>
      </c>
      <c r="M444" s="1585">
        <v>0.03</v>
      </c>
      <c r="N444" s="1585">
        <v>0.03</v>
      </c>
      <c r="O444" s="1585">
        <v>0.03</v>
      </c>
      <c r="R444" s="91" t="b">
        <f t="shared" si="66"/>
        <v>0</v>
      </c>
      <c r="S444" s="21" t="b">
        <f t="shared" si="67"/>
        <v>0</v>
      </c>
      <c r="T444" s="97" t="b">
        <f t="shared" si="68"/>
        <v>0</v>
      </c>
    </row>
    <row r="445" spans="2:20">
      <c r="B445" t="s">
        <v>4024</v>
      </c>
      <c r="C445" s="580">
        <v>167</v>
      </c>
      <c r="D445" t="str">
        <f>VLOOKUP($C445,param!$A$4:$B$266,2)</f>
        <v>Special Program Expense</v>
      </c>
      <c r="E445" s="1190">
        <v>0</v>
      </c>
      <c r="F445" s="1190">
        <v>0</v>
      </c>
      <c r="G445" s="1190">
        <v>0</v>
      </c>
      <c r="H445" s="1190">
        <v>0</v>
      </c>
      <c r="I445" s="1190">
        <v>0</v>
      </c>
      <c r="K445" s="1577">
        <v>0</v>
      </c>
      <c r="L445" s="1580">
        <v>1500000</v>
      </c>
      <c r="M445" s="1584"/>
      <c r="N445" s="1584"/>
      <c r="O445" s="1584"/>
      <c r="R445" s="91">
        <f t="shared" si="66"/>
        <v>1500000</v>
      </c>
      <c r="S445" s="21">
        <f t="shared" si="67"/>
        <v>0</v>
      </c>
      <c r="T445" s="97" t="b">
        <f t="shared" si="68"/>
        <v>0</v>
      </c>
    </row>
    <row r="446" spans="2:20">
      <c r="B446" t="s">
        <v>4024</v>
      </c>
      <c r="C446" s="433">
        <v>133.5</v>
      </c>
      <c r="D446" t="str">
        <f>VLOOKUP($C446,param!$A$4:$B$266,2)</f>
        <v>MTU Initiatives Allocation</v>
      </c>
      <c r="E446" s="183">
        <f>INDEX($K446:$O446,SUMIF(cbal!E$280:E$296,$B446,cbal!$D$280:$D$296)+1)</f>
        <v>0</v>
      </c>
      <c r="F446" s="183">
        <f>INDEX($K446:$O446,SUMIF(cbal!F$280:F$296,$B446,cbal!$D$280:$D$296)+1)</f>
        <v>0</v>
      </c>
      <c r="G446" s="183">
        <f>INDEX($K446:$O446,SUMIF(cbal!G$280:G$296,$B446,cbal!$D$280:$D$296)+1)</f>
        <v>0</v>
      </c>
      <c r="H446" s="183">
        <f>INDEX($K446:$O446,SUMIF(cbal!H$280:H$296,$B446,cbal!$D$280:$D$296)+1)</f>
        <v>0</v>
      </c>
      <c r="I446" s="183">
        <f>INDEX($K446:$O446,SUMIF(cbal!I$280:I$296,$B446,cbal!$D$280:$D$296)+1)</f>
        <v>0</v>
      </c>
      <c r="K446" s="1577">
        <v>0</v>
      </c>
      <c r="L446" s="1580">
        <v>10</v>
      </c>
      <c r="M446" s="1580"/>
      <c r="N446" s="1580"/>
      <c r="O446" s="1580"/>
      <c r="R446" s="91" t="b">
        <f t="shared" si="66"/>
        <v>0</v>
      </c>
      <c r="S446" s="21" t="b">
        <f t="shared" si="67"/>
        <v>0</v>
      </c>
      <c r="T446" s="97">
        <f t="shared" si="68"/>
        <v>10</v>
      </c>
    </row>
    <row r="447" spans="2:20">
      <c r="B447" t="s">
        <v>4024</v>
      </c>
      <c r="C447" s="433">
        <v>202</v>
      </c>
      <c r="D447" t="str">
        <f>VLOOKUP($C447,param!$A$4:$B$266,2)</f>
        <v>Go-to-Market Strategy</v>
      </c>
      <c r="E447" s="183">
        <f>INDEX($K447:$O447,SUMIF(cbal!E$280:E$296,$B447,cbal!$D$280:$D$296)+1)</f>
        <v>0</v>
      </c>
      <c r="F447" s="183">
        <f>INDEX($K447:$O447,SUMIF(cbal!F$280:F$296,$B447,cbal!$D$280:$D$296)+1)</f>
        <v>0</v>
      </c>
      <c r="G447" s="183">
        <f>INDEX($K447:$O447,SUMIF(cbal!G$280:G$296,$B447,cbal!$D$280:$D$296)+1)</f>
        <v>0</v>
      </c>
      <c r="H447" s="183">
        <f>INDEX($K447:$O447,SUMIF(cbal!H$280:H$296,$B447,cbal!$D$280:$D$296)+1)</f>
        <v>0</v>
      </c>
      <c r="I447" s="183">
        <f>INDEX($K447:$O447,SUMIF(cbal!I$280:I$296,$B447,cbal!$D$280:$D$296)+1)</f>
        <v>0</v>
      </c>
      <c r="K447" s="1577">
        <v>0</v>
      </c>
      <c r="L447" s="1580">
        <f>L446/2</f>
        <v>5</v>
      </c>
      <c r="M447" s="1582">
        <f t="shared" ref="M447:O448" si="69">L447</f>
        <v>5</v>
      </c>
      <c r="N447" s="1582">
        <f t="shared" si="69"/>
        <v>5</v>
      </c>
      <c r="O447" s="1582">
        <f t="shared" si="69"/>
        <v>5</v>
      </c>
      <c r="R447" s="91" t="b">
        <f>IF(AND(C447&gt;166,C447&lt;171.5),L447)</f>
        <v>0</v>
      </c>
      <c r="S447" s="21" t="b">
        <f>IF(AND(C447&gt;166,C447&lt;171.5),M447)</f>
        <v>0</v>
      </c>
      <c r="T447" s="97" t="b">
        <f>IF(C447=133.5,L447)</f>
        <v>0</v>
      </c>
    </row>
    <row r="448" spans="2:20">
      <c r="B448" t="s">
        <v>4024</v>
      </c>
      <c r="C448" s="433">
        <v>203</v>
      </c>
      <c r="D448" t="str">
        <f>VLOOKUP($C448,param!$A$4:$B$266,2)</f>
        <v>Productivity Strategy</v>
      </c>
      <c r="E448" s="183">
        <f>INDEX($K448:$O448,SUMIF(cbal!E$280:E$296,$B448,cbal!$D$280:$D$296)+1)</f>
        <v>0</v>
      </c>
      <c r="F448" s="183">
        <f>INDEX($K448:$O448,SUMIF(cbal!F$280:F$296,$B448,cbal!$D$280:$D$296)+1)</f>
        <v>0</v>
      </c>
      <c r="G448" s="183">
        <f>INDEX($K448:$O448,SUMIF(cbal!G$280:G$296,$B448,cbal!$D$280:$D$296)+1)</f>
        <v>0</v>
      </c>
      <c r="H448" s="183">
        <f>INDEX($K448:$O448,SUMIF(cbal!H$280:H$296,$B448,cbal!$D$280:$D$296)+1)</f>
        <v>0</v>
      </c>
      <c r="I448" s="183">
        <f>INDEX($K448:$O448,SUMIF(cbal!I$280:I$296,$B448,cbal!$D$280:$D$296)+1)</f>
        <v>0</v>
      </c>
      <c r="K448" s="1577">
        <v>0</v>
      </c>
      <c r="L448" s="1580">
        <f>L446-L447</f>
        <v>5</v>
      </c>
      <c r="M448" s="1582">
        <f t="shared" si="69"/>
        <v>5</v>
      </c>
      <c r="N448" s="1582">
        <f t="shared" si="69"/>
        <v>5</v>
      </c>
      <c r="O448" s="1582">
        <f t="shared" si="69"/>
        <v>5</v>
      </c>
      <c r="R448" s="91" t="b">
        <f>IF(AND(C448&gt;166,C448&lt;171.5),L448)</f>
        <v>0</v>
      </c>
      <c r="S448" s="21" t="b">
        <f>IF(AND(C448&gt;166,C448&lt;171.5),M448)</f>
        <v>0</v>
      </c>
      <c r="T448" s="97" t="b">
        <f>IF(C448=133.5,L448)</f>
        <v>0</v>
      </c>
    </row>
    <row r="449" spans="2:20">
      <c r="B449">
        <v>0</v>
      </c>
      <c r="C449" s="433">
        <v>0</v>
      </c>
      <c r="E449" s="183"/>
      <c r="F449" s="183"/>
      <c r="G449" s="183"/>
      <c r="H449" s="183"/>
      <c r="I449" s="183"/>
      <c r="K449" s="1577"/>
      <c r="L449" s="1580"/>
      <c r="M449" s="1580"/>
      <c r="N449" s="1580"/>
      <c r="O449" s="1580"/>
      <c r="R449" s="91">
        <v>0</v>
      </c>
      <c r="S449" s="21">
        <v>0</v>
      </c>
      <c r="T449" s="97">
        <v>0</v>
      </c>
    </row>
    <row r="450" spans="2:20">
      <c r="B450" t="s">
        <v>4025</v>
      </c>
      <c r="C450" t="s">
        <v>989</v>
      </c>
      <c r="E450" s="183"/>
      <c r="F450" s="183"/>
      <c r="G450" s="183"/>
      <c r="H450" s="183"/>
      <c r="I450" s="183"/>
      <c r="K450" s="1577"/>
      <c r="L450" s="1580"/>
      <c r="M450" s="1580"/>
      <c r="N450" s="1580"/>
      <c r="O450" s="1580"/>
      <c r="R450" s="91">
        <v>0</v>
      </c>
      <c r="S450" s="21">
        <v>0</v>
      </c>
      <c r="T450" s="97">
        <v>0</v>
      </c>
    </row>
    <row r="451" spans="2:20">
      <c r="B451" t="s">
        <v>4025</v>
      </c>
      <c r="C451" s="506">
        <v>5</v>
      </c>
      <c r="D451" t="str">
        <f>VLOOKUP($C451,param!$A$4:$B$266,2)</f>
        <v>CSD Region A Marketing Spend Effectiveness</v>
      </c>
      <c r="E451" s="430">
        <f>INDEX($K451:$O451,SUMIF(cbal!E$280:E$296,$B451,cbal!$D$280:$D$296)+1)</f>
        <v>0</v>
      </c>
      <c r="F451" s="430">
        <f>INDEX($K451:$O451,SUMIF(cbal!F$280:F$296,$B451,cbal!$D$280:$D$296)+1)</f>
        <v>0</v>
      </c>
      <c r="G451" s="430">
        <f>INDEX($K451:$O451,SUMIF(cbal!G$280:G$296,$B451,cbal!$D$280:$D$296)+1)</f>
        <v>0</v>
      </c>
      <c r="H451" s="430">
        <f>INDEX($K451:$O451,SUMIF(cbal!H$280:H$296,$B451,cbal!$D$280:$D$296)+1)</f>
        <v>0</v>
      </c>
      <c r="I451" s="430">
        <f>INDEX($K451:$O451,SUMIF(cbal!I$280:I$296,$B451,cbal!$D$280:$D$296)+1)</f>
        <v>0</v>
      </c>
      <c r="K451" s="1577">
        <v>0</v>
      </c>
      <c r="L451" s="1585">
        <v>0.01</v>
      </c>
      <c r="M451" s="1585">
        <v>0.01</v>
      </c>
      <c r="N451" s="1585">
        <v>0.01</v>
      </c>
      <c r="O451" s="1585">
        <v>0.01</v>
      </c>
      <c r="R451" s="91" t="b">
        <f t="shared" si="56"/>
        <v>0</v>
      </c>
      <c r="S451" s="21" t="b">
        <f t="shared" si="57"/>
        <v>0</v>
      </c>
      <c r="T451" s="97" t="b">
        <f t="shared" si="64"/>
        <v>0</v>
      </c>
    </row>
    <row r="452" spans="2:20">
      <c r="B452" t="s">
        <v>4025</v>
      </c>
      <c r="C452" s="506">
        <v>43</v>
      </c>
      <c r="D452" t="str">
        <f>VLOOKUP($C452,param!$A$4:$B$266,2)</f>
        <v>NCB Region A Marketing Spend Effectiveness</v>
      </c>
      <c r="E452" s="430">
        <f>INDEX($K452:$O452,SUMIF(cbal!E$280:E$296,$B452,cbal!$D$280:$D$296)+1)</f>
        <v>0</v>
      </c>
      <c r="F452" s="430">
        <f>INDEX($K452:$O452,SUMIF(cbal!F$280:F$296,$B452,cbal!$D$280:$D$296)+1)</f>
        <v>0</v>
      </c>
      <c r="G452" s="430">
        <f>INDEX($K452:$O452,SUMIF(cbal!G$280:G$296,$B452,cbal!$D$280:$D$296)+1)</f>
        <v>0</v>
      </c>
      <c r="H452" s="430">
        <f>INDEX($K452:$O452,SUMIF(cbal!H$280:H$296,$B452,cbal!$D$280:$D$296)+1)</f>
        <v>0</v>
      </c>
      <c r="I452" s="430">
        <f>INDEX($K452:$O452,SUMIF(cbal!I$280:I$296,$B452,cbal!$D$280:$D$296)+1)</f>
        <v>0</v>
      </c>
      <c r="K452" s="1577">
        <v>0</v>
      </c>
      <c r="L452" s="1585">
        <v>0.01</v>
      </c>
      <c r="M452" s="1585">
        <v>0.01</v>
      </c>
      <c r="N452" s="1585">
        <v>0.01</v>
      </c>
      <c r="O452" s="1585">
        <v>0.01</v>
      </c>
      <c r="R452" s="91" t="b">
        <f t="shared" si="56"/>
        <v>0</v>
      </c>
      <c r="S452" s="21" t="b">
        <f t="shared" si="57"/>
        <v>0</v>
      </c>
      <c r="T452" s="97" t="b">
        <f t="shared" si="64"/>
        <v>0</v>
      </c>
    </row>
    <row r="453" spans="2:20">
      <c r="B453" t="s">
        <v>4025</v>
      </c>
      <c r="C453" s="506">
        <v>76</v>
      </c>
      <c r="D453" t="str">
        <f>VLOOKUP($C453,param!$A$4:$B$266,2)</f>
        <v>F&amp;S Region A Marketing Spend Effectiveness</v>
      </c>
      <c r="E453" s="430">
        <f>INDEX($K453:$O453,SUMIF(cbal!E$280:E$296,$B453,cbal!$D$280:$D$296)+1)</f>
        <v>0</v>
      </c>
      <c r="F453" s="430">
        <f>INDEX($K453:$O453,SUMIF(cbal!F$280:F$296,$B453,cbal!$D$280:$D$296)+1)</f>
        <v>0</v>
      </c>
      <c r="G453" s="430">
        <f>INDEX($K453:$O453,SUMIF(cbal!G$280:G$296,$B453,cbal!$D$280:$D$296)+1)</f>
        <v>0</v>
      </c>
      <c r="H453" s="430">
        <f>INDEX($K453:$O453,SUMIF(cbal!H$280:H$296,$B453,cbal!$D$280:$D$296)+1)</f>
        <v>0</v>
      </c>
      <c r="I453" s="430">
        <f>INDEX($K453:$O453,SUMIF(cbal!I$280:I$296,$B453,cbal!$D$280:$D$296)+1)</f>
        <v>0</v>
      </c>
      <c r="K453" s="1577">
        <v>0</v>
      </c>
      <c r="L453" s="1585">
        <v>0.01</v>
      </c>
      <c r="M453" s="1585">
        <v>0.01</v>
      </c>
      <c r="N453" s="1585">
        <v>0.01</v>
      </c>
      <c r="O453" s="1585">
        <v>0.01</v>
      </c>
      <c r="R453" s="91" t="b">
        <f t="shared" si="56"/>
        <v>0</v>
      </c>
      <c r="S453" s="21" t="b">
        <f t="shared" si="57"/>
        <v>0</v>
      </c>
      <c r="T453" s="97" t="b">
        <f t="shared" si="64"/>
        <v>0</v>
      </c>
    </row>
    <row r="454" spans="2:20">
      <c r="B454" t="s">
        <v>4025</v>
      </c>
      <c r="C454" s="433">
        <v>168</v>
      </c>
      <c r="D454" t="str">
        <f>VLOOKUP($C454,param!$A$4:$B$266,2)</f>
        <v>Special Programs Expense Product 1 Region 1</v>
      </c>
      <c r="E454" s="183">
        <f>INDEX($K454:$O454,SUMIF(cbal!E$280:E$296,$B454,cbal!$D$280:$D$296)+1)</f>
        <v>0</v>
      </c>
      <c r="F454" s="183">
        <f>INDEX($K454:$O454,SUMIF(cbal!F$280:F$296,$B454,cbal!$D$280:$D$296)+1)</f>
        <v>0</v>
      </c>
      <c r="G454" s="183">
        <f>INDEX($K454:$O454,SUMIF(cbal!G$280:G$296,$B454,cbal!$D$280:$D$296)+1)</f>
        <v>0</v>
      </c>
      <c r="H454" s="183">
        <f>INDEX($K454:$O454,SUMIF(cbal!H$280:H$296,$B454,cbal!$D$280:$D$296)+1)</f>
        <v>0</v>
      </c>
      <c r="I454" s="183">
        <f>INDEX($K454:$O454,SUMIF(cbal!I$280:I$296,$B454,cbal!$D$280:$D$296)+1)</f>
        <v>0</v>
      </c>
      <c r="K454" s="1577">
        <v>0</v>
      </c>
      <c r="L454" s="1580">
        <f>2000000/3</f>
        <v>666666.66666666663</v>
      </c>
      <c r="M454" s="1580">
        <f>500000/3</f>
        <v>166666.66666666666</v>
      </c>
      <c r="N454" s="1580">
        <f t="shared" ref="N454:O456" si="70">500000/3</f>
        <v>166666.66666666666</v>
      </c>
      <c r="O454" s="1580">
        <f t="shared" si="70"/>
        <v>166666.66666666666</v>
      </c>
      <c r="R454" s="91">
        <f t="shared" si="56"/>
        <v>666666.66666666663</v>
      </c>
      <c r="S454" s="21">
        <f t="shared" si="57"/>
        <v>166666.66666666666</v>
      </c>
      <c r="T454" s="97" t="b">
        <f t="shared" si="64"/>
        <v>0</v>
      </c>
    </row>
    <row r="455" spans="2:20">
      <c r="B455" t="s">
        <v>4025</v>
      </c>
      <c r="C455" s="433">
        <v>169</v>
      </c>
      <c r="D455" t="str">
        <f>VLOOKUP($C455,param!$A$4:$B$266,2)</f>
        <v>Special Programs Expense Product 2 Region 1</v>
      </c>
      <c r="E455" s="183">
        <f>INDEX($K455:$O455,SUMIF(cbal!E$280:E$296,$B455,cbal!$D$280:$D$296)+1)</f>
        <v>0</v>
      </c>
      <c r="F455" s="183">
        <f>INDEX($K455:$O455,SUMIF(cbal!F$280:F$296,$B455,cbal!$D$280:$D$296)+1)</f>
        <v>0</v>
      </c>
      <c r="G455" s="183">
        <f>INDEX($K455:$O455,SUMIF(cbal!G$280:G$296,$B455,cbal!$D$280:$D$296)+1)</f>
        <v>0</v>
      </c>
      <c r="H455" s="183">
        <f>INDEX($K455:$O455,SUMIF(cbal!H$280:H$296,$B455,cbal!$D$280:$D$296)+1)</f>
        <v>0</v>
      </c>
      <c r="I455" s="183">
        <f>INDEX($K455:$O455,SUMIF(cbal!I$280:I$296,$B455,cbal!$D$280:$D$296)+1)</f>
        <v>0</v>
      </c>
      <c r="K455" s="1577">
        <v>0</v>
      </c>
      <c r="L455" s="1580">
        <f>2000000/3</f>
        <v>666666.66666666663</v>
      </c>
      <c r="M455" s="1580">
        <f>500000/3</f>
        <v>166666.66666666666</v>
      </c>
      <c r="N455" s="1580">
        <f t="shared" si="70"/>
        <v>166666.66666666666</v>
      </c>
      <c r="O455" s="1580">
        <f t="shared" si="70"/>
        <v>166666.66666666666</v>
      </c>
      <c r="R455" s="91">
        <f t="shared" si="56"/>
        <v>666666.66666666663</v>
      </c>
      <c r="S455" s="21">
        <f t="shared" si="57"/>
        <v>166666.66666666666</v>
      </c>
      <c r="T455" s="97" t="b">
        <f t="shared" si="64"/>
        <v>0</v>
      </c>
    </row>
    <row r="456" spans="2:20">
      <c r="B456" t="s">
        <v>4025</v>
      </c>
      <c r="C456" s="433">
        <v>170</v>
      </c>
      <c r="D456" t="str">
        <f>VLOOKUP($C456,param!$A$4:$B$266,2)</f>
        <v>Special Programs Expense Product 3 Region 1</v>
      </c>
      <c r="E456" s="183">
        <f>INDEX($K456:$O456,SUMIF(cbal!E$280:E$296,$B456,cbal!$D$280:$D$296)+1)</f>
        <v>0</v>
      </c>
      <c r="F456" s="183">
        <f>INDEX($K456:$O456,SUMIF(cbal!F$280:F$296,$B456,cbal!$D$280:$D$296)+1)</f>
        <v>0</v>
      </c>
      <c r="G456" s="183">
        <f>INDEX($K456:$O456,SUMIF(cbal!G$280:G$296,$B456,cbal!$D$280:$D$296)+1)</f>
        <v>0</v>
      </c>
      <c r="H456" s="183">
        <f>INDEX($K456:$O456,SUMIF(cbal!H$280:H$296,$B456,cbal!$D$280:$D$296)+1)</f>
        <v>0</v>
      </c>
      <c r="I456" s="183">
        <f>INDEX($K456:$O456,SUMIF(cbal!I$280:I$296,$B456,cbal!$D$280:$D$296)+1)</f>
        <v>0</v>
      </c>
      <c r="K456" s="1577">
        <v>0</v>
      </c>
      <c r="L456" s="1580">
        <f>2000000/3</f>
        <v>666666.66666666663</v>
      </c>
      <c r="M456" s="1580">
        <f>500000/3</f>
        <v>166666.66666666666</v>
      </c>
      <c r="N456" s="1580">
        <f t="shared" si="70"/>
        <v>166666.66666666666</v>
      </c>
      <c r="O456" s="1580">
        <f t="shared" si="70"/>
        <v>166666.66666666666</v>
      </c>
      <c r="R456" s="91">
        <f t="shared" si="56"/>
        <v>666666.66666666663</v>
      </c>
      <c r="S456" s="21">
        <f t="shared" si="57"/>
        <v>166666.66666666666</v>
      </c>
      <c r="T456" s="97" t="b">
        <f t="shared" si="64"/>
        <v>0</v>
      </c>
    </row>
    <row r="457" spans="2:20">
      <c r="B457" t="s">
        <v>4025</v>
      </c>
      <c r="C457" s="433">
        <v>133.5</v>
      </c>
      <c r="D457" t="str">
        <f>VLOOKUP($C457,param!$A$4:$B$266,2)</f>
        <v>MTU Initiatives Allocation</v>
      </c>
      <c r="E457" s="183">
        <f>INDEX($K457:$O457,SUMIF(cbal!E$280:E$296,$B457,cbal!$D$280:$D$296)+1)</f>
        <v>0</v>
      </c>
      <c r="F457" s="183">
        <f>INDEX($K457:$O457,SUMIF(cbal!F$280:F$296,$B457,cbal!$D$280:$D$296)+1)</f>
        <v>0</v>
      </c>
      <c r="G457" s="183">
        <f>INDEX($K457:$O457,SUMIF(cbal!G$280:G$296,$B457,cbal!$D$280:$D$296)+1)</f>
        <v>0</v>
      </c>
      <c r="H457" s="183">
        <f>INDEX($K457:$O457,SUMIF(cbal!H$280:H$296,$B457,cbal!$D$280:$D$296)+1)</f>
        <v>0</v>
      </c>
      <c r="I457" s="183">
        <f>INDEX($K457:$O457,SUMIF(cbal!I$280:I$296,$B457,cbal!$D$280:$D$296)+1)</f>
        <v>0</v>
      </c>
      <c r="K457" s="1577">
        <v>0</v>
      </c>
      <c r="L457" s="1580">
        <v>5</v>
      </c>
      <c r="M457" s="1580"/>
      <c r="N457" s="1580"/>
      <c r="O457" s="1580"/>
      <c r="R457" s="91" t="b">
        <f t="shared" si="56"/>
        <v>0</v>
      </c>
      <c r="S457" s="21" t="b">
        <f t="shared" si="57"/>
        <v>0</v>
      </c>
      <c r="T457" s="97">
        <f>IF(C457=133.5,L457)</f>
        <v>5</v>
      </c>
    </row>
    <row r="458" spans="2:20">
      <c r="B458" t="s">
        <v>4025</v>
      </c>
      <c r="C458" s="433">
        <v>201</v>
      </c>
      <c r="D458" t="str">
        <f>VLOOKUP($C458,param!$A$4:$B$266,2)</f>
        <v>Brands Strategy</v>
      </c>
      <c r="E458" s="183">
        <f>INDEX($K458:$O458,SUMIF(cbal!E$280:E$296,$B458,cbal!$D$280:$D$296)+1)</f>
        <v>0</v>
      </c>
      <c r="F458" s="183">
        <f>INDEX($K458:$O458,SUMIF(cbal!F$280:F$296,$B458,cbal!$D$280:$D$296)+1)</f>
        <v>0</v>
      </c>
      <c r="G458" s="183">
        <f>INDEX($K458:$O458,SUMIF(cbal!G$280:G$296,$B458,cbal!$D$280:$D$296)+1)</f>
        <v>0</v>
      </c>
      <c r="H458" s="183">
        <f>INDEX($K458:$O458,SUMIF(cbal!H$280:H$296,$B458,cbal!$D$280:$D$296)+1)</f>
        <v>0</v>
      </c>
      <c r="I458" s="183">
        <f>INDEX($K458:$O458,SUMIF(cbal!I$280:I$296,$B458,cbal!$D$280:$D$296)+1)</f>
        <v>0</v>
      </c>
      <c r="K458" s="1577">
        <v>0</v>
      </c>
      <c r="L458" s="1580">
        <f>L457</f>
        <v>5</v>
      </c>
      <c r="M458" s="1580">
        <f>L458</f>
        <v>5</v>
      </c>
      <c r="N458" s="1580">
        <f>M458</f>
        <v>5</v>
      </c>
      <c r="O458" s="1580">
        <f>N458</f>
        <v>5</v>
      </c>
      <c r="R458" s="91" t="b">
        <f>IF(AND(C458&gt;166,C458&lt;171.5),L458)</f>
        <v>0</v>
      </c>
      <c r="S458" s="21" t="b">
        <f>IF(AND(C458&gt;166,C458&lt;171.5),M458)</f>
        <v>0</v>
      </c>
      <c r="T458" s="97" t="b">
        <f>IF(C458=133.5,L458)</f>
        <v>0</v>
      </c>
    </row>
    <row r="459" spans="2:20">
      <c r="B459">
        <v>0</v>
      </c>
      <c r="C459" s="433">
        <v>0</v>
      </c>
      <c r="E459" s="183"/>
      <c r="F459" s="183"/>
      <c r="G459" s="183"/>
      <c r="H459" s="183"/>
      <c r="I459" s="183"/>
      <c r="K459" s="1577"/>
      <c r="L459" s="1580"/>
      <c r="M459" s="1580"/>
      <c r="N459" s="1580"/>
      <c r="O459" s="1580"/>
      <c r="R459" s="91">
        <v>0</v>
      </c>
      <c r="S459" s="21">
        <v>0</v>
      </c>
      <c r="T459" s="97">
        <v>0</v>
      </c>
    </row>
    <row r="460" spans="2:20">
      <c r="B460" t="s">
        <v>4026</v>
      </c>
      <c r="C460" t="str">
        <f>VLOOKUP(B460,DataInitiativesGrid,2,0)</f>
        <v>Energy Re-Capture Program</v>
      </c>
      <c r="E460" s="183"/>
      <c r="F460" s="183"/>
      <c r="G460" s="183"/>
      <c r="H460" s="183"/>
      <c r="I460" s="183"/>
      <c r="K460" s="1577"/>
      <c r="L460" s="1580"/>
      <c r="M460" s="1580"/>
      <c r="N460" s="1580"/>
      <c r="O460" s="1580"/>
      <c r="R460" s="91">
        <v>0</v>
      </c>
      <c r="S460" s="21">
        <v>0</v>
      </c>
      <c r="T460" s="97">
        <v>0</v>
      </c>
    </row>
    <row r="461" spans="2:20">
      <c r="B461" t="s">
        <v>4026</v>
      </c>
      <c r="C461" s="433">
        <v>139</v>
      </c>
      <c r="D461" t="str">
        <f>VLOOKUP($C461,param!$A$4:$B$266,2)</f>
        <v>Plant Machinery Cost Per Hour</v>
      </c>
      <c r="E461" s="430">
        <f>INDEX($K461:$O461,SUMIF(cbal!E$280:E$296,$B461,cbal!$D$280:$D$296)+1)</f>
        <v>0</v>
      </c>
      <c r="F461" s="430">
        <f>INDEX($K461:$O461,SUMIF(cbal!F$280:F$296,$B461,cbal!$D$280:$D$296)+1)</f>
        <v>0</v>
      </c>
      <c r="G461" s="430">
        <f>INDEX($K461:$O461,SUMIF(cbal!G$280:G$296,$B461,cbal!$D$280:$D$296)+1)</f>
        <v>0</v>
      </c>
      <c r="H461" s="430">
        <f>INDEX($K461:$O461,SUMIF(cbal!H$280:H$296,$B461,cbal!$D$280:$D$296)+1)</f>
        <v>0</v>
      </c>
      <c r="I461" s="430">
        <f>INDEX($K461:$O461,SUMIF(cbal!I$280:I$296,$B461,cbal!$D$280:$D$296)+1)</f>
        <v>0</v>
      </c>
      <c r="K461" s="1577">
        <v>0</v>
      </c>
      <c r="L461" s="1585">
        <v>-0.02</v>
      </c>
      <c r="M461" s="1585">
        <v>1.6E-2</v>
      </c>
      <c r="N461" s="1585">
        <v>1.0999999999999999E-2</v>
      </c>
      <c r="O461" s="1585">
        <v>-0.02</v>
      </c>
      <c r="R461" s="91" t="b">
        <f t="shared" si="56"/>
        <v>0</v>
      </c>
      <c r="S461" s="21" t="b">
        <f t="shared" si="57"/>
        <v>0</v>
      </c>
      <c r="T461" s="97" t="b">
        <f t="shared" si="64"/>
        <v>0</v>
      </c>
    </row>
    <row r="462" spans="2:20">
      <c r="B462" t="s">
        <v>4026</v>
      </c>
      <c r="C462" s="433">
        <v>142</v>
      </c>
      <c r="D462" t="str">
        <f>VLOOKUP($C462,param!$A$4:$B$266,2)</f>
        <v>Plant Efficiency</v>
      </c>
      <c r="E462" s="430">
        <f>INDEX($K462:$O462,SUMIF(cbal!E$280:E$296,$B462,cbal!$D$280:$D$296)+1)</f>
        <v>0</v>
      </c>
      <c r="F462" s="430">
        <f>INDEX($K462:$O462,SUMIF(cbal!F$280:F$296,$B462,cbal!$D$280:$D$296)+1)</f>
        <v>0</v>
      </c>
      <c r="G462" s="430">
        <f>INDEX($K462:$O462,SUMIF(cbal!G$280:G$296,$B462,cbal!$D$280:$D$296)+1)</f>
        <v>0</v>
      </c>
      <c r="H462" s="430">
        <f>INDEX($K462:$O462,SUMIF(cbal!H$280:H$296,$B462,cbal!$D$280:$D$296)+1)</f>
        <v>0</v>
      </c>
      <c r="I462" s="430">
        <f>INDEX($K462:$O462,SUMIF(cbal!I$280:I$296,$B462,cbal!$D$280:$D$296)+1)</f>
        <v>0</v>
      </c>
      <c r="K462" s="1577">
        <v>0</v>
      </c>
      <c r="L462" s="1585">
        <v>5.0000000000000001E-3</v>
      </c>
      <c r="M462" s="1585">
        <v>5.0000000000000001E-3</v>
      </c>
      <c r="N462" s="1585">
        <v>5.0000000000000001E-3</v>
      </c>
      <c r="O462" s="1585">
        <v>5.0000000000000001E-3</v>
      </c>
      <c r="R462" s="91" t="b">
        <f t="shared" si="56"/>
        <v>0</v>
      </c>
      <c r="S462" s="21" t="b">
        <f t="shared" si="57"/>
        <v>0</v>
      </c>
      <c r="T462" s="97" t="b">
        <f t="shared" si="64"/>
        <v>0</v>
      </c>
    </row>
    <row r="463" spans="2:20">
      <c r="B463" t="s">
        <v>4026</v>
      </c>
      <c r="C463" s="433">
        <v>191</v>
      </c>
      <c r="D463" t="str">
        <f>VLOOKUP($C463,param!$A$4:$B$266,2)</f>
        <v>Energy Usage Performance</v>
      </c>
      <c r="E463" s="430">
        <f>INDEX($K463:$O463,SUMIF(cbal!E$280:E$296,$B463,cbal!$D$280:$D$296)+1)</f>
        <v>0</v>
      </c>
      <c r="F463" s="430">
        <f>INDEX($K463:$O463,SUMIF(cbal!F$280:F$296,$B463,cbal!$D$280:$D$296)+1)</f>
        <v>0</v>
      </c>
      <c r="G463" s="430">
        <f>INDEX($K463:$O463,SUMIF(cbal!G$280:G$296,$B463,cbal!$D$280:$D$296)+1)</f>
        <v>0</v>
      </c>
      <c r="H463" s="430">
        <f>INDEX($K463:$O463,SUMIF(cbal!H$280:H$296,$B463,cbal!$D$280:$D$296)+1)</f>
        <v>0</v>
      </c>
      <c r="I463" s="430">
        <f>INDEX($K463:$O463,SUMIF(cbal!I$280:I$296,$B463,cbal!$D$280:$D$296)+1)</f>
        <v>0</v>
      </c>
      <c r="K463" s="1577">
        <v>0</v>
      </c>
      <c r="L463" s="1585">
        <v>7.0000000000000007E-2</v>
      </c>
      <c r="M463" s="1585">
        <v>7.0000000000000007E-2</v>
      </c>
      <c r="N463" s="1585">
        <v>7.0000000000000007E-2</v>
      </c>
      <c r="O463" s="1585">
        <v>7.0000000000000007E-2</v>
      </c>
      <c r="R463" s="91" t="b">
        <f t="shared" si="56"/>
        <v>0</v>
      </c>
      <c r="S463" s="21" t="b">
        <f t="shared" si="57"/>
        <v>0</v>
      </c>
      <c r="T463" s="97" t="b">
        <f t="shared" si="64"/>
        <v>0</v>
      </c>
    </row>
    <row r="464" spans="2:20">
      <c r="B464" t="s">
        <v>4026</v>
      </c>
      <c r="C464" s="433">
        <v>192</v>
      </c>
      <c r="D464" t="str">
        <f>VLOOKUP($C464,param!$A$4:$B$266,2)</f>
        <v>Waste Production Performance</v>
      </c>
      <c r="E464" s="430">
        <f>INDEX($K464:$O464,SUMIF(cbal!E$280:E$296,$B464,cbal!$D$280:$D$296)+1)</f>
        <v>0</v>
      </c>
      <c r="F464" s="430">
        <f>INDEX($K464:$O464,SUMIF(cbal!F$280:F$296,$B464,cbal!$D$280:$D$296)+1)</f>
        <v>0</v>
      </c>
      <c r="G464" s="430">
        <f>INDEX($K464:$O464,SUMIF(cbal!G$280:G$296,$B464,cbal!$D$280:$D$296)+1)</f>
        <v>0</v>
      </c>
      <c r="H464" s="430">
        <f>INDEX($K464:$O464,SUMIF(cbal!H$280:H$296,$B464,cbal!$D$280:$D$296)+1)</f>
        <v>0</v>
      </c>
      <c r="I464" s="430">
        <f>INDEX($K464:$O464,SUMIF(cbal!I$280:I$296,$B464,cbal!$D$280:$D$296)+1)</f>
        <v>0</v>
      </c>
      <c r="K464" s="1577">
        <v>0</v>
      </c>
      <c r="L464" s="1585">
        <v>0.05</v>
      </c>
      <c r="M464" s="1585">
        <v>0.05</v>
      </c>
      <c r="N464" s="1585">
        <v>0.05</v>
      </c>
      <c r="O464" s="1585">
        <v>0.05</v>
      </c>
      <c r="R464" s="91" t="b">
        <f t="shared" si="56"/>
        <v>0</v>
      </c>
      <c r="S464" s="21" t="b">
        <f t="shared" si="57"/>
        <v>0</v>
      </c>
      <c r="T464" s="97" t="b">
        <f t="shared" si="64"/>
        <v>0</v>
      </c>
    </row>
    <row r="465" spans="2:20">
      <c r="B465" t="s">
        <v>4026</v>
      </c>
      <c r="C465" s="433">
        <v>167</v>
      </c>
      <c r="D465" t="str">
        <f>VLOOKUP($C465,param!$A$4:$B$266,2)</f>
        <v>Special Program Expense</v>
      </c>
      <c r="E465" s="183">
        <f>INDEX($K465:$O465,SUMIF(cbal!E$280:E$296,$B465,cbal!$D$280:$D$296)+1)</f>
        <v>0</v>
      </c>
      <c r="F465" s="183">
        <f>INDEX($K465:$O465,SUMIF(cbal!F$280:F$296,$B465,cbal!$D$280:$D$296)+1)</f>
        <v>0</v>
      </c>
      <c r="G465" s="183">
        <f>INDEX($K465:$O465,SUMIF(cbal!G$280:G$296,$B465,cbal!$D$280:$D$296)+1)</f>
        <v>0</v>
      </c>
      <c r="H465" s="183">
        <f>INDEX($K465:$O465,SUMIF(cbal!H$280:H$296,$B465,cbal!$D$280:$D$296)+1)</f>
        <v>0</v>
      </c>
      <c r="I465" s="183">
        <f>INDEX($K465:$O465,SUMIF(cbal!I$280:I$296,$B465,cbal!$D$280:$D$296)+1)</f>
        <v>0</v>
      </c>
      <c r="K465" s="1577">
        <v>0</v>
      </c>
      <c r="L465" s="1580">
        <v>10000000</v>
      </c>
      <c r="M465" s="1580"/>
      <c r="N465" s="1580"/>
      <c r="O465" s="1580"/>
      <c r="R465" s="91">
        <f t="shared" si="56"/>
        <v>10000000</v>
      </c>
      <c r="S465" s="21">
        <f t="shared" si="57"/>
        <v>0</v>
      </c>
      <c r="T465" s="97" t="b">
        <f t="shared" si="64"/>
        <v>0</v>
      </c>
    </row>
    <row r="466" spans="2:20">
      <c r="B466" t="s">
        <v>4026</v>
      </c>
      <c r="C466" s="433">
        <v>133.5</v>
      </c>
      <c r="D466" t="str">
        <f>VLOOKUP($C466,param!$A$4:$B$266,2)</f>
        <v>MTU Initiatives Allocation</v>
      </c>
      <c r="E466" s="183">
        <f>INDEX($K466:$O466,SUMIF(cbal!E$280:E$296,$B466,cbal!$D$280:$D$296)+1)</f>
        <v>0</v>
      </c>
      <c r="F466" s="183">
        <f>INDEX($K466:$O466,SUMIF(cbal!F$280:F$296,$B466,cbal!$D$280:$D$296)+1)</f>
        <v>0</v>
      </c>
      <c r="G466" s="183">
        <f>INDEX($K466:$O466,SUMIF(cbal!G$280:G$296,$B466,cbal!$D$280:$D$296)+1)</f>
        <v>0</v>
      </c>
      <c r="H466" s="183">
        <f>INDEX($K466:$O466,SUMIF(cbal!H$280:H$296,$B466,cbal!$D$280:$D$296)+1)</f>
        <v>0</v>
      </c>
      <c r="I466" s="183">
        <f>INDEX($K466:$O466,SUMIF(cbal!I$280:I$296,$B466,cbal!$D$280:$D$296)+1)</f>
        <v>0</v>
      </c>
      <c r="K466" s="1577">
        <v>0</v>
      </c>
      <c r="L466" s="1580">
        <v>5</v>
      </c>
      <c r="M466" s="1580"/>
      <c r="N466" s="1580"/>
      <c r="O466" s="1580"/>
      <c r="R466" s="91" t="b">
        <f t="shared" si="56"/>
        <v>0</v>
      </c>
      <c r="S466" s="21" t="b">
        <f t="shared" si="57"/>
        <v>0</v>
      </c>
      <c r="T466" s="97">
        <f t="shared" si="64"/>
        <v>5</v>
      </c>
    </row>
    <row r="467" spans="2:20">
      <c r="B467" t="s">
        <v>4026</v>
      </c>
      <c r="C467" s="433">
        <v>203</v>
      </c>
      <c r="D467" t="str">
        <f>VLOOKUP($C467,param!$A$4:$B$266,2)</f>
        <v>Productivity Strategy</v>
      </c>
      <c r="E467" s="183">
        <f>INDEX($K467:$O467,SUMIF(cbal!E$280:E$296,$B467,cbal!$D$280:$D$296)+1)</f>
        <v>0</v>
      </c>
      <c r="F467" s="183">
        <f>INDEX($K467:$O467,SUMIF(cbal!F$280:F$296,$B467,cbal!$D$280:$D$296)+1)</f>
        <v>0</v>
      </c>
      <c r="G467" s="183">
        <f>INDEX($K467:$O467,SUMIF(cbal!G$280:G$296,$B467,cbal!$D$280:$D$296)+1)</f>
        <v>0</v>
      </c>
      <c r="H467" s="183">
        <f>INDEX($K467:$O467,SUMIF(cbal!H$280:H$296,$B467,cbal!$D$280:$D$296)+1)</f>
        <v>0</v>
      </c>
      <c r="I467" s="183">
        <f>INDEX($K467:$O467,SUMIF(cbal!I$280:I$296,$B467,cbal!$D$280:$D$296)+1)</f>
        <v>0</v>
      </c>
      <c r="K467" s="1577">
        <v>0</v>
      </c>
      <c r="L467" s="1580">
        <f>L466</f>
        <v>5</v>
      </c>
      <c r="M467" s="1580">
        <f>L467</f>
        <v>5</v>
      </c>
      <c r="N467" s="1580">
        <f>M467</f>
        <v>5</v>
      </c>
      <c r="O467" s="1580">
        <f>N467</f>
        <v>5</v>
      </c>
      <c r="R467" s="91" t="b">
        <f>IF(AND(C467&gt;166,C467&lt;171.5),L467)</f>
        <v>0</v>
      </c>
      <c r="S467" s="21" t="b">
        <f>IF(AND(C467&gt;166,C467&lt;171.5),M467)</f>
        <v>0</v>
      </c>
      <c r="T467" s="97" t="b">
        <f>IF(C467=133.5,L467)</f>
        <v>0</v>
      </c>
    </row>
    <row r="468" spans="2:20">
      <c r="B468">
        <v>0</v>
      </c>
      <c r="C468" s="433">
        <v>0</v>
      </c>
      <c r="E468" s="183"/>
      <c r="F468" s="183"/>
      <c r="G468" s="183"/>
      <c r="H468" s="183"/>
      <c r="I468" s="183"/>
      <c r="K468" s="1577"/>
      <c r="L468" s="1580"/>
      <c r="M468" s="1580"/>
      <c r="N468" s="1580"/>
      <c r="O468" s="1580"/>
      <c r="R468" s="91">
        <v>0</v>
      </c>
      <c r="S468" s="21">
        <v>0</v>
      </c>
      <c r="T468" s="97">
        <v>0</v>
      </c>
    </row>
    <row r="469" spans="2:20">
      <c r="B469" t="s">
        <v>4027</v>
      </c>
      <c r="C469" t="str">
        <f>VLOOKUP(B469,DataInitiativesGrid,2,0)</f>
        <v>Electric Vehicle Program</v>
      </c>
      <c r="E469" s="183"/>
      <c r="F469" s="183"/>
      <c r="G469" s="183"/>
      <c r="H469" s="183"/>
      <c r="I469" s="183"/>
      <c r="K469" s="1577"/>
      <c r="L469" s="1580"/>
      <c r="M469" s="1580"/>
      <c r="N469" s="1580"/>
      <c r="O469" s="1580"/>
      <c r="R469" s="91">
        <v>0</v>
      </c>
      <c r="S469" s="21">
        <v>0</v>
      </c>
      <c r="T469" s="97">
        <v>0</v>
      </c>
    </row>
    <row r="470" spans="2:20">
      <c r="B470" t="s">
        <v>4027</v>
      </c>
      <c r="C470" s="433">
        <v>13</v>
      </c>
      <c r="D470" t="str">
        <f>VLOOKUP($C470,param!$A$4:$B$266,2)</f>
        <v>CSD Distribution Costs for Reg. 1</v>
      </c>
      <c r="E470" s="430">
        <f>INDEX($K470:$O470,SUMIF(cbal!E$280:E$296,$B470,cbal!$D$280:$D$296)+1)</f>
        <v>0</v>
      </c>
      <c r="F470" s="430">
        <f>INDEX($K470:$O470,SUMIF(cbal!F$280:F$296,$B470,cbal!$D$280:$D$296)+1)</f>
        <v>0</v>
      </c>
      <c r="G470" s="430">
        <f>INDEX($K470:$O470,SUMIF(cbal!G$280:G$296,$B470,cbal!$D$280:$D$296)+1)</f>
        <v>0</v>
      </c>
      <c r="H470" s="430">
        <f>INDEX($K470:$O470,SUMIF(cbal!H$280:H$296,$B470,cbal!$D$280:$D$296)+1)</f>
        <v>0</v>
      </c>
      <c r="I470" s="430">
        <f>INDEX($K470:$O470,SUMIF(cbal!I$280:I$296,$B470,cbal!$D$280:$D$296)+1)</f>
        <v>0</v>
      </c>
      <c r="K470" s="1577">
        <v>0</v>
      </c>
      <c r="L470" s="1585">
        <v>-0.02</v>
      </c>
      <c r="M470" s="1585">
        <v>1.6E-2</v>
      </c>
      <c r="N470" s="1585">
        <v>1.0999999999999999E-2</v>
      </c>
      <c r="O470" s="1585">
        <v>-0.02</v>
      </c>
      <c r="R470" s="91" t="b">
        <f t="shared" si="56"/>
        <v>0</v>
      </c>
      <c r="S470" s="21" t="b">
        <f t="shared" si="57"/>
        <v>0</v>
      </c>
      <c r="T470" s="97" t="b">
        <f t="shared" si="64"/>
        <v>0</v>
      </c>
    </row>
    <row r="471" spans="2:20">
      <c r="B471" t="s">
        <v>4027</v>
      </c>
      <c r="C471" s="433">
        <v>32</v>
      </c>
      <c r="D471" t="str">
        <f>VLOOKUP($C471,param!$A$4:$B$266,2)</f>
        <v>Breakthrough Distribution Costs for Reg. 1</v>
      </c>
      <c r="E471" s="430">
        <f>INDEX($K471:$O471,SUMIF(cbal!E$280:E$296,$B471,cbal!$D$280:$D$296)+1)</f>
        <v>0</v>
      </c>
      <c r="F471" s="430">
        <f>INDEX($K471:$O471,SUMIF(cbal!F$280:F$296,$B471,cbal!$D$280:$D$296)+1)</f>
        <v>0</v>
      </c>
      <c r="G471" s="430">
        <f>INDEX($K471:$O471,SUMIF(cbal!G$280:G$296,$B471,cbal!$D$280:$D$296)+1)</f>
        <v>0</v>
      </c>
      <c r="H471" s="430">
        <f>INDEX($K471:$O471,SUMIF(cbal!H$280:H$296,$B471,cbal!$D$280:$D$296)+1)</f>
        <v>0</v>
      </c>
      <c r="I471" s="430">
        <f>INDEX($K471:$O471,SUMIF(cbal!I$280:I$296,$B471,cbal!$D$280:$D$296)+1)</f>
        <v>0</v>
      </c>
      <c r="K471" s="1577">
        <v>0</v>
      </c>
      <c r="L471" s="1585">
        <v>-5.0000000000000001E-3</v>
      </c>
      <c r="M471" s="1585">
        <v>-5.0000000000000001E-3</v>
      </c>
      <c r="N471" s="1585">
        <v>-5.0000000000000001E-3</v>
      </c>
      <c r="O471" s="1585">
        <v>-5.0000000000000001E-3</v>
      </c>
      <c r="R471" s="91" t="b">
        <f t="shared" si="56"/>
        <v>0</v>
      </c>
      <c r="S471" s="21" t="b">
        <f t="shared" si="57"/>
        <v>0</v>
      </c>
      <c r="T471" s="97" t="b">
        <f t="shared" si="64"/>
        <v>0</v>
      </c>
    </row>
    <row r="472" spans="2:20">
      <c r="B472" t="s">
        <v>4027</v>
      </c>
      <c r="C472" s="433">
        <v>51</v>
      </c>
      <c r="D472" t="str">
        <f>VLOOKUP($C472,param!$A$4:$B$266,2)</f>
        <v>NCB Distribution Costs for Reg. 1</v>
      </c>
      <c r="E472" s="430">
        <f>INDEX($K472:$O472,SUMIF(cbal!E$280:E$296,$B472,cbal!$D$280:$D$296)+1)</f>
        <v>0</v>
      </c>
      <c r="F472" s="430">
        <f>INDEX($K472:$O472,SUMIF(cbal!F$280:F$296,$B472,cbal!$D$280:$D$296)+1)</f>
        <v>0</v>
      </c>
      <c r="G472" s="430">
        <f>INDEX($K472:$O472,SUMIF(cbal!G$280:G$296,$B472,cbal!$D$280:$D$296)+1)</f>
        <v>0</v>
      </c>
      <c r="H472" s="430">
        <f>INDEX($K472:$O472,SUMIF(cbal!H$280:H$296,$B472,cbal!$D$280:$D$296)+1)</f>
        <v>0</v>
      </c>
      <c r="I472" s="430">
        <f>INDEX($K472:$O472,SUMIF(cbal!I$280:I$296,$B472,cbal!$D$280:$D$296)+1)</f>
        <v>0</v>
      </c>
      <c r="K472" s="1577">
        <v>0</v>
      </c>
      <c r="L472" s="1585">
        <v>-7.0000000000000007E-2</v>
      </c>
      <c r="M472" s="1585">
        <v>-7.0000000000000007E-2</v>
      </c>
      <c r="N472" s="1585">
        <v>-7.0000000000000007E-2</v>
      </c>
      <c r="O472" s="1585">
        <v>-7.0000000000000007E-2</v>
      </c>
      <c r="R472" s="91" t="b">
        <f t="shared" si="56"/>
        <v>0</v>
      </c>
      <c r="S472" s="21" t="b">
        <f t="shared" si="57"/>
        <v>0</v>
      </c>
      <c r="T472" s="97" t="b">
        <f t="shared" si="64"/>
        <v>0</v>
      </c>
    </row>
    <row r="473" spans="2:20">
      <c r="B473" t="s">
        <v>4027</v>
      </c>
      <c r="C473" s="433">
        <v>70</v>
      </c>
      <c r="D473" t="str">
        <f>VLOOKUP($C473,param!$A$4:$B$266,2)</f>
        <v>F&amp;S Distribution Costs for Reg. 1</v>
      </c>
      <c r="E473" s="430">
        <f>INDEX($K473:$O473,SUMIF(cbal!E$280:E$296,$B473,cbal!$D$280:$D$296)+1)</f>
        <v>0</v>
      </c>
      <c r="F473" s="430">
        <f>INDEX($K473:$O473,SUMIF(cbal!F$280:F$296,$B473,cbal!$D$280:$D$296)+1)</f>
        <v>0</v>
      </c>
      <c r="G473" s="430">
        <f>INDEX($K473:$O473,SUMIF(cbal!G$280:G$296,$B473,cbal!$D$280:$D$296)+1)</f>
        <v>0</v>
      </c>
      <c r="H473" s="430">
        <f>INDEX($K473:$O473,SUMIF(cbal!H$280:H$296,$B473,cbal!$D$280:$D$296)+1)</f>
        <v>0</v>
      </c>
      <c r="I473" s="430">
        <f>INDEX($K473:$O473,SUMIF(cbal!I$280:I$296,$B473,cbal!$D$280:$D$296)+1)</f>
        <v>0</v>
      </c>
      <c r="K473" s="1577">
        <v>0</v>
      </c>
      <c r="L473" s="1585">
        <v>-0.04</v>
      </c>
      <c r="M473" s="1585">
        <v>-0.04</v>
      </c>
      <c r="N473" s="1585">
        <v>-0.04</v>
      </c>
      <c r="O473" s="1585">
        <v>-0.04</v>
      </c>
      <c r="R473" s="91" t="b">
        <f t="shared" si="56"/>
        <v>0</v>
      </c>
      <c r="S473" s="21" t="b">
        <f t="shared" si="57"/>
        <v>0</v>
      </c>
      <c r="T473" s="97" t="b">
        <f t="shared" si="64"/>
        <v>0</v>
      </c>
    </row>
    <row r="474" spans="2:20">
      <c r="B474" t="s">
        <v>4027</v>
      </c>
      <c r="C474" s="433">
        <v>191</v>
      </c>
      <c r="D474" t="str">
        <f>VLOOKUP($C474,param!$A$4:$B$266,2)</f>
        <v>Energy Usage Performance</v>
      </c>
      <c r="E474" s="430">
        <f>INDEX($K474:$O474,SUMIF(cbal!E$280:E$296,$B474,cbal!$D$280:$D$296)+1)</f>
        <v>0</v>
      </c>
      <c r="F474" s="430">
        <f>INDEX($K474:$O474,SUMIF(cbal!F$280:F$296,$B474,cbal!$D$280:$D$296)+1)</f>
        <v>0</v>
      </c>
      <c r="G474" s="430">
        <f>INDEX($K474:$O474,SUMIF(cbal!G$280:G$296,$B474,cbal!$D$280:$D$296)+1)</f>
        <v>0</v>
      </c>
      <c r="H474" s="430">
        <f>INDEX($K474:$O474,SUMIF(cbal!H$280:H$296,$B474,cbal!$D$280:$D$296)+1)</f>
        <v>0</v>
      </c>
      <c r="I474" s="430">
        <f>INDEX($K474:$O474,SUMIF(cbal!I$280:I$296,$B474,cbal!$D$280:$D$296)+1)</f>
        <v>0</v>
      </c>
      <c r="K474" s="1577">
        <v>0</v>
      </c>
      <c r="L474" s="1585">
        <v>0.03</v>
      </c>
      <c r="M474" s="1585">
        <v>0.03</v>
      </c>
      <c r="N474" s="1585">
        <v>0.03</v>
      </c>
      <c r="O474" s="1585">
        <v>0.03</v>
      </c>
      <c r="R474" s="91" t="b">
        <f t="shared" si="56"/>
        <v>0</v>
      </c>
      <c r="S474" s="21" t="b">
        <f t="shared" si="57"/>
        <v>0</v>
      </c>
      <c r="T474" s="97" t="b">
        <f t="shared" si="64"/>
        <v>0</v>
      </c>
    </row>
    <row r="475" spans="2:20">
      <c r="B475" t="s">
        <v>4027</v>
      </c>
      <c r="C475" s="433">
        <v>168</v>
      </c>
      <c r="D475" t="str">
        <f>VLOOKUP($C475,param!$A$4:$B$266,2)</f>
        <v>Special Programs Expense Product 1 Region 1</v>
      </c>
      <c r="E475" s="183">
        <f>INDEX($K475:$O475,SUMIF(cbal!E$280:E$296,$B475,cbal!$D$280:$D$296)+1)</f>
        <v>0</v>
      </c>
      <c r="F475" s="183">
        <f>INDEX($K475:$O475,SUMIF(cbal!F$280:F$296,$B475,cbal!$D$280:$D$296)+1)</f>
        <v>0</v>
      </c>
      <c r="G475" s="183">
        <f>INDEX($K475:$O475,SUMIF(cbal!G$280:G$296,$B475,cbal!$D$280:$D$296)+1)</f>
        <v>0</v>
      </c>
      <c r="H475" s="183">
        <f>INDEX($K475:$O475,SUMIF(cbal!H$280:H$296,$B475,cbal!$D$280:$D$296)+1)</f>
        <v>0</v>
      </c>
      <c r="I475" s="183">
        <f>INDEX($K475:$O475,SUMIF(cbal!I$280:I$296,$B475,cbal!$D$280:$D$296)+1)</f>
        <v>0</v>
      </c>
      <c r="K475" s="1577">
        <v>0</v>
      </c>
      <c r="L475" s="1580">
        <v>1666666.6666666667</v>
      </c>
      <c r="M475" s="1580">
        <v>666666.66666666663</v>
      </c>
      <c r="N475" s="1580">
        <v>666666.66666666663</v>
      </c>
      <c r="O475" s="1580">
        <v>666666.66666666663</v>
      </c>
      <c r="R475" s="91">
        <f t="shared" si="56"/>
        <v>1666666.6666666667</v>
      </c>
      <c r="S475" s="21">
        <f t="shared" si="57"/>
        <v>666666.66666666663</v>
      </c>
      <c r="T475" s="97" t="b">
        <f t="shared" si="64"/>
        <v>0</v>
      </c>
    </row>
    <row r="476" spans="2:20">
      <c r="B476" t="s">
        <v>4027</v>
      </c>
      <c r="C476" s="433">
        <v>170</v>
      </c>
      <c r="D476" t="str">
        <f>VLOOKUP($C476,param!$A$4:$B$266,2)</f>
        <v>Special Programs Expense Product 3 Region 1</v>
      </c>
      <c r="E476" s="183">
        <f>INDEX($K476:$O476,SUMIF(cbal!E$280:E$296,$B476,cbal!$D$280:$D$296)+1)</f>
        <v>0</v>
      </c>
      <c r="F476" s="183">
        <f>INDEX($K476:$O476,SUMIF(cbal!F$280:F$296,$B476,cbal!$D$280:$D$296)+1)</f>
        <v>0</v>
      </c>
      <c r="G476" s="183">
        <f>INDEX($K476:$O476,SUMIF(cbal!G$280:G$296,$B476,cbal!$D$280:$D$296)+1)</f>
        <v>0</v>
      </c>
      <c r="H476" s="183">
        <f>INDEX($K476:$O476,SUMIF(cbal!H$280:H$296,$B476,cbal!$D$280:$D$296)+1)</f>
        <v>0</v>
      </c>
      <c r="I476" s="183">
        <f>INDEX($K476:$O476,SUMIF(cbal!I$280:I$296,$B476,cbal!$D$280:$D$296)+1)</f>
        <v>0</v>
      </c>
      <c r="K476" s="1577">
        <v>0</v>
      </c>
      <c r="L476" s="1580">
        <v>1666666.6666666667</v>
      </c>
      <c r="M476" s="1580">
        <v>666666.66666666663</v>
      </c>
      <c r="N476" s="1580">
        <v>666666.66666666663</v>
      </c>
      <c r="O476" s="1580">
        <v>666666.66666666663</v>
      </c>
      <c r="R476" s="91">
        <f t="shared" si="56"/>
        <v>1666666.6666666667</v>
      </c>
      <c r="S476" s="21">
        <f t="shared" si="57"/>
        <v>666666.66666666663</v>
      </c>
      <c r="T476" s="97" t="b">
        <f t="shared" si="64"/>
        <v>0</v>
      </c>
    </row>
    <row r="477" spans="2:20">
      <c r="B477" t="s">
        <v>4027</v>
      </c>
      <c r="C477" s="433">
        <v>171</v>
      </c>
      <c r="D477" t="str">
        <f>VLOOKUP($C477,param!$A$4:$B$266,2)</f>
        <v>Special Programs Expense Product 4 Region 1</v>
      </c>
      <c r="E477" s="183">
        <f>INDEX($K477:$O477,SUMIF(cbal!E$280:E$296,$B477,cbal!$D$280:$D$296)+1)</f>
        <v>0</v>
      </c>
      <c r="F477" s="183">
        <f>INDEX($K477:$O477,SUMIF(cbal!F$280:F$296,$B477,cbal!$D$280:$D$296)+1)</f>
        <v>0</v>
      </c>
      <c r="G477" s="183">
        <f>INDEX($K477:$O477,SUMIF(cbal!G$280:G$296,$B477,cbal!$D$280:$D$296)+1)</f>
        <v>0</v>
      </c>
      <c r="H477" s="183">
        <f>INDEX($K477:$O477,SUMIF(cbal!H$280:H$296,$B477,cbal!$D$280:$D$296)+1)</f>
        <v>0</v>
      </c>
      <c r="I477" s="183">
        <f>INDEX($K477:$O477,SUMIF(cbal!I$280:I$296,$B477,cbal!$D$280:$D$296)+1)</f>
        <v>0</v>
      </c>
      <c r="K477" s="1577">
        <v>0</v>
      </c>
      <c r="L477" s="1580">
        <v>1666666.6666666667</v>
      </c>
      <c r="M477" s="1580">
        <v>666666.66666666663</v>
      </c>
      <c r="N477" s="1580">
        <v>666666.66666666663</v>
      </c>
      <c r="O477" s="1580">
        <v>666666.66666666663</v>
      </c>
      <c r="R477" s="91">
        <f t="shared" si="56"/>
        <v>1666666.6666666667</v>
      </c>
      <c r="S477" s="21">
        <f t="shared" si="57"/>
        <v>666666.66666666663</v>
      </c>
      <c r="T477" s="97" t="b">
        <f t="shared" si="64"/>
        <v>0</v>
      </c>
    </row>
    <row r="478" spans="2:20">
      <c r="B478" t="s">
        <v>4027</v>
      </c>
      <c r="C478" s="433">
        <v>133.5</v>
      </c>
      <c r="D478" t="str">
        <f>VLOOKUP($C478,param!$A$4:$B$266,2)</f>
        <v>MTU Initiatives Allocation</v>
      </c>
      <c r="E478" s="183">
        <f>INDEX($K478:$O478,SUMIF(cbal!E$280:E$296,$B478,cbal!$D$280:$D$296)+1)</f>
        <v>0</v>
      </c>
      <c r="F478" s="183">
        <f>INDEX($K478:$O478,SUMIF(cbal!F$280:F$296,$B478,cbal!$D$280:$D$296)+1)</f>
        <v>0</v>
      </c>
      <c r="G478" s="183">
        <f>INDEX($K478:$O478,SUMIF(cbal!G$280:G$296,$B478,cbal!$D$280:$D$296)+1)</f>
        <v>0</v>
      </c>
      <c r="H478" s="183">
        <f>INDEX($K478:$O478,SUMIF(cbal!H$280:H$296,$B478,cbal!$D$280:$D$296)+1)</f>
        <v>0</v>
      </c>
      <c r="I478" s="183">
        <f>INDEX($K478:$O478,SUMIF(cbal!I$280:I$296,$B478,cbal!$D$280:$D$296)+1)</f>
        <v>0</v>
      </c>
      <c r="K478" s="1577">
        <v>0</v>
      </c>
      <c r="L478" s="1580">
        <v>10</v>
      </c>
      <c r="M478" s="1580"/>
      <c r="N478" s="1580"/>
      <c r="O478" s="1580"/>
      <c r="R478" s="91" t="b">
        <f t="shared" si="56"/>
        <v>0</v>
      </c>
      <c r="S478" s="21" t="b">
        <f t="shared" si="57"/>
        <v>0</v>
      </c>
      <c r="T478" s="97">
        <f>IF(C478=133.5,L478)</f>
        <v>10</v>
      </c>
    </row>
    <row r="479" spans="2:20">
      <c r="B479" t="s">
        <v>4027</v>
      </c>
      <c r="C479" s="433">
        <v>203</v>
      </c>
      <c r="D479" t="str">
        <f>VLOOKUP($C479,param!$A$4:$B$266,2)</f>
        <v>Productivity Strategy</v>
      </c>
      <c r="E479" s="183">
        <f>INDEX($K479:$O479,SUMIF(cbal!E$280:E$296,$B479,cbal!$D$280:$D$296)+1)</f>
        <v>0</v>
      </c>
      <c r="F479" s="183">
        <f>INDEX($K479:$O479,SUMIF(cbal!F$280:F$296,$B479,cbal!$D$280:$D$296)+1)</f>
        <v>0</v>
      </c>
      <c r="G479" s="183">
        <f>INDEX($K479:$O479,SUMIF(cbal!G$280:G$296,$B479,cbal!$D$280:$D$296)+1)</f>
        <v>0</v>
      </c>
      <c r="H479" s="183">
        <f>INDEX($K479:$O479,SUMIF(cbal!H$280:H$296,$B479,cbal!$D$280:$D$296)+1)</f>
        <v>0</v>
      </c>
      <c r="I479" s="183">
        <f>INDEX($K479:$O479,SUMIF(cbal!I$280:I$296,$B479,cbal!$D$280:$D$296)+1)</f>
        <v>0</v>
      </c>
      <c r="K479" s="1577">
        <v>0</v>
      </c>
      <c r="L479" s="1580">
        <f>L478</f>
        <v>10</v>
      </c>
      <c r="M479" s="1580">
        <f>L479</f>
        <v>10</v>
      </c>
      <c r="N479" s="1580">
        <f>M479</f>
        <v>10</v>
      </c>
      <c r="O479" s="1580">
        <f>N479</f>
        <v>10</v>
      </c>
      <c r="R479" s="91" t="b">
        <f>IF(AND(C479&gt;166,C479&lt;171.5),L479)</f>
        <v>0</v>
      </c>
      <c r="S479" s="21" t="b">
        <f>IF(AND(C479&gt;166,C479&lt;171.5),M479)</f>
        <v>0</v>
      </c>
      <c r="T479" s="97" t="b">
        <f>IF(C479=133.5,L479)</f>
        <v>0</v>
      </c>
    </row>
    <row r="480" spans="2:20">
      <c r="B480">
        <v>0</v>
      </c>
      <c r="C480" s="433">
        <v>0</v>
      </c>
      <c r="E480" s="183"/>
      <c r="F480" s="183"/>
      <c r="G480" s="183"/>
      <c r="H480" s="183"/>
      <c r="I480" s="183"/>
      <c r="K480" s="1577"/>
      <c r="L480" s="1580"/>
      <c r="M480" s="1580"/>
      <c r="N480" s="1580"/>
      <c r="O480" s="1580"/>
      <c r="R480" s="91">
        <v>0</v>
      </c>
      <c r="S480" s="21">
        <v>0</v>
      </c>
      <c r="T480" s="97">
        <v>0</v>
      </c>
    </row>
    <row r="481" spans="2:20">
      <c r="B481" t="s">
        <v>4028</v>
      </c>
      <c r="C481" t="str">
        <f>VLOOKUP(B481,DataInitiativesGrid,2,0)</f>
        <v>Point-Of-Sale Cooler Replacement</v>
      </c>
      <c r="E481" s="183"/>
      <c r="F481" s="183"/>
      <c r="G481" s="183"/>
      <c r="H481" s="183"/>
      <c r="I481" s="183"/>
      <c r="K481" s="1577"/>
      <c r="L481" s="1580"/>
      <c r="M481" s="1580"/>
      <c r="N481" s="1580"/>
      <c r="O481" s="1580"/>
      <c r="R481" s="91">
        <v>0</v>
      </c>
      <c r="S481" s="21">
        <v>0</v>
      </c>
      <c r="T481" s="97">
        <v>0</v>
      </c>
    </row>
    <row r="482" spans="2:20">
      <c r="B482" t="s">
        <v>4028</v>
      </c>
      <c r="C482" s="433">
        <v>13</v>
      </c>
      <c r="D482" t="str">
        <f>VLOOKUP($C482,param!$A$4:$B$266,2)</f>
        <v>CSD Distribution Costs for Reg. 1</v>
      </c>
      <c r="E482" s="430">
        <f>INDEX($K482:$O482,SUMIF(cbal!E$280:E$296,$B482,cbal!$D$280:$D$296)+1)</f>
        <v>0</v>
      </c>
      <c r="F482" s="430">
        <f>INDEX($K482:$O482,SUMIF(cbal!F$280:F$296,$B482,cbal!$D$280:$D$296)+1)</f>
        <v>0</v>
      </c>
      <c r="G482" s="430">
        <f>INDEX($K482:$O482,SUMIF(cbal!G$280:G$296,$B482,cbal!$D$280:$D$296)+1)</f>
        <v>0</v>
      </c>
      <c r="H482" s="430">
        <f>INDEX($K482:$O482,SUMIF(cbal!H$280:H$296,$B482,cbal!$D$280:$D$296)+1)</f>
        <v>0</v>
      </c>
      <c r="I482" s="430">
        <f>INDEX($K482:$O482,SUMIF(cbal!I$280:I$296,$B482,cbal!$D$280:$D$296)+1)</f>
        <v>0</v>
      </c>
      <c r="K482" s="1577">
        <v>0</v>
      </c>
      <c r="L482" s="1585">
        <v>-0.01</v>
      </c>
      <c r="M482" s="1585">
        <v>-0.01</v>
      </c>
      <c r="N482" s="1585">
        <v>-0.01</v>
      </c>
      <c r="O482" s="1585">
        <v>-0.01</v>
      </c>
      <c r="R482" s="91" t="b">
        <f t="shared" si="56"/>
        <v>0</v>
      </c>
      <c r="S482" s="21" t="b">
        <f t="shared" si="57"/>
        <v>0</v>
      </c>
      <c r="T482" s="97" t="b">
        <f t="shared" si="64"/>
        <v>0</v>
      </c>
    </row>
    <row r="483" spans="2:20">
      <c r="B483" t="s">
        <v>4028</v>
      </c>
      <c r="C483" s="433">
        <v>51</v>
      </c>
      <c r="D483" t="str">
        <f>VLOOKUP($C483,param!$A$4:$B$266,2)</f>
        <v>NCB Distribution Costs for Reg. 1</v>
      </c>
      <c r="E483" s="430">
        <f>INDEX($K483:$O483,SUMIF(cbal!E$280:E$296,$B483,cbal!$D$280:$D$296)+1)</f>
        <v>0</v>
      </c>
      <c r="F483" s="430">
        <f>INDEX($K483:$O483,SUMIF(cbal!F$280:F$296,$B483,cbal!$D$280:$D$296)+1)</f>
        <v>0</v>
      </c>
      <c r="G483" s="430">
        <f>INDEX($K483:$O483,SUMIF(cbal!G$280:G$296,$B483,cbal!$D$280:$D$296)+1)</f>
        <v>0</v>
      </c>
      <c r="H483" s="430">
        <f>INDEX($K483:$O483,SUMIF(cbal!H$280:H$296,$B483,cbal!$D$280:$D$296)+1)</f>
        <v>0</v>
      </c>
      <c r="I483" s="430">
        <f>INDEX($K483:$O483,SUMIF(cbal!I$280:I$296,$B483,cbal!$D$280:$D$296)+1)</f>
        <v>0</v>
      </c>
      <c r="K483" s="1577">
        <v>0</v>
      </c>
      <c r="L483" s="1585">
        <v>-0.01</v>
      </c>
      <c r="M483" s="1585">
        <v>-0.01</v>
      </c>
      <c r="N483" s="1585">
        <v>-0.01</v>
      </c>
      <c r="O483" s="1585">
        <v>-0.01</v>
      </c>
      <c r="R483" s="91" t="b">
        <f t="shared" si="56"/>
        <v>0</v>
      </c>
      <c r="S483" s="21" t="b">
        <f t="shared" si="57"/>
        <v>0</v>
      </c>
      <c r="T483" s="97" t="b">
        <f t="shared" si="64"/>
        <v>0</v>
      </c>
    </row>
    <row r="484" spans="2:20">
      <c r="B484" t="s">
        <v>4028</v>
      </c>
      <c r="C484" s="433">
        <v>191</v>
      </c>
      <c r="D484" t="str">
        <f>VLOOKUP($C484,param!$A$4:$B$266,2)</f>
        <v>Energy Usage Performance</v>
      </c>
      <c r="E484" s="430">
        <f>INDEX($K484:$O484,SUMIF(cbal!E$280:E$296,$B484,cbal!$D$280:$D$296)+1)</f>
        <v>0</v>
      </c>
      <c r="F484" s="430">
        <f>INDEX($K484:$O484,SUMIF(cbal!F$280:F$296,$B484,cbal!$D$280:$D$296)+1)</f>
        <v>0</v>
      </c>
      <c r="G484" s="430">
        <f>INDEX($K484:$O484,SUMIF(cbal!G$280:G$296,$B484,cbal!$D$280:$D$296)+1)</f>
        <v>0</v>
      </c>
      <c r="H484" s="430">
        <f>INDEX($K484:$O484,SUMIF(cbal!H$280:H$296,$B484,cbal!$D$280:$D$296)+1)</f>
        <v>0</v>
      </c>
      <c r="I484" s="430">
        <f>INDEX($K484:$O484,SUMIF(cbal!I$280:I$296,$B484,cbal!$D$280:$D$296)+1)</f>
        <v>0</v>
      </c>
      <c r="K484" s="1577">
        <v>0</v>
      </c>
      <c r="L484" s="1585">
        <v>0.03</v>
      </c>
      <c r="M484" s="1585">
        <v>0.03</v>
      </c>
      <c r="N484" s="1585">
        <v>0.03</v>
      </c>
      <c r="O484" s="1585">
        <v>0.03</v>
      </c>
      <c r="R484" s="91" t="b">
        <f t="shared" si="56"/>
        <v>0</v>
      </c>
      <c r="S484" s="21" t="b">
        <f t="shared" si="57"/>
        <v>0</v>
      </c>
      <c r="T484" s="97" t="b">
        <f t="shared" si="64"/>
        <v>0</v>
      </c>
    </row>
    <row r="485" spans="2:20">
      <c r="B485" t="s">
        <v>4028</v>
      </c>
      <c r="C485" s="433">
        <v>168</v>
      </c>
      <c r="D485" t="str">
        <f>VLOOKUP($C485,param!$A$4:$B$266,2)</f>
        <v>Special Programs Expense Product 1 Region 1</v>
      </c>
      <c r="E485" s="183">
        <f>INDEX($K485:$O485,SUMIF(cbal!E$280:E$296,$B485,cbal!$D$280:$D$296)+1)</f>
        <v>0</v>
      </c>
      <c r="F485" s="183">
        <f>INDEX($K485:$O485,SUMIF(cbal!F$280:F$296,$B485,cbal!$D$280:$D$296)+1)</f>
        <v>0</v>
      </c>
      <c r="G485" s="183">
        <f>INDEX($K485:$O485,SUMIF(cbal!G$280:G$296,$B485,cbal!$D$280:$D$296)+1)</f>
        <v>0</v>
      </c>
      <c r="H485" s="183">
        <f>INDEX($K485:$O485,SUMIF(cbal!H$280:H$296,$B485,cbal!$D$280:$D$296)+1)</f>
        <v>0</v>
      </c>
      <c r="I485" s="183">
        <f>INDEX($K485:$O485,SUMIF(cbal!I$280:I$296,$B485,cbal!$D$280:$D$296)+1)</f>
        <v>0</v>
      </c>
      <c r="K485" s="1577">
        <v>0</v>
      </c>
      <c r="L485" s="1580">
        <v>1666666.6666666667</v>
      </c>
      <c r="M485" s="1580">
        <v>666666.66666666663</v>
      </c>
      <c r="N485" s="1580">
        <v>666666.66666666663</v>
      </c>
      <c r="O485" s="1580">
        <v>666666.66666666663</v>
      </c>
      <c r="R485" s="91">
        <f t="shared" si="56"/>
        <v>1666666.6666666667</v>
      </c>
      <c r="S485" s="21">
        <f t="shared" si="57"/>
        <v>666666.66666666663</v>
      </c>
      <c r="T485" s="97" t="b">
        <f t="shared" si="64"/>
        <v>0</v>
      </c>
    </row>
    <row r="486" spans="2:20">
      <c r="B486" t="s">
        <v>4028</v>
      </c>
      <c r="C486" s="433">
        <v>170</v>
      </c>
      <c r="D486" t="str">
        <f>VLOOKUP($C486,param!$A$4:$B$266,2)</f>
        <v>Special Programs Expense Product 3 Region 1</v>
      </c>
      <c r="E486" s="183">
        <f>INDEX($K486:$O486,SUMIF(cbal!E$280:E$296,$B486,cbal!$D$280:$D$296)+1)</f>
        <v>0</v>
      </c>
      <c r="F486" s="183">
        <f>INDEX($K486:$O486,SUMIF(cbal!F$280:F$296,$B486,cbal!$D$280:$D$296)+1)</f>
        <v>0</v>
      </c>
      <c r="G486" s="183">
        <f>INDEX($K486:$O486,SUMIF(cbal!G$280:G$296,$B486,cbal!$D$280:$D$296)+1)</f>
        <v>0</v>
      </c>
      <c r="H486" s="183">
        <f>INDEX($K486:$O486,SUMIF(cbal!H$280:H$296,$B486,cbal!$D$280:$D$296)+1)</f>
        <v>0</v>
      </c>
      <c r="I486" s="183">
        <f>INDEX($K486:$O486,SUMIF(cbal!I$280:I$296,$B486,cbal!$D$280:$D$296)+1)</f>
        <v>0</v>
      </c>
      <c r="K486" s="1577">
        <v>0</v>
      </c>
      <c r="L486" s="1580">
        <v>1666666.6666666667</v>
      </c>
      <c r="M486" s="1580">
        <v>666666.66666666663</v>
      </c>
      <c r="N486" s="1580">
        <v>666666.66666666663</v>
      </c>
      <c r="O486" s="1580">
        <v>666666.66666666663</v>
      </c>
      <c r="R486" s="91">
        <f t="shared" si="56"/>
        <v>1666666.6666666667</v>
      </c>
      <c r="S486" s="21">
        <f t="shared" si="57"/>
        <v>666666.66666666663</v>
      </c>
      <c r="T486" s="97" t="b">
        <f t="shared" si="64"/>
        <v>0</v>
      </c>
    </row>
    <row r="487" spans="2:20">
      <c r="B487" t="s">
        <v>4028</v>
      </c>
      <c r="C487" s="433">
        <v>133.5</v>
      </c>
      <c r="D487" t="str">
        <f>VLOOKUP($C487,param!$A$4:$B$266,2)</f>
        <v>MTU Initiatives Allocation</v>
      </c>
      <c r="E487" s="183">
        <f>INDEX($K487:$O487,SUMIF(cbal!E$280:E$296,$B487,cbal!$D$280:$D$296)+1)</f>
        <v>0</v>
      </c>
      <c r="F487" s="183">
        <f>INDEX($K487:$O487,SUMIF(cbal!F$280:F$296,$B487,cbal!$D$280:$D$296)+1)</f>
        <v>0</v>
      </c>
      <c r="G487" s="183">
        <f>INDEX($K487:$O487,SUMIF(cbal!G$280:G$296,$B487,cbal!$D$280:$D$296)+1)</f>
        <v>0</v>
      </c>
      <c r="H487" s="183">
        <f>INDEX($K487:$O487,SUMIF(cbal!H$280:H$296,$B487,cbal!$D$280:$D$296)+1)</f>
        <v>0</v>
      </c>
      <c r="I487" s="183">
        <f>INDEX($K487:$O487,SUMIF(cbal!I$280:I$296,$B487,cbal!$D$280:$D$296)+1)</f>
        <v>0</v>
      </c>
      <c r="K487" s="1577">
        <v>0</v>
      </c>
      <c r="L487" s="1580">
        <v>5</v>
      </c>
      <c r="M487" s="1580"/>
      <c r="N487" s="1580"/>
      <c r="O487" s="1580"/>
      <c r="R487" s="91" t="b">
        <f t="shared" si="56"/>
        <v>0</v>
      </c>
      <c r="S487" s="21" t="b">
        <f t="shared" si="57"/>
        <v>0</v>
      </c>
      <c r="T487" s="97">
        <f t="shared" si="64"/>
        <v>5</v>
      </c>
    </row>
    <row r="488" spans="2:20">
      <c r="B488" t="s">
        <v>4028</v>
      </c>
      <c r="C488" s="433">
        <v>202</v>
      </c>
      <c r="D488" t="str">
        <f>VLOOKUP($C488,param!$A$4:$B$266,2)</f>
        <v>Go-to-Market Strategy</v>
      </c>
      <c r="E488" s="183">
        <f>INDEX($K488:$O488,SUMIF(cbal!E$280:E$296,$B488,cbal!$D$280:$D$296)+1)</f>
        <v>0</v>
      </c>
      <c r="F488" s="183">
        <f>INDEX($K488:$O488,SUMIF(cbal!F$280:F$296,$B488,cbal!$D$280:$D$296)+1)</f>
        <v>0</v>
      </c>
      <c r="G488" s="183">
        <f>INDEX($K488:$O488,SUMIF(cbal!G$280:G$296,$B488,cbal!$D$280:$D$296)+1)</f>
        <v>0</v>
      </c>
      <c r="H488" s="183">
        <f>INDEX($K488:$O488,SUMIF(cbal!H$280:H$296,$B488,cbal!$D$280:$D$296)+1)</f>
        <v>0</v>
      </c>
      <c r="I488" s="183">
        <f>INDEX($K488:$O488,SUMIF(cbal!I$280:I$296,$B488,cbal!$D$280:$D$296)+1)</f>
        <v>0</v>
      </c>
      <c r="K488" s="1577">
        <v>0</v>
      </c>
      <c r="L488" s="1580">
        <f>L487</f>
        <v>5</v>
      </c>
      <c r="M488" s="1580">
        <f>L488</f>
        <v>5</v>
      </c>
      <c r="N488" s="1580">
        <f>M488</f>
        <v>5</v>
      </c>
      <c r="O488" s="1580">
        <f>N488</f>
        <v>5</v>
      </c>
      <c r="R488" s="91" t="b">
        <f>IF(AND(C488&gt;166,C488&lt;171.5),L488)</f>
        <v>0</v>
      </c>
      <c r="S488" s="21" t="b">
        <f>IF(AND(C488&gt;166,C488&lt;171.5),M488)</f>
        <v>0</v>
      </c>
      <c r="T488" s="97" t="b">
        <f>IF(C488=133.5,L488)</f>
        <v>0</v>
      </c>
    </row>
    <row r="489" spans="2:20">
      <c r="B489">
        <v>0</v>
      </c>
      <c r="C489" s="433">
        <v>0</v>
      </c>
      <c r="E489" s="183"/>
      <c r="F489" s="183"/>
      <c r="G489" s="183"/>
      <c r="H489" s="183"/>
      <c r="I489" s="183"/>
      <c r="K489" s="1577"/>
      <c r="L489" s="1580"/>
      <c r="M489" s="1580"/>
      <c r="N489" s="1580"/>
      <c r="O489" s="1580"/>
      <c r="R489" s="91">
        <v>0</v>
      </c>
      <c r="S489" s="21">
        <v>0</v>
      </c>
      <c r="T489" s="97">
        <v>0</v>
      </c>
    </row>
    <row r="490" spans="2:20">
      <c r="B490" t="s">
        <v>4029</v>
      </c>
      <c r="C490" t="str">
        <f>VLOOKUP(B490,DataInitiativesGrid,2,0)</f>
        <v>Tailored Store Messaging for Customers</v>
      </c>
      <c r="E490" s="183"/>
      <c r="F490" s="183"/>
      <c r="G490" s="183"/>
      <c r="H490" s="183"/>
      <c r="I490" s="183"/>
      <c r="K490" s="1577"/>
      <c r="L490" s="1580"/>
      <c r="M490" s="1580"/>
      <c r="N490" s="1580"/>
      <c r="O490" s="1580"/>
      <c r="R490" s="91">
        <v>0</v>
      </c>
      <c r="S490" s="21">
        <v>0</v>
      </c>
      <c r="T490" s="97">
        <v>0</v>
      </c>
    </row>
    <row r="491" spans="2:20">
      <c r="B491" t="s">
        <v>4029</v>
      </c>
      <c r="C491" s="433">
        <v>176</v>
      </c>
      <c r="D491" t="str">
        <f>VLOOKUP($C491,param!$A$4:$B$266,2)</f>
        <v>Region 2 Special Program Success CSD</v>
      </c>
      <c r="E491" s="448">
        <f>INDEX($K491:$O491,SUMIF(cbal!E$280:E$296,$B491,cbal!$D$280:$D$296)+1)</f>
        <v>0</v>
      </c>
      <c r="F491" s="448">
        <f>INDEX($K491:$O491,SUMIF(cbal!F$280:F$296,$B491,cbal!$D$280:$D$296)+1)</f>
        <v>0</v>
      </c>
      <c r="G491" s="448">
        <f>INDEX($K491:$O491,SUMIF(cbal!G$280:G$296,$B491,cbal!$D$280:$D$296)+1)</f>
        <v>0</v>
      </c>
      <c r="H491" s="448">
        <f>INDEX($K491:$O491,SUMIF(cbal!H$280:H$296,$B491,cbal!$D$280:$D$296)+1)</f>
        <v>0</v>
      </c>
      <c r="I491" s="448">
        <f>INDEX($K491:$O491,SUMIF(cbal!I$280:I$296,$B491,cbal!$D$280:$D$296)+1)</f>
        <v>0</v>
      </c>
      <c r="K491" s="1577">
        <v>0</v>
      </c>
      <c r="L491" s="1585">
        <v>0.01</v>
      </c>
      <c r="M491" s="1585">
        <v>0.01</v>
      </c>
      <c r="N491" s="1585">
        <v>0.01</v>
      </c>
      <c r="O491" s="1585">
        <v>0.01</v>
      </c>
      <c r="R491" s="91" t="b">
        <f>IF(AND(C491&gt;166,C491&lt;171.5),L491)</f>
        <v>0</v>
      </c>
      <c r="S491" s="21" t="b">
        <f>IF(AND(C491&gt;166,C491&lt;171.5),M491)</f>
        <v>0</v>
      </c>
      <c r="T491" s="97" t="b">
        <f t="shared" si="64"/>
        <v>0</v>
      </c>
    </row>
    <row r="492" spans="2:20">
      <c r="B492" t="s">
        <v>4029</v>
      </c>
      <c r="C492" s="433">
        <v>179</v>
      </c>
      <c r="D492" t="str">
        <f>VLOOKUP($C492,param!$A$4:$B$266,2)</f>
        <v>Region 2 Special Program Success F&amp;S</v>
      </c>
      <c r="E492" s="448">
        <f>INDEX($K492:$O492,SUMIF(cbal!E$280:E$296,$B492,cbal!$D$280:$D$296)+1)</f>
        <v>0</v>
      </c>
      <c r="F492" s="448">
        <f>INDEX($K492:$O492,SUMIF(cbal!F$280:F$296,$B492,cbal!$D$280:$D$296)+1)</f>
        <v>0</v>
      </c>
      <c r="G492" s="448">
        <f>INDEX($K492:$O492,SUMIF(cbal!G$280:G$296,$B492,cbal!$D$280:$D$296)+1)</f>
        <v>0</v>
      </c>
      <c r="H492" s="448">
        <f>INDEX($K492:$O492,SUMIF(cbal!H$280:H$296,$B492,cbal!$D$280:$D$296)+1)</f>
        <v>0</v>
      </c>
      <c r="I492" s="448">
        <f>INDEX($K492:$O492,SUMIF(cbal!I$280:I$296,$B492,cbal!$D$280:$D$296)+1)</f>
        <v>0</v>
      </c>
      <c r="K492" s="1577">
        <v>0</v>
      </c>
      <c r="L492" s="1585">
        <v>0.01</v>
      </c>
      <c r="M492" s="1585">
        <v>0.01</v>
      </c>
      <c r="N492" s="1585">
        <v>0.01</v>
      </c>
      <c r="O492" s="1585">
        <v>0.01</v>
      </c>
      <c r="R492" s="91" t="b">
        <f>IF(AND(C492&gt;166,C492&lt;171.5),L492)</f>
        <v>0</v>
      </c>
      <c r="S492" s="21" t="b">
        <f>IF(AND(C492&gt;166,C492&lt;171.5),M492)</f>
        <v>0</v>
      </c>
      <c r="T492" s="97" t="b">
        <f t="shared" si="64"/>
        <v>0</v>
      </c>
    </row>
    <row r="493" spans="2:20">
      <c r="B493" t="s">
        <v>4029</v>
      </c>
      <c r="C493" s="433">
        <v>178</v>
      </c>
      <c r="D493" t="str">
        <f>VLOOKUP($C493,param!$A$4:$B$266,2)</f>
        <v>Region 2 Special Program Success NCB</v>
      </c>
      <c r="E493" s="448">
        <f>INDEX($K493:$O493,SUMIF(cbal!E$280:E$296,$B493,cbal!$D$280:$D$296)+1)</f>
        <v>0</v>
      </c>
      <c r="F493" s="448">
        <f>INDEX($K493:$O493,SUMIF(cbal!F$280:F$296,$B493,cbal!$D$280:$D$296)+1)</f>
        <v>0</v>
      </c>
      <c r="G493" s="448">
        <f>INDEX($K493:$O493,SUMIF(cbal!G$280:G$296,$B493,cbal!$D$280:$D$296)+1)</f>
        <v>0</v>
      </c>
      <c r="H493" s="448">
        <f>INDEX($K493:$O493,SUMIF(cbal!H$280:H$296,$B493,cbal!$D$280:$D$296)+1)</f>
        <v>0</v>
      </c>
      <c r="I493" s="448">
        <f>INDEX($K493:$O493,SUMIF(cbal!I$280:I$296,$B493,cbal!$D$280:$D$296)+1)</f>
        <v>0</v>
      </c>
      <c r="K493" s="1577">
        <v>0</v>
      </c>
      <c r="L493" s="1585">
        <v>0.01</v>
      </c>
      <c r="M493" s="1585">
        <v>0.01</v>
      </c>
      <c r="N493" s="1585">
        <v>0.01</v>
      </c>
      <c r="O493" s="1585">
        <v>0.01</v>
      </c>
      <c r="R493" s="91" t="b">
        <f>IF(AND(C493&gt;166,C493&lt;171.5),L493)</f>
        <v>0</v>
      </c>
      <c r="S493" s="149" t="b">
        <f>IF(AND(C493&gt;166,C493&lt;171.5),M493)</f>
        <v>0</v>
      </c>
      <c r="T493" s="97" t="b">
        <f t="shared" si="64"/>
        <v>0</v>
      </c>
    </row>
    <row r="494" spans="2:20">
      <c r="B494" t="s">
        <v>4029</v>
      </c>
      <c r="C494" s="433">
        <v>172</v>
      </c>
      <c r="D494" t="str">
        <f>VLOOKUP($C494,param!$A$4:$B$266,2)</f>
        <v>Region 1 Special Program Success CSD</v>
      </c>
      <c r="E494" s="448">
        <f>INDEX($K494:$O494,SUMIF(cbal!E$280:E$296,$B494,cbal!$D$280:$D$296)+1)</f>
        <v>0</v>
      </c>
      <c r="F494" s="448">
        <f>INDEX($K494:$O494,SUMIF(cbal!F$280:F$296,$B494,cbal!$D$280:$D$296)+1)</f>
        <v>0</v>
      </c>
      <c r="G494" s="448">
        <f>INDEX($K494:$O494,SUMIF(cbal!G$280:G$296,$B494,cbal!$D$280:$D$296)+1)</f>
        <v>0</v>
      </c>
      <c r="H494" s="448">
        <f>INDEX($K494:$O494,SUMIF(cbal!H$280:H$296,$B494,cbal!$D$280:$D$296)+1)</f>
        <v>0</v>
      </c>
      <c r="I494" s="448">
        <f>INDEX($K494:$O494,SUMIF(cbal!I$280:I$296,$B494,cbal!$D$280:$D$296)+1)</f>
        <v>0</v>
      </c>
      <c r="K494" s="1577">
        <v>0</v>
      </c>
      <c r="L494" s="1585">
        <v>0.02</v>
      </c>
      <c r="M494" s="1585">
        <v>0.02</v>
      </c>
      <c r="N494" s="1585">
        <v>0.02</v>
      </c>
      <c r="O494" s="1585">
        <v>0.02</v>
      </c>
      <c r="R494" s="91" t="b">
        <f t="shared" ref="R494:R496" si="71">IF(AND(C494&gt;166,C494&lt;171.5),L494)</f>
        <v>0</v>
      </c>
      <c r="S494" s="21" t="b">
        <f t="shared" ref="S494:S496" si="72">IF(AND(C494&gt;166,C494&lt;171.5),M494)</f>
        <v>0</v>
      </c>
      <c r="T494" s="97" t="b">
        <f t="shared" si="64"/>
        <v>0</v>
      </c>
    </row>
    <row r="495" spans="2:20">
      <c r="B495" t="s">
        <v>4029</v>
      </c>
      <c r="C495" s="433">
        <v>174</v>
      </c>
      <c r="D495" t="str">
        <f>VLOOKUP($C495,param!$A$4:$B$266,2)</f>
        <v>Region 1 Special Program Success NCB</v>
      </c>
      <c r="E495" s="448">
        <f>INDEX($K495:$O495,SUMIF(cbal!E$280:E$296,$B495,cbal!$D$280:$D$296)+1)</f>
        <v>0</v>
      </c>
      <c r="F495" s="448">
        <f>INDEX($K495:$O495,SUMIF(cbal!F$280:F$296,$B495,cbal!$D$280:$D$296)+1)</f>
        <v>0</v>
      </c>
      <c r="G495" s="448">
        <f>INDEX($K495:$O495,SUMIF(cbal!G$280:G$296,$B495,cbal!$D$280:$D$296)+1)</f>
        <v>0</v>
      </c>
      <c r="H495" s="448">
        <f>INDEX($K495:$O495,SUMIF(cbal!H$280:H$296,$B495,cbal!$D$280:$D$296)+1)</f>
        <v>0</v>
      </c>
      <c r="I495" s="448">
        <f>INDEX($K495:$O495,SUMIF(cbal!I$280:I$296,$B495,cbal!$D$280:$D$296)+1)</f>
        <v>0</v>
      </c>
      <c r="K495" s="1577">
        <v>0</v>
      </c>
      <c r="L495" s="1585">
        <v>0.02</v>
      </c>
      <c r="M495" s="1585">
        <v>0.02</v>
      </c>
      <c r="N495" s="1585">
        <v>0.02</v>
      </c>
      <c r="O495" s="1585">
        <v>0.02</v>
      </c>
      <c r="R495" s="91" t="b">
        <f t="shared" si="71"/>
        <v>0</v>
      </c>
      <c r="S495" s="21" t="b">
        <f t="shared" si="72"/>
        <v>0</v>
      </c>
      <c r="T495" s="97" t="b">
        <f t="shared" si="64"/>
        <v>0</v>
      </c>
    </row>
    <row r="496" spans="2:20">
      <c r="B496" t="s">
        <v>4029</v>
      </c>
      <c r="C496" s="433">
        <v>175</v>
      </c>
      <c r="D496" t="str">
        <f>VLOOKUP($C496,param!$A$4:$B$266,2)</f>
        <v>Region 1 Special Program Success F&amp;S</v>
      </c>
      <c r="E496" s="448">
        <f>INDEX($K496:$O496,SUMIF(cbal!E$280:E$296,$B496,cbal!$D$280:$D$296)+1)</f>
        <v>0</v>
      </c>
      <c r="F496" s="448">
        <f>INDEX($K496:$O496,SUMIF(cbal!F$280:F$296,$B496,cbal!$D$280:$D$296)+1)</f>
        <v>0</v>
      </c>
      <c r="G496" s="448">
        <f>INDEX($K496:$O496,SUMIF(cbal!G$280:G$296,$B496,cbal!$D$280:$D$296)+1)</f>
        <v>0</v>
      </c>
      <c r="H496" s="448">
        <f>INDEX($K496:$O496,SUMIF(cbal!H$280:H$296,$B496,cbal!$D$280:$D$296)+1)</f>
        <v>0</v>
      </c>
      <c r="I496" s="448">
        <f>INDEX($K496:$O496,SUMIF(cbal!I$280:I$296,$B496,cbal!$D$280:$D$296)+1)</f>
        <v>0</v>
      </c>
      <c r="K496" s="1577">
        <v>0</v>
      </c>
      <c r="L496" s="1585">
        <v>0.02</v>
      </c>
      <c r="M496" s="1585">
        <v>0.02</v>
      </c>
      <c r="N496" s="1585">
        <v>0.02</v>
      </c>
      <c r="O496" s="1585">
        <v>0.02</v>
      </c>
      <c r="R496" s="91" t="b">
        <f t="shared" si="71"/>
        <v>0</v>
      </c>
      <c r="S496" s="149" t="b">
        <f t="shared" si="72"/>
        <v>0</v>
      </c>
      <c r="T496" s="97" t="b">
        <f t="shared" si="64"/>
        <v>0</v>
      </c>
    </row>
    <row r="497" spans="2:20">
      <c r="B497" t="s">
        <v>4029</v>
      </c>
      <c r="C497" s="433">
        <v>7</v>
      </c>
      <c r="D497" t="str">
        <f>VLOOKUP($C497,param!$A$4:$B$266,2)</f>
        <v>CSD Material Cost Per Unit</v>
      </c>
      <c r="E497" s="430">
        <f>INDEX($K497:$O497,SUMIF(cbal!E$280:E$296,$B497,cbal!$D$280:$D$296)+1)</f>
        <v>0</v>
      </c>
      <c r="F497" s="430">
        <f>INDEX($K497:$O497,SUMIF(cbal!F$280:F$296,$B497,cbal!$D$280:$D$296)+1)</f>
        <v>0</v>
      </c>
      <c r="G497" s="430">
        <f>INDEX($K497:$O497,SUMIF(cbal!G$280:G$296,$B497,cbal!$D$280:$D$296)+1)</f>
        <v>0</v>
      </c>
      <c r="H497" s="430">
        <f>INDEX($K497:$O497,SUMIF(cbal!H$280:H$296,$B497,cbal!$D$280:$D$296)+1)</f>
        <v>0</v>
      </c>
      <c r="I497" s="430">
        <f>INDEX($K497:$O497,SUMIF(cbal!I$280:I$296,$B497,cbal!$D$280:$D$296)+1)</f>
        <v>0</v>
      </c>
      <c r="K497" s="1577">
        <v>0</v>
      </c>
      <c r="L497" s="1585">
        <v>-0.01</v>
      </c>
      <c r="M497" s="1585">
        <v>-0.01</v>
      </c>
      <c r="N497" s="1585">
        <v>-0.01</v>
      </c>
      <c r="O497" s="1585">
        <v>-0.01</v>
      </c>
      <c r="R497" s="91" t="b">
        <f t="shared" si="56"/>
        <v>0</v>
      </c>
      <c r="S497" s="21" t="b">
        <f t="shared" si="57"/>
        <v>0</v>
      </c>
      <c r="T497" s="97" t="b">
        <f t="shared" si="64"/>
        <v>0</v>
      </c>
    </row>
    <row r="498" spans="2:20">
      <c r="B498" t="s">
        <v>4029</v>
      </c>
      <c r="C498" s="433">
        <v>45</v>
      </c>
      <c r="D498" t="str">
        <f>VLOOKUP($C498,param!$A$4:$B$266,2)</f>
        <v>NCB Material Cost Per Unit</v>
      </c>
      <c r="E498" s="430">
        <f>INDEX($K498:$O498,SUMIF(cbal!E$280:E$296,$B498,cbal!$D$280:$D$296)+1)</f>
        <v>0</v>
      </c>
      <c r="F498" s="430">
        <f>INDEX($K498:$O498,SUMIF(cbal!F$280:F$296,$B498,cbal!$D$280:$D$296)+1)</f>
        <v>0</v>
      </c>
      <c r="G498" s="430">
        <f>INDEX($K498:$O498,SUMIF(cbal!G$280:G$296,$B498,cbal!$D$280:$D$296)+1)</f>
        <v>0</v>
      </c>
      <c r="H498" s="430">
        <f>INDEX($K498:$O498,SUMIF(cbal!H$280:H$296,$B498,cbal!$D$280:$D$296)+1)</f>
        <v>0</v>
      </c>
      <c r="I498" s="430">
        <f>INDEX($K498:$O498,SUMIF(cbal!I$280:I$296,$B498,cbal!$D$280:$D$296)+1)</f>
        <v>0</v>
      </c>
      <c r="K498" s="1577">
        <v>0</v>
      </c>
      <c r="L498" s="1585">
        <v>-0.01</v>
      </c>
      <c r="M498" s="1585">
        <v>-0.01</v>
      </c>
      <c r="N498" s="1585">
        <v>-0.01</v>
      </c>
      <c r="O498" s="1585">
        <v>-0.01</v>
      </c>
      <c r="R498" s="91" t="b">
        <f t="shared" si="56"/>
        <v>0</v>
      </c>
      <c r="S498" s="21" t="b">
        <f t="shared" si="57"/>
        <v>0</v>
      </c>
      <c r="T498" s="97" t="b">
        <f t="shared" si="64"/>
        <v>0</v>
      </c>
    </row>
    <row r="499" spans="2:20">
      <c r="B499" t="s">
        <v>4029</v>
      </c>
      <c r="C499" s="433">
        <v>168</v>
      </c>
      <c r="D499" t="str">
        <f>VLOOKUP($C499,param!$A$4:$B$266,2)</f>
        <v>Special Programs Expense Product 1 Region 1</v>
      </c>
      <c r="E499" s="183">
        <f>INDEX($K499:$O499,SUMIF(cbal!E$280:E$296,$B499,cbal!$D$280:$D$296)+1)</f>
        <v>0</v>
      </c>
      <c r="F499" s="183">
        <f>INDEX($K499:$O499,SUMIF(cbal!F$280:F$296,$B499,cbal!$D$280:$D$296)+1)</f>
        <v>0</v>
      </c>
      <c r="G499" s="183">
        <f>INDEX($K499:$O499,SUMIF(cbal!G$280:G$296,$B499,cbal!$D$280:$D$296)+1)</f>
        <v>0</v>
      </c>
      <c r="H499" s="183">
        <f>INDEX($K499:$O499,SUMIF(cbal!H$280:H$296,$B499,cbal!$D$280:$D$296)+1)</f>
        <v>0</v>
      </c>
      <c r="I499" s="183">
        <f>INDEX($K499:$O499,SUMIF(cbal!I$280:I$296,$B499,cbal!$D$280:$D$296)+1)</f>
        <v>0</v>
      </c>
      <c r="K499" s="1577">
        <v>0</v>
      </c>
      <c r="L499" s="1580">
        <v>1500000</v>
      </c>
      <c r="M499" s="1580">
        <v>250000</v>
      </c>
      <c r="N499" s="1580">
        <v>250000</v>
      </c>
      <c r="O499" s="1580">
        <v>250000</v>
      </c>
      <c r="R499" s="91">
        <f t="shared" si="56"/>
        <v>1500000</v>
      </c>
      <c r="S499" s="21">
        <f t="shared" si="57"/>
        <v>250000</v>
      </c>
      <c r="T499" s="97" t="b">
        <f t="shared" si="64"/>
        <v>0</v>
      </c>
    </row>
    <row r="500" spans="2:20">
      <c r="B500" t="s">
        <v>4029</v>
      </c>
      <c r="C500" s="433">
        <v>170</v>
      </c>
      <c r="D500" t="str">
        <f>VLOOKUP($C500,param!$A$4:$B$266,2)</f>
        <v>Special Programs Expense Product 3 Region 1</v>
      </c>
      <c r="E500" s="183">
        <f>INDEX($K500:$O500,SUMIF(cbal!E$280:E$296,$B500,cbal!$D$280:$D$296)+1)</f>
        <v>0</v>
      </c>
      <c r="F500" s="183">
        <f>INDEX($K500:$O500,SUMIF(cbal!F$280:F$296,$B500,cbal!$D$280:$D$296)+1)</f>
        <v>0</v>
      </c>
      <c r="G500" s="183">
        <f>INDEX($K500:$O500,SUMIF(cbal!G$280:G$296,$B500,cbal!$D$280:$D$296)+1)</f>
        <v>0</v>
      </c>
      <c r="H500" s="183">
        <f>INDEX($K500:$O500,SUMIF(cbal!H$280:H$296,$B500,cbal!$D$280:$D$296)+1)</f>
        <v>0</v>
      </c>
      <c r="I500" s="183">
        <f>INDEX($K500:$O500,SUMIF(cbal!I$280:I$296,$B500,cbal!$D$280:$D$296)+1)</f>
        <v>0</v>
      </c>
      <c r="K500" s="1577">
        <v>0</v>
      </c>
      <c r="L500" s="1580">
        <v>1500000</v>
      </c>
      <c r="M500" s="1580">
        <v>250000</v>
      </c>
      <c r="N500" s="1580">
        <v>250000</v>
      </c>
      <c r="O500" s="1580">
        <v>250000</v>
      </c>
      <c r="R500" s="91">
        <f t="shared" si="56"/>
        <v>1500000</v>
      </c>
      <c r="S500" s="21">
        <f t="shared" si="57"/>
        <v>250000</v>
      </c>
      <c r="T500" s="97" t="b">
        <f t="shared" si="64"/>
        <v>0</v>
      </c>
    </row>
    <row r="501" spans="2:20">
      <c r="B501" t="s">
        <v>4029</v>
      </c>
      <c r="C501" s="433">
        <v>133.5</v>
      </c>
      <c r="D501" t="str">
        <f>VLOOKUP($C501,param!$A$4:$B$266,2)</f>
        <v>MTU Initiatives Allocation</v>
      </c>
      <c r="E501" s="183">
        <f>INDEX($K501:$O501,SUMIF(cbal!E$280:E$296,$B501,cbal!$D$280:$D$296)+1)</f>
        <v>0</v>
      </c>
      <c r="F501" s="183">
        <f>INDEX($K501:$O501,SUMIF(cbal!F$280:F$296,$B501,cbal!$D$280:$D$296)+1)</f>
        <v>0</v>
      </c>
      <c r="G501" s="183">
        <f>INDEX($K501:$O501,SUMIF(cbal!G$280:G$296,$B501,cbal!$D$280:$D$296)+1)</f>
        <v>0</v>
      </c>
      <c r="H501" s="183">
        <f>INDEX($K501:$O501,SUMIF(cbal!H$280:H$296,$B501,cbal!$D$280:$D$296)+1)</f>
        <v>0</v>
      </c>
      <c r="I501" s="183">
        <f>INDEX($K501:$O501,SUMIF(cbal!I$280:I$296,$B501,cbal!$D$280:$D$296)+1)</f>
        <v>0</v>
      </c>
      <c r="K501" s="1577">
        <v>0</v>
      </c>
      <c r="L501" s="1580">
        <v>5</v>
      </c>
      <c r="M501" s="1580"/>
      <c r="N501" s="1580"/>
      <c r="O501" s="1580"/>
      <c r="R501" s="91" t="b">
        <f t="shared" si="56"/>
        <v>0</v>
      </c>
      <c r="S501" s="21" t="b">
        <f t="shared" si="57"/>
        <v>0</v>
      </c>
      <c r="T501" s="97">
        <f>IF(C501=133.5,L501)</f>
        <v>5</v>
      </c>
    </row>
    <row r="502" spans="2:20">
      <c r="B502" t="s">
        <v>4029</v>
      </c>
      <c r="C502" s="433">
        <v>201</v>
      </c>
      <c r="D502" t="str">
        <f>VLOOKUP($C502,param!$A$4:$B$266,2)</f>
        <v>Brands Strategy</v>
      </c>
      <c r="E502" s="183">
        <f>INDEX($K502:$O502,SUMIF(cbal!E$280:E$296,$B502,cbal!$D$280:$D$296)+1)</f>
        <v>0</v>
      </c>
      <c r="F502" s="183">
        <f>INDEX($K502:$O502,SUMIF(cbal!F$280:F$296,$B502,cbal!$D$280:$D$296)+1)</f>
        <v>0</v>
      </c>
      <c r="G502" s="183">
        <f>INDEX($K502:$O502,SUMIF(cbal!G$280:G$296,$B502,cbal!$D$280:$D$296)+1)</f>
        <v>0</v>
      </c>
      <c r="H502" s="183">
        <f>INDEX($K502:$O502,SUMIF(cbal!H$280:H$296,$B502,cbal!$D$280:$D$296)+1)</f>
        <v>0</v>
      </c>
      <c r="I502" s="183">
        <f>INDEX($K502:$O502,SUMIF(cbal!I$280:I$296,$B502,cbal!$D$280:$D$296)+1)</f>
        <v>0</v>
      </c>
      <c r="K502" s="1577">
        <v>0</v>
      </c>
      <c r="L502" s="1580">
        <f>L501</f>
        <v>5</v>
      </c>
      <c r="M502" s="1580">
        <f>L502</f>
        <v>5</v>
      </c>
      <c r="N502" s="1580">
        <f>M502</f>
        <v>5</v>
      </c>
      <c r="O502" s="1580">
        <f>N502</f>
        <v>5</v>
      </c>
      <c r="R502" s="91" t="b">
        <f>IF(AND(C502&gt;166,C502&lt;171.5),L502)</f>
        <v>0</v>
      </c>
      <c r="S502" s="21" t="b">
        <f>IF(AND(C502&gt;166,C502&lt;171.5),M502)</f>
        <v>0</v>
      </c>
      <c r="T502" s="97" t="b">
        <f>IF(C502=133.5,L502)</f>
        <v>0</v>
      </c>
    </row>
    <row r="503" spans="2:20">
      <c r="B503">
        <v>0</v>
      </c>
      <c r="C503" s="433">
        <v>0</v>
      </c>
      <c r="E503" s="183"/>
      <c r="F503" s="183"/>
      <c r="G503" s="183"/>
      <c r="H503" s="183"/>
      <c r="I503" s="183"/>
      <c r="K503" s="1577"/>
      <c r="L503" s="1580"/>
      <c r="M503" s="1580"/>
      <c r="N503" s="1580"/>
      <c r="O503" s="1580"/>
      <c r="R503" s="91">
        <v>0</v>
      </c>
      <c r="S503" s="21">
        <v>0</v>
      </c>
      <c r="T503" s="97">
        <v>0</v>
      </c>
    </row>
    <row r="504" spans="2:20">
      <c r="B504" t="s">
        <v>4030</v>
      </c>
      <c r="C504" t="str">
        <f>VLOOKUP(B504,DataInitiativesGrid,2,0)</f>
        <v>Solar Power Generators For Plants</v>
      </c>
      <c r="E504" s="183"/>
      <c r="F504" s="183"/>
      <c r="G504" s="183"/>
      <c r="H504" s="183"/>
      <c r="I504" s="183"/>
      <c r="K504" s="1577"/>
      <c r="L504" s="1580"/>
      <c r="M504" s="1580"/>
      <c r="N504" s="1580"/>
      <c r="O504" s="1580"/>
      <c r="R504" s="91">
        <v>0</v>
      </c>
      <c r="S504" s="21">
        <v>0</v>
      </c>
      <c r="T504" s="97">
        <v>0</v>
      </c>
    </row>
    <row r="505" spans="2:20">
      <c r="B505" t="s">
        <v>4030</v>
      </c>
      <c r="C505" s="433">
        <v>139</v>
      </c>
      <c r="D505" t="str">
        <f>VLOOKUP($C505,param!$A$4:$B$266,2)</f>
        <v>Plant Machinery Cost Per Hour</v>
      </c>
      <c r="E505" s="430">
        <f>INDEX($K505:$O505,SUMIF(cbal!E$280:E$296,$B505,cbal!$D$280:$D$296)+1)</f>
        <v>0</v>
      </c>
      <c r="F505" s="430">
        <f>INDEX($K505:$O505,SUMIF(cbal!F$280:F$296,$B505,cbal!$D$280:$D$296)+1)</f>
        <v>0</v>
      </c>
      <c r="G505" s="430">
        <f>INDEX($K505:$O505,SUMIF(cbal!G$280:G$296,$B505,cbal!$D$280:$D$296)+1)</f>
        <v>0</v>
      </c>
      <c r="H505" s="430">
        <f>INDEX($K505:$O505,SUMIF(cbal!H$280:H$296,$B505,cbal!$D$280:$D$296)+1)</f>
        <v>0</v>
      </c>
      <c r="I505" s="430">
        <f>INDEX($K505:$O505,SUMIF(cbal!I$280:I$296,$B505,cbal!$D$280:$D$296)+1)</f>
        <v>0</v>
      </c>
      <c r="K505" s="1577">
        <v>0</v>
      </c>
      <c r="L505" s="1585">
        <v>-0.02</v>
      </c>
      <c r="M505" s="1585">
        <v>1.6E-2</v>
      </c>
      <c r="N505" s="1585">
        <v>1.0999999999999999E-2</v>
      </c>
      <c r="O505" s="1585">
        <v>-0.02</v>
      </c>
      <c r="R505" s="91" t="b">
        <f t="shared" si="56"/>
        <v>0</v>
      </c>
      <c r="S505" s="21" t="b">
        <f t="shared" si="57"/>
        <v>0</v>
      </c>
      <c r="T505" s="97" t="b">
        <f t="shared" si="64"/>
        <v>0</v>
      </c>
    </row>
    <row r="506" spans="2:20">
      <c r="B506" t="s">
        <v>4030</v>
      </c>
      <c r="C506" s="433">
        <v>142</v>
      </c>
      <c r="D506" t="str">
        <f>VLOOKUP($C506,param!$A$4:$B$266,2)</f>
        <v>Plant Efficiency</v>
      </c>
      <c r="E506" s="430">
        <f>INDEX($K506:$O506,SUMIF(cbal!E$280:E$296,$B506,cbal!$D$280:$D$296)+1)</f>
        <v>0</v>
      </c>
      <c r="F506" s="430">
        <f>INDEX($K506:$O506,SUMIF(cbal!F$280:F$296,$B506,cbal!$D$280:$D$296)+1)</f>
        <v>0</v>
      </c>
      <c r="G506" s="430">
        <f>INDEX($K506:$O506,SUMIF(cbal!G$280:G$296,$B506,cbal!$D$280:$D$296)+1)</f>
        <v>0</v>
      </c>
      <c r="H506" s="430">
        <f>INDEX($K506:$O506,SUMIF(cbal!H$280:H$296,$B506,cbal!$D$280:$D$296)+1)</f>
        <v>0</v>
      </c>
      <c r="I506" s="430">
        <f>INDEX($K506:$O506,SUMIF(cbal!I$280:I$296,$B506,cbal!$D$280:$D$296)+1)</f>
        <v>0</v>
      </c>
      <c r="K506" s="1577">
        <v>0</v>
      </c>
      <c r="L506" s="1585">
        <v>5.0000000000000001E-3</v>
      </c>
      <c r="M506" s="1585">
        <v>5.0000000000000001E-3</v>
      </c>
      <c r="N506" s="1585">
        <v>5.0000000000000001E-3</v>
      </c>
      <c r="O506" s="1585">
        <v>5.0000000000000001E-3</v>
      </c>
      <c r="R506" s="91" t="b">
        <f t="shared" si="56"/>
        <v>0</v>
      </c>
      <c r="S506" s="21" t="b">
        <f t="shared" si="57"/>
        <v>0</v>
      </c>
      <c r="T506" s="97" t="b">
        <f t="shared" si="64"/>
        <v>0</v>
      </c>
    </row>
    <row r="507" spans="2:20">
      <c r="B507" t="s">
        <v>4030</v>
      </c>
      <c r="C507" s="433">
        <v>191</v>
      </c>
      <c r="D507" t="str">
        <f>VLOOKUP($C507,param!$A$4:$B$266,2)</f>
        <v>Energy Usage Performance</v>
      </c>
      <c r="E507" s="430">
        <f>INDEX($K507:$O507,SUMIF(cbal!E$280:E$296,$B507,cbal!$D$280:$D$296)+1)</f>
        <v>0</v>
      </c>
      <c r="F507" s="430">
        <f>INDEX($K507:$O507,SUMIF(cbal!F$280:F$296,$B507,cbal!$D$280:$D$296)+1)</f>
        <v>0</v>
      </c>
      <c r="G507" s="430">
        <f>INDEX($K507:$O507,SUMIF(cbal!G$280:G$296,$B507,cbal!$D$280:$D$296)+1)</f>
        <v>0</v>
      </c>
      <c r="H507" s="430">
        <f>INDEX($K507:$O507,SUMIF(cbal!H$280:H$296,$B507,cbal!$D$280:$D$296)+1)</f>
        <v>0</v>
      </c>
      <c r="I507" s="430">
        <f>INDEX($K507:$O507,SUMIF(cbal!I$280:I$296,$B507,cbal!$D$280:$D$296)+1)</f>
        <v>0</v>
      </c>
      <c r="K507" s="1577">
        <v>0</v>
      </c>
      <c r="L507" s="1585">
        <v>7.0000000000000007E-2</v>
      </c>
      <c r="M507" s="1585">
        <v>7.0000000000000007E-2</v>
      </c>
      <c r="N507" s="1585">
        <v>7.0000000000000007E-2</v>
      </c>
      <c r="O507" s="1585">
        <v>7.0000000000000007E-2</v>
      </c>
      <c r="R507" s="91" t="b">
        <f t="shared" si="56"/>
        <v>0</v>
      </c>
      <c r="S507" s="21" t="b">
        <f t="shared" si="57"/>
        <v>0</v>
      </c>
      <c r="T507" s="97" t="b">
        <f t="shared" si="64"/>
        <v>0</v>
      </c>
    </row>
    <row r="508" spans="2:20">
      <c r="B508" t="s">
        <v>4030</v>
      </c>
      <c r="C508" s="433">
        <v>192</v>
      </c>
      <c r="D508" t="str">
        <f>VLOOKUP($C508,param!$A$4:$B$266,2)</f>
        <v>Waste Production Performance</v>
      </c>
      <c r="E508" s="430">
        <f>INDEX($K508:$O508,SUMIF(cbal!E$280:E$296,$B508,cbal!$D$280:$D$296)+1)</f>
        <v>0</v>
      </c>
      <c r="F508" s="430">
        <f>INDEX($K508:$O508,SUMIF(cbal!F$280:F$296,$B508,cbal!$D$280:$D$296)+1)</f>
        <v>0</v>
      </c>
      <c r="G508" s="430">
        <f>INDEX($K508:$O508,SUMIF(cbal!G$280:G$296,$B508,cbal!$D$280:$D$296)+1)</f>
        <v>0</v>
      </c>
      <c r="H508" s="430">
        <f>INDEX($K508:$O508,SUMIF(cbal!H$280:H$296,$B508,cbal!$D$280:$D$296)+1)</f>
        <v>0</v>
      </c>
      <c r="I508" s="430">
        <f>INDEX($K508:$O508,SUMIF(cbal!I$280:I$296,$B508,cbal!$D$280:$D$296)+1)</f>
        <v>0</v>
      </c>
      <c r="K508" s="1577">
        <v>0</v>
      </c>
      <c r="L508" s="1585">
        <v>0.06</v>
      </c>
      <c r="M508" s="1585">
        <v>0.06</v>
      </c>
      <c r="N508" s="1585">
        <v>0.06</v>
      </c>
      <c r="O508" s="1585">
        <v>0.06</v>
      </c>
      <c r="R508" s="91" t="b">
        <f t="shared" si="56"/>
        <v>0</v>
      </c>
      <c r="S508" s="21" t="b">
        <f t="shared" si="57"/>
        <v>0</v>
      </c>
      <c r="T508" s="97" t="b">
        <f t="shared" si="64"/>
        <v>0</v>
      </c>
    </row>
    <row r="509" spans="2:20">
      <c r="B509" t="s">
        <v>4030</v>
      </c>
      <c r="C509" s="433">
        <v>167</v>
      </c>
      <c r="D509" t="str">
        <f>VLOOKUP($C509,param!$A$4:$B$266,2)</f>
        <v>Special Program Expense</v>
      </c>
      <c r="E509" s="183">
        <f>INDEX($K509:$O509,SUMIF(cbal!E$280:E$296,$B509,cbal!$D$280:$D$296)+1)</f>
        <v>0</v>
      </c>
      <c r="F509" s="183">
        <f>INDEX($K509:$O509,SUMIF(cbal!F$280:F$296,$B509,cbal!$D$280:$D$296)+1)</f>
        <v>0</v>
      </c>
      <c r="G509" s="183">
        <f>INDEX($K509:$O509,SUMIF(cbal!G$280:G$296,$B509,cbal!$D$280:$D$296)+1)</f>
        <v>0</v>
      </c>
      <c r="H509" s="183">
        <f>INDEX($K509:$O509,SUMIF(cbal!H$280:H$296,$B509,cbal!$D$280:$D$296)+1)</f>
        <v>0</v>
      </c>
      <c r="I509" s="183">
        <f>INDEX($K509:$O509,SUMIF(cbal!I$280:I$296,$B509,cbal!$D$280:$D$296)+1)</f>
        <v>0</v>
      </c>
      <c r="K509" s="1577">
        <v>0</v>
      </c>
      <c r="L509" s="1580">
        <v>18000000</v>
      </c>
      <c r="M509" s="1580"/>
      <c r="N509" s="1580"/>
      <c r="O509" s="1580"/>
      <c r="R509" s="91">
        <f t="shared" si="56"/>
        <v>18000000</v>
      </c>
      <c r="S509" s="21">
        <f t="shared" si="57"/>
        <v>0</v>
      </c>
      <c r="T509" s="97" t="b">
        <f t="shared" si="64"/>
        <v>0</v>
      </c>
    </row>
    <row r="510" spans="2:20">
      <c r="B510" t="s">
        <v>4030</v>
      </c>
      <c r="C510" s="433">
        <v>133.5</v>
      </c>
      <c r="D510" t="str">
        <f>VLOOKUP($C510,param!$A$4:$B$266,2)</f>
        <v>MTU Initiatives Allocation</v>
      </c>
      <c r="E510" s="183">
        <f>INDEX($K510:$O510,SUMIF(cbal!E$280:E$296,$B510,cbal!$D$280:$D$296)+1)</f>
        <v>0</v>
      </c>
      <c r="F510" s="183">
        <f>INDEX($K510:$O510,SUMIF(cbal!F$280:F$296,$B510,cbal!$D$280:$D$296)+1)</f>
        <v>0</v>
      </c>
      <c r="G510" s="183">
        <f>INDEX($K510:$O510,SUMIF(cbal!G$280:G$296,$B510,cbal!$D$280:$D$296)+1)</f>
        <v>0</v>
      </c>
      <c r="H510" s="183">
        <f>INDEX($K510:$O510,SUMIF(cbal!H$280:H$296,$B510,cbal!$D$280:$D$296)+1)</f>
        <v>0</v>
      </c>
      <c r="I510" s="183">
        <f>INDEX($K510:$O510,SUMIF(cbal!I$280:I$296,$B510,cbal!$D$280:$D$296)+1)</f>
        <v>0</v>
      </c>
      <c r="K510" s="1577">
        <v>0</v>
      </c>
      <c r="L510" s="1580">
        <v>10</v>
      </c>
      <c r="M510" s="1580"/>
      <c r="N510" s="1580"/>
      <c r="O510" s="1580"/>
      <c r="R510" s="91" t="b">
        <f t="shared" si="56"/>
        <v>0</v>
      </c>
      <c r="S510" s="21" t="b">
        <f t="shared" si="57"/>
        <v>0</v>
      </c>
      <c r="T510" s="97">
        <f t="shared" si="64"/>
        <v>10</v>
      </c>
    </row>
    <row r="511" spans="2:20">
      <c r="B511" t="s">
        <v>4030</v>
      </c>
      <c r="C511" s="433">
        <v>203</v>
      </c>
      <c r="D511" t="str">
        <f>VLOOKUP($C511,param!$A$4:$B$266,2)</f>
        <v>Productivity Strategy</v>
      </c>
      <c r="E511" s="183">
        <f>INDEX($K511:$O511,SUMIF(cbal!E$280:E$296,$B511,cbal!$D$280:$D$296)+1)</f>
        <v>0</v>
      </c>
      <c r="F511" s="183">
        <f>INDEX($K511:$O511,SUMIF(cbal!F$280:F$296,$B511,cbal!$D$280:$D$296)+1)</f>
        <v>0</v>
      </c>
      <c r="G511" s="183">
        <f>INDEX($K511:$O511,SUMIF(cbal!G$280:G$296,$B511,cbal!$D$280:$D$296)+1)</f>
        <v>0</v>
      </c>
      <c r="H511" s="183">
        <f>INDEX($K511:$O511,SUMIF(cbal!H$280:H$296,$B511,cbal!$D$280:$D$296)+1)</f>
        <v>0</v>
      </c>
      <c r="I511" s="183">
        <f>INDEX($K511:$O511,SUMIF(cbal!I$280:I$296,$B511,cbal!$D$280:$D$296)+1)</f>
        <v>0</v>
      </c>
      <c r="K511" s="1577">
        <v>0</v>
      </c>
      <c r="L511" s="1580">
        <f>L510</f>
        <v>10</v>
      </c>
      <c r="M511" s="1580">
        <f>L511</f>
        <v>10</v>
      </c>
      <c r="N511" s="1580">
        <f>M511</f>
        <v>10</v>
      </c>
      <c r="O511" s="1580">
        <f>N511</f>
        <v>10</v>
      </c>
      <c r="R511" s="91" t="b">
        <f>IF(AND(C511&gt;166,C511&lt;171.5),L511)</f>
        <v>0</v>
      </c>
      <c r="S511" s="21" t="b">
        <f>IF(AND(C511&gt;166,C511&lt;171.5),M511)</f>
        <v>0</v>
      </c>
      <c r="T511" s="97" t="b">
        <f>IF(C511=133.5,L511)</f>
        <v>0</v>
      </c>
    </row>
    <row r="512" spans="2:20">
      <c r="B512">
        <v>0</v>
      </c>
      <c r="C512" s="433">
        <v>0</v>
      </c>
      <c r="E512" s="183"/>
      <c r="F512" s="183"/>
      <c r="G512" s="183"/>
      <c r="H512" s="183"/>
      <c r="I512" s="183"/>
      <c r="K512" s="1577"/>
      <c r="L512" s="1580"/>
      <c r="M512" s="1580"/>
      <c r="N512" s="1580"/>
      <c r="O512" s="1580"/>
      <c r="R512" s="91">
        <v>0</v>
      </c>
      <c r="S512" s="21">
        <v>0</v>
      </c>
      <c r="T512" s="97">
        <v>0</v>
      </c>
    </row>
    <row r="513" spans="2:20">
      <c r="B513" t="s">
        <v>4031</v>
      </c>
      <c r="C513" t="str">
        <f>VLOOKUP(B513,DataInitiativesGrid,2,0)</f>
        <v>Water Re-Use System</v>
      </c>
      <c r="E513" s="183"/>
      <c r="F513" s="183"/>
      <c r="G513" s="183"/>
      <c r="H513" s="183"/>
      <c r="I513" s="183"/>
      <c r="K513" s="1577"/>
      <c r="L513" s="1580"/>
      <c r="M513" s="1580"/>
      <c r="N513" s="1580"/>
      <c r="O513" s="1580"/>
      <c r="R513" s="91">
        <v>0</v>
      </c>
      <c r="S513" s="21">
        <v>0</v>
      </c>
      <c r="T513" s="97">
        <v>0</v>
      </c>
    </row>
    <row r="514" spans="2:20">
      <c r="B514" t="s">
        <v>4031</v>
      </c>
      <c r="C514" s="433">
        <v>142</v>
      </c>
      <c r="D514" t="str">
        <f>VLOOKUP($C514,param!$A$4:$B$266,2)</f>
        <v>Plant Efficiency</v>
      </c>
      <c r="E514" s="430">
        <f>INDEX($K514:$O514,SUMIF(cbal!E$280:E$296,$B514,cbal!$D$280:$D$296)+1)</f>
        <v>0</v>
      </c>
      <c r="F514" s="430">
        <f>INDEX($K514:$O514,SUMIF(cbal!F$280:F$296,$B514,cbal!$D$280:$D$296)+1)</f>
        <v>0</v>
      </c>
      <c r="G514" s="430">
        <f>INDEX($K514:$O514,SUMIF(cbal!G$280:G$296,$B514,cbal!$D$280:$D$296)+1)</f>
        <v>0</v>
      </c>
      <c r="H514" s="430">
        <f>INDEX($K514:$O514,SUMIF(cbal!H$280:H$296,$B514,cbal!$D$280:$D$296)+1)</f>
        <v>0</v>
      </c>
      <c r="I514" s="430">
        <f>INDEX($K514:$O514,SUMIF(cbal!I$280:I$296,$B514,cbal!$D$280:$D$296)+1)</f>
        <v>0</v>
      </c>
      <c r="K514" s="1577">
        <v>0</v>
      </c>
      <c r="L514" s="1585">
        <v>0.01</v>
      </c>
      <c r="M514" s="1585">
        <v>0.01</v>
      </c>
      <c r="N514" s="1585">
        <v>0.01</v>
      </c>
      <c r="O514" s="1585">
        <v>0.01</v>
      </c>
      <c r="R514" s="91" t="b">
        <f t="shared" ref="R514:R613" si="73">IF(AND(C514&gt;166,C514&lt;171.5),L514)</f>
        <v>0</v>
      </c>
      <c r="S514" s="21" t="b">
        <f t="shared" ref="S514:S613" si="74">IF(AND(C514&gt;166,C514&lt;171.5),M514)</f>
        <v>0</v>
      </c>
      <c r="T514" s="97" t="b">
        <f t="shared" si="64"/>
        <v>0</v>
      </c>
    </row>
    <row r="515" spans="2:20">
      <c r="B515" t="s">
        <v>4031</v>
      </c>
      <c r="C515" s="433">
        <v>139</v>
      </c>
      <c r="D515" t="str">
        <f>VLOOKUP($C515,param!$A$4:$B$266,2)</f>
        <v>Plant Machinery Cost Per Hour</v>
      </c>
      <c r="E515" s="430">
        <f>INDEX($K515:$O515,SUMIF(cbal!E$280:E$296,$B515,cbal!$D$280:$D$296)+1)</f>
        <v>0</v>
      </c>
      <c r="F515" s="430">
        <f>INDEX($K515:$O515,SUMIF(cbal!F$280:F$296,$B515,cbal!$D$280:$D$296)+1)</f>
        <v>0</v>
      </c>
      <c r="G515" s="430">
        <f>INDEX($K515:$O515,SUMIF(cbal!G$280:G$296,$B515,cbal!$D$280:$D$296)+1)</f>
        <v>0</v>
      </c>
      <c r="H515" s="430">
        <f>INDEX($K515:$O515,SUMIF(cbal!H$280:H$296,$B515,cbal!$D$280:$D$296)+1)</f>
        <v>0</v>
      </c>
      <c r="I515" s="430">
        <f>INDEX($K515:$O515,SUMIF(cbal!I$280:I$296,$B515,cbal!$D$280:$D$296)+1)</f>
        <v>0</v>
      </c>
      <c r="K515" s="1577">
        <v>0</v>
      </c>
      <c r="L515" s="1585">
        <v>-0.02</v>
      </c>
      <c r="M515" s="1585">
        <v>-0.02</v>
      </c>
      <c r="N515" s="1585">
        <v>-0.02</v>
      </c>
      <c r="O515" s="1585">
        <v>-0.02</v>
      </c>
      <c r="R515" s="91" t="b">
        <f t="shared" si="73"/>
        <v>0</v>
      </c>
      <c r="S515" s="21" t="b">
        <f t="shared" si="74"/>
        <v>0</v>
      </c>
      <c r="T515" s="97" t="b">
        <f t="shared" si="64"/>
        <v>0</v>
      </c>
    </row>
    <row r="516" spans="2:20">
      <c r="B516" t="s">
        <v>4031</v>
      </c>
      <c r="C516" s="433">
        <v>190</v>
      </c>
      <c r="D516" t="str">
        <f>VLOOKUP($C516,param!$A$4:$B$266,2)</f>
        <v>Water Usage Performance</v>
      </c>
      <c r="E516" s="430">
        <f>INDEX($K516:$O516,SUMIF(cbal!E$280:E$296,$B516,cbal!$D$280:$D$296)+1)</f>
        <v>0</v>
      </c>
      <c r="F516" s="430">
        <f>INDEX($K516:$O516,SUMIF(cbal!F$280:F$296,$B516,cbal!$D$280:$D$296)+1)</f>
        <v>0</v>
      </c>
      <c r="G516" s="430">
        <f>INDEX($K516:$O516,SUMIF(cbal!G$280:G$296,$B516,cbal!$D$280:$D$296)+1)</f>
        <v>0</v>
      </c>
      <c r="H516" s="430">
        <f>INDEX($K516:$O516,SUMIF(cbal!H$280:H$296,$B516,cbal!$D$280:$D$296)+1)</f>
        <v>0</v>
      </c>
      <c r="I516" s="430">
        <f>INDEX($K516:$O516,SUMIF(cbal!I$280:I$296,$B516,cbal!$D$280:$D$296)+1)</f>
        <v>0</v>
      </c>
      <c r="K516" s="1577">
        <v>0</v>
      </c>
      <c r="L516" s="1585">
        <v>0.1</v>
      </c>
      <c r="M516" s="1585">
        <v>0.1</v>
      </c>
      <c r="N516" s="1585">
        <v>0.1</v>
      </c>
      <c r="O516" s="1585">
        <v>0.1</v>
      </c>
      <c r="R516" s="91" t="b">
        <f t="shared" si="73"/>
        <v>0</v>
      </c>
      <c r="S516" s="21" t="b">
        <f t="shared" si="74"/>
        <v>0</v>
      </c>
      <c r="T516" s="97" t="b">
        <f t="shared" si="64"/>
        <v>0</v>
      </c>
    </row>
    <row r="517" spans="2:20">
      <c r="B517" t="s">
        <v>4031</v>
      </c>
      <c r="C517" s="433">
        <v>167</v>
      </c>
      <c r="D517" t="str">
        <f>VLOOKUP($C517,param!$A$4:$B$266,2)</f>
        <v>Special Program Expense</v>
      </c>
      <c r="E517" s="183">
        <f>INDEX($K517:$O517,SUMIF(cbal!E$280:E$296,$B517,cbal!$D$280:$D$296)+1)</f>
        <v>0</v>
      </c>
      <c r="F517" s="183">
        <f>INDEX($K517:$O517,SUMIF(cbal!F$280:F$296,$B517,cbal!$D$280:$D$296)+1)</f>
        <v>0</v>
      </c>
      <c r="G517" s="183">
        <f>INDEX($K517:$O517,SUMIF(cbal!G$280:G$296,$B517,cbal!$D$280:$D$296)+1)</f>
        <v>0</v>
      </c>
      <c r="H517" s="183">
        <f>INDEX($K517:$O517,SUMIF(cbal!H$280:H$296,$B517,cbal!$D$280:$D$296)+1)</f>
        <v>0</v>
      </c>
      <c r="I517" s="183">
        <f>INDEX($K517:$O517,SUMIF(cbal!I$280:I$296,$B517,cbal!$D$280:$D$296)+1)</f>
        <v>0</v>
      </c>
      <c r="K517" s="1577">
        <v>0</v>
      </c>
      <c r="L517" s="1580">
        <v>8000000</v>
      </c>
      <c r="M517" s="1580"/>
      <c r="N517" s="1580"/>
      <c r="O517" s="1580"/>
      <c r="R517" s="91">
        <f t="shared" si="73"/>
        <v>8000000</v>
      </c>
      <c r="S517" s="21">
        <f t="shared" si="74"/>
        <v>0</v>
      </c>
      <c r="T517" s="97" t="b">
        <f t="shared" si="64"/>
        <v>0</v>
      </c>
    </row>
    <row r="518" spans="2:20">
      <c r="B518" t="s">
        <v>4031</v>
      </c>
      <c r="C518" s="433">
        <v>133.5</v>
      </c>
      <c r="D518" t="str">
        <f>VLOOKUP($C518,param!$A$4:$B$266,2)</f>
        <v>MTU Initiatives Allocation</v>
      </c>
      <c r="E518" s="183">
        <f>INDEX($K518:$O518,SUMIF(cbal!E$280:E$296,$B518,cbal!$D$280:$D$296)+1)</f>
        <v>0</v>
      </c>
      <c r="F518" s="183">
        <f>INDEX($K518:$O518,SUMIF(cbal!F$280:F$296,$B518,cbal!$D$280:$D$296)+1)</f>
        <v>0</v>
      </c>
      <c r="G518" s="183">
        <f>INDEX($K518:$O518,SUMIF(cbal!G$280:G$296,$B518,cbal!$D$280:$D$296)+1)</f>
        <v>0</v>
      </c>
      <c r="H518" s="183">
        <f>INDEX($K518:$O518,SUMIF(cbal!H$280:H$296,$B518,cbal!$D$280:$D$296)+1)</f>
        <v>0</v>
      </c>
      <c r="I518" s="183">
        <f>INDEX($K518:$O518,SUMIF(cbal!I$280:I$296,$B518,cbal!$D$280:$D$296)+1)</f>
        <v>0</v>
      </c>
      <c r="K518" s="1577">
        <v>0</v>
      </c>
      <c r="L518" s="1580">
        <v>10</v>
      </c>
      <c r="M518" s="1580"/>
      <c r="N518" s="1580"/>
      <c r="O518" s="1580"/>
      <c r="R518" s="91" t="b">
        <f t="shared" si="73"/>
        <v>0</v>
      </c>
      <c r="S518" s="21" t="b">
        <f t="shared" si="74"/>
        <v>0</v>
      </c>
      <c r="T518" s="97">
        <f>IF(C518=133.5,L518)</f>
        <v>10</v>
      </c>
    </row>
    <row r="519" spans="2:20">
      <c r="B519" t="s">
        <v>4031</v>
      </c>
      <c r="C519" s="433">
        <v>203</v>
      </c>
      <c r="D519" t="str">
        <f>VLOOKUP($C519,param!$A$4:$B$266,2)</f>
        <v>Productivity Strategy</v>
      </c>
      <c r="E519" s="183">
        <f>INDEX($K519:$O519,SUMIF(cbal!E$280:E$296,$B519,cbal!$D$280:$D$296)+1)</f>
        <v>0</v>
      </c>
      <c r="F519" s="183">
        <f>INDEX($K519:$O519,SUMIF(cbal!F$280:F$296,$B519,cbal!$D$280:$D$296)+1)</f>
        <v>0</v>
      </c>
      <c r="G519" s="183">
        <f>INDEX($K519:$O519,SUMIF(cbal!G$280:G$296,$B519,cbal!$D$280:$D$296)+1)</f>
        <v>0</v>
      </c>
      <c r="H519" s="183">
        <f>INDEX($K519:$O519,SUMIF(cbal!H$280:H$296,$B519,cbal!$D$280:$D$296)+1)</f>
        <v>0</v>
      </c>
      <c r="I519" s="183">
        <f>INDEX($K519:$O519,SUMIF(cbal!I$280:I$296,$B519,cbal!$D$280:$D$296)+1)</f>
        <v>0</v>
      </c>
      <c r="K519" s="1577">
        <v>0</v>
      </c>
      <c r="L519" s="1580">
        <f>L518/2</f>
        <v>5</v>
      </c>
      <c r="M519" s="1580">
        <f t="shared" ref="M519:O520" si="75">L519</f>
        <v>5</v>
      </c>
      <c r="N519" s="1580">
        <f t="shared" si="75"/>
        <v>5</v>
      </c>
      <c r="O519" s="1580">
        <f t="shared" si="75"/>
        <v>5</v>
      </c>
      <c r="R519" s="91" t="b">
        <f>IF(AND(C519&gt;166,C519&lt;171.5),L519)</f>
        <v>0</v>
      </c>
      <c r="S519" s="21" t="b">
        <f>IF(AND(C519&gt;166,C519&lt;171.5),M519)</f>
        <v>0</v>
      </c>
      <c r="T519" s="97" t="b">
        <f>IF(C519=133.5,L519)</f>
        <v>0</v>
      </c>
    </row>
    <row r="520" spans="2:20">
      <c r="B520" t="s">
        <v>4031</v>
      </c>
      <c r="C520" s="433">
        <v>201</v>
      </c>
      <c r="D520" t="str">
        <f>VLOOKUP($C520,param!$A$4:$B$266,2)</f>
        <v>Brands Strategy</v>
      </c>
      <c r="E520" s="183">
        <f>INDEX($K520:$O520,SUMIF(cbal!E$280:E$296,$B520,cbal!$D$280:$D$296)+1)</f>
        <v>0</v>
      </c>
      <c r="F520" s="183">
        <f>INDEX($K520:$O520,SUMIF(cbal!F$280:F$296,$B520,cbal!$D$280:$D$296)+1)</f>
        <v>0</v>
      </c>
      <c r="G520" s="183">
        <f>INDEX($K520:$O520,SUMIF(cbal!G$280:G$296,$B520,cbal!$D$280:$D$296)+1)</f>
        <v>0</v>
      </c>
      <c r="H520" s="183">
        <f>INDEX($K520:$O520,SUMIF(cbal!H$280:H$296,$B520,cbal!$D$280:$D$296)+1)</f>
        <v>0</v>
      </c>
      <c r="I520" s="183">
        <f>INDEX($K520:$O520,SUMIF(cbal!I$280:I$296,$B520,cbal!$D$280:$D$296)+1)</f>
        <v>0</v>
      </c>
      <c r="K520" s="1577">
        <v>0</v>
      </c>
      <c r="L520" s="1580">
        <f>L518-L519</f>
        <v>5</v>
      </c>
      <c r="M520" s="1580">
        <f t="shared" si="75"/>
        <v>5</v>
      </c>
      <c r="N520" s="1580">
        <f t="shared" si="75"/>
        <v>5</v>
      </c>
      <c r="O520" s="1580">
        <f t="shared" si="75"/>
        <v>5</v>
      </c>
      <c r="R520" s="91" t="b">
        <f>IF(AND(C520&gt;166,C520&lt;171.5),L520)</f>
        <v>0</v>
      </c>
      <c r="S520" s="21" t="b">
        <f>IF(AND(C520&gt;166,C520&lt;171.5),M520)</f>
        <v>0</v>
      </c>
      <c r="T520" s="97" t="b">
        <f>IF(C520=133.5,L520)</f>
        <v>0</v>
      </c>
    </row>
    <row r="521" spans="2:20">
      <c r="B521">
        <v>0</v>
      </c>
      <c r="C521" s="433">
        <v>0</v>
      </c>
      <c r="E521" s="183"/>
      <c r="F521" s="183"/>
      <c r="G521" s="183"/>
      <c r="H521" s="183"/>
      <c r="I521" s="183"/>
      <c r="K521" s="1577"/>
      <c r="L521" s="1580"/>
      <c r="M521" s="1580"/>
      <c r="N521" s="1580"/>
      <c r="O521" s="1580"/>
      <c r="R521" s="91">
        <v>0</v>
      </c>
      <c r="S521" s="21">
        <v>0</v>
      </c>
      <c r="T521" s="97">
        <v>0</v>
      </c>
    </row>
    <row r="522" spans="2:20">
      <c r="B522" t="s">
        <v>4032</v>
      </c>
      <c r="C522" t="str">
        <f>VLOOKUP(B522,DataInitiativesGrid,2,0)</f>
        <v>Packaging Partnership</v>
      </c>
      <c r="E522" s="183"/>
      <c r="F522" s="183"/>
      <c r="G522" s="183"/>
      <c r="H522" s="183"/>
      <c r="I522" s="183"/>
      <c r="K522" s="1577"/>
      <c r="L522" s="1580"/>
      <c r="M522" s="1580"/>
      <c r="N522" s="1580"/>
      <c r="O522" s="1580"/>
      <c r="R522" s="91">
        <v>0</v>
      </c>
      <c r="S522" s="21">
        <v>0</v>
      </c>
      <c r="T522" s="97">
        <v>0</v>
      </c>
    </row>
    <row r="523" spans="2:20">
      <c r="B523" t="s">
        <v>4032</v>
      </c>
      <c r="C523" s="433">
        <v>64</v>
      </c>
      <c r="D523" t="str">
        <f>VLOOKUP($C523,param!$A$4:$B$266,2)</f>
        <v>F&amp;S Material Cost Per Unit</v>
      </c>
      <c r="E523" s="430">
        <f>INDEX($K523:$O523,SUMIF(cbal!E$280:E$296,$B523,cbal!$D$280:$D$296)+1)</f>
        <v>0</v>
      </c>
      <c r="F523" s="430">
        <f>INDEX($K523:$O523,SUMIF(cbal!F$280:F$296,$B523,cbal!$D$280:$D$296)+1)</f>
        <v>0</v>
      </c>
      <c r="G523" s="430">
        <f>INDEX($K523:$O523,SUMIF(cbal!G$280:G$296,$B523,cbal!$D$280:$D$296)+1)</f>
        <v>0</v>
      </c>
      <c r="H523" s="430">
        <f>INDEX($K523:$O523,SUMIF(cbal!H$280:H$296,$B523,cbal!$D$280:$D$296)+1)</f>
        <v>0</v>
      </c>
      <c r="I523" s="430">
        <f>INDEX($K523:$O523,SUMIF(cbal!I$280:I$296,$B523,cbal!$D$280:$D$296)+1)</f>
        <v>0</v>
      </c>
      <c r="K523" s="1577">
        <v>0</v>
      </c>
      <c r="L523" s="1585">
        <v>-0.02</v>
      </c>
      <c r="M523" s="1585">
        <v>-0.02</v>
      </c>
      <c r="N523" s="1585">
        <v>-0.02</v>
      </c>
      <c r="O523" s="1585">
        <v>-0.02</v>
      </c>
      <c r="R523" s="91" t="b">
        <f t="shared" si="73"/>
        <v>0</v>
      </c>
      <c r="S523" s="21" t="b">
        <f t="shared" si="74"/>
        <v>0</v>
      </c>
      <c r="T523" s="97" t="b">
        <f t="shared" si="64"/>
        <v>0</v>
      </c>
    </row>
    <row r="524" spans="2:20">
      <c r="B524" t="s">
        <v>4032</v>
      </c>
      <c r="C524" s="433">
        <v>195</v>
      </c>
      <c r="D524" t="str">
        <f>VLOOKUP($C524,param!$A$4:$B$266,2)</f>
        <v>Labelling for Consumption Awareness</v>
      </c>
      <c r="E524" s="430">
        <f>INDEX($K524:$O524,SUMIF(cbal!E$280:E$296,$B524,cbal!$D$280:$D$296)+1)</f>
        <v>0</v>
      </c>
      <c r="F524" s="430">
        <f>INDEX($K524:$O524,SUMIF(cbal!F$280:F$296,$B524,cbal!$D$280:$D$296)+1)</f>
        <v>0</v>
      </c>
      <c r="G524" s="430">
        <f>INDEX($K524:$O524,SUMIF(cbal!G$280:G$296,$B524,cbal!$D$280:$D$296)+1)</f>
        <v>0</v>
      </c>
      <c r="H524" s="430">
        <f>INDEX($K524:$O524,SUMIF(cbal!H$280:H$296,$B524,cbal!$D$280:$D$296)+1)</f>
        <v>0</v>
      </c>
      <c r="I524" s="430">
        <f>INDEX($K524:$O524,SUMIF(cbal!I$280:I$296,$B524,cbal!$D$280:$D$296)+1)</f>
        <v>0</v>
      </c>
      <c r="K524" s="1577">
        <v>0</v>
      </c>
      <c r="L524" s="1585">
        <v>0.12</v>
      </c>
      <c r="M524" s="1585">
        <v>0.12</v>
      </c>
      <c r="N524" s="1585">
        <v>0.12</v>
      </c>
      <c r="O524" s="1585">
        <v>0.12</v>
      </c>
      <c r="R524" s="91" t="b">
        <f t="shared" si="73"/>
        <v>0</v>
      </c>
      <c r="S524" s="21" t="b">
        <f t="shared" si="74"/>
        <v>0</v>
      </c>
      <c r="T524" s="97" t="b">
        <f t="shared" si="64"/>
        <v>0</v>
      </c>
    </row>
    <row r="525" spans="2:20">
      <c r="B525" t="s">
        <v>4032</v>
      </c>
      <c r="C525" s="506">
        <v>179.5</v>
      </c>
      <c r="D525" t="str">
        <f>VLOOKUP($C525,param!$A$4:$B$266,2)</f>
        <v>Special Program Success Breakthrough</v>
      </c>
      <c r="E525" s="448">
        <f>INDEX($K525:$O525,SUMIF(cbal!E$280:E$296,$B525,cbal!$D$280:$D$296)+1)</f>
        <v>0</v>
      </c>
      <c r="F525" s="448">
        <f>INDEX($K525:$O525,SUMIF(cbal!F$280:F$296,$B525,cbal!$D$280:$D$296)+1)</f>
        <v>0</v>
      </c>
      <c r="G525" s="448">
        <f>INDEX($K525:$O525,SUMIF(cbal!G$280:G$296,$B525,cbal!$D$280:$D$296)+1)</f>
        <v>0</v>
      </c>
      <c r="H525" s="448">
        <f>INDEX($K525:$O525,SUMIF(cbal!H$280:H$296,$B525,cbal!$D$280:$D$296)+1)</f>
        <v>0</v>
      </c>
      <c r="I525" s="448">
        <f>INDEX($K525:$O525,SUMIF(cbal!I$280:I$296,$B525,cbal!$D$280:$D$296)+1)</f>
        <v>0</v>
      </c>
      <c r="K525" s="1577">
        <v>0</v>
      </c>
      <c r="L525" s="1585">
        <v>0.03</v>
      </c>
      <c r="M525" s="1585">
        <v>0.03</v>
      </c>
      <c r="N525" s="1585">
        <v>0.03</v>
      </c>
      <c r="O525" s="1585">
        <v>0.03</v>
      </c>
      <c r="R525" s="91" t="b">
        <f>IF(AND(C525&gt;166,C525&lt;171.5),L525)</f>
        <v>0</v>
      </c>
      <c r="S525" s="21" t="b">
        <f>IF(AND(C525&gt;166,C525&lt;171.5),M525)</f>
        <v>0</v>
      </c>
      <c r="T525" s="97" t="b">
        <f>IF(C525=133.5,L525)</f>
        <v>0</v>
      </c>
    </row>
    <row r="526" spans="2:20">
      <c r="B526" t="s">
        <v>4032</v>
      </c>
      <c r="C526" s="433">
        <v>171</v>
      </c>
      <c r="D526" t="str">
        <f>VLOOKUP($C526,param!$A$4:$B$266,2)</f>
        <v>Special Programs Expense Product 4 Region 1</v>
      </c>
      <c r="E526" s="183">
        <f>INDEX($K526:$O526,SUMIF(cbal!E$280:E$296,$B526,cbal!$D$280:$D$296)+1)</f>
        <v>0</v>
      </c>
      <c r="F526" s="183">
        <f>INDEX($K526:$O526,SUMIF(cbal!F$280:F$296,$B526,cbal!$D$280:$D$296)+1)</f>
        <v>0</v>
      </c>
      <c r="G526" s="183">
        <f>INDEX($K526:$O526,SUMIF(cbal!G$280:G$296,$B526,cbal!$D$280:$D$296)+1)</f>
        <v>0</v>
      </c>
      <c r="H526" s="183">
        <f>INDEX($K526:$O526,SUMIF(cbal!H$280:H$296,$B526,cbal!$D$280:$D$296)+1)</f>
        <v>0</v>
      </c>
      <c r="I526" s="183">
        <f>INDEX($K526:$O526,SUMIF(cbal!I$280:I$296,$B526,cbal!$D$280:$D$296)+1)</f>
        <v>0</v>
      </c>
      <c r="K526" s="1577">
        <v>0</v>
      </c>
      <c r="L526" s="1580">
        <v>3000000</v>
      </c>
      <c r="M526" s="1580"/>
      <c r="N526" s="1580"/>
      <c r="O526" s="1580"/>
      <c r="R526" s="91">
        <f t="shared" si="73"/>
        <v>3000000</v>
      </c>
      <c r="S526" s="21">
        <f t="shared" si="74"/>
        <v>0</v>
      </c>
      <c r="T526" s="97" t="b">
        <f t="shared" si="64"/>
        <v>0</v>
      </c>
    </row>
    <row r="527" spans="2:20">
      <c r="B527" t="s">
        <v>4032</v>
      </c>
      <c r="C527" s="433">
        <v>133.5</v>
      </c>
      <c r="D527" t="str">
        <f>VLOOKUP($C527,param!$A$4:$B$266,2)</f>
        <v>MTU Initiatives Allocation</v>
      </c>
      <c r="E527" s="183">
        <f>INDEX($K527:$O527,SUMIF(cbal!E$280:E$296,$B527,cbal!$D$280:$D$296)+1)</f>
        <v>0</v>
      </c>
      <c r="F527" s="183">
        <f>INDEX($K527:$O527,SUMIF(cbal!F$280:F$296,$B527,cbal!$D$280:$D$296)+1)</f>
        <v>0</v>
      </c>
      <c r="G527" s="183">
        <f>INDEX($K527:$O527,SUMIF(cbal!G$280:G$296,$B527,cbal!$D$280:$D$296)+1)</f>
        <v>0</v>
      </c>
      <c r="H527" s="183">
        <f>INDEX($K527:$O527,SUMIF(cbal!H$280:H$296,$B527,cbal!$D$280:$D$296)+1)</f>
        <v>0</v>
      </c>
      <c r="I527" s="183">
        <f>INDEX($K527:$O527,SUMIF(cbal!I$280:I$296,$B527,cbal!$D$280:$D$296)+1)</f>
        <v>0</v>
      </c>
      <c r="K527" s="1577">
        <v>0</v>
      </c>
      <c r="L527" s="1580">
        <v>5</v>
      </c>
      <c r="M527" s="1580"/>
      <c r="N527" s="1580"/>
      <c r="O527" s="1580"/>
      <c r="R527" s="91" t="b">
        <f t="shared" si="73"/>
        <v>0</v>
      </c>
      <c r="S527" s="21" t="b">
        <f t="shared" si="74"/>
        <v>0</v>
      </c>
      <c r="T527" s="97">
        <f t="shared" si="64"/>
        <v>5</v>
      </c>
    </row>
    <row r="528" spans="2:20">
      <c r="B528" t="s">
        <v>4032</v>
      </c>
      <c r="C528" s="433">
        <v>204</v>
      </c>
      <c r="D528" t="str">
        <f>VLOOKUP($C528,param!$A$4:$B$266,2)</f>
        <v>Innovation Strategy</v>
      </c>
      <c r="E528" s="183">
        <f>INDEX($K528:$O528,SUMIF(cbal!E$280:E$296,$B528,cbal!$D$280:$D$296)+1)</f>
        <v>0</v>
      </c>
      <c r="F528" s="183">
        <f>INDEX($K528:$O528,SUMIF(cbal!F$280:F$296,$B528,cbal!$D$280:$D$296)+1)</f>
        <v>0</v>
      </c>
      <c r="G528" s="183">
        <f>INDEX($K528:$O528,SUMIF(cbal!G$280:G$296,$B528,cbal!$D$280:$D$296)+1)</f>
        <v>0</v>
      </c>
      <c r="H528" s="183">
        <f>INDEX($K528:$O528,SUMIF(cbal!H$280:H$296,$B528,cbal!$D$280:$D$296)+1)</f>
        <v>0</v>
      </c>
      <c r="I528" s="183">
        <f>INDEX($K528:$O528,SUMIF(cbal!I$280:I$296,$B528,cbal!$D$280:$D$296)+1)</f>
        <v>0</v>
      </c>
      <c r="K528" s="1577">
        <v>0</v>
      </c>
      <c r="L528" s="1614">
        <f>$L$527/2</f>
        <v>2.5</v>
      </c>
      <c r="M528" s="1582">
        <f t="shared" ref="M528:O529" si="76">L528</f>
        <v>2.5</v>
      </c>
      <c r="N528" s="1582">
        <f t="shared" si="76"/>
        <v>2.5</v>
      </c>
      <c r="O528" s="1582">
        <f t="shared" si="76"/>
        <v>2.5</v>
      </c>
      <c r="R528" s="91" t="b">
        <f t="shared" si="73"/>
        <v>0</v>
      </c>
      <c r="S528" s="21" t="b">
        <f t="shared" si="74"/>
        <v>0</v>
      </c>
      <c r="T528" s="97" t="b">
        <f t="shared" si="64"/>
        <v>0</v>
      </c>
    </row>
    <row r="529" spans="2:20">
      <c r="B529" t="s">
        <v>4032</v>
      </c>
      <c r="C529" s="433">
        <v>202</v>
      </c>
      <c r="D529" t="str">
        <f>VLOOKUP($C529,param!$A$4:$B$266,2)</f>
        <v>Go-to-Market Strategy</v>
      </c>
      <c r="E529" s="183">
        <f>INDEX($K529:$O529,SUMIF(cbal!E$280:E$296,$B529,cbal!$D$280:$D$296)+1)</f>
        <v>0</v>
      </c>
      <c r="F529" s="183">
        <f>INDEX($K529:$O529,SUMIF(cbal!F$280:F$296,$B529,cbal!$D$280:$D$296)+1)</f>
        <v>0</v>
      </c>
      <c r="G529" s="183">
        <f>INDEX($K529:$O529,SUMIF(cbal!G$280:G$296,$B529,cbal!$D$280:$D$296)+1)</f>
        <v>0</v>
      </c>
      <c r="H529" s="183">
        <f>INDEX($K529:$O529,SUMIF(cbal!H$280:H$296,$B529,cbal!$D$280:$D$296)+1)</f>
        <v>0</v>
      </c>
      <c r="I529" s="183">
        <f>INDEX($K529:$O529,SUMIF(cbal!I$280:I$296,$B529,cbal!$D$280:$D$296)+1)</f>
        <v>0</v>
      </c>
      <c r="K529" s="1577">
        <v>0</v>
      </c>
      <c r="L529" s="1580">
        <f>$L$527-L528</f>
        <v>2.5</v>
      </c>
      <c r="M529" s="1582">
        <f t="shared" si="76"/>
        <v>2.5</v>
      </c>
      <c r="N529" s="1582">
        <f t="shared" si="76"/>
        <v>2.5</v>
      </c>
      <c r="O529" s="1582">
        <f t="shared" si="76"/>
        <v>2.5</v>
      </c>
      <c r="R529" s="91" t="b">
        <f t="shared" si="73"/>
        <v>0</v>
      </c>
      <c r="S529" s="21" t="b">
        <f t="shared" si="74"/>
        <v>0</v>
      </c>
      <c r="T529" s="97" t="b">
        <f t="shared" si="64"/>
        <v>0</v>
      </c>
    </row>
    <row r="530" spans="2:20">
      <c r="B530">
        <v>0</v>
      </c>
      <c r="C530" s="433">
        <v>0</v>
      </c>
      <c r="E530" s="183"/>
      <c r="F530" s="183"/>
      <c r="G530" s="183"/>
      <c r="H530" s="183"/>
      <c r="I530" s="183"/>
      <c r="K530" s="1577"/>
      <c r="L530" s="1580"/>
      <c r="M530" s="1580"/>
      <c r="N530" s="1580"/>
      <c r="O530" s="1580"/>
      <c r="R530" s="91">
        <v>0</v>
      </c>
      <c r="S530" s="21">
        <v>0</v>
      </c>
      <c r="T530" s="97">
        <v>0</v>
      </c>
    </row>
    <row r="531" spans="2:20">
      <c r="B531" t="s">
        <v>4033</v>
      </c>
      <c r="C531" t="str">
        <f>VLOOKUP(B531,DataInitiativesGrid,2,0)</f>
        <v>Agricultural Sourcing Guidelines</v>
      </c>
      <c r="E531" s="183"/>
      <c r="F531" s="183"/>
      <c r="G531" s="183"/>
      <c r="H531" s="183"/>
      <c r="I531" s="183"/>
      <c r="K531" s="1577"/>
      <c r="L531" s="1580"/>
      <c r="M531" s="1580"/>
      <c r="N531" s="1580"/>
      <c r="O531" s="1580"/>
      <c r="R531" s="91">
        <v>0</v>
      </c>
      <c r="S531" s="21">
        <v>0</v>
      </c>
      <c r="T531" s="97">
        <v>0</v>
      </c>
    </row>
    <row r="532" spans="2:20">
      <c r="B532" t="s">
        <v>4033</v>
      </c>
      <c r="C532" s="433">
        <v>157</v>
      </c>
      <c r="D532" t="str">
        <f>VLOOKUP($C532,param!$A$4:$B$266,2)</f>
        <v>Payables Days</v>
      </c>
      <c r="E532" s="448">
        <f>INDEX($K532:$O532,SUMIF(cbal!E$280:E$296,$B532,cbal!$D$280:$D$296)+1)</f>
        <v>0</v>
      </c>
      <c r="F532" s="448">
        <f>INDEX($K532:$O532,SUMIF(cbal!F$280:F$296,$B532,cbal!$D$280:$D$296)+1)</f>
        <v>0</v>
      </c>
      <c r="G532" s="448">
        <f>INDEX($K532:$O532,SUMIF(cbal!G$280:G$296,$B532,cbal!$D$280:$D$296)+1)</f>
        <v>0</v>
      </c>
      <c r="H532" s="448">
        <f>INDEX($K532:$O532,SUMIF(cbal!H$280:H$296,$B532,cbal!$D$280:$D$296)+1)</f>
        <v>0</v>
      </c>
      <c r="I532" s="448">
        <f>INDEX($K532:$O532,SUMIF(cbal!I$280:I$296,$B532,cbal!$D$280:$D$296)+1)</f>
        <v>0</v>
      </c>
      <c r="K532" s="1577">
        <v>0</v>
      </c>
      <c r="L532" s="1585">
        <v>-0.02</v>
      </c>
      <c r="M532" s="1585">
        <v>-0.02</v>
      </c>
      <c r="N532" s="1585">
        <v>-0.02</v>
      </c>
      <c r="O532" s="1585">
        <v>-0.02</v>
      </c>
      <c r="R532" s="91" t="b">
        <f t="shared" si="73"/>
        <v>0</v>
      </c>
      <c r="S532" s="21" t="b">
        <f t="shared" si="74"/>
        <v>0</v>
      </c>
      <c r="T532" s="97" t="b">
        <f t="shared" ref="T532:T656" si="77">IF(C532=133.5,L532)</f>
        <v>0</v>
      </c>
    </row>
    <row r="533" spans="2:20">
      <c r="B533" t="s">
        <v>4033</v>
      </c>
      <c r="C533" s="433">
        <v>190</v>
      </c>
      <c r="D533" t="str">
        <f>VLOOKUP($C533,param!$A$4:$B$266,2)</f>
        <v>Water Usage Performance</v>
      </c>
      <c r="E533" s="448">
        <f>INDEX($K533:$O533,SUMIF(cbal!E$280:E$296,$B533,cbal!$D$280:$D$296)+1)</f>
        <v>0</v>
      </c>
      <c r="F533" s="448">
        <f>INDEX($K533:$O533,SUMIF(cbal!F$280:F$296,$B533,cbal!$D$280:$D$296)+1)</f>
        <v>0</v>
      </c>
      <c r="G533" s="448">
        <f>INDEX($K533:$O533,SUMIF(cbal!G$280:G$296,$B533,cbal!$D$280:$D$296)+1)</f>
        <v>0</v>
      </c>
      <c r="H533" s="448">
        <f>INDEX($K533:$O533,SUMIF(cbal!H$280:H$296,$B533,cbal!$D$280:$D$296)+1)</f>
        <v>0</v>
      </c>
      <c r="I533" s="448">
        <f>INDEX($K533:$O533,SUMIF(cbal!I$280:I$296,$B533,cbal!$D$280:$D$296)+1)</f>
        <v>0</v>
      </c>
      <c r="K533" s="1577">
        <v>0</v>
      </c>
      <c r="L533" s="1585">
        <v>0.06</v>
      </c>
      <c r="M533" s="1585">
        <v>0.06</v>
      </c>
      <c r="N533" s="1585">
        <v>0.06</v>
      </c>
      <c r="O533" s="1585">
        <v>0.06</v>
      </c>
      <c r="R533" s="91" t="b">
        <f>IF(AND(C533&gt;166,C533&lt;171.5),L533)</f>
        <v>0</v>
      </c>
      <c r="S533" s="21" t="b">
        <f>IF(AND(C533&gt;166,C533&lt;171.5),M533)</f>
        <v>0</v>
      </c>
      <c r="T533" s="97" t="b">
        <f>IF(C533=133.5,L533)</f>
        <v>0</v>
      </c>
    </row>
    <row r="534" spans="2:20">
      <c r="B534" t="s">
        <v>4033</v>
      </c>
      <c r="C534" s="433">
        <v>192</v>
      </c>
      <c r="D534" t="str">
        <f>VLOOKUP($C534,param!$A$4:$B$266,2)</f>
        <v>Waste Production Performance</v>
      </c>
      <c r="E534" s="448">
        <f>INDEX($K534:$O534,SUMIF(cbal!E$280:E$296,$B534,cbal!$D$280:$D$296)+1)</f>
        <v>0</v>
      </c>
      <c r="F534" s="448">
        <f>INDEX($K534:$O534,SUMIF(cbal!F$280:F$296,$B534,cbal!$D$280:$D$296)+1)</f>
        <v>0</v>
      </c>
      <c r="G534" s="448">
        <f>INDEX($K534:$O534,SUMIF(cbal!G$280:G$296,$B534,cbal!$D$280:$D$296)+1)</f>
        <v>0</v>
      </c>
      <c r="H534" s="448">
        <f>INDEX($K534:$O534,SUMIF(cbal!H$280:H$296,$B534,cbal!$D$280:$D$296)+1)</f>
        <v>0</v>
      </c>
      <c r="I534" s="448">
        <f>INDEX($K534:$O534,SUMIF(cbal!I$280:I$296,$B534,cbal!$D$280:$D$296)+1)</f>
        <v>0</v>
      </c>
      <c r="K534" s="1577">
        <v>0</v>
      </c>
      <c r="L534" s="1585">
        <v>0.03</v>
      </c>
      <c r="M534" s="1585">
        <v>0.03</v>
      </c>
      <c r="N534" s="1585">
        <v>0.03</v>
      </c>
      <c r="O534" s="1585">
        <v>0.03</v>
      </c>
      <c r="R534" s="91" t="b">
        <f t="shared" si="73"/>
        <v>0</v>
      </c>
      <c r="S534" s="21" t="b">
        <f t="shared" si="74"/>
        <v>0</v>
      </c>
      <c r="T534" s="97" t="b">
        <f t="shared" si="77"/>
        <v>0</v>
      </c>
    </row>
    <row r="535" spans="2:20">
      <c r="B535" t="s">
        <v>4033</v>
      </c>
      <c r="C535" s="433">
        <v>167</v>
      </c>
      <c r="D535" t="str">
        <f>VLOOKUP($C535,param!$A$4:$B$266,2)</f>
        <v>Special Program Expense</v>
      </c>
      <c r="E535" s="607">
        <f>INDEX($K535:$O535,SUMIF(cbal!E$280:E$296,$B535,cbal!$D$280:$D$296)+1)</f>
        <v>0</v>
      </c>
      <c r="F535" s="607">
        <f>INDEX($K535:$O535,SUMIF(cbal!F$280:F$296,$B535,cbal!$D$280:$D$296)+1)</f>
        <v>0</v>
      </c>
      <c r="G535" s="607">
        <f>INDEX($K535:$O535,SUMIF(cbal!G$280:G$296,$B535,cbal!$D$280:$D$296)+1)</f>
        <v>0</v>
      </c>
      <c r="H535" s="607">
        <f>INDEX($K535:$O535,SUMIF(cbal!H$280:H$296,$B535,cbal!$D$280:$D$296)+1)</f>
        <v>0</v>
      </c>
      <c r="I535" s="607">
        <f>INDEX($K535:$O535,SUMIF(cbal!I$280:I$296,$B535,cbal!$D$280:$D$296)+1)</f>
        <v>0</v>
      </c>
      <c r="K535" s="1577">
        <v>0</v>
      </c>
      <c r="L535" s="1587">
        <v>3000000</v>
      </c>
      <c r="M535" s="1585"/>
      <c r="N535" s="1585"/>
      <c r="O535" s="1585"/>
      <c r="R535" s="91">
        <f t="shared" si="73"/>
        <v>3000000</v>
      </c>
      <c r="S535" s="21">
        <f t="shared" si="74"/>
        <v>0</v>
      </c>
      <c r="T535" s="97" t="b">
        <f t="shared" si="77"/>
        <v>0</v>
      </c>
    </row>
    <row r="536" spans="2:20">
      <c r="B536" t="s">
        <v>4033</v>
      </c>
      <c r="C536" s="433">
        <v>133.5</v>
      </c>
      <c r="D536" t="str">
        <f>VLOOKUP($C536,param!$A$4:$B$266,2)</f>
        <v>MTU Initiatives Allocation</v>
      </c>
      <c r="E536" s="607">
        <f>INDEX($K536:$O536,SUMIF(cbal!E$280:E$296,$B536,cbal!$D$280:$D$296)+1)</f>
        <v>0</v>
      </c>
      <c r="F536" s="607">
        <f>INDEX($K536:$O536,SUMIF(cbal!F$280:F$296,$B536,cbal!$D$280:$D$296)+1)</f>
        <v>0</v>
      </c>
      <c r="G536" s="607">
        <f>INDEX($K536:$O536,SUMIF(cbal!G$280:G$296,$B536,cbal!$D$280:$D$296)+1)</f>
        <v>0</v>
      </c>
      <c r="H536" s="607">
        <f>INDEX($K536:$O536,SUMIF(cbal!H$280:H$296,$B536,cbal!$D$280:$D$296)+1)</f>
        <v>0</v>
      </c>
      <c r="I536" s="607">
        <f>INDEX($K536:$O536,SUMIF(cbal!I$280:I$296,$B536,cbal!$D$280:$D$296)+1)</f>
        <v>0</v>
      </c>
      <c r="K536" s="1577">
        <v>0</v>
      </c>
      <c r="L536" s="1580">
        <v>10</v>
      </c>
      <c r="M536" s="1580"/>
      <c r="N536" s="1580"/>
      <c r="O536" s="1580"/>
      <c r="R536" s="91" t="b">
        <f t="shared" si="73"/>
        <v>0</v>
      </c>
      <c r="S536" s="21" t="b">
        <f t="shared" si="74"/>
        <v>0</v>
      </c>
      <c r="T536" s="97">
        <f t="shared" si="77"/>
        <v>10</v>
      </c>
    </row>
    <row r="537" spans="2:20">
      <c r="B537" t="s">
        <v>4033</v>
      </c>
      <c r="C537" s="433">
        <v>203</v>
      </c>
      <c r="D537" t="str">
        <f>VLOOKUP($C537,param!$A$4:$B$266,2)</f>
        <v>Productivity Strategy</v>
      </c>
      <c r="E537" s="607">
        <f>INDEX($K537:$O537,SUMIF(cbal!E$280:E$296,$B537,cbal!$D$280:$D$296)+1)</f>
        <v>0</v>
      </c>
      <c r="F537" s="607">
        <f>INDEX($K537:$O537,SUMIF(cbal!F$280:F$296,$B537,cbal!$D$280:$D$296)+1)</f>
        <v>0</v>
      </c>
      <c r="G537" s="607">
        <f>INDEX($K537:$O537,SUMIF(cbal!G$280:G$296,$B537,cbal!$D$280:$D$296)+1)</f>
        <v>0</v>
      </c>
      <c r="H537" s="607">
        <f>INDEX($K537:$O537,SUMIF(cbal!H$280:H$296,$B537,cbal!$D$280:$D$296)+1)</f>
        <v>0</v>
      </c>
      <c r="I537" s="607">
        <f>INDEX($K537:$O537,SUMIF(cbal!I$280:I$296,$B537,cbal!$D$280:$D$296)+1)</f>
        <v>0</v>
      </c>
      <c r="K537" s="1577">
        <v>0</v>
      </c>
      <c r="L537" s="1580">
        <f>L536/2</f>
        <v>5</v>
      </c>
      <c r="M537" s="1580">
        <f t="shared" ref="M537:O538" si="78">L537</f>
        <v>5</v>
      </c>
      <c r="N537" s="1580">
        <f t="shared" si="78"/>
        <v>5</v>
      </c>
      <c r="O537" s="1580">
        <f t="shared" si="78"/>
        <v>5</v>
      </c>
      <c r="R537" s="91" t="b">
        <f>IF(AND(C537&gt;166,C537&lt;171.5),L537)</f>
        <v>0</v>
      </c>
      <c r="S537" s="21" t="b">
        <f>IF(AND(C537&gt;166,C537&lt;171.5),M537)</f>
        <v>0</v>
      </c>
      <c r="T537" s="97" t="b">
        <f>IF(C537=133.5,L537)</f>
        <v>0</v>
      </c>
    </row>
    <row r="538" spans="2:20">
      <c r="B538" t="s">
        <v>4033</v>
      </c>
      <c r="C538" s="433">
        <v>201</v>
      </c>
      <c r="D538" t="str">
        <f>VLOOKUP($C538,param!$A$4:$B$266,2)</f>
        <v>Brands Strategy</v>
      </c>
      <c r="E538" s="607">
        <f>INDEX($K538:$O538,SUMIF(cbal!E$280:E$296,$B538,cbal!$D$280:$D$296)+1)</f>
        <v>0</v>
      </c>
      <c r="F538" s="607">
        <f>INDEX($K538:$O538,SUMIF(cbal!F$280:F$296,$B538,cbal!$D$280:$D$296)+1)</f>
        <v>0</v>
      </c>
      <c r="G538" s="607">
        <f>INDEX($K538:$O538,SUMIF(cbal!G$280:G$296,$B538,cbal!$D$280:$D$296)+1)</f>
        <v>0</v>
      </c>
      <c r="H538" s="607">
        <f>INDEX($K538:$O538,SUMIF(cbal!H$280:H$296,$B538,cbal!$D$280:$D$296)+1)</f>
        <v>0</v>
      </c>
      <c r="I538" s="607">
        <f>INDEX($K538:$O538,SUMIF(cbal!I$280:I$296,$B538,cbal!$D$280:$D$296)+1)</f>
        <v>0</v>
      </c>
      <c r="K538" s="1577">
        <v>0</v>
      </c>
      <c r="L538" s="1580">
        <f>L536-L537</f>
        <v>5</v>
      </c>
      <c r="M538" s="1580">
        <f t="shared" si="78"/>
        <v>5</v>
      </c>
      <c r="N538" s="1580">
        <f t="shared" si="78"/>
        <v>5</v>
      </c>
      <c r="O538" s="1580">
        <f t="shared" si="78"/>
        <v>5</v>
      </c>
      <c r="R538" s="91" t="b">
        <f>IF(AND(C538&gt;166,C538&lt;171.5),L538)</f>
        <v>0</v>
      </c>
      <c r="S538" s="21" t="b">
        <f>IF(AND(C538&gt;166,C538&lt;171.5),M538)</f>
        <v>0</v>
      </c>
      <c r="T538" s="97" t="b">
        <f>IF(C538=133.5,L538)</f>
        <v>0</v>
      </c>
    </row>
    <row r="539" spans="2:20">
      <c r="B539">
        <v>0</v>
      </c>
      <c r="C539" s="433">
        <v>0</v>
      </c>
      <c r="E539" s="183"/>
      <c r="F539" s="183"/>
      <c r="G539" s="183"/>
      <c r="H539" s="183"/>
      <c r="I539" s="183"/>
      <c r="K539" s="1577"/>
      <c r="L539" s="1580"/>
      <c r="M539" s="1580"/>
      <c r="N539" s="1580"/>
      <c r="O539" s="1580"/>
      <c r="R539" s="91">
        <v>0</v>
      </c>
      <c r="S539" s="21">
        <v>0</v>
      </c>
      <c r="T539" s="97">
        <v>0</v>
      </c>
    </row>
    <row r="540" spans="2:20">
      <c r="B540" s="33" t="s">
        <v>4034</v>
      </c>
      <c r="C540" t="str">
        <f>VLOOKUP(B540,DataInitiativesGrid,2,0)</f>
        <v>Organic Corn Syrup Partnership</v>
      </c>
      <c r="E540" s="448"/>
      <c r="F540" s="448"/>
      <c r="G540" s="448"/>
      <c r="H540" s="448"/>
      <c r="I540" s="448"/>
      <c r="K540" s="1577"/>
      <c r="L540" s="1585"/>
      <c r="M540" s="1585"/>
      <c r="N540" s="1585"/>
      <c r="O540" s="1585"/>
      <c r="R540" s="91">
        <v>0</v>
      </c>
      <c r="S540" s="21">
        <v>0</v>
      </c>
      <c r="T540" s="97">
        <v>0</v>
      </c>
    </row>
    <row r="541" spans="2:20">
      <c r="B541" s="33" t="s">
        <v>4034</v>
      </c>
      <c r="C541" s="433">
        <v>190</v>
      </c>
      <c r="D541" t="str">
        <f>VLOOKUP($C541,param!$A$4:$B$266,2)</f>
        <v>Water Usage Performance</v>
      </c>
      <c r="E541" s="448">
        <f>INDEX($K541:$O541,SUMIF(cbal!E$280:E$296,$B541,cbal!$D$280:$D$296)+1)</f>
        <v>0</v>
      </c>
      <c r="F541" s="448">
        <f>INDEX($K541:$O541,SUMIF(cbal!F$280:F$296,$B541,cbal!$D$280:$D$296)+1)</f>
        <v>0</v>
      </c>
      <c r="G541" s="448">
        <f>INDEX($K541:$O541,SUMIF(cbal!G$280:G$296,$B541,cbal!$D$280:$D$296)+1)</f>
        <v>0</v>
      </c>
      <c r="H541" s="448">
        <f>INDEX($K541:$O541,SUMIF(cbal!H$280:H$296,$B541,cbal!$D$280:$D$296)+1)</f>
        <v>0</v>
      </c>
      <c r="I541" s="448">
        <f>INDEX($K541:$O541,SUMIF(cbal!I$280:I$296,$B541,cbal!$D$280:$D$296)+1)</f>
        <v>0</v>
      </c>
      <c r="K541" s="1577">
        <v>0</v>
      </c>
      <c r="L541" s="1585">
        <v>0.05</v>
      </c>
      <c r="M541" s="1585">
        <v>0.05</v>
      </c>
      <c r="N541" s="1585">
        <v>0.05</v>
      </c>
      <c r="O541" s="1585">
        <v>0.05</v>
      </c>
      <c r="R541" s="91" t="b">
        <f t="shared" ref="R541:R549" si="79">IF(AND(C541&gt;166,C541&lt;171.5),L541)</f>
        <v>0</v>
      </c>
      <c r="S541" s="21" t="b">
        <f t="shared" ref="S541:S549" si="80">IF(AND(C541&gt;166,C541&lt;171.5),M541)</f>
        <v>0</v>
      </c>
      <c r="T541" s="97" t="b">
        <f t="shared" ref="T541:T549" si="81">IF(C541=133.5,L541)</f>
        <v>0</v>
      </c>
    </row>
    <row r="542" spans="2:20">
      <c r="B542" s="33" t="s">
        <v>4034</v>
      </c>
      <c r="C542" s="433">
        <v>191</v>
      </c>
      <c r="D542" s="33" t="str">
        <f>VLOOKUP($C542,param!$A$4:$B$266,2)</f>
        <v>Energy Usage Performance</v>
      </c>
      <c r="E542" s="448">
        <f>INDEX($K542:$O542,SUMIF(cbal!E$280:E$296,$B542,cbal!$D$280:$D$296)+1)</f>
        <v>0</v>
      </c>
      <c r="F542" s="448">
        <f>INDEX($K542:$O542,SUMIF(cbal!F$280:F$296,$B542,cbal!$D$280:$D$296)+1)</f>
        <v>0</v>
      </c>
      <c r="G542" s="448">
        <f>INDEX($K542:$O542,SUMIF(cbal!G$280:G$296,$B542,cbal!$D$280:$D$296)+1)</f>
        <v>0</v>
      </c>
      <c r="H542" s="448">
        <f>INDEX($K542:$O542,SUMIF(cbal!H$280:H$296,$B542,cbal!$D$280:$D$296)+1)</f>
        <v>0</v>
      </c>
      <c r="I542" s="448">
        <f>INDEX($K542:$O542,SUMIF(cbal!I$280:I$296,$B542,cbal!$D$280:$D$296)+1)</f>
        <v>0</v>
      </c>
      <c r="K542" s="1577">
        <v>0</v>
      </c>
      <c r="L542" s="1585">
        <v>0.16</v>
      </c>
      <c r="M542" s="1585">
        <v>0.16</v>
      </c>
      <c r="N542" s="1585">
        <v>0.16</v>
      </c>
      <c r="O542" s="1585">
        <v>0.16</v>
      </c>
      <c r="R542" s="91" t="b">
        <f t="shared" si="79"/>
        <v>0</v>
      </c>
      <c r="S542" s="21" t="b">
        <f t="shared" si="80"/>
        <v>0</v>
      </c>
      <c r="T542" s="97" t="b">
        <f t="shared" si="81"/>
        <v>0</v>
      </c>
    </row>
    <row r="543" spans="2:20">
      <c r="B543" s="33" t="s">
        <v>4034</v>
      </c>
      <c r="C543" s="433">
        <v>192</v>
      </c>
      <c r="D543" s="33" t="str">
        <f>VLOOKUP($C543,param!$A$4:$B$266,2)</f>
        <v>Waste Production Performance</v>
      </c>
      <c r="E543" s="448">
        <f>INDEX($K543:$O543,SUMIF(cbal!E$280:E$296,$B543,cbal!$D$280:$D$296)+1)</f>
        <v>0</v>
      </c>
      <c r="F543" s="448">
        <f>INDEX($K543:$O543,SUMIF(cbal!F$280:F$296,$B543,cbal!$D$280:$D$296)+1)</f>
        <v>0</v>
      </c>
      <c r="G543" s="448">
        <f>INDEX($K543:$O543,SUMIF(cbal!G$280:G$296,$B543,cbal!$D$280:$D$296)+1)</f>
        <v>0</v>
      </c>
      <c r="H543" s="448">
        <f>INDEX($K543:$O543,SUMIF(cbal!H$280:H$296,$B543,cbal!$D$280:$D$296)+1)</f>
        <v>0</v>
      </c>
      <c r="I543" s="448">
        <f>INDEX($K543:$O543,SUMIF(cbal!I$280:I$296,$B543,cbal!$D$280:$D$296)+1)</f>
        <v>0</v>
      </c>
      <c r="K543" s="1577">
        <v>0</v>
      </c>
      <c r="L543" s="1585">
        <v>0.12</v>
      </c>
      <c r="M543" s="1585">
        <v>0.12</v>
      </c>
      <c r="N543" s="1585">
        <v>0.12</v>
      </c>
      <c r="O543" s="1585">
        <v>0.12</v>
      </c>
      <c r="R543" s="91" t="b">
        <f t="shared" si="79"/>
        <v>0</v>
      </c>
      <c r="S543" s="21" t="b">
        <f t="shared" si="80"/>
        <v>0</v>
      </c>
      <c r="T543" s="97" t="b">
        <f t="shared" si="81"/>
        <v>0</v>
      </c>
    </row>
    <row r="544" spans="2:20">
      <c r="B544" s="33" t="s">
        <v>4034</v>
      </c>
      <c r="C544" s="433">
        <v>193</v>
      </c>
      <c r="D544" s="33" t="str">
        <f>VLOOKUP($C544,param!$A$4:$B$266,2)</f>
        <v>Healthy Product Innovation</v>
      </c>
      <c r="E544" s="448">
        <f>INDEX($K544:$O544,SUMIF(cbal!E$280:E$296,$B544,cbal!$D$280:$D$296)+1)</f>
        <v>0</v>
      </c>
      <c r="F544" s="448">
        <f>INDEX($K544:$O544,SUMIF(cbal!F$280:F$296,$B544,cbal!$D$280:$D$296)+1)</f>
        <v>0</v>
      </c>
      <c r="G544" s="448">
        <f>INDEX($K544:$O544,SUMIF(cbal!G$280:G$296,$B544,cbal!$D$280:$D$296)+1)</f>
        <v>0</v>
      </c>
      <c r="H544" s="448">
        <f>INDEX($K544:$O544,SUMIF(cbal!H$280:H$296,$B544,cbal!$D$280:$D$296)+1)</f>
        <v>0</v>
      </c>
      <c r="I544" s="448">
        <f>INDEX($K544:$O544,SUMIF(cbal!I$280:I$296,$B544,cbal!$D$280:$D$296)+1)</f>
        <v>0</v>
      </c>
      <c r="K544" s="1577">
        <v>0</v>
      </c>
      <c r="L544" s="1585">
        <v>0.02</v>
      </c>
      <c r="M544" s="1585">
        <v>0.02</v>
      </c>
      <c r="N544" s="1585">
        <v>0.02</v>
      </c>
      <c r="O544" s="1585">
        <v>0.02</v>
      </c>
      <c r="R544" s="91" t="b">
        <f t="shared" si="79"/>
        <v>0</v>
      </c>
      <c r="S544" s="21" t="b">
        <f t="shared" si="80"/>
        <v>0</v>
      </c>
      <c r="T544" s="97" t="b">
        <f t="shared" si="81"/>
        <v>0</v>
      </c>
    </row>
    <row r="545" spans="2:20">
      <c r="B545" s="33" t="s">
        <v>4034</v>
      </c>
      <c r="C545" s="433">
        <v>7</v>
      </c>
      <c r="D545" t="str">
        <f>VLOOKUP($C545,param!$A$4:$B$266,2)</f>
        <v>CSD Material Cost Per Unit</v>
      </c>
      <c r="E545" s="448">
        <f>INDEX($K545:$O545,SUMIF(cbal!E$280:E$296,$B545,cbal!$D$280:$D$296)+1)</f>
        <v>0</v>
      </c>
      <c r="F545" s="448">
        <f>INDEX($K545:$O545,SUMIF(cbal!F$280:F$296,$B545,cbal!$D$280:$D$296)+1)</f>
        <v>0</v>
      </c>
      <c r="G545" s="448">
        <f>INDEX($K545:$O545,SUMIF(cbal!G$280:G$296,$B545,cbal!$D$280:$D$296)+1)</f>
        <v>0</v>
      </c>
      <c r="H545" s="448">
        <f>INDEX($K545:$O545,SUMIF(cbal!H$280:H$296,$B545,cbal!$D$280:$D$296)+1)</f>
        <v>0</v>
      </c>
      <c r="I545" s="448">
        <f>INDEX($K545:$O545,SUMIF(cbal!I$280:I$296,$B545,cbal!$D$280:$D$296)+1)</f>
        <v>0</v>
      </c>
      <c r="K545" s="1577">
        <v>0</v>
      </c>
      <c r="L545" s="1585">
        <v>0.02</v>
      </c>
      <c r="M545" s="1585">
        <v>0.02</v>
      </c>
      <c r="N545" s="1585">
        <v>0.02</v>
      </c>
      <c r="O545" s="1585">
        <v>0.02</v>
      </c>
      <c r="R545" s="91" t="b">
        <f t="shared" si="79"/>
        <v>0</v>
      </c>
      <c r="S545" s="21" t="b">
        <f t="shared" si="80"/>
        <v>0</v>
      </c>
      <c r="T545" s="97" t="b">
        <f t="shared" si="81"/>
        <v>0</v>
      </c>
    </row>
    <row r="546" spans="2:20">
      <c r="B546" s="33" t="s">
        <v>4034</v>
      </c>
      <c r="C546" s="433">
        <v>172</v>
      </c>
      <c r="D546" t="str">
        <f>VLOOKUP($C546,param!$A$4:$B$266,2)</f>
        <v>Region 1 Special Program Success CSD</v>
      </c>
      <c r="E546" s="448">
        <f>INDEX($K546:$O546,SUMIF(cbal!E$280:E$296,$B546,cbal!$D$280:$D$296)+1)</f>
        <v>0</v>
      </c>
      <c r="F546" s="448">
        <f>INDEX($K546:$O546,SUMIF(cbal!F$280:F$296,$B546,cbal!$D$280:$D$296)+1)</f>
        <v>0</v>
      </c>
      <c r="G546" s="448">
        <f>INDEX($K546:$O546,SUMIF(cbal!G$280:G$296,$B546,cbal!$D$280:$D$296)+1)</f>
        <v>0</v>
      </c>
      <c r="H546" s="448">
        <f>INDEX($K546:$O546,SUMIF(cbal!H$280:H$296,$B546,cbal!$D$280:$D$296)+1)</f>
        <v>0</v>
      </c>
      <c r="I546" s="448">
        <f>INDEX($K546:$O546,SUMIF(cbal!I$280:I$296,$B546,cbal!$D$280:$D$296)+1)</f>
        <v>0</v>
      </c>
      <c r="K546" s="1577">
        <v>0</v>
      </c>
      <c r="L546" s="1585">
        <v>0.01</v>
      </c>
      <c r="M546" s="1585">
        <v>0.01</v>
      </c>
      <c r="N546" s="1585">
        <v>0.01</v>
      </c>
      <c r="O546" s="1585">
        <v>0.01</v>
      </c>
      <c r="R546" s="91" t="b">
        <f>IF(AND(C546&gt;166,C546&lt;171.5),L546)</f>
        <v>0</v>
      </c>
      <c r="S546" s="21" t="b">
        <f>IF(AND(C546&gt;166,C546&lt;171.5),M546)</f>
        <v>0</v>
      </c>
      <c r="T546" s="97" t="b">
        <f>IF(C546=133.5,L546)</f>
        <v>0</v>
      </c>
    </row>
    <row r="547" spans="2:20">
      <c r="B547" s="33" t="s">
        <v>4034</v>
      </c>
      <c r="C547" s="433">
        <v>168</v>
      </c>
      <c r="D547" t="str">
        <f>VLOOKUP($C547,param!$A$4:$B$266,2)</f>
        <v>Special Programs Expense Product 1 Region 1</v>
      </c>
      <c r="E547" s="607">
        <f>INDEX($K547:$O547,SUMIF(cbal!E$280:E$296,$B547,cbal!$D$280:$D$296)+1)</f>
        <v>0</v>
      </c>
      <c r="F547" s="607">
        <f>INDEX($K547:$O547,SUMIF(cbal!F$280:F$296,$B547,cbal!$D$280:$D$296)+1)</f>
        <v>0</v>
      </c>
      <c r="G547" s="607">
        <f>INDEX($K547:$O547,SUMIF(cbal!G$280:G$296,$B547,cbal!$D$280:$D$296)+1)</f>
        <v>0</v>
      </c>
      <c r="H547" s="607">
        <f>INDEX($K547:$O547,SUMIF(cbal!H$280:H$296,$B547,cbal!$D$280:$D$296)+1)</f>
        <v>0</v>
      </c>
      <c r="I547" s="607">
        <f>INDEX($K547:$O547,SUMIF(cbal!I$280:I$296,$B547,cbal!$D$280:$D$296)+1)</f>
        <v>0</v>
      </c>
      <c r="K547" s="1577">
        <v>0</v>
      </c>
      <c r="L547" s="1587">
        <v>10000000</v>
      </c>
      <c r="M547" s="1585"/>
      <c r="N547" s="1585"/>
      <c r="O547" s="1585"/>
      <c r="R547" s="91">
        <f t="shared" si="79"/>
        <v>10000000</v>
      </c>
      <c r="S547" s="21">
        <f t="shared" si="80"/>
        <v>0</v>
      </c>
      <c r="T547" s="97" t="b">
        <f t="shared" si="81"/>
        <v>0</v>
      </c>
    </row>
    <row r="548" spans="2:20">
      <c r="B548" s="33" t="s">
        <v>4034</v>
      </c>
      <c r="C548" s="433">
        <v>133.5</v>
      </c>
      <c r="D548" t="str">
        <f>VLOOKUP($C548,param!$A$4:$B$266,2)</f>
        <v>MTU Initiatives Allocation</v>
      </c>
      <c r="E548" s="607">
        <f>INDEX($K548:$O548,SUMIF(cbal!E$280:E$296,$B548,cbal!$D$280:$D$296)+1)</f>
        <v>0</v>
      </c>
      <c r="F548" s="607">
        <f>INDEX($K548:$O548,SUMIF(cbal!F$280:F$296,$B548,cbal!$D$280:$D$296)+1)</f>
        <v>0</v>
      </c>
      <c r="G548" s="607">
        <f>INDEX($K548:$O548,SUMIF(cbal!G$280:G$296,$B548,cbal!$D$280:$D$296)+1)</f>
        <v>0</v>
      </c>
      <c r="H548" s="607">
        <f>INDEX($K548:$O548,SUMIF(cbal!H$280:H$296,$B548,cbal!$D$280:$D$296)+1)</f>
        <v>0</v>
      </c>
      <c r="I548" s="607">
        <f>INDEX($K548:$O548,SUMIF(cbal!I$280:I$296,$B548,cbal!$D$280:$D$296)+1)</f>
        <v>0</v>
      </c>
      <c r="K548" s="1577">
        <v>0</v>
      </c>
      <c r="L548" s="1580">
        <v>5</v>
      </c>
      <c r="M548" s="1580"/>
      <c r="N548" s="1580"/>
      <c r="O548" s="1580"/>
      <c r="R548" s="91" t="b">
        <f t="shared" si="79"/>
        <v>0</v>
      </c>
      <c r="S548" s="21" t="b">
        <f t="shared" si="80"/>
        <v>0</v>
      </c>
      <c r="T548" s="97">
        <f t="shared" si="81"/>
        <v>5</v>
      </c>
    </row>
    <row r="549" spans="2:20">
      <c r="B549" s="33" t="s">
        <v>4034</v>
      </c>
      <c r="C549" s="433">
        <v>201</v>
      </c>
      <c r="D549" t="str">
        <f>VLOOKUP($C549,param!$A$4:$B$266,2)</f>
        <v>Brands Strategy</v>
      </c>
      <c r="E549" s="607">
        <f>INDEX($K549:$O549,SUMIF(cbal!E$280:E$296,$B549,cbal!$D$280:$D$296)+1)</f>
        <v>0</v>
      </c>
      <c r="F549" s="607">
        <f>INDEX($K549:$O549,SUMIF(cbal!F$280:F$296,$B549,cbal!$D$280:$D$296)+1)</f>
        <v>0</v>
      </c>
      <c r="G549" s="607">
        <f>INDEX($K549:$O549,SUMIF(cbal!G$280:G$296,$B549,cbal!$D$280:$D$296)+1)</f>
        <v>0</v>
      </c>
      <c r="H549" s="607">
        <f>INDEX($K549:$O549,SUMIF(cbal!H$280:H$296,$B549,cbal!$D$280:$D$296)+1)</f>
        <v>0</v>
      </c>
      <c r="I549" s="607">
        <f>INDEX($K549:$O549,SUMIF(cbal!I$280:I$296,$B549,cbal!$D$280:$D$296)+1)</f>
        <v>0</v>
      </c>
      <c r="K549" s="1577">
        <v>0</v>
      </c>
      <c r="L549" s="1580">
        <f>L548/2</f>
        <v>2.5</v>
      </c>
      <c r="M549" s="1582">
        <f t="shared" ref="M549:O550" si="82">L549</f>
        <v>2.5</v>
      </c>
      <c r="N549" s="1582">
        <f t="shared" si="82"/>
        <v>2.5</v>
      </c>
      <c r="O549" s="1582">
        <f t="shared" si="82"/>
        <v>2.5</v>
      </c>
      <c r="R549" s="91" t="b">
        <f t="shared" si="79"/>
        <v>0</v>
      </c>
      <c r="S549" s="21" t="b">
        <f t="shared" si="80"/>
        <v>0</v>
      </c>
      <c r="T549" s="97" t="b">
        <f t="shared" si="81"/>
        <v>0</v>
      </c>
    </row>
    <row r="550" spans="2:20">
      <c r="B550" s="33" t="s">
        <v>4034</v>
      </c>
      <c r="C550" s="433">
        <v>203</v>
      </c>
      <c r="D550" t="str">
        <f>VLOOKUP($C550,param!$A$4:$B$266,2)</f>
        <v>Productivity Strategy</v>
      </c>
      <c r="E550" s="607">
        <f>INDEX($K550:$O550,SUMIF(cbal!E$280:E$296,$B550,cbal!$D$280:$D$296)+1)</f>
        <v>0</v>
      </c>
      <c r="F550" s="607">
        <f>INDEX($K550:$O550,SUMIF(cbal!F$280:F$296,$B550,cbal!$D$280:$D$296)+1)</f>
        <v>0</v>
      </c>
      <c r="G550" s="607">
        <f>INDEX($K550:$O550,SUMIF(cbal!G$280:G$296,$B550,cbal!$D$280:$D$296)+1)</f>
        <v>0</v>
      </c>
      <c r="H550" s="607">
        <f>INDEX($K550:$O550,SUMIF(cbal!H$280:H$296,$B550,cbal!$D$280:$D$296)+1)</f>
        <v>0</v>
      </c>
      <c r="I550" s="607">
        <f>INDEX($K550:$O550,SUMIF(cbal!I$280:I$296,$B550,cbal!$D$280:$D$296)+1)</f>
        <v>0</v>
      </c>
      <c r="K550" s="1577">
        <v>0</v>
      </c>
      <c r="L550" s="1580">
        <f>L548-L549</f>
        <v>2.5</v>
      </c>
      <c r="M550" s="1582">
        <f t="shared" si="82"/>
        <v>2.5</v>
      </c>
      <c r="N550" s="1582">
        <f t="shared" si="82"/>
        <v>2.5</v>
      </c>
      <c r="O550" s="1582">
        <f t="shared" si="82"/>
        <v>2.5</v>
      </c>
      <c r="R550" s="91" t="b">
        <f>IF(AND(C550&gt;166,C550&lt;171.5),L550)</f>
        <v>0</v>
      </c>
      <c r="S550" s="21" t="b">
        <f>IF(AND(C550&gt;166,C550&lt;171.5),M550)</f>
        <v>0</v>
      </c>
      <c r="T550" s="97" t="b">
        <f>IF(C550=133.5,L550)</f>
        <v>0</v>
      </c>
    </row>
    <row r="551" spans="2:20">
      <c r="B551">
        <v>0</v>
      </c>
      <c r="C551" s="433">
        <v>0</v>
      </c>
      <c r="E551" s="448"/>
      <c r="F551" s="448"/>
      <c r="G551" s="448"/>
      <c r="H551" s="448"/>
      <c r="I551" s="448"/>
      <c r="K551" s="1577"/>
      <c r="L551" s="1585"/>
      <c r="M551" s="1585"/>
      <c r="N551" s="1585"/>
      <c r="O551" s="1585"/>
      <c r="R551" s="91">
        <v>0</v>
      </c>
      <c r="S551" s="21">
        <v>0</v>
      </c>
      <c r="T551" s="97">
        <v>0</v>
      </c>
    </row>
    <row r="552" spans="2:20">
      <c r="B552" s="33" t="s">
        <v>4035</v>
      </c>
      <c r="C552" t="str">
        <f>VLOOKUP(B552,DataInitiativesGrid,2,0)</f>
        <v>Customized Business Simulations</v>
      </c>
      <c r="E552" s="448"/>
      <c r="F552" s="448"/>
      <c r="G552" s="448"/>
      <c r="H552" s="448"/>
      <c r="I552" s="448"/>
      <c r="K552" s="1577"/>
      <c r="L552" s="1585"/>
      <c r="M552" s="1585"/>
      <c r="N552" s="1585"/>
      <c r="O552" s="1585"/>
      <c r="R552" s="91">
        <v>0</v>
      </c>
      <c r="S552" s="21">
        <v>0</v>
      </c>
      <c r="T552" s="97">
        <v>0</v>
      </c>
    </row>
    <row r="553" spans="2:20">
      <c r="B553" s="33" t="s">
        <v>4035</v>
      </c>
      <c r="C553" s="433">
        <v>120</v>
      </c>
      <c r="D553" t="str">
        <f>VLOOKUP($C553,param!$A$4:$B$266,2)</f>
        <v>Labor Attrition rate</v>
      </c>
      <c r="E553" s="448">
        <f>INDEX($K553:$O553,SUMIF(cbal!E$280:E$296,$B553,cbal!$D$280:$D$296)+1)</f>
        <v>0</v>
      </c>
      <c r="F553" s="448">
        <f>INDEX($K553:$O553,SUMIF(cbal!F$280:F$296,$B553,cbal!$D$280:$D$296)+1)</f>
        <v>0</v>
      </c>
      <c r="G553" s="448">
        <f>INDEX($K553:$O553,SUMIF(cbal!G$280:G$296,$B553,cbal!$D$280:$D$296)+1)</f>
        <v>0</v>
      </c>
      <c r="H553" s="448">
        <f>INDEX($K553:$O553,SUMIF(cbal!H$280:H$296,$B553,cbal!$D$280:$D$296)+1)</f>
        <v>0</v>
      </c>
      <c r="I553" s="448">
        <f>INDEX($K553:$O553,SUMIF(cbal!I$280:I$296,$B553,cbal!$D$280:$D$296)+1)</f>
        <v>0</v>
      </c>
      <c r="K553" s="1577">
        <v>0</v>
      </c>
      <c r="L553" s="1585">
        <v>-0.02</v>
      </c>
      <c r="M553" s="1585">
        <v>-0.02</v>
      </c>
      <c r="N553" s="1585">
        <v>-0.02</v>
      </c>
      <c r="O553" s="1585">
        <v>-0.02</v>
      </c>
      <c r="R553" s="91" t="b">
        <f t="shared" si="73"/>
        <v>0</v>
      </c>
      <c r="S553" s="21" t="b">
        <f t="shared" si="74"/>
        <v>0</v>
      </c>
      <c r="T553" s="97" t="b">
        <f t="shared" si="77"/>
        <v>0</v>
      </c>
    </row>
    <row r="554" spans="2:20">
      <c r="B554" s="33" t="s">
        <v>4035</v>
      </c>
      <c r="C554" s="433">
        <v>122</v>
      </c>
      <c r="D554" s="33" t="str">
        <f>VLOOKUP($C554,param!$A$4:$B$266,2)</f>
        <v>Labor Recruit/Dismissal Cost</v>
      </c>
      <c r="E554" s="448">
        <f>INDEX($K554:$O554,SUMIF(cbal!E$280:E$296,$B554,cbal!$D$280:$D$296)+1)</f>
        <v>0</v>
      </c>
      <c r="F554" s="448">
        <f>INDEX($K554:$O554,SUMIF(cbal!F$280:F$296,$B554,cbal!$D$280:$D$296)+1)</f>
        <v>0</v>
      </c>
      <c r="G554" s="448">
        <f>INDEX($K554:$O554,SUMIF(cbal!G$280:G$296,$B554,cbal!$D$280:$D$296)+1)</f>
        <v>0</v>
      </c>
      <c r="H554" s="448">
        <f>INDEX($K554:$O554,SUMIF(cbal!H$280:H$296,$B554,cbal!$D$280:$D$296)+1)</f>
        <v>0</v>
      </c>
      <c r="I554" s="448">
        <f>INDEX($K554:$O554,SUMIF(cbal!I$280:I$296,$B554,cbal!$D$280:$D$296)+1)</f>
        <v>0</v>
      </c>
      <c r="K554" s="1577">
        <v>0</v>
      </c>
      <c r="L554" s="1585">
        <v>0.01</v>
      </c>
      <c r="M554" s="1585">
        <v>0.01</v>
      </c>
      <c r="N554" s="1585">
        <v>0.01</v>
      </c>
      <c r="O554" s="1585">
        <v>0.01</v>
      </c>
      <c r="R554" s="91" t="b">
        <f t="shared" si="73"/>
        <v>0</v>
      </c>
      <c r="S554" s="21" t="b">
        <f t="shared" si="74"/>
        <v>0</v>
      </c>
      <c r="T554" s="97" t="b">
        <f t="shared" si="77"/>
        <v>0</v>
      </c>
    </row>
    <row r="555" spans="2:20">
      <c r="B555" s="33" t="s">
        <v>4035</v>
      </c>
      <c r="C555" s="433">
        <v>9</v>
      </c>
      <c r="D555" s="33" t="str">
        <f>VLOOKUP($C555,param!$A$4:$B$266,2)</f>
        <v>CSD Labor Hours Req. Per Unit</v>
      </c>
      <c r="E555" s="448">
        <f>INDEX($K555:$O555,SUMIF(cbal!E$280:E$296,$B555,cbal!$D$280:$D$296)+1)</f>
        <v>0</v>
      </c>
      <c r="F555" s="448">
        <f>INDEX($K555:$O555,SUMIF(cbal!F$280:F$296,$B555,cbal!$D$280:$D$296)+1)</f>
        <v>0</v>
      </c>
      <c r="G555" s="448">
        <f>INDEX($K555:$O555,SUMIF(cbal!G$280:G$296,$B555,cbal!$D$280:$D$296)+1)</f>
        <v>0</v>
      </c>
      <c r="H555" s="448">
        <f>INDEX($K555:$O555,SUMIF(cbal!H$280:H$296,$B555,cbal!$D$280:$D$296)+1)</f>
        <v>0</v>
      </c>
      <c r="I555" s="448">
        <f>INDEX($K555:$O555,SUMIF(cbal!I$280:I$296,$B555,cbal!$D$280:$D$296)+1)</f>
        <v>0</v>
      </c>
      <c r="K555" s="1577">
        <v>0</v>
      </c>
      <c r="L555" s="1585">
        <v>-0.01</v>
      </c>
      <c r="M555" s="1585">
        <v>-0.01</v>
      </c>
      <c r="N555" s="1585">
        <v>-0.01</v>
      </c>
      <c r="O555" s="1585">
        <v>-0.01</v>
      </c>
      <c r="R555" s="91" t="b">
        <f t="shared" si="73"/>
        <v>0</v>
      </c>
      <c r="S555" s="21" t="b">
        <f t="shared" si="74"/>
        <v>0</v>
      </c>
      <c r="T555" s="97" t="b">
        <f t="shared" si="77"/>
        <v>0</v>
      </c>
    </row>
    <row r="556" spans="2:20">
      <c r="B556" s="33" t="s">
        <v>4035</v>
      </c>
      <c r="C556" s="433">
        <v>47</v>
      </c>
      <c r="D556" s="33" t="str">
        <f>VLOOKUP($C556,param!$A$4:$B$266,2)</f>
        <v>NCB Labor Hours Req. Per Unit</v>
      </c>
      <c r="E556" s="448">
        <f>INDEX($K556:$O556,SUMIF(cbal!E$280:E$296,$B556,cbal!$D$280:$D$296)+1)</f>
        <v>0</v>
      </c>
      <c r="F556" s="448">
        <f>INDEX($K556:$O556,SUMIF(cbal!F$280:F$296,$B556,cbal!$D$280:$D$296)+1)</f>
        <v>0</v>
      </c>
      <c r="G556" s="448">
        <f>INDEX($K556:$O556,SUMIF(cbal!G$280:G$296,$B556,cbal!$D$280:$D$296)+1)</f>
        <v>0</v>
      </c>
      <c r="H556" s="448">
        <f>INDEX($K556:$O556,SUMIF(cbal!H$280:H$296,$B556,cbal!$D$280:$D$296)+1)</f>
        <v>0</v>
      </c>
      <c r="I556" s="448">
        <f>INDEX($K556:$O556,SUMIF(cbal!I$280:I$296,$B556,cbal!$D$280:$D$296)+1)</f>
        <v>0</v>
      </c>
      <c r="K556" s="1577">
        <v>0</v>
      </c>
      <c r="L556" s="1585">
        <v>-0.01</v>
      </c>
      <c r="M556" s="1585">
        <v>-0.01</v>
      </c>
      <c r="N556" s="1585">
        <v>-0.01</v>
      </c>
      <c r="O556" s="1585">
        <v>-0.01</v>
      </c>
      <c r="R556" s="91" t="b">
        <f t="shared" si="73"/>
        <v>0</v>
      </c>
      <c r="S556" s="21" t="b">
        <f t="shared" si="74"/>
        <v>0</v>
      </c>
      <c r="T556" s="97" t="b">
        <f t="shared" si="77"/>
        <v>0</v>
      </c>
    </row>
    <row r="557" spans="2:20">
      <c r="B557" s="33" t="s">
        <v>4035</v>
      </c>
      <c r="C557" s="433">
        <v>66</v>
      </c>
      <c r="D557" t="str">
        <f>VLOOKUP($C557,param!$A$4:$B$266,2)</f>
        <v>F&amp;S Labor Hours Req. Per Unit</v>
      </c>
      <c r="E557" s="448">
        <f>INDEX($K557:$O557,SUMIF(cbal!E$280:E$296,$B557,cbal!$D$280:$D$296)+1)</f>
        <v>0</v>
      </c>
      <c r="F557" s="448">
        <f>INDEX($K557:$O557,SUMIF(cbal!F$280:F$296,$B557,cbal!$D$280:$D$296)+1)</f>
        <v>0</v>
      </c>
      <c r="G557" s="448">
        <f>INDEX($K557:$O557,SUMIF(cbal!G$280:G$296,$B557,cbal!$D$280:$D$296)+1)</f>
        <v>0</v>
      </c>
      <c r="H557" s="448">
        <f>INDEX($K557:$O557,SUMIF(cbal!H$280:H$296,$B557,cbal!$D$280:$D$296)+1)</f>
        <v>0</v>
      </c>
      <c r="I557" s="448">
        <f>INDEX($K557:$O557,SUMIF(cbal!I$280:I$296,$B557,cbal!$D$280:$D$296)+1)</f>
        <v>0</v>
      </c>
      <c r="K557" s="1577">
        <v>0</v>
      </c>
      <c r="L557" s="1585">
        <v>-0.01</v>
      </c>
      <c r="M557" s="1585">
        <v>-0.01</v>
      </c>
      <c r="N557" s="1585">
        <v>-0.01</v>
      </c>
      <c r="O557" s="1585">
        <v>-0.01</v>
      </c>
      <c r="R557" s="91" t="b">
        <f t="shared" si="73"/>
        <v>0</v>
      </c>
      <c r="S557" s="21" t="b">
        <f t="shared" si="74"/>
        <v>0</v>
      </c>
      <c r="T557" s="97" t="b">
        <f t="shared" si="77"/>
        <v>0</v>
      </c>
    </row>
    <row r="558" spans="2:20">
      <c r="B558" s="33" t="s">
        <v>4035</v>
      </c>
      <c r="C558" s="433">
        <v>133</v>
      </c>
      <c r="D558" t="str">
        <f>VLOOKUP($C558,param!$A$4:$B$266,2)</f>
        <v>MTU Productivity Coefficient</v>
      </c>
      <c r="E558" s="448">
        <f>INDEX($K558:$O558,SUMIF(cbal!E$280:E$296,$B558,cbal!$D$280:$D$296)+1)</f>
        <v>0</v>
      </c>
      <c r="F558" s="448">
        <f>INDEX($K558:$O558,SUMIF(cbal!F$280:F$296,$B558,cbal!$D$280:$D$296)+1)</f>
        <v>0</v>
      </c>
      <c r="G558" s="448">
        <f>INDEX($K558:$O558,SUMIF(cbal!G$280:G$296,$B558,cbal!$D$280:$D$296)+1)</f>
        <v>0</v>
      </c>
      <c r="H558" s="448">
        <f>INDEX($K558:$O558,SUMIF(cbal!H$280:H$296,$B558,cbal!$D$280:$D$296)+1)</f>
        <v>0</v>
      </c>
      <c r="I558" s="448">
        <f>INDEX($K558:$O558,SUMIF(cbal!I$280:I$296,$B558,cbal!$D$280:$D$296)+1)</f>
        <v>0</v>
      </c>
      <c r="K558" s="1577">
        <v>0</v>
      </c>
      <c r="L558" s="1585">
        <v>0.02</v>
      </c>
      <c r="M558" s="1585">
        <v>0.02</v>
      </c>
      <c r="N558" s="1585">
        <v>0.02</v>
      </c>
      <c r="O558" s="1585">
        <v>0.02</v>
      </c>
      <c r="R558" s="91" t="b">
        <f t="shared" si="73"/>
        <v>0</v>
      </c>
      <c r="S558" s="149" t="b">
        <f t="shared" si="74"/>
        <v>0</v>
      </c>
      <c r="T558" s="97" t="b">
        <f t="shared" si="77"/>
        <v>0</v>
      </c>
    </row>
    <row r="559" spans="2:20">
      <c r="B559" s="33" t="s">
        <v>4035</v>
      </c>
      <c r="C559" s="433">
        <v>167</v>
      </c>
      <c r="D559" t="str">
        <f>VLOOKUP($C559,param!$A$4:$B$266,2)</f>
        <v>Special Program Expense</v>
      </c>
      <c r="E559" s="607">
        <f>INDEX($K559:$O559,SUMIF(cbal!E$280:E$296,$B559,cbal!$D$280:$D$296)+1)</f>
        <v>0</v>
      </c>
      <c r="F559" s="607">
        <f>INDEX($K559:$O559,SUMIF(cbal!F$280:F$296,$B559,cbal!$D$280:$D$296)+1)</f>
        <v>0</v>
      </c>
      <c r="G559" s="607">
        <f>INDEX($K559:$O559,SUMIF(cbal!G$280:G$296,$B559,cbal!$D$280:$D$296)+1)</f>
        <v>0</v>
      </c>
      <c r="H559" s="607">
        <f>INDEX($K559:$O559,SUMIF(cbal!H$280:H$296,$B559,cbal!$D$280:$D$296)+1)</f>
        <v>0</v>
      </c>
      <c r="I559" s="607">
        <f>INDEX($K559:$O559,SUMIF(cbal!I$280:I$296,$B559,cbal!$D$280:$D$296)+1)</f>
        <v>0</v>
      </c>
      <c r="K559" s="1577">
        <v>0</v>
      </c>
      <c r="L559" s="1587">
        <v>350000</v>
      </c>
      <c r="M559" s="1585"/>
      <c r="N559" s="1585"/>
      <c r="O559" s="1585"/>
      <c r="R559" s="91">
        <f t="shared" si="73"/>
        <v>350000</v>
      </c>
      <c r="S559" s="21">
        <f t="shared" si="74"/>
        <v>0</v>
      </c>
      <c r="T559" s="97" t="b">
        <f t="shared" si="77"/>
        <v>0</v>
      </c>
    </row>
    <row r="560" spans="2:20">
      <c r="B560" t="s">
        <v>4035</v>
      </c>
      <c r="C560" s="433">
        <v>133.5</v>
      </c>
      <c r="D560" t="str">
        <f>VLOOKUP($C560,param!$A$4:$B$266,2)</f>
        <v>MTU Initiatives Allocation</v>
      </c>
      <c r="E560" s="607">
        <f>INDEX($K560:$O560,SUMIF(cbal!E$280:E$296,$B560,cbal!$D$280:$D$296)+1)</f>
        <v>0</v>
      </c>
      <c r="F560" s="607">
        <f>INDEX($K560:$O560,SUMIF(cbal!F$280:F$296,$B560,cbal!$D$280:$D$296)+1)</f>
        <v>0</v>
      </c>
      <c r="G560" s="607">
        <f>INDEX($K560:$O560,SUMIF(cbal!G$280:G$296,$B560,cbal!$D$280:$D$296)+1)</f>
        <v>0</v>
      </c>
      <c r="H560" s="607">
        <f>INDEX($K560:$O560,SUMIF(cbal!H$280:H$296,$B560,cbal!$D$280:$D$296)+1)</f>
        <v>0</v>
      </c>
      <c r="I560" s="607">
        <f>INDEX($K560:$O560,SUMIF(cbal!I$280:I$296,$B560,cbal!$D$280:$D$296)+1)</f>
        <v>0</v>
      </c>
      <c r="K560" s="1577">
        <v>0</v>
      </c>
      <c r="L560" s="1580">
        <v>5</v>
      </c>
      <c r="M560" s="1580"/>
      <c r="N560" s="1580"/>
      <c r="O560" s="1580"/>
      <c r="R560" s="91" t="b">
        <f t="shared" si="73"/>
        <v>0</v>
      </c>
      <c r="S560" s="21" t="b">
        <f t="shared" si="74"/>
        <v>0</v>
      </c>
      <c r="T560" s="97">
        <f t="shared" si="77"/>
        <v>5</v>
      </c>
    </row>
    <row r="561" spans="2:20">
      <c r="B561" t="s">
        <v>4035</v>
      </c>
      <c r="C561" s="433">
        <v>203</v>
      </c>
      <c r="D561" t="str">
        <f>VLOOKUP($C561,param!$A$4:$B$266,2)</f>
        <v>Productivity Strategy</v>
      </c>
      <c r="E561" s="607">
        <f>INDEX($K561:$O561,SUMIF(cbal!E$280:E$296,$B561,cbal!$D$280:$D$296)+1)</f>
        <v>0</v>
      </c>
      <c r="F561" s="607">
        <f>INDEX($K561:$O561,SUMIF(cbal!F$280:F$296,$B561,cbal!$D$280:$D$296)+1)</f>
        <v>0</v>
      </c>
      <c r="G561" s="607">
        <f>INDEX($K561:$O561,SUMIF(cbal!G$280:G$296,$B561,cbal!$D$280:$D$296)+1)</f>
        <v>0</v>
      </c>
      <c r="H561" s="607">
        <f>INDEX($K561:$O561,SUMIF(cbal!H$280:H$296,$B561,cbal!$D$280:$D$296)+1)</f>
        <v>0</v>
      </c>
      <c r="I561" s="607">
        <f>INDEX($K561:$O561,SUMIF(cbal!I$280:I$296,$B561,cbal!$D$280:$D$296)+1)</f>
        <v>0</v>
      </c>
      <c r="K561" s="1577">
        <v>0</v>
      </c>
      <c r="L561" s="1580">
        <f>L560</f>
        <v>5</v>
      </c>
      <c r="M561" s="1580">
        <f>L561</f>
        <v>5</v>
      </c>
      <c r="N561" s="1580">
        <f>M561</f>
        <v>5</v>
      </c>
      <c r="O561" s="1580">
        <f>N561</f>
        <v>5</v>
      </c>
      <c r="R561" s="91" t="b">
        <f>IF(AND(C561&gt;166,C561&lt;171.5),L561)</f>
        <v>0</v>
      </c>
      <c r="S561" s="21" t="b">
        <f>IF(AND(C561&gt;166,C561&lt;171.5),M561)</f>
        <v>0</v>
      </c>
      <c r="T561" s="97" t="b">
        <f>IF(C561=133.5,L561)</f>
        <v>0</v>
      </c>
    </row>
    <row r="562" spans="2:20">
      <c r="B562">
        <v>0</v>
      </c>
      <c r="C562" s="433">
        <v>0</v>
      </c>
      <c r="E562" s="448"/>
      <c r="F562" s="448"/>
      <c r="G562" s="448"/>
      <c r="H562" s="448"/>
      <c r="I562" s="448"/>
      <c r="K562" s="1577"/>
      <c r="L562" s="1585"/>
      <c r="M562" s="1585"/>
      <c r="N562" s="1585"/>
      <c r="O562" s="1585"/>
      <c r="R562" s="91">
        <v>0</v>
      </c>
      <c r="S562" s="21">
        <v>0</v>
      </c>
      <c r="T562" s="97">
        <v>0</v>
      </c>
    </row>
    <row r="563" spans="2:20">
      <c r="B563" s="33" t="s">
        <v>4036</v>
      </c>
      <c r="C563" t="str">
        <f>VLOOKUP(B563,DataInitiativesGrid,2,0)</f>
        <v>Customer Round Table</v>
      </c>
      <c r="E563" s="448"/>
      <c r="F563" s="448"/>
      <c r="G563" s="448"/>
      <c r="H563" s="448"/>
      <c r="I563" s="448"/>
      <c r="K563" s="1577"/>
      <c r="L563" s="1585"/>
      <c r="M563" s="1585"/>
      <c r="N563" s="1585"/>
      <c r="O563" s="1585"/>
      <c r="R563" s="91">
        <v>0</v>
      </c>
      <c r="S563" s="21">
        <v>0</v>
      </c>
      <c r="T563" s="97">
        <v>0</v>
      </c>
    </row>
    <row r="564" spans="2:20">
      <c r="B564" s="33" t="s">
        <v>4036</v>
      </c>
      <c r="C564" s="433">
        <v>176</v>
      </c>
      <c r="D564" t="str">
        <f>VLOOKUP($C564,param!$A$4:$B$266,2)</f>
        <v>Region 2 Special Program Success CSD</v>
      </c>
      <c r="E564" s="448">
        <f>INDEX($K564:$O564,SUMIF(cbal!E$280:E$296,$B564,cbal!$D$280:$D$296)+1)</f>
        <v>0</v>
      </c>
      <c r="F564" s="448">
        <f>INDEX($K564:$O564,SUMIF(cbal!F$280:F$296,$B564,cbal!$D$280:$D$296)+1)</f>
        <v>0</v>
      </c>
      <c r="G564" s="448">
        <f>INDEX($K564:$O564,SUMIF(cbal!G$280:G$296,$B564,cbal!$D$280:$D$296)+1)</f>
        <v>0</v>
      </c>
      <c r="H564" s="448">
        <f>INDEX($K564:$O564,SUMIF(cbal!H$280:H$296,$B564,cbal!$D$280:$D$296)+1)</f>
        <v>0</v>
      </c>
      <c r="I564" s="448">
        <f>INDEX($K564:$O564,SUMIF(cbal!I$280:I$296,$B564,cbal!$D$280:$D$296)+1)</f>
        <v>0</v>
      </c>
      <c r="K564" s="1577">
        <v>0</v>
      </c>
      <c r="L564" s="1585">
        <v>0.01</v>
      </c>
      <c r="M564" s="1585">
        <v>0.01</v>
      </c>
      <c r="N564" s="1585">
        <v>0.01</v>
      </c>
      <c r="O564" s="1585">
        <v>0.01</v>
      </c>
      <c r="R564" s="91" t="b">
        <f>IF(AND(C564&gt;166,C564&lt;171.5),L564)</f>
        <v>0</v>
      </c>
      <c r="S564" s="21" t="b">
        <f>IF(AND(C564&gt;166,C564&lt;171.5),M564)</f>
        <v>0</v>
      </c>
      <c r="T564" s="97" t="b">
        <f t="shared" ref="T564:T571" si="83">IF(C564=133.5,L564)</f>
        <v>0</v>
      </c>
    </row>
    <row r="565" spans="2:20">
      <c r="B565" s="33" t="s">
        <v>4036</v>
      </c>
      <c r="C565" s="433">
        <v>179</v>
      </c>
      <c r="D565" t="str">
        <f>VLOOKUP($C565,param!$A$4:$B$266,2)</f>
        <v>Region 2 Special Program Success F&amp;S</v>
      </c>
      <c r="E565" s="448">
        <f>INDEX($K565:$O565,SUMIF(cbal!E$280:E$296,$B565,cbal!$D$280:$D$296)+1)</f>
        <v>0</v>
      </c>
      <c r="F565" s="448">
        <f>INDEX($K565:$O565,SUMIF(cbal!F$280:F$296,$B565,cbal!$D$280:$D$296)+1)</f>
        <v>0</v>
      </c>
      <c r="G565" s="448">
        <f>INDEX($K565:$O565,SUMIF(cbal!G$280:G$296,$B565,cbal!$D$280:$D$296)+1)</f>
        <v>0</v>
      </c>
      <c r="H565" s="448">
        <f>INDEX($K565:$O565,SUMIF(cbal!H$280:H$296,$B565,cbal!$D$280:$D$296)+1)</f>
        <v>0</v>
      </c>
      <c r="I565" s="448">
        <f>INDEX($K565:$O565,SUMIF(cbal!I$280:I$296,$B565,cbal!$D$280:$D$296)+1)</f>
        <v>0</v>
      </c>
      <c r="K565" s="1577">
        <v>0</v>
      </c>
      <c r="L565" s="1585">
        <v>0.01</v>
      </c>
      <c r="M565" s="1585">
        <v>0.01</v>
      </c>
      <c r="N565" s="1585">
        <v>0.01</v>
      </c>
      <c r="O565" s="1585">
        <v>0.01</v>
      </c>
      <c r="R565" s="91" t="b">
        <f>IF(AND(C565&gt;166,C565&lt;171.5),L565)</f>
        <v>0</v>
      </c>
      <c r="S565" s="21" t="b">
        <f>IF(AND(C565&gt;166,C565&lt;171.5),M565)</f>
        <v>0</v>
      </c>
      <c r="T565" s="97" t="b">
        <f t="shared" si="83"/>
        <v>0</v>
      </c>
    </row>
    <row r="566" spans="2:20">
      <c r="B566" s="33" t="s">
        <v>4036</v>
      </c>
      <c r="C566" s="433">
        <v>178</v>
      </c>
      <c r="D566" t="str">
        <f>VLOOKUP($C566,param!$A$4:$B$266,2)</f>
        <v>Region 2 Special Program Success NCB</v>
      </c>
      <c r="E566" s="448">
        <f>INDEX($K566:$O566,SUMIF(cbal!E$280:E$296,$B566,cbal!$D$280:$D$296)+1)</f>
        <v>0</v>
      </c>
      <c r="F566" s="448">
        <f>INDEX($K566:$O566,SUMIF(cbal!F$280:F$296,$B566,cbal!$D$280:$D$296)+1)</f>
        <v>0</v>
      </c>
      <c r="G566" s="448">
        <f>INDEX($K566:$O566,SUMIF(cbal!G$280:G$296,$B566,cbal!$D$280:$D$296)+1)</f>
        <v>0</v>
      </c>
      <c r="H566" s="448">
        <f>INDEX($K566:$O566,SUMIF(cbal!H$280:H$296,$B566,cbal!$D$280:$D$296)+1)</f>
        <v>0</v>
      </c>
      <c r="I566" s="448">
        <f>INDEX($K566:$O566,SUMIF(cbal!I$280:I$296,$B566,cbal!$D$280:$D$296)+1)</f>
        <v>0</v>
      </c>
      <c r="K566" s="1577">
        <v>0</v>
      </c>
      <c r="L566" s="1585">
        <v>0.01</v>
      </c>
      <c r="M566" s="1585">
        <v>0.01</v>
      </c>
      <c r="N566" s="1585">
        <v>0.01</v>
      </c>
      <c r="O566" s="1585">
        <v>0.01</v>
      </c>
      <c r="R566" s="91" t="b">
        <f>IF(AND(C566&gt;166,C566&lt;171.5),L566)</f>
        <v>0</v>
      </c>
      <c r="S566" s="149" t="b">
        <f>IF(AND(C566&gt;166,C566&lt;171.5),M566)</f>
        <v>0</v>
      </c>
      <c r="T566" s="97" t="b">
        <f t="shared" si="83"/>
        <v>0</v>
      </c>
    </row>
    <row r="567" spans="2:20">
      <c r="B567" s="33" t="s">
        <v>4036</v>
      </c>
      <c r="C567" s="433">
        <v>172</v>
      </c>
      <c r="D567" t="str">
        <f>VLOOKUP($C567,param!$A$4:$B$266,2)</f>
        <v>Region 1 Special Program Success CSD</v>
      </c>
      <c r="E567" s="448">
        <f>INDEX($K567:$O567,SUMIF(cbal!E$280:E$296,$B567,cbal!$D$280:$D$296)+1)</f>
        <v>0</v>
      </c>
      <c r="F567" s="448">
        <f>INDEX($K567:$O567,SUMIF(cbal!F$280:F$296,$B567,cbal!$D$280:$D$296)+1)</f>
        <v>0</v>
      </c>
      <c r="G567" s="448">
        <f>INDEX($K567:$O567,SUMIF(cbal!G$280:G$296,$B567,cbal!$D$280:$D$296)+1)</f>
        <v>0</v>
      </c>
      <c r="H567" s="448">
        <f>INDEX($K567:$O567,SUMIF(cbal!H$280:H$296,$B567,cbal!$D$280:$D$296)+1)</f>
        <v>0</v>
      </c>
      <c r="I567" s="448">
        <f>INDEX($K567:$O567,SUMIF(cbal!I$280:I$296,$B567,cbal!$D$280:$D$296)+1)</f>
        <v>0</v>
      </c>
      <c r="K567" s="1577">
        <v>0</v>
      </c>
      <c r="L567" s="1585">
        <v>0.02</v>
      </c>
      <c r="M567" s="1585">
        <v>0.02</v>
      </c>
      <c r="N567" s="1585">
        <v>0.02</v>
      </c>
      <c r="O567" s="1585">
        <v>0.02</v>
      </c>
      <c r="R567" s="91" t="b">
        <f t="shared" si="73"/>
        <v>0</v>
      </c>
      <c r="S567" s="21" t="b">
        <f t="shared" si="74"/>
        <v>0</v>
      </c>
      <c r="T567" s="97" t="b">
        <f t="shared" si="83"/>
        <v>0</v>
      </c>
    </row>
    <row r="568" spans="2:20">
      <c r="B568" s="33" t="s">
        <v>4036</v>
      </c>
      <c r="C568" s="433">
        <v>174</v>
      </c>
      <c r="D568" t="str">
        <f>VLOOKUP($C568,param!$A$4:$B$266,2)</f>
        <v>Region 1 Special Program Success NCB</v>
      </c>
      <c r="E568" s="448">
        <f>INDEX($K568:$O568,SUMIF(cbal!E$280:E$296,$B568,cbal!$D$280:$D$296)+1)</f>
        <v>0</v>
      </c>
      <c r="F568" s="448">
        <f>INDEX($K568:$O568,SUMIF(cbal!F$280:F$296,$B568,cbal!$D$280:$D$296)+1)</f>
        <v>0</v>
      </c>
      <c r="G568" s="448">
        <f>INDEX($K568:$O568,SUMIF(cbal!G$280:G$296,$B568,cbal!$D$280:$D$296)+1)</f>
        <v>0</v>
      </c>
      <c r="H568" s="448">
        <f>INDEX($K568:$O568,SUMIF(cbal!H$280:H$296,$B568,cbal!$D$280:$D$296)+1)</f>
        <v>0</v>
      </c>
      <c r="I568" s="448">
        <f>INDEX($K568:$O568,SUMIF(cbal!I$280:I$296,$B568,cbal!$D$280:$D$296)+1)</f>
        <v>0</v>
      </c>
      <c r="K568" s="1577">
        <v>0</v>
      </c>
      <c r="L568" s="1585">
        <v>0.02</v>
      </c>
      <c r="M568" s="1585">
        <v>0.02</v>
      </c>
      <c r="N568" s="1585">
        <v>0.02</v>
      </c>
      <c r="O568" s="1585">
        <v>0.02</v>
      </c>
      <c r="R568" s="91" t="b">
        <f t="shared" si="73"/>
        <v>0</v>
      </c>
      <c r="S568" s="21" t="b">
        <f t="shared" si="74"/>
        <v>0</v>
      </c>
      <c r="T568" s="97" t="b">
        <f t="shared" si="83"/>
        <v>0</v>
      </c>
    </row>
    <row r="569" spans="2:20">
      <c r="B569" s="33" t="s">
        <v>4036</v>
      </c>
      <c r="C569" s="433">
        <v>175</v>
      </c>
      <c r="D569" t="str">
        <f>VLOOKUP($C569,param!$A$4:$B$266,2)</f>
        <v>Region 1 Special Program Success F&amp;S</v>
      </c>
      <c r="E569" s="448">
        <f>INDEX($K569:$O569,SUMIF(cbal!E$280:E$296,$B569,cbal!$D$280:$D$296)+1)</f>
        <v>0</v>
      </c>
      <c r="F569" s="448">
        <f>INDEX($K569:$O569,SUMIF(cbal!F$280:F$296,$B569,cbal!$D$280:$D$296)+1)</f>
        <v>0</v>
      </c>
      <c r="G569" s="448">
        <f>INDEX($K569:$O569,SUMIF(cbal!G$280:G$296,$B569,cbal!$D$280:$D$296)+1)</f>
        <v>0</v>
      </c>
      <c r="H569" s="448">
        <f>INDEX($K569:$O569,SUMIF(cbal!H$280:H$296,$B569,cbal!$D$280:$D$296)+1)</f>
        <v>0</v>
      </c>
      <c r="I569" s="448">
        <f>INDEX($K569:$O569,SUMIF(cbal!I$280:I$296,$B569,cbal!$D$280:$D$296)+1)</f>
        <v>0</v>
      </c>
      <c r="K569" s="1577">
        <v>0</v>
      </c>
      <c r="L569" s="1585">
        <v>0.02</v>
      </c>
      <c r="M569" s="1585">
        <v>0.02</v>
      </c>
      <c r="N569" s="1585">
        <v>0.02</v>
      </c>
      <c r="O569" s="1585">
        <v>0.02</v>
      </c>
      <c r="R569" s="91" t="b">
        <f t="shared" si="73"/>
        <v>0</v>
      </c>
      <c r="S569" s="149" t="b">
        <f t="shared" si="74"/>
        <v>0</v>
      </c>
      <c r="T569" s="97" t="b">
        <f t="shared" si="83"/>
        <v>0</v>
      </c>
    </row>
    <row r="570" spans="2:20">
      <c r="B570" s="33" t="s">
        <v>4036</v>
      </c>
      <c r="C570" s="433">
        <v>167</v>
      </c>
      <c r="D570" t="str">
        <f>VLOOKUP($C570,param!$A$4:$B$266,2)</f>
        <v>Special Program Expense</v>
      </c>
      <c r="E570" s="607">
        <f>INDEX($K570:$O570,SUMIF(cbal!E$280:E$296,$B570,cbal!$D$280:$D$296)+1)</f>
        <v>0</v>
      </c>
      <c r="F570" s="607">
        <f>INDEX($K570:$O570,SUMIF(cbal!F$280:F$296,$B570,cbal!$D$280:$D$296)+1)</f>
        <v>0</v>
      </c>
      <c r="G570" s="607">
        <f>INDEX($K570:$O570,SUMIF(cbal!G$280:G$296,$B570,cbal!$D$280:$D$296)+1)</f>
        <v>0</v>
      </c>
      <c r="H570" s="607">
        <f>INDEX($K570:$O570,SUMIF(cbal!H$280:H$296,$B570,cbal!$D$280:$D$296)+1)</f>
        <v>0</v>
      </c>
      <c r="I570" s="607">
        <f>INDEX($K570:$O570,SUMIF(cbal!I$280:I$296,$B570,cbal!$D$280:$D$296)+1)</f>
        <v>0</v>
      </c>
      <c r="K570" s="1577">
        <v>0</v>
      </c>
      <c r="L570" s="1587">
        <v>750000</v>
      </c>
      <c r="M570" s="1587">
        <v>500000</v>
      </c>
      <c r="N570" s="1587">
        <v>500000</v>
      </c>
      <c r="O570" s="1587">
        <v>500000</v>
      </c>
      <c r="R570" s="91">
        <f t="shared" si="73"/>
        <v>750000</v>
      </c>
      <c r="S570" s="21">
        <f t="shared" si="74"/>
        <v>500000</v>
      </c>
      <c r="T570" s="97" t="b">
        <f t="shared" si="83"/>
        <v>0</v>
      </c>
    </row>
    <row r="571" spans="2:20">
      <c r="B571" t="s">
        <v>4036</v>
      </c>
      <c r="C571" s="433">
        <v>133.5</v>
      </c>
      <c r="D571" t="str">
        <f>VLOOKUP($C571,param!$A$4:$B$266,2)</f>
        <v>MTU Initiatives Allocation</v>
      </c>
      <c r="E571" s="607">
        <f>INDEX($K571:$O571,SUMIF(cbal!E$280:E$296,$B571,cbal!$D$280:$D$296)+1)</f>
        <v>0</v>
      </c>
      <c r="F571" s="607">
        <f>INDEX($K571:$O571,SUMIF(cbal!F$280:F$296,$B571,cbal!$D$280:$D$296)+1)</f>
        <v>0</v>
      </c>
      <c r="G571" s="607">
        <f>INDEX($K571:$O571,SUMIF(cbal!G$280:G$296,$B571,cbal!$D$280:$D$296)+1)</f>
        <v>0</v>
      </c>
      <c r="H571" s="607">
        <f>INDEX($K571:$O571,SUMIF(cbal!H$280:H$296,$B571,cbal!$D$280:$D$296)+1)</f>
        <v>0</v>
      </c>
      <c r="I571" s="607">
        <f>INDEX($K571:$O571,SUMIF(cbal!I$280:I$296,$B571,cbal!$D$280:$D$296)+1)</f>
        <v>0</v>
      </c>
      <c r="K571" s="1577">
        <v>0</v>
      </c>
      <c r="L571" s="1580">
        <v>5</v>
      </c>
      <c r="M571" s="1580"/>
      <c r="N571" s="1580"/>
      <c r="O571" s="1580"/>
      <c r="R571" s="91" t="b">
        <f>IF(AND(C571&gt;166,C571&lt;171.5),L571)</f>
        <v>0</v>
      </c>
      <c r="S571" s="21" t="b">
        <f>IF(AND(C571&gt;166,C571&lt;171.5),M571)</f>
        <v>0</v>
      </c>
      <c r="T571" s="97">
        <f t="shared" si="83"/>
        <v>5</v>
      </c>
    </row>
    <row r="572" spans="2:20">
      <c r="B572" t="s">
        <v>4036</v>
      </c>
      <c r="C572" s="433">
        <v>202</v>
      </c>
      <c r="D572" t="str">
        <f>VLOOKUP($C572,param!$A$4:$B$266,2)</f>
        <v>Go-to-Market Strategy</v>
      </c>
      <c r="E572" s="607">
        <f>INDEX($K572:$O572,SUMIF(cbal!E$280:E$296,$B572,cbal!$D$280:$D$296)+1)</f>
        <v>0</v>
      </c>
      <c r="F572" s="607">
        <f>INDEX($K572:$O572,SUMIF(cbal!F$280:F$296,$B572,cbal!$D$280:$D$296)+1)</f>
        <v>0</v>
      </c>
      <c r="G572" s="607">
        <f>INDEX($K572:$O572,SUMIF(cbal!G$280:G$296,$B572,cbal!$D$280:$D$296)+1)</f>
        <v>0</v>
      </c>
      <c r="H572" s="607">
        <f>INDEX($K572:$O572,SUMIF(cbal!H$280:H$296,$B572,cbal!$D$280:$D$296)+1)</f>
        <v>0</v>
      </c>
      <c r="I572" s="607">
        <f>INDEX($K572:$O572,SUMIF(cbal!I$280:I$296,$B572,cbal!$D$280:$D$296)+1)</f>
        <v>0</v>
      </c>
      <c r="K572" s="1577">
        <v>0</v>
      </c>
      <c r="L572" s="1614">
        <f>L571/2</f>
        <v>2.5</v>
      </c>
      <c r="M572" s="1580">
        <f t="shared" ref="M572:O573" si="84">L572</f>
        <v>2.5</v>
      </c>
      <c r="N572" s="1580">
        <f t="shared" si="84"/>
        <v>2.5</v>
      </c>
      <c r="O572" s="1580">
        <f t="shared" si="84"/>
        <v>2.5</v>
      </c>
      <c r="R572" s="91" t="b">
        <f>IF(AND(C572&gt;166,C572&lt;171.5),L572)</f>
        <v>0</v>
      </c>
      <c r="S572" s="21" t="b">
        <f>IF(AND(C572&gt;166,C572&lt;171.5),M572)</f>
        <v>0</v>
      </c>
      <c r="T572" s="97" t="b">
        <f>IF(C572=133.5,L572)</f>
        <v>0</v>
      </c>
    </row>
    <row r="573" spans="2:20">
      <c r="B573" t="s">
        <v>4036</v>
      </c>
      <c r="C573" s="433">
        <v>201</v>
      </c>
      <c r="D573" t="str">
        <f>VLOOKUP($C573,param!$A$4:$B$266,2)</f>
        <v>Brands Strategy</v>
      </c>
      <c r="E573" s="607">
        <f>INDEX($K573:$O573,SUMIF(cbal!E$280:E$296,$B573,cbal!$D$280:$D$296)+1)</f>
        <v>0</v>
      </c>
      <c r="F573" s="607">
        <f>INDEX($K573:$O573,SUMIF(cbal!F$280:F$296,$B573,cbal!$D$280:$D$296)+1)</f>
        <v>0</v>
      </c>
      <c r="G573" s="607">
        <f>INDEX($K573:$O573,SUMIF(cbal!G$280:G$296,$B573,cbal!$D$280:$D$296)+1)</f>
        <v>0</v>
      </c>
      <c r="H573" s="607">
        <f>INDEX($K573:$O573,SUMIF(cbal!H$280:H$296,$B573,cbal!$D$280:$D$296)+1)</f>
        <v>0</v>
      </c>
      <c r="I573" s="607">
        <f>INDEX($K573:$O573,SUMIF(cbal!I$280:I$296,$B573,cbal!$D$280:$D$296)+1)</f>
        <v>0</v>
      </c>
      <c r="K573" s="1577">
        <v>0</v>
      </c>
      <c r="L573" s="1580">
        <f>L571-L572</f>
        <v>2.5</v>
      </c>
      <c r="M573" s="1580">
        <f t="shared" si="84"/>
        <v>2.5</v>
      </c>
      <c r="N573" s="1580">
        <f t="shared" si="84"/>
        <v>2.5</v>
      </c>
      <c r="O573" s="1580">
        <f t="shared" si="84"/>
        <v>2.5</v>
      </c>
      <c r="R573" s="91" t="b">
        <f>IF(AND(C573&gt;166,C573&lt;171.5),L573)</f>
        <v>0</v>
      </c>
      <c r="S573" s="21" t="b">
        <f>IF(AND(C573&gt;166,C573&lt;171.5),M573)</f>
        <v>0</v>
      </c>
      <c r="T573" s="97" t="b">
        <f>IF(C573=133.5,L573)</f>
        <v>0</v>
      </c>
    </row>
    <row r="574" spans="2:20">
      <c r="B574">
        <v>0</v>
      </c>
      <c r="C574" s="433">
        <v>0</v>
      </c>
      <c r="E574" s="448"/>
      <c r="F574" s="448"/>
      <c r="G574" s="448"/>
      <c r="H574" s="448"/>
      <c r="I574" s="448"/>
      <c r="K574" s="1577"/>
      <c r="L574" s="1585"/>
      <c r="M574" s="1585"/>
      <c r="N574" s="1585"/>
      <c r="O574" s="1585"/>
      <c r="R574" s="91">
        <v>0</v>
      </c>
      <c r="S574" s="21">
        <v>0</v>
      </c>
      <c r="T574" s="97">
        <v>0</v>
      </c>
    </row>
    <row r="575" spans="2:20">
      <c r="B575" s="33" t="s">
        <v>4037</v>
      </c>
      <c r="C575" t="str">
        <f>VLOOKUP(B575,DataInitiativesGrid,2,0)</f>
        <v>Employee Health &amp; Wellness Program</v>
      </c>
      <c r="E575" s="448"/>
      <c r="F575" s="448"/>
      <c r="G575" s="448"/>
      <c r="H575" s="448"/>
      <c r="I575" s="448"/>
      <c r="K575" s="1577"/>
      <c r="L575" s="1585"/>
      <c r="M575" s="1585"/>
      <c r="N575" s="1585"/>
      <c r="O575" s="1585"/>
      <c r="R575" s="91">
        <v>0</v>
      </c>
      <c r="S575" s="21">
        <v>0</v>
      </c>
      <c r="T575" s="97">
        <v>0</v>
      </c>
    </row>
    <row r="576" spans="2:20">
      <c r="B576" s="33" t="s">
        <v>4037</v>
      </c>
      <c r="C576" s="433">
        <v>120</v>
      </c>
      <c r="D576" t="str">
        <f>VLOOKUP($C576,param!$A$4:$B$266,2)</f>
        <v>Labor Attrition rate</v>
      </c>
      <c r="E576" s="448">
        <f>INDEX($K576:$O576,SUMIF(cbal!E$280:E$296,$B576,cbal!$D$280:$D$296)+1)</f>
        <v>0</v>
      </c>
      <c r="F576" s="448">
        <f>INDEX($K576:$O576,SUMIF(cbal!F$280:F$296,$B576,cbal!$D$280:$D$296)+1)</f>
        <v>0</v>
      </c>
      <c r="G576" s="448">
        <f>INDEX($K576:$O576,SUMIF(cbal!G$280:G$296,$B576,cbal!$D$280:$D$296)+1)</f>
        <v>0</v>
      </c>
      <c r="H576" s="448">
        <f>INDEX($K576:$O576,SUMIF(cbal!H$280:H$296,$B576,cbal!$D$280:$D$296)+1)</f>
        <v>0</v>
      </c>
      <c r="I576" s="448">
        <f>INDEX($K576:$O576,SUMIF(cbal!I$280:I$296,$B576,cbal!$D$280:$D$296)+1)</f>
        <v>0</v>
      </c>
      <c r="K576" s="1577">
        <v>0</v>
      </c>
      <c r="L576" s="1584">
        <v>-0.01</v>
      </c>
      <c r="M576" s="1584">
        <v>-1.4999999999999999E-2</v>
      </c>
      <c r="N576" s="1584">
        <v>-2.5000000000000001E-2</v>
      </c>
      <c r="O576" s="1584">
        <v>-0.03</v>
      </c>
      <c r="R576" s="91" t="b">
        <f t="shared" ref="R576:R581" si="85">IF(AND(C576&gt;166,C576&lt;171.5),L576)</f>
        <v>0</v>
      </c>
      <c r="S576" s="21" t="b">
        <f t="shared" ref="S576:S581" si="86">IF(AND(C576&gt;166,C576&lt;171.5),M576)</f>
        <v>0</v>
      </c>
      <c r="T576" s="97" t="b">
        <f t="shared" si="77"/>
        <v>0</v>
      </c>
    </row>
    <row r="577" spans="2:20">
      <c r="B577" s="33" t="s">
        <v>4037</v>
      </c>
      <c r="C577" s="433">
        <v>123</v>
      </c>
      <c r="D577" t="str">
        <f>VLOOKUP($C577,param!$A$4:$B$266,2)</f>
        <v>Labor Admin Cost as Pct of Salary</v>
      </c>
      <c r="E577" s="448">
        <f>INDEX($K577:$O577,SUMIF(cbal!E$280:E$296,$B577,cbal!$D$280:$D$296)+1)</f>
        <v>0</v>
      </c>
      <c r="F577" s="448">
        <f>INDEX($K577:$O577,SUMIF(cbal!F$280:F$296,$B577,cbal!$D$280:$D$296)+1)</f>
        <v>0</v>
      </c>
      <c r="G577" s="448">
        <f>INDEX($K577:$O577,SUMIF(cbal!G$280:G$296,$B577,cbal!$D$280:$D$296)+1)</f>
        <v>0</v>
      </c>
      <c r="H577" s="448">
        <f>INDEX($K577:$O577,SUMIF(cbal!H$280:H$296,$B577,cbal!$D$280:$D$296)+1)</f>
        <v>0</v>
      </c>
      <c r="I577" s="448">
        <f>INDEX($K577:$O577,SUMIF(cbal!I$280:I$296,$B577,cbal!$D$280:$D$296)+1)</f>
        <v>0</v>
      </c>
      <c r="K577" s="1577">
        <v>0</v>
      </c>
      <c r="L577" s="1584">
        <v>-0.01</v>
      </c>
      <c r="M577" s="1584">
        <v>-1.4999999999999999E-2</v>
      </c>
      <c r="N577" s="1584">
        <v>-2.5000000000000001E-2</v>
      </c>
      <c r="O577" s="1584">
        <v>-0.03</v>
      </c>
      <c r="R577" s="91" t="b">
        <f t="shared" si="85"/>
        <v>0</v>
      </c>
      <c r="S577" s="21" t="b">
        <f t="shared" si="86"/>
        <v>0</v>
      </c>
      <c r="T577" s="97" t="b">
        <f t="shared" si="77"/>
        <v>0</v>
      </c>
    </row>
    <row r="578" spans="2:20">
      <c r="B578" s="33" t="s">
        <v>4037</v>
      </c>
      <c r="C578" s="433">
        <v>9</v>
      </c>
      <c r="D578" t="str">
        <f>VLOOKUP($C578,param!$A$4:$B$266,2)</f>
        <v>CSD Labor Hours Req. Per Unit</v>
      </c>
      <c r="E578" s="448">
        <f>INDEX($K578:$O578,SUMIF(cbal!E$280:E$296,$B578,cbal!$D$280:$D$296)+1)</f>
        <v>0</v>
      </c>
      <c r="F578" s="448">
        <f>INDEX($K578:$O578,SUMIF(cbal!F$280:F$296,$B578,cbal!$D$280:$D$296)+1)</f>
        <v>0</v>
      </c>
      <c r="G578" s="448">
        <f>INDEX($K578:$O578,SUMIF(cbal!G$280:G$296,$B578,cbal!$D$280:$D$296)+1)</f>
        <v>0</v>
      </c>
      <c r="H578" s="448">
        <f>INDEX($K578:$O578,SUMIF(cbal!H$280:H$296,$B578,cbal!$D$280:$D$296)+1)</f>
        <v>0</v>
      </c>
      <c r="I578" s="448">
        <f>INDEX($K578:$O578,SUMIF(cbal!I$280:I$296,$B578,cbal!$D$280:$D$296)+1)</f>
        <v>0</v>
      </c>
      <c r="K578" s="1577">
        <v>0</v>
      </c>
      <c r="L578" s="1584">
        <v>-0.01</v>
      </c>
      <c r="M578" s="1584">
        <v>-1.4999999999999999E-2</v>
      </c>
      <c r="N578" s="1584">
        <v>-2.5000000000000001E-2</v>
      </c>
      <c r="O578" s="1584">
        <v>-0.03</v>
      </c>
      <c r="R578" s="91" t="b">
        <f t="shared" si="85"/>
        <v>0</v>
      </c>
      <c r="S578" s="21" t="b">
        <f t="shared" si="86"/>
        <v>0</v>
      </c>
      <c r="T578" s="97" t="b">
        <f t="shared" si="77"/>
        <v>0</v>
      </c>
    </row>
    <row r="579" spans="2:20">
      <c r="B579" s="33" t="s">
        <v>4037</v>
      </c>
      <c r="C579" s="433">
        <v>28</v>
      </c>
      <c r="D579" t="str">
        <f>VLOOKUP($C579,param!$A$4:$B$266,2)</f>
        <v>Breakthrough Labor Hours Req. Per Unit</v>
      </c>
      <c r="E579" s="448">
        <f>INDEX($K579:$O579,SUMIF(cbal!E$280:E$296,$B579,cbal!$D$280:$D$296)+1)</f>
        <v>0</v>
      </c>
      <c r="F579" s="448">
        <f>INDEX($K579:$O579,SUMIF(cbal!F$280:F$296,$B579,cbal!$D$280:$D$296)+1)</f>
        <v>0</v>
      </c>
      <c r="G579" s="448">
        <f>INDEX($K579:$O579,SUMIF(cbal!G$280:G$296,$B579,cbal!$D$280:$D$296)+1)</f>
        <v>0</v>
      </c>
      <c r="H579" s="448">
        <f>INDEX($K579:$O579,SUMIF(cbal!H$280:H$296,$B579,cbal!$D$280:$D$296)+1)</f>
        <v>0</v>
      </c>
      <c r="I579" s="448">
        <f>INDEX($K579:$O579,SUMIF(cbal!I$280:I$296,$B579,cbal!$D$280:$D$296)+1)</f>
        <v>0</v>
      </c>
      <c r="K579" s="1577">
        <v>0</v>
      </c>
      <c r="L579" s="1584">
        <v>-0.01</v>
      </c>
      <c r="M579" s="1584">
        <v>-1.4999999999999999E-2</v>
      </c>
      <c r="N579" s="1584">
        <v>-2.5000000000000001E-2</v>
      </c>
      <c r="O579" s="1584">
        <v>-0.03</v>
      </c>
      <c r="R579" s="91" t="b">
        <f t="shared" si="85"/>
        <v>0</v>
      </c>
      <c r="S579" s="21" t="b">
        <f t="shared" si="86"/>
        <v>0</v>
      </c>
      <c r="T579" s="97" t="b">
        <f t="shared" si="77"/>
        <v>0</v>
      </c>
    </row>
    <row r="580" spans="2:20">
      <c r="B580" s="33" t="s">
        <v>4037</v>
      </c>
      <c r="C580" s="433">
        <f>C579-C578+C579</f>
        <v>47</v>
      </c>
      <c r="D580" t="str">
        <f>VLOOKUP($C580,param!$A$4:$B$266,2)</f>
        <v>NCB Labor Hours Req. Per Unit</v>
      </c>
      <c r="E580" s="448">
        <f>INDEX($K580:$O580,SUMIF(cbal!E$280:E$296,$B580,cbal!$D$280:$D$296)+1)</f>
        <v>0</v>
      </c>
      <c r="F580" s="448">
        <f>INDEX($K580:$O580,SUMIF(cbal!F$280:F$296,$B580,cbal!$D$280:$D$296)+1)</f>
        <v>0</v>
      </c>
      <c r="G580" s="448">
        <f>INDEX($K580:$O580,SUMIF(cbal!G$280:G$296,$B580,cbal!$D$280:$D$296)+1)</f>
        <v>0</v>
      </c>
      <c r="H580" s="448">
        <f>INDEX($K580:$O580,SUMIF(cbal!H$280:H$296,$B580,cbal!$D$280:$D$296)+1)</f>
        <v>0</v>
      </c>
      <c r="I580" s="448">
        <f>INDEX($K580:$O580,SUMIF(cbal!I$280:I$296,$B580,cbal!$D$280:$D$296)+1)</f>
        <v>0</v>
      </c>
      <c r="K580" s="1577">
        <v>0</v>
      </c>
      <c r="L580" s="1584">
        <v>-0.01</v>
      </c>
      <c r="M580" s="1584">
        <v>-1.4999999999999999E-2</v>
      </c>
      <c r="N580" s="1584">
        <v>-2.5000000000000001E-2</v>
      </c>
      <c r="O580" s="1584">
        <v>-0.03</v>
      </c>
      <c r="R580" s="91" t="b">
        <f t="shared" si="85"/>
        <v>0</v>
      </c>
      <c r="S580" s="21" t="b">
        <f t="shared" si="86"/>
        <v>0</v>
      </c>
      <c r="T580" s="97" t="b">
        <f t="shared" si="77"/>
        <v>0</v>
      </c>
    </row>
    <row r="581" spans="2:20">
      <c r="B581" s="33" t="s">
        <v>4037</v>
      </c>
      <c r="C581" s="433">
        <f>C580-C579+C580</f>
        <v>66</v>
      </c>
      <c r="D581" t="str">
        <f>VLOOKUP($C581,param!$A$4:$B$266,2)</f>
        <v>F&amp;S Labor Hours Req. Per Unit</v>
      </c>
      <c r="E581" s="448">
        <f>INDEX($K581:$O581,SUMIF(cbal!E$280:E$296,$B581,cbal!$D$280:$D$296)+1)</f>
        <v>0</v>
      </c>
      <c r="F581" s="448">
        <f>INDEX($K581:$O581,SUMIF(cbal!F$280:F$296,$B581,cbal!$D$280:$D$296)+1)</f>
        <v>0</v>
      </c>
      <c r="G581" s="448">
        <f>INDEX($K581:$O581,SUMIF(cbal!G$280:G$296,$B581,cbal!$D$280:$D$296)+1)</f>
        <v>0</v>
      </c>
      <c r="H581" s="448">
        <f>INDEX($K581:$O581,SUMIF(cbal!H$280:H$296,$B581,cbal!$D$280:$D$296)+1)</f>
        <v>0</v>
      </c>
      <c r="I581" s="448">
        <f>INDEX($K581:$O581,SUMIF(cbal!I$280:I$296,$B581,cbal!$D$280:$D$296)+1)</f>
        <v>0</v>
      </c>
      <c r="K581" s="1577">
        <v>0</v>
      </c>
      <c r="L581" s="1584">
        <v>-0.01</v>
      </c>
      <c r="M581" s="1584">
        <v>-1.4999999999999999E-2</v>
      </c>
      <c r="N581" s="1584">
        <v>-2.5000000000000001E-2</v>
      </c>
      <c r="O581" s="1584">
        <v>-0.03</v>
      </c>
      <c r="R581" s="91" t="b">
        <f t="shared" si="85"/>
        <v>0</v>
      </c>
      <c r="S581" s="21" t="b">
        <f t="shared" si="86"/>
        <v>0</v>
      </c>
      <c r="T581" s="97" t="b">
        <f t="shared" si="77"/>
        <v>0</v>
      </c>
    </row>
    <row r="582" spans="2:20">
      <c r="B582" s="33" t="s">
        <v>4037</v>
      </c>
      <c r="C582" s="433">
        <v>197</v>
      </c>
      <c r="D582" t="str">
        <f>VLOOKUP($C582,param!$A$4:$B$266,2)</f>
        <v>Company Culture</v>
      </c>
      <c r="E582" s="448">
        <f>INDEX($K582:$O582,SUMIF(cbal!E$280:E$296,$B582,cbal!$D$280:$D$296)+1)</f>
        <v>0</v>
      </c>
      <c r="F582" s="448">
        <f>INDEX($K582:$O582,SUMIF(cbal!F$280:F$296,$B582,cbal!$D$280:$D$296)+1)</f>
        <v>0</v>
      </c>
      <c r="G582" s="448">
        <f>INDEX($K582:$O582,SUMIF(cbal!G$280:G$296,$B582,cbal!$D$280:$D$296)+1)</f>
        <v>0</v>
      </c>
      <c r="H582" s="448">
        <f>INDEX($K582:$O582,SUMIF(cbal!H$280:H$296,$B582,cbal!$D$280:$D$296)+1)</f>
        <v>0</v>
      </c>
      <c r="I582" s="448">
        <f>INDEX($K582:$O582,SUMIF(cbal!I$280:I$296,$B582,cbal!$D$280:$D$296)+1)</f>
        <v>0</v>
      </c>
      <c r="K582" s="1577">
        <v>0</v>
      </c>
      <c r="L582" s="1584">
        <v>1.4999999999999999E-2</v>
      </c>
      <c r="M582" s="1585">
        <v>0.02</v>
      </c>
      <c r="N582" s="1585">
        <v>0.03</v>
      </c>
      <c r="O582" s="1585">
        <v>0.03</v>
      </c>
      <c r="R582" s="91" t="b">
        <f>IF(AND(C582&gt;166,C582&lt;171.5),L582)</f>
        <v>0</v>
      </c>
      <c r="S582" s="21" t="b">
        <f>IF(AND(C582&gt;166,C582&lt;171.5),M582)</f>
        <v>0</v>
      </c>
      <c r="T582" s="97" t="b">
        <f>IF(C582=133.5,L582)</f>
        <v>0</v>
      </c>
    </row>
    <row r="583" spans="2:20">
      <c r="B583" s="33" t="s">
        <v>4037</v>
      </c>
      <c r="C583" s="433">
        <v>167</v>
      </c>
      <c r="D583" t="str">
        <f>VLOOKUP($C583,param!$A$4:$B$266,2)</f>
        <v>Special Program Expense</v>
      </c>
      <c r="E583" s="607">
        <f>INDEX($K583:$O583,SUMIF(cbal!E$280:E$296,$B583,cbal!$D$280:$D$296)+1)</f>
        <v>0</v>
      </c>
      <c r="F583" s="607">
        <f>INDEX($K583:$O583,SUMIF(cbal!F$280:F$296,$B583,cbal!$D$280:$D$296)+1)</f>
        <v>0</v>
      </c>
      <c r="G583" s="607">
        <f>INDEX($K583:$O583,SUMIF(cbal!G$280:G$296,$B583,cbal!$D$280:$D$296)+1)</f>
        <v>0</v>
      </c>
      <c r="H583" s="607">
        <f>INDEX($K583:$O583,SUMIF(cbal!H$280:H$296,$B583,cbal!$D$280:$D$296)+1)</f>
        <v>0</v>
      </c>
      <c r="I583" s="607">
        <f>INDEX($K583:$O583,SUMIF(cbal!I$280:I$296,$B583,cbal!$D$280:$D$296)+1)</f>
        <v>0</v>
      </c>
      <c r="K583" s="1577">
        <v>0</v>
      </c>
      <c r="L583" s="1587">
        <v>1000000</v>
      </c>
      <c r="M583" s="1587">
        <v>500000</v>
      </c>
      <c r="N583" s="1587">
        <v>500000</v>
      </c>
      <c r="O583" s="1587">
        <v>500000</v>
      </c>
      <c r="R583" s="91">
        <f>IF(AND(C583&gt;166,C583&lt;171.5),L583)</f>
        <v>1000000</v>
      </c>
      <c r="S583" s="21">
        <f>IF(AND(C583&gt;166,C583&lt;171.5),M583)</f>
        <v>500000</v>
      </c>
      <c r="T583" s="97" t="b">
        <f t="shared" si="77"/>
        <v>0</v>
      </c>
    </row>
    <row r="584" spans="2:20">
      <c r="B584" t="s">
        <v>4037</v>
      </c>
      <c r="C584" s="433">
        <v>133.5</v>
      </c>
      <c r="D584" t="str">
        <f>VLOOKUP($C584,param!$A$4:$B$266,2)</f>
        <v>MTU Initiatives Allocation</v>
      </c>
      <c r="E584" s="607">
        <f>INDEX($K584:$O584,SUMIF(cbal!E$280:E$296,$B584,cbal!$D$280:$D$296)+1)</f>
        <v>0</v>
      </c>
      <c r="F584" s="607">
        <f>INDEX($K584:$O584,SUMIF(cbal!F$280:F$296,$B584,cbal!$D$280:$D$296)+1)</f>
        <v>0</v>
      </c>
      <c r="G584" s="607">
        <f>INDEX($K584:$O584,SUMIF(cbal!G$280:G$296,$B584,cbal!$D$280:$D$296)+1)</f>
        <v>0</v>
      </c>
      <c r="H584" s="607">
        <f>INDEX($K584:$O584,SUMIF(cbal!H$280:H$296,$B584,cbal!$D$280:$D$296)+1)</f>
        <v>0</v>
      </c>
      <c r="I584" s="607">
        <f>INDEX($K584:$O584,SUMIF(cbal!I$280:I$296,$B584,cbal!$D$280:$D$296)+1)</f>
        <v>0</v>
      </c>
      <c r="K584" s="1577">
        <v>0</v>
      </c>
      <c r="L584" s="1580">
        <v>5</v>
      </c>
      <c r="M584" s="1580"/>
      <c r="N584" s="1580"/>
      <c r="O584" s="1580"/>
      <c r="R584" s="91" t="b">
        <f>IF(AND(C584&gt;166,C584&lt;171.5),L584)</f>
        <v>0</v>
      </c>
      <c r="S584" s="21" t="b">
        <f>IF(AND(C584&gt;166,C584&lt;171.5),M584)</f>
        <v>0</v>
      </c>
      <c r="T584" s="97">
        <f t="shared" si="77"/>
        <v>5</v>
      </c>
    </row>
    <row r="585" spans="2:20">
      <c r="B585" t="s">
        <v>4037</v>
      </c>
      <c r="C585" s="433">
        <v>203</v>
      </c>
      <c r="D585" t="str">
        <f>VLOOKUP($C585,param!$A$4:$B$266,2)</f>
        <v>Productivity Strategy</v>
      </c>
      <c r="E585" s="607">
        <f>INDEX($K585:$O585,SUMIF(cbal!E$280:E$296,$B585,cbal!$D$280:$D$296)+1)</f>
        <v>0</v>
      </c>
      <c r="F585" s="607">
        <f>INDEX($K585:$O585,SUMIF(cbal!F$280:F$296,$B585,cbal!$D$280:$D$296)+1)</f>
        <v>0</v>
      </c>
      <c r="G585" s="607">
        <f>INDEX($K585:$O585,SUMIF(cbal!G$280:G$296,$B585,cbal!$D$280:$D$296)+1)</f>
        <v>0</v>
      </c>
      <c r="H585" s="607">
        <f>INDEX($K585:$O585,SUMIF(cbal!H$280:H$296,$B585,cbal!$D$280:$D$296)+1)</f>
        <v>0</v>
      </c>
      <c r="I585" s="607">
        <f>INDEX($K585:$O585,SUMIF(cbal!I$280:I$296,$B585,cbal!$D$280:$D$296)+1)</f>
        <v>0</v>
      </c>
      <c r="K585" s="1577">
        <v>0</v>
      </c>
      <c r="L585" s="1580">
        <f>L584</f>
        <v>5</v>
      </c>
      <c r="M585" s="1580">
        <f>L585</f>
        <v>5</v>
      </c>
      <c r="N585" s="1580">
        <f>M585</f>
        <v>5</v>
      </c>
      <c r="O585" s="1580">
        <f>N585</f>
        <v>5</v>
      </c>
      <c r="R585" s="91" t="b">
        <f>IF(AND(C585&gt;166,C585&lt;171.5),L585)</f>
        <v>0</v>
      </c>
      <c r="S585" s="21" t="b">
        <f>IF(AND(C585&gt;166,C585&lt;171.5),M585)</f>
        <v>0</v>
      </c>
      <c r="T585" s="97" t="b">
        <f>IF(C585=133.5,L585)</f>
        <v>0</v>
      </c>
    </row>
    <row r="586" spans="2:20">
      <c r="B586">
        <v>0</v>
      </c>
      <c r="C586" s="433">
        <v>0</v>
      </c>
      <c r="E586" s="448"/>
      <c r="F586" s="448"/>
      <c r="G586" s="448"/>
      <c r="H586" s="448"/>
      <c r="I586" s="448"/>
      <c r="K586" s="1577"/>
      <c r="L586" s="1585"/>
      <c r="M586" s="1585"/>
      <c r="N586" s="1585"/>
      <c r="O586" s="1585"/>
      <c r="R586" s="91">
        <v>0</v>
      </c>
      <c r="S586" s="21">
        <v>0</v>
      </c>
      <c r="T586" s="97">
        <v>0</v>
      </c>
    </row>
    <row r="587" spans="2:20">
      <c r="B587" t="s">
        <v>4038</v>
      </c>
      <c r="C587" t="str">
        <f>VLOOKUP(B587,DataInitiativesGrid,2,0)</f>
        <v>Change In Reward System</v>
      </c>
      <c r="E587" s="448"/>
      <c r="F587" s="448"/>
      <c r="G587" s="448"/>
      <c r="H587" s="448"/>
      <c r="I587" s="448"/>
      <c r="K587" s="1577"/>
      <c r="L587" s="1585"/>
      <c r="M587" s="1585"/>
      <c r="N587" s="1585"/>
      <c r="O587" s="1585"/>
      <c r="R587" s="91">
        <v>0</v>
      </c>
      <c r="S587" s="21">
        <v>0</v>
      </c>
      <c r="T587" s="97">
        <v>0</v>
      </c>
    </row>
    <row r="588" spans="2:20">
      <c r="B588" t="s">
        <v>4038</v>
      </c>
      <c r="C588" s="433">
        <v>6</v>
      </c>
      <c r="D588" t="str">
        <f>VLOOKUP($C588,param!$A$4:$B$266,2)</f>
        <v>CSD % FG Retained Units</v>
      </c>
      <c r="E588" s="448">
        <f>INDEX($K588:$O588,SUMIF(cbal!E$280:E$296,$B588,cbal!$D$280:$D$296)+1)</f>
        <v>0</v>
      </c>
      <c r="F588" s="448">
        <f>INDEX($K588:$O588,SUMIF(cbal!F$280:F$296,$B588,cbal!$D$280:$D$296)+1)</f>
        <v>0</v>
      </c>
      <c r="G588" s="448">
        <f>INDEX($K588:$O588,SUMIF(cbal!G$280:G$296,$B588,cbal!$D$280:$D$296)+1)</f>
        <v>0</v>
      </c>
      <c r="H588" s="448">
        <f>INDEX($K588:$O588,SUMIF(cbal!H$280:H$296,$B588,cbal!$D$280:$D$296)+1)</f>
        <v>0</v>
      </c>
      <c r="I588" s="448">
        <f>INDEX($K588:$O588,SUMIF(cbal!I$280:I$296,$B588,cbal!$D$280:$D$296)+1)</f>
        <v>0</v>
      </c>
      <c r="K588" s="1577">
        <v>0</v>
      </c>
      <c r="L588" s="1585">
        <v>0.05</v>
      </c>
      <c r="M588" s="1585">
        <v>0.05</v>
      </c>
      <c r="N588" s="1585">
        <v>0.05</v>
      </c>
      <c r="O588" s="1585">
        <v>0.05</v>
      </c>
      <c r="R588" s="91" t="b">
        <f t="shared" si="73"/>
        <v>0</v>
      </c>
      <c r="S588" s="21" t="b">
        <f t="shared" si="74"/>
        <v>0</v>
      </c>
      <c r="T588" s="97" t="b">
        <f t="shared" si="77"/>
        <v>0</v>
      </c>
    </row>
    <row r="589" spans="2:20">
      <c r="B589" t="s">
        <v>4038</v>
      </c>
      <c r="C589" s="433">
        <v>44</v>
      </c>
      <c r="D589" t="str">
        <f>VLOOKUP($C589,param!$A$4:$B$266,2)</f>
        <v>NCB % FG Retained Units</v>
      </c>
      <c r="E589" s="448">
        <f>INDEX($K589:$O589,SUMIF(cbal!E$280:E$296,$B589,cbal!$D$280:$D$296)+1)</f>
        <v>0</v>
      </c>
      <c r="F589" s="448">
        <f>INDEX($K589:$O589,SUMIF(cbal!F$280:F$296,$B589,cbal!$D$280:$D$296)+1)</f>
        <v>0</v>
      </c>
      <c r="G589" s="448">
        <f>INDEX($K589:$O589,SUMIF(cbal!G$280:G$296,$B589,cbal!$D$280:$D$296)+1)</f>
        <v>0</v>
      </c>
      <c r="H589" s="448">
        <f>INDEX($K589:$O589,SUMIF(cbal!H$280:H$296,$B589,cbal!$D$280:$D$296)+1)</f>
        <v>0</v>
      </c>
      <c r="I589" s="448">
        <f>INDEX($K589:$O589,SUMIF(cbal!I$280:I$296,$B589,cbal!$D$280:$D$296)+1)</f>
        <v>0</v>
      </c>
      <c r="K589" s="1577">
        <v>0</v>
      </c>
      <c r="L589" s="1585">
        <v>0.05</v>
      </c>
      <c r="M589" s="1585">
        <v>0.05</v>
      </c>
      <c r="N589" s="1585">
        <v>0.05</v>
      </c>
      <c r="O589" s="1585">
        <v>0.05</v>
      </c>
      <c r="R589" s="91" t="b">
        <f t="shared" si="73"/>
        <v>0</v>
      </c>
      <c r="S589" s="21" t="b">
        <f t="shared" si="74"/>
        <v>0</v>
      </c>
      <c r="T589" s="97" t="b">
        <f t="shared" si="77"/>
        <v>0</v>
      </c>
    </row>
    <row r="590" spans="2:20">
      <c r="B590" t="s">
        <v>4038</v>
      </c>
      <c r="C590" s="433">
        <v>63</v>
      </c>
      <c r="D590" t="str">
        <f>VLOOKUP($C590,param!$A$4:$B$266,2)</f>
        <v>F&amp;S % FG Retained Units</v>
      </c>
      <c r="E590" s="448">
        <f>INDEX($K590:$O590,SUMIF(cbal!E$280:E$296,$B590,cbal!$D$280:$D$296)+1)</f>
        <v>0</v>
      </c>
      <c r="F590" s="448">
        <f>INDEX($K590:$O590,SUMIF(cbal!F$280:F$296,$B590,cbal!$D$280:$D$296)+1)</f>
        <v>0</v>
      </c>
      <c r="G590" s="448">
        <f>INDEX($K590:$O590,SUMIF(cbal!G$280:G$296,$B590,cbal!$D$280:$D$296)+1)</f>
        <v>0</v>
      </c>
      <c r="H590" s="448">
        <f>INDEX($K590:$O590,SUMIF(cbal!H$280:H$296,$B590,cbal!$D$280:$D$296)+1)</f>
        <v>0</v>
      </c>
      <c r="I590" s="448">
        <f>INDEX($K590:$O590,SUMIF(cbal!I$280:I$296,$B590,cbal!$D$280:$D$296)+1)</f>
        <v>0</v>
      </c>
      <c r="K590" s="1577">
        <v>0</v>
      </c>
      <c r="L590" s="1585">
        <v>0.01</v>
      </c>
      <c r="M590" s="1585">
        <v>0.01</v>
      </c>
      <c r="N590" s="1585">
        <v>0.01</v>
      </c>
      <c r="O590" s="1585">
        <v>0.01</v>
      </c>
      <c r="R590" s="91" t="b">
        <f t="shared" si="73"/>
        <v>0</v>
      </c>
      <c r="S590" s="21" t="b">
        <f t="shared" si="74"/>
        <v>0</v>
      </c>
      <c r="T590" s="97" t="b">
        <f t="shared" si="77"/>
        <v>0</v>
      </c>
    </row>
    <row r="591" spans="2:20">
      <c r="B591" t="s">
        <v>4038</v>
      </c>
      <c r="C591" s="433">
        <v>2</v>
      </c>
      <c r="D591" t="str">
        <f>VLOOKUP($C591,param!$A$4:$B$266,2)</f>
        <v>CSD Cycle Time</v>
      </c>
      <c r="E591" s="448">
        <f>INDEX($K591:$O591,SUMIF(cbal!E$280:E$296,$B591,cbal!$D$280:$D$296)+1)</f>
        <v>0</v>
      </c>
      <c r="F591" s="448">
        <f>INDEX($K591:$O591,SUMIF(cbal!F$280:F$296,$B591,cbal!$D$280:$D$296)+1)</f>
        <v>0</v>
      </c>
      <c r="G591" s="448">
        <f>INDEX($K591:$O591,SUMIF(cbal!G$280:G$296,$B591,cbal!$D$280:$D$296)+1)</f>
        <v>0</v>
      </c>
      <c r="H591" s="448">
        <f>INDEX($K591:$O591,SUMIF(cbal!H$280:H$296,$B591,cbal!$D$280:$D$296)+1)</f>
        <v>0</v>
      </c>
      <c r="I591" s="448">
        <f>INDEX($K591:$O591,SUMIF(cbal!I$280:I$296,$B591,cbal!$D$280:$D$296)+1)</f>
        <v>0</v>
      </c>
      <c r="K591" s="1577">
        <v>0</v>
      </c>
      <c r="L591" s="1585">
        <v>-0.1</v>
      </c>
      <c r="M591" s="1585">
        <v>-0.1</v>
      </c>
      <c r="N591" s="1585">
        <v>-0.1</v>
      </c>
      <c r="O591" s="1585">
        <v>-0.1</v>
      </c>
      <c r="R591" s="91" t="b">
        <f t="shared" si="73"/>
        <v>0</v>
      </c>
      <c r="S591" s="21" t="b">
        <f t="shared" si="74"/>
        <v>0</v>
      </c>
      <c r="T591" s="97" t="b">
        <f t="shared" si="77"/>
        <v>0</v>
      </c>
    </row>
    <row r="592" spans="2:20">
      <c r="B592" t="s">
        <v>4038</v>
      </c>
      <c r="C592" s="506">
        <v>40</v>
      </c>
      <c r="D592" t="str">
        <f>VLOOKUP($C592,param!$A$4:$B$266,2)</f>
        <v>NCB Cycle Time</v>
      </c>
      <c r="E592" s="448">
        <f>INDEX($K592:$O592,SUMIF(cbal!E$280:E$296,$B592,cbal!$D$280:$D$296)+1)</f>
        <v>0</v>
      </c>
      <c r="F592" s="448">
        <f>INDEX($K592:$O592,SUMIF(cbal!F$280:F$296,$B592,cbal!$D$280:$D$296)+1)</f>
        <v>0</v>
      </c>
      <c r="G592" s="448">
        <f>INDEX($K592:$O592,SUMIF(cbal!G$280:G$296,$B592,cbal!$D$280:$D$296)+1)</f>
        <v>0</v>
      </c>
      <c r="H592" s="448">
        <f>INDEX($K592:$O592,SUMIF(cbal!H$280:H$296,$B592,cbal!$D$280:$D$296)+1)</f>
        <v>0</v>
      </c>
      <c r="I592" s="448">
        <f>INDEX($K592:$O592,SUMIF(cbal!I$280:I$296,$B592,cbal!$D$280:$D$296)+1)</f>
        <v>0</v>
      </c>
      <c r="K592" s="1577">
        <v>0</v>
      </c>
      <c r="L592" s="1585">
        <v>-0.1</v>
      </c>
      <c r="M592" s="1585">
        <v>-0.1</v>
      </c>
      <c r="N592" s="1585">
        <v>-0.1</v>
      </c>
      <c r="O592" s="1585">
        <v>-0.1</v>
      </c>
      <c r="R592" s="91" t="b">
        <f t="shared" si="73"/>
        <v>0</v>
      </c>
      <c r="S592" s="21" t="b">
        <f t="shared" si="74"/>
        <v>0</v>
      </c>
      <c r="T592" s="97" t="b">
        <f t="shared" si="77"/>
        <v>0</v>
      </c>
    </row>
    <row r="593" spans="2:20">
      <c r="B593" t="s">
        <v>4038</v>
      </c>
      <c r="C593" s="506">
        <v>59</v>
      </c>
      <c r="D593" t="str">
        <f>VLOOKUP($C593,param!$A$4:$B$266,2)</f>
        <v>F&amp;S Cycle Time</v>
      </c>
      <c r="E593" s="448">
        <f>INDEX($K593:$O593,SUMIF(cbal!E$280:E$296,$B593,cbal!$D$280:$D$296)+1)</f>
        <v>0</v>
      </c>
      <c r="F593" s="448">
        <f>INDEX($K593:$O593,SUMIF(cbal!F$280:F$296,$B593,cbal!$D$280:$D$296)+1)</f>
        <v>0</v>
      </c>
      <c r="G593" s="448">
        <f>INDEX($K593:$O593,SUMIF(cbal!G$280:G$296,$B593,cbal!$D$280:$D$296)+1)</f>
        <v>0</v>
      </c>
      <c r="H593" s="448">
        <f>INDEX($K593:$O593,SUMIF(cbal!H$280:H$296,$B593,cbal!$D$280:$D$296)+1)</f>
        <v>0</v>
      </c>
      <c r="I593" s="448">
        <f>INDEX($K593:$O593,SUMIF(cbal!I$280:I$296,$B593,cbal!$D$280:$D$296)+1)</f>
        <v>0</v>
      </c>
      <c r="K593" s="1577">
        <v>0</v>
      </c>
      <c r="L593" s="1585">
        <v>-0.1</v>
      </c>
      <c r="M593" s="1585">
        <v>-0.1</v>
      </c>
      <c r="N593" s="1585">
        <v>-0.1</v>
      </c>
      <c r="O593" s="1585">
        <v>-0.1</v>
      </c>
      <c r="R593" s="91" t="b">
        <f t="shared" si="73"/>
        <v>0</v>
      </c>
      <c r="S593" s="21" t="b">
        <f t="shared" si="74"/>
        <v>0</v>
      </c>
      <c r="T593" s="97" t="b">
        <f t="shared" si="77"/>
        <v>0</v>
      </c>
    </row>
    <row r="594" spans="2:20">
      <c r="B594" t="s">
        <v>4038</v>
      </c>
      <c r="C594" s="506">
        <v>8</v>
      </c>
      <c r="D594" t="str">
        <f>VLOOKUP($C594,param!$A$4:$B$266,2)</f>
        <v>CSD Materials Inventory As % of Production</v>
      </c>
      <c r="E594" s="448">
        <f>INDEX($K594:$O594,SUMIF(cbal!E$280:E$296,$B594,cbal!$D$280:$D$296)+1)</f>
        <v>0</v>
      </c>
      <c r="F594" s="448">
        <f>INDEX($K594:$O594,SUMIF(cbal!F$280:F$296,$B594,cbal!$D$280:$D$296)+1)</f>
        <v>0</v>
      </c>
      <c r="G594" s="448">
        <f>INDEX($K594:$O594,SUMIF(cbal!G$280:G$296,$B594,cbal!$D$280:$D$296)+1)</f>
        <v>0</v>
      </c>
      <c r="H594" s="448">
        <f>INDEX($K594:$O594,SUMIF(cbal!H$280:H$296,$B594,cbal!$D$280:$D$296)+1)</f>
        <v>0</v>
      </c>
      <c r="I594" s="448">
        <f>INDEX($K594:$O594,SUMIF(cbal!I$280:I$296,$B594,cbal!$D$280:$D$296)+1)</f>
        <v>0</v>
      </c>
      <c r="K594" s="1577">
        <v>0</v>
      </c>
      <c r="L594" s="1585">
        <v>-0.05</v>
      </c>
      <c r="M594" s="1585">
        <v>-0.05</v>
      </c>
      <c r="N594" s="1585">
        <v>-0.05</v>
      </c>
      <c r="O594" s="1585">
        <v>-0.05</v>
      </c>
      <c r="R594" s="91" t="b">
        <f t="shared" si="73"/>
        <v>0</v>
      </c>
      <c r="S594" s="21" t="b">
        <f t="shared" si="74"/>
        <v>0</v>
      </c>
      <c r="T594" s="97" t="b">
        <f t="shared" si="77"/>
        <v>0</v>
      </c>
    </row>
    <row r="595" spans="2:20">
      <c r="B595" t="s">
        <v>4038</v>
      </c>
      <c r="C595" s="506">
        <v>46</v>
      </c>
      <c r="D595" t="str">
        <f>VLOOKUP($C595,param!$A$4:$B$266,2)</f>
        <v>NCB Materials Inventory As % of Production</v>
      </c>
      <c r="E595" s="448">
        <f>INDEX($K595:$O595,SUMIF(cbal!E$280:E$296,$B595,cbal!$D$280:$D$296)+1)</f>
        <v>0</v>
      </c>
      <c r="F595" s="448">
        <f>INDEX($K595:$O595,SUMIF(cbal!F$280:F$296,$B595,cbal!$D$280:$D$296)+1)</f>
        <v>0</v>
      </c>
      <c r="G595" s="448">
        <f>INDEX($K595:$O595,SUMIF(cbal!G$280:G$296,$B595,cbal!$D$280:$D$296)+1)</f>
        <v>0</v>
      </c>
      <c r="H595" s="448">
        <f>INDEX($K595:$O595,SUMIF(cbal!H$280:H$296,$B595,cbal!$D$280:$D$296)+1)</f>
        <v>0</v>
      </c>
      <c r="I595" s="448">
        <f>INDEX($K595:$O595,SUMIF(cbal!I$280:I$296,$B595,cbal!$D$280:$D$296)+1)</f>
        <v>0</v>
      </c>
      <c r="K595" s="1577">
        <v>0</v>
      </c>
      <c r="L595" s="1585">
        <v>-0.05</v>
      </c>
      <c r="M595" s="1585">
        <v>-0.05</v>
      </c>
      <c r="N595" s="1585">
        <v>-0.05</v>
      </c>
      <c r="O595" s="1585">
        <v>-0.05</v>
      </c>
      <c r="R595" s="91" t="b">
        <f t="shared" si="73"/>
        <v>0</v>
      </c>
      <c r="S595" s="21" t="b">
        <f t="shared" si="74"/>
        <v>0</v>
      </c>
      <c r="T595" s="97" t="b">
        <f t="shared" si="77"/>
        <v>0</v>
      </c>
    </row>
    <row r="596" spans="2:20">
      <c r="B596" t="s">
        <v>4038</v>
      </c>
      <c r="C596" s="506">
        <v>65</v>
      </c>
      <c r="D596" t="str">
        <f>VLOOKUP($C596,param!$A$4:$B$266,2)</f>
        <v>F&amp;S Materials Inventory As % of Production</v>
      </c>
      <c r="E596" s="448">
        <f>INDEX($K596:$O596,SUMIF(cbal!E$280:E$296,$B596,cbal!$D$280:$D$296)+1)</f>
        <v>0</v>
      </c>
      <c r="F596" s="448">
        <f>INDEX($K596:$O596,SUMIF(cbal!F$280:F$296,$B596,cbal!$D$280:$D$296)+1)</f>
        <v>0</v>
      </c>
      <c r="G596" s="448">
        <f>INDEX($K596:$O596,SUMIF(cbal!G$280:G$296,$B596,cbal!$D$280:$D$296)+1)</f>
        <v>0</v>
      </c>
      <c r="H596" s="448">
        <f>INDEX($K596:$O596,SUMIF(cbal!H$280:H$296,$B596,cbal!$D$280:$D$296)+1)</f>
        <v>0</v>
      </c>
      <c r="I596" s="448">
        <f>INDEX($K596:$O596,SUMIF(cbal!I$280:I$296,$B596,cbal!$D$280:$D$296)+1)</f>
        <v>0</v>
      </c>
      <c r="K596" s="1577">
        <v>0</v>
      </c>
      <c r="L596" s="1585">
        <v>-0.05</v>
      </c>
      <c r="M596" s="1585">
        <v>-0.05</v>
      </c>
      <c r="N596" s="1585">
        <v>-0.05</v>
      </c>
      <c r="O596" s="1585">
        <v>-0.05</v>
      </c>
      <c r="R596" s="91" t="b">
        <f t="shared" si="73"/>
        <v>0</v>
      </c>
      <c r="S596" s="21" t="b">
        <f t="shared" si="74"/>
        <v>0</v>
      </c>
      <c r="T596" s="97" t="b">
        <f t="shared" si="77"/>
        <v>0</v>
      </c>
    </row>
    <row r="597" spans="2:20">
      <c r="B597" t="s">
        <v>4038</v>
      </c>
      <c r="C597" s="506">
        <v>196</v>
      </c>
      <c r="D597" t="str">
        <f>VLOOKUP($C597,param!$A$4:$B$266,2)</f>
        <v>Career Path</v>
      </c>
      <c r="E597" s="448">
        <f>INDEX($K597:$O597,SUMIF(cbal!E$280:E$296,$B597,cbal!$D$280:$D$296)+1)</f>
        <v>0</v>
      </c>
      <c r="F597" s="448">
        <f>INDEX($K597:$O597,SUMIF(cbal!F$280:F$296,$B597,cbal!$D$280:$D$296)+1)</f>
        <v>0</v>
      </c>
      <c r="G597" s="448">
        <f>INDEX($K597:$O597,SUMIF(cbal!G$280:G$296,$B597,cbal!$D$280:$D$296)+1)</f>
        <v>0</v>
      </c>
      <c r="H597" s="448">
        <f>INDEX($K597:$O597,SUMIF(cbal!H$280:H$296,$B597,cbal!$D$280:$D$296)+1)</f>
        <v>0</v>
      </c>
      <c r="I597" s="448">
        <f>INDEX($K597:$O597,SUMIF(cbal!I$280:I$296,$B597,cbal!$D$280:$D$296)+1)</f>
        <v>0</v>
      </c>
      <c r="K597" s="1577">
        <v>0</v>
      </c>
      <c r="L597" s="1585">
        <v>0.03</v>
      </c>
      <c r="M597" s="1585">
        <v>0.04</v>
      </c>
      <c r="N597" s="1585">
        <v>0.06</v>
      </c>
      <c r="O597" s="1585">
        <v>0.06</v>
      </c>
      <c r="R597" s="91" t="b">
        <f>IF(AND(C597&gt;166,C597&lt;171.5),L597)</f>
        <v>0</v>
      </c>
      <c r="S597" s="21" t="b">
        <f>IF(AND(C597&gt;166,C597&lt;171.5),M597)</f>
        <v>0</v>
      </c>
      <c r="T597" s="97" t="b">
        <f>IF(C597=133.5,L597)</f>
        <v>0</v>
      </c>
    </row>
    <row r="598" spans="2:20">
      <c r="B598" t="s">
        <v>4038</v>
      </c>
      <c r="C598" s="506">
        <v>197</v>
      </c>
      <c r="D598" t="str">
        <f>VLOOKUP($C598,param!$A$4:$B$266,2)</f>
        <v>Company Culture</v>
      </c>
      <c r="E598" s="448">
        <f>INDEX($K598:$O598,SUMIF(cbal!E$280:E$296,$B598,cbal!$D$280:$D$296)+1)</f>
        <v>0</v>
      </c>
      <c r="F598" s="448">
        <f>INDEX($K598:$O598,SUMIF(cbal!F$280:F$296,$B598,cbal!$D$280:$D$296)+1)</f>
        <v>0</v>
      </c>
      <c r="G598" s="448">
        <f>INDEX($K598:$O598,SUMIF(cbal!G$280:G$296,$B598,cbal!$D$280:$D$296)+1)</f>
        <v>0</v>
      </c>
      <c r="H598" s="448">
        <f>INDEX($K598:$O598,SUMIF(cbal!H$280:H$296,$B598,cbal!$D$280:$D$296)+1)</f>
        <v>0</v>
      </c>
      <c r="I598" s="448">
        <f>INDEX($K598:$O598,SUMIF(cbal!I$280:I$296,$B598,cbal!$D$280:$D$296)+1)</f>
        <v>0</v>
      </c>
      <c r="K598" s="1577">
        <v>0</v>
      </c>
      <c r="L598" s="1584">
        <v>1.4999999999999999E-2</v>
      </c>
      <c r="M598" s="1584">
        <v>2.5000000000000001E-2</v>
      </c>
      <c r="N598" s="1584">
        <v>0.04</v>
      </c>
      <c r="O598" s="1584">
        <v>0.04</v>
      </c>
      <c r="R598" s="91" t="b">
        <f>IF(AND(C598&gt;166,C598&lt;171.5),L598)</f>
        <v>0</v>
      </c>
      <c r="S598" s="21" t="b">
        <f>IF(AND(C598&gt;166,C598&lt;171.5),M598)</f>
        <v>0</v>
      </c>
      <c r="T598" s="97" t="b">
        <f>IF(C598=133.5,L598)</f>
        <v>0</v>
      </c>
    </row>
    <row r="599" spans="2:20">
      <c r="B599" t="s">
        <v>4038</v>
      </c>
      <c r="C599" s="506">
        <v>167</v>
      </c>
      <c r="D599" t="str">
        <f>VLOOKUP($C599,param!$A$4:$B$266,2)</f>
        <v>Special Program Expense</v>
      </c>
      <c r="E599" s="609">
        <f>INDEX($K599:$O599,SUMIF(cbal!E$280:E$296,$B599,cbal!$D$280:$D$296)+1)</f>
        <v>0</v>
      </c>
      <c r="F599" s="609">
        <f>INDEX($K599:$O599,SUMIF(cbal!F$280:F$296,$B599,cbal!$D$280:$D$296)+1)</f>
        <v>0</v>
      </c>
      <c r="G599" s="609">
        <f>INDEX($K599:$O599,SUMIF(cbal!G$280:G$296,$B599,cbal!$D$280:$D$296)+1)</f>
        <v>0</v>
      </c>
      <c r="H599" s="609">
        <f>INDEX($K599:$O599,SUMIF(cbal!H$280:H$296,$B599,cbal!$D$280:$D$296)+1)</f>
        <v>0</v>
      </c>
      <c r="I599" s="609">
        <f>INDEX($K599:$O599,SUMIF(cbal!I$280:I$296,$B599,cbal!$D$280:$D$296)+1)</f>
        <v>0</v>
      </c>
      <c r="K599" s="1577">
        <v>0</v>
      </c>
      <c r="L599" s="1588">
        <v>1500000</v>
      </c>
      <c r="M599" s="1589"/>
      <c r="N599" s="1589"/>
      <c r="O599" s="1589"/>
      <c r="R599" s="91">
        <f t="shared" si="73"/>
        <v>1500000</v>
      </c>
      <c r="S599" s="21">
        <f t="shared" si="74"/>
        <v>0</v>
      </c>
      <c r="T599" s="97" t="b">
        <f t="shared" si="77"/>
        <v>0</v>
      </c>
    </row>
    <row r="600" spans="2:20">
      <c r="B600" t="s">
        <v>4038</v>
      </c>
      <c r="C600" s="433">
        <v>133.5</v>
      </c>
      <c r="D600" t="str">
        <f>VLOOKUP($C600,param!$A$4:$B$266,2)</f>
        <v>MTU Initiatives Allocation</v>
      </c>
      <c r="E600" s="607">
        <f>INDEX($K600:$O600,SUMIF(cbal!E$280:E$296,$B600,cbal!$D$280:$D$296)+1)</f>
        <v>0</v>
      </c>
      <c r="F600" s="607">
        <f>INDEX($K600:$O600,SUMIF(cbal!F$280:F$296,$B600,cbal!$D$280:$D$296)+1)</f>
        <v>0</v>
      </c>
      <c r="G600" s="607">
        <f>INDEX($K600:$O600,SUMIF(cbal!G$280:G$296,$B600,cbal!$D$280:$D$296)+1)</f>
        <v>0</v>
      </c>
      <c r="H600" s="607">
        <f>INDEX($K600:$O600,SUMIF(cbal!H$280:H$296,$B600,cbal!$D$280:$D$296)+1)</f>
        <v>0</v>
      </c>
      <c r="I600" s="607">
        <f>INDEX($K600:$O600,SUMIF(cbal!I$280:I$296,$B600,cbal!$D$280:$D$296)+1)</f>
        <v>0</v>
      </c>
      <c r="K600" s="1577">
        <v>0</v>
      </c>
      <c r="L600" s="1587">
        <v>5</v>
      </c>
      <c r="M600" s="1585"/>
      <c r="N600" s="1585"/>
      <c r="O600" s="1585"/>
      <c r="R600" s="91" t="b">
        <f t="shared" si="73"/>
        <v>0</v>
      </c>
      <c r="S600" s="21" t="b">
        <f t="shared" si="74"/>
        <v>0</v>
      </c>
      <c r="T600" s="97">
        <f>IF(C600=133.5,L600)</f>
        <v>5</v>
      </c>
    </row>
    <row r="601" spans="2:20">
      <c r="B601" t="s">
        <v>4038</v>
      </c>
      <c r="C601" s="433">
        <v>203</v>
      </c>
      <c r="D601" t="str">
        <f>VLOOKUP($C601,param!$A$4:$B$266,2)</f>
        <v>Productivity Strategy</v>
      </c>
      <c r="E601" s="607">
        <f>INDEX($K601:$O601,SUMIF(cbal!E$280:E$296,$B601,cbal!$D$280:$D$296)+1)</f>
        <v>0</v>
      </c>
      <c r="F601" s="607">
        <f>INDEX($K601:$O601,SUMIF(cbal!F$280:F$296,$B601,cbal!$D$280:$D$296)+1)</f>
        <v>0</v>
      </c>
      <c r="G601" s="607">
        <f>INDEX($K601:$O601,SUMIF(cbal!G$280:G$296,$B601,cbal!$D$280:$D$296)+1)</f>
        <v>0</v>
      </c>
      <c r="H601" s="607">
        <f>INDEX($K601:$O601,SUMIF(cbal!H$280:H$296,$B601,cbal!$D$280:$D$296)+1)</f>
        <v>0</v>
      </c>
      <c r="I601" s="607">
        <f>INDEX($K601:$O601,SUMIF(cbal!I$280:I$296,$B601,cbal!$D$280:$D$296)+1)</f>
        <v>0</v>
      </c>
      <c r="K601" s="1577">
        <v>0</v>
      </c>
      <c r="L601" s="1580">
        <f>L600</f>
        <v>5</v>
      </c>
      <c r="M601" s="1580">
        <f>L601</f>
        <v>5</v>
      </c>
      <c r="N601" s="1580">
        <f>M601</f>
        <v>5</v>
      </c>
      <c r="O601" s="1580">
        <f>N601</f>
        <v>5</v>
      </c>
      <c r="R601" s="91" t="b">
        <f>IF(AND(C601&gt;166,C601&lt;171.5),L601)</f>
        <v>0</v>
      </c>
      <c r="S601" s="21" t="b">
        <f>IF(AND(C601&gt;166,C601&lt;171.5),M601)</f>
        <v>0</v>
      </c>
      <c r="T601" s="97" t="b">
        <f>IF(C601=133.5,L601)</f>
        <v>0</v>
      </c>
    </row>
    <row r="602" spans="2:20">
      <c r="B602">
        <v>0</v>
      </c>
      <c r="C602" s="433">
        <v>0</v>
      </c>
      <c r="E602" s="448"/>
      <c r="F602" s="448"/>
      <c r="G602" s="448"/>
      <c r="H602" s="448"/>
      <c r="I602" s="448"/>
      <c r="K602" s="1577"/>
      <c r="L602" s="1585"/>
      <c r="M602" s="1585"/>
      <c r="N602" s="1585"/>
      <c r="O602" s="1585"/>
      <c r="R602" s="91">
        <v>0</v>
      </c>
      <c r="S602" s="21">
        <v>0</v>
      </c>
      <c r="T602" s="97">
        <v>0</v>
      </c>
    </row>
    <row r="603" spans="2:20">
      <c r="B603" t="s">
        <v>4039</v>
      </c>
      <c r="C603" t="str">
        <f>VLOOKUP(B603,DataInitiativesGrid,2,0)</f>
        <v>Performance Appraisal Plan</v>
      </c>
      <c r="E603" s="448">
        <f>INDEX($K603:$O603,SUMIF(cbal!E$280:E$296,$B603,cbal!$D$280:$D$296)+1)</f>
        <v>0</v>
      </c>
      <c r="F603" s="448">
        <f>INDEX($K603:$O603,SUMIF(cbal!F$280:F$296,$B603,cbal!$D$280:$D$296)+1)</f>
        <v>0</v>
      </c>
      <c r="G603" s="448">
        <f>INDEX($K603:$O603,SUMIF(cbal!G$280:G$296,$B603,cbal!$D$280:$D$296)+1)</f>
        <v>0</v>
      </c>
      <c r="H603" s="448">
        <f>INDEX($K603:$O603,SUMIF(cbal!H$280:H$296,$B603,cbal!$D$280:$D$296)+1)</f>
        <v>0</v>
      </c>
      <c r="I603" s="448">
        <f>INDEX($K603:$O603,SUMIF(cbal!I$280:I$296,$B603,cbal!$D$280:$D$296)+1)</f>
        <v>0</v>
      </c>
      <c r="K603" s="1577"/>
      <c r="L603" s="1585"/>
      <c r="M603" s="1585"/>
      <c r="N603" s="1585"/>
      <c r="O603" s="1585"/>
      <c r="R603" s="91">
        <v>0</v>
      </c>
      <c r="S603" s="21">
        <v>0</v>
      </c>
      <c r="T603" s="97">
        <v>0</v>
      </c>
    </row>
    <row r="604" spans="2:20">
      <c r="B604" t="s">
        <v>4039</v>
      </c>
      <c r="C604" s="433">
        <v>9</v>
      </c>
      <c r="D604" t="str">
        <f>VLOOKUP($C604,param!$A$4:$B$266,2)</f>
        <v>CSD Labor Hours Req. Per Unit</v>
      </c>
      <c r="E604" s="448">
        <f>INDEX($K604:$O604,SUMIF(cbal!E$280:E$296,$B604,cbal!$D$280:$D$296)+1)</f>
        <v>0</v>
      </c>
      <c r="F604" s="448">
        <f>INDEX($K604:$O604,SUMIF(cbal!F$280:F$296,$B604,cbal!$D$280:$D$296)+1)</f>
        <v>0</v>
      </c>
      <c r="G604" s="448">
        <f>INDEX($K604:$O604,SUMIF(cbal!G$280:G$296,$B604,cbal!$D$280:$D$296)+1)</f>
        <v>0</v>
      </c>
      <c r="H604" s="448">
        <f>INDEX($K604:$O604,SUMIF(cbal!H$280:H$296,$B604,cbal!$D$280:$D$296)+1)</f>
        <v>0</v>
      </c>
      <c r="I604" s="448">
        <f>INDEX($K604:$O604,SUMIF(cbal!I$280:I$296,$B604,cbal!$D$280:$D$296)+1)</f>
        <v>0</v>
      </c>
      <c r="K604" s="1577">
        <v>0</v>
      </c>
      <c r="L604" s="1585">
        <v>-0.03</v>
      </c>
      <c r="M604" s="1585">
        <v>-0.03</v>
      </c>
      <c r="N604" s="1585">
        <v>-0.03</v>
      </c>
      <c r="O604" s="1585">
        <v>-0.03</v>
      </c>
      <c r="R604" s="91" t="b">
        <f t="shared" si="73"/>
        <v>0</v>
      </c>
      <c r="S604" s="21" t="b">
        <f t="shared" si="74"/>
        <v>0</v>
      </c>
      <c r="T604" s="97" t="b">
        <f t="shared" si="77"/>
        <v>0</v>
      </c>
    </row>
    <row r="605" spans="2:20">
      <c r="B605" t="s">
        <v>4039</v>
      </c>
      <c r="C605" s="433">
        <v>47</v>
      </c>
      <c r="D605" t="str">
        <f>VLOOKUP($C605,param!$A$4:$B$266,2)</f>
        <v>NCB Labor Hours Req. Per Unit</v>
      </c>
      <c r="E605" s="448">
        <f>INDEX($K605:$O605,SUMIF(cbal!E$280:E$296,$B605,cbal!$D$280:$D$296)+1)</f>
        <v>0</v>
      </c>
      <c r="F605" s="448">
        <f>INDEX($K605:$O605,SUMIF(cbal!F$280:F$296,$B605,cbal!$D$280:$D$296)+1)</f>
        <v>0</v>
      </c>
      <c r="G605" s="448">
        <f>INDEX($K605:$O605,SUMIF(cbal!G$280:G$296,$B605,cbal!$D$280:$D$296)+1)</f>
        <v>0</v>
      </c>
      <c r="H605" s="448">
        <f>INDEX($K605:$O605,SUMIF(cbal!H$280:H$296,$B605,cbal!$D$280:$D$296)+1)</f>
        <v>0</v>
      </c>
      <c r="I605" s="448">
        <f>INDEX($K605:$O605,SUMIF(cbal!I$280:I$296,$B605,cbal!$D$280:$D$296)+1)</f>
        <v>0</v>
      </c>
      <c r="K605" s="1577">
        <v>0</v>
      </c>
      <c r="L605" s="1585">
        <v>-0.03</v>
      </c>
      <c r="M605" s="1585">
        <v>-0.03</v>
      </c>
      <c r="N605" s="1585">
        <v>-0.03</v>
      </c>
      <c r="O605" s="1585">
        <v>-0.03</v>
      </c>
      <c r="R605" s="91" t="b">
        <f t="shared" si="73"/>
        <v>0</v>
      </c>
      <c r="S605" s="21" t="b">
        <f t="shared" si="74"/>
        <v>0</v>
      </c>
      <c r="T605" s="97" t="b">
        <f t="shared" si="77"/>
        <v>0</v>
      </c>
    </row>
    <row r="606" spans="2:20">
      <c r="B606" t="s">
        <v>4039</v>
      </c>
      <c r="C606" s="433">
        <v>66</v>
      </c>
      <c r="D606" t="str">
        <f>VLOOKUP($C606,param!$A$4:$B$266,2)</f>
        <v>F&amp;S Labor Hours Req. Per Unit</v>
      </c>
      <c r="E606" s="448">
        <f>INDEX($K606:$O606,SUMIF(cbal!E$280:E$296,$B606,cbal!$D$280:$D$296)+1)</f>
        <v>0</v>
      </c>
      <c r="F606" s="448">
        <f>INDEX($K606:$O606,SUMIF(cbal!F$280:F$296,$B606,cbal!$D$280:$D$296)+1)</f>
        <v>0</v>
      </c>
      <c r="G606" s="448">
        <f>INDEX($K606:$O606,SUMIF(cbal!G$280:G$296,$B606,cbal!$D$280:$D$296)+1)</f>
        <v>0</v>
      </c>
      <c r="H606" s="448">
        <f>INDEX($K606:$O606,SUMIF(cbal!H$280:H$296,$B606,cbal!$D$280:$D$296)+1)</f>
        <v>0</v>
      </c>
      <c r="I606" s="448">
        <f>INDEX($K606:$O606,SUMIF(cbal!I$280:I$296,$B606,cbal!$D$280:$D$296)+1)</f>
        <v>0</v>
      </c>
      <c r="K606" s="1577">
        <v>0</v>
      </c>
      <c r="L606" s="1585">
        <v>-0.03</v>
      </c>
      <c r="M606" s="1585">
        <v>-0.03</v>
      </c>
      <c r="N606" s="1585">
        <v>-0.03</v>
      </c>
      <c r="O606" s="1585">
        <v>-0.03</v>
      </c>
      <c r="R606" s="91" t="b">
        <f t="shared" si="73"/>
        <v>0</v>
      </c>
      <c r="S606" s="21" t="b">
        <f t="shared" si="74"/>
        <v>0</v>
      </c>
      <c r="T606" s="97" t="b">
        <f t="shared" si="77"/>
        <v>0</v>
      </c>
    </row>
    <row r="607" spans="2:20">
      <c r="B607" t="s">
        <v>4039</v>
      </c>
      <c r="C607" s="433">
        <v>104</v>
      </c>
      <c r="D607" t="str">
        <f>VLOOKUP($C607,param!$A$4:$B$266,2)</f>
        <v>Lower Region Sales Force Attrition rate</v>
      </c>
      <c r="E607" s="448">
        <f>INDEX($K607:$O607,SUMIF(cbal!E$280:E$296,$B607,cbal!$D$280:$D$296)+1)</f>
        <v>0</v>
      </c>
      <c r="F607" s="448">
        <f>INDEX($K607:$O607,SUMIF(cbal!F$280:F$296,$B607,cbal!$D$280:$D$296)+1)</f>
        <v>0</v>
      </c>
      <c r="G607" s="448">
        <f>INDEX($K607:$O607,SUMIF(cbal!G$280:G$296,$B607,cbal!$D$280:$D$296)+1)</f>
        <v>0</v>
      </c>
      <c r="H607" s="448">
        <f>INDEX($K607:$O607,SUMIF(cbal!H$280:H$296,$B607,cbal!$D$280:$D$296)+1)</f>
        <v>0</v>
      </c>
      <c r="I607" s="448">
        <f>INDEX($K607:$O607,SUMIF(cbal!I$280:I$296,$B607,cbal!$D$280:$D$296)+1)</f>
        <v>0</v>
      </c>
      <c r="K607" s="1577">
        <v>0</v>
      </c>
      <c r="L607" s="1585">
        <v>-0.01</v>
      </c>
      <c r="M607" s="1585">
        <v>-0.01</v>
      </c>
      <c r="N607" s="1585">
        <v>-0.01</v>
      </c>
      <c r="O607" s="1585">
        <v>-0.01</v>
      </c>
      <c r="R607" s="91" t="b">
        <f t="shared" si="73"/>
        <v>0</v>
      </c>
      <c r="S607" s="21" t="b">
        <f t="shared" si="74"/>
        <v>0</v>
      </c>
      <c r="T607" s="97" t="b">
        <f t="shared" si="77"/>
        <v>0</v>
      </c>
    </row>
    <row r="608" spans="2:20">
      <c r="B608" t="s">
        <v>4039</v>
      </c>
      <c r="C608" s="433">
        <v>112</v>
      </c>
      <c r="D608" t="str">
        <f>VLOOKUP($C608,param!$A$4:$B$266,2)</f>
        <v>Upper Region Sales Force Attrition rate</v>
      </c>
      <c r="E608" s="448">
        <f>INDEX($K608:$O608,SUMIF(cbal!E$280:E$296,$B608,cbal!$D$280:$D$296)+1)</f>
        <v>0</v>
      </c>
      <c r="F608" s="448">
        <f>INDEX($K608:$O608,SUMIF(cbal!F$280:F$296,$B608,cbal!$D$280:$D$296)+1)</f>
        <v>0</v>
      </c>
      <c r="G608" s="448">
        <f>INDEX($K608:$O608,SUMIF(cbal!G$280:G$296,$B608,cbal!$D$280:$D$296)+1)</f>
        <v>0</v>
      </c>
      <c r="H608" s="448">
        <f>INDEX($K608:$O608,SUMIF(cbal!H$280:H$296,$B608,cbal!$D$280:$D$296)+1)</f>
        <v>0</v>
      </c>
      <c r="I608" s="448">
        <f>INDEX($K608:$O608,SUMIF(cbal!I$280:I$296,$B608,cbal!$D$280:$D$296)+1)</f>
        <v>0</v>
      </c>
      <c r="K608" s="1577">
        <v>0</v>
      </c>
      <c r="L608" s="1585">
        <v>-0.01</v>
      </c>
      <c r="M608" s="1585">
        <v>-0.01</v>
      </c>
      <c r="N608" s="1585">
        <v>-0.01</v>
      </c>
      <c r="O608" s="1585">
        <v>-0.01</v>
      </c>
      <c r="R608" s="91" t="b">
        <f t="shared" si="73"/>
        <v>0</v>
      </c>
      <c r="S608" s="21" t="b">
        <f t="shared" si="74"/>
        <v>0</v>
      </c>
      <c r="T608" s="97" t="b">
        <f t="shared" si="77"/>
        <v>0</v>
      </c>
    </row>
    <row r="609" spans="2:20">
      <c r="B609" t="s">
        <v>4039</v>
      </c>
      <c r="C609" s="433">
        <v>120</v>
      </c>
      <c r="D609" t="str">
        <f>VLOOKUP($C609,param!$A$4:$B$266,2)</f>
        <v>Labor Attrition rate</v>
      </c>
      <c r="E609" s="448">
        <f>INDEX($K609:$O609,SUMIF(cbal!E$280:E$296,$B609,cbal!$D$280:$D$296)+1)</f>
        <v>0</v>
      </c>
      <c r="F609" s="448">
        <f>INDEX($K609:$O609,SUMIF(cbal!F$280:F$296,$B609,cbal!$D$280:$D$296)+1)</f>
        <v>0</v>
      </c>
      <c r="G609" s="448">
        <f>INDEX($K609:$O609,SUMIF(cbal!G$280:G$296,$B609,cbal!$D$280:$D$296)+1)</f>
        <v>0</v>
      </c>
      <c r="H609" s="448">
        <f>INDEX($K609:$O609,SUMIF(cbal!H$280:H$296,$B609,cbal!$D$280:$D$296)+1)</f>
        <v>0</v>
      </c>
      <c r="I609" s="448">
        <f>INDEX($K609:$O609,SUMIF(cbal!I$280:I$296,$B609,cbal!$D$280:$D$296)+1)</f>
        <v>0</v>
      </c>
      <c r="K609" s="1577">
        <v>0</v>
      </c>
      <c r="L609" s="1585">
        <v>-0.01</v>
      </c>
      <c r="M609" s="1585">
        <v>-0.01</v>
      </c>
      <c r="N609" s="1585">
        <v>-0.01</v>
      </c>
      <c r="O609" s="1585">
        <v>-0.01</v>
      </c>
      <c r="R609" s="91" t="b">
        <f t="shared" si="73"/>
        <v>0</v>
      </c>
      <c r="S609" s="21" t="b">
        <f t="shared" si="74"/>
        <v>0</v>
      </c>
      <c r="T609" s="97" t="b">
        <f t="shared" si="77"/>
        <v>0</v>
      </c>
    </row>
    <row r="610" spans="2:20">
      <c r="B610" t="s">
        <v>4039</v>
      </c>
      <c r="C610" s="506">
        <v>196</v>
      </c>
      <c r="D610" t="str">
        <f>VLOOKUP($C610,param!$A$4:$B$266,2)</f>
        <v>Career Path</v>
      </c>
      <c r="E610" s="448">
        <f>INDEX($K610:$O610,SUMIF(cbal!E$280:E$296,$B610,cbal!$D$280:$D$296)+1)</f>
        <v>0</v>
      </c>
      <c r="F610" s="448">
        <f>INDEX($K610:$O610,SUMIF(cbal!F$280:F$296,$B610,cbal!$D$280:$D$296)+1)</f>
        <v>0</v>
      </c>
      <c r="G610" s="448">
        <f>INDEX($K610:$O610,SUMIF(cbal!G$280:G$296,$B610,cbal!$D$280:$D$296)+1)</f>
        <v>0</v>
      </c>
      <c r="H610" s="448">
        <f>INDEX($K610:$O610,SUMIF(cbal!H$280:H$296,$B610,cbal!$D$280:$D$296)+1)</f>
        <v>0</v>
      </c>
      <c r="I610" s="448">
        <f>INDEX($K610:$O610,SUMIF(cbal!I$280:I$296,$B610,cbal!$D$280:$D$296)+1)</f>
        <v>0</v>
      </c>
      <c r="K610" s="1577">
        <v>0</v>
      </c>
      <c r="L610" s="1585">
        <v>0.03</v>
      </c>
      <c r="M610" s="1585">
        <v>0.04</v>
      </c>
      <c r="N610" s="1585">
        <v>0.06</v>
      </c>
      <c r="O610" s="1585">
        <v>0.06</v>
      </c>
      <c r="R610" s="91" t="b">
        <f t="shared" si="73"/>
        <v>0</v>
      </c>
      <c r="S610" s="21" t="b">
        <f t="shared" si="74"/>
        <v>0</v>
      </c>
      <c r="T610" s="97" t="b">
        <f t="shared" si="77"/>
        <v>0</v>
      </c>
    </row>
    <row r="611" spans="2:20">
      <c r="B611" t="s">
        <v>4039</v>
      </c>
      <c r="C611" s="506">
        <v>197</v>
      </c>
      <c r="D611" t="str">
        <f>VLOOKUP($C611,param!$A$4:$B$266,2)</f>
        <v>Company Culture</v>
      </c>
      <c r="E611" s="448">
        <f>INDEX($K611:$O611,SUMIF(cbal!E$280:E$296,$B611,cbal!$D$280:$D$296)+1)</f>
        <v>0</v>
      </c>
      <c r="F611" s="448">
        <f>INDEX($K611:$O611,SUMIF(cbal!F$280:F$296,$B611,cbal!$D$280:$D$296)+1)</f>
        <v>0</v>
      </c>
      <c r="G611" s="448">
        <f>INDEX($K611:$O611,SUMIF(cbal!G$280:G$296,$B611,cbal!$D$280:$D$296)+1)</f>
        <v>0</v>
      </c>
      <c r="H611" s="448">
        <f>INDEX($K611:$O611,SUMIF(cbal!H$280:H$296,$B611,cbal!$D$280:$D$296)+1)</f>
        <v>0</v>
      </c>
      <c r="I611" s="448">
        <f>INDEX($K611:$O611,SUMIF(cbal!I$280:I$296,$B611,cbal!$D$280:$D$296)+1)</f>
        <v>0</v>
      </c>
      <c r="K611" s="1577">
        <v>0</v>
      </c>
      <c r="L611" s="1584">
        <v>1.4999999999999999E-2</v>
      </c>
      <c r="M611" s="1584">
        <v>2.5000000000000001E-2</v>
      </c>
      <c r="N611" s="1584">
        <v>0.04</v>
      </c>
      <c r="O611" s="1584">
        <v>0.04</v>
      </c>
      <c r="R611" s="91" t="b">
        <f t="shared" si="73"/>
        <v>0</v>
      </c>
      <c r="S611" s="21" t="b">
        <f t="shared" si="74"/>
        <v>0</v>
      </c>
      <c r="T611" s="97" t="b">
        <f t="shared" si="77"/>
        <v>0</v>
      </c>
    </row>
    <row r="612" spans="2:20">
      <c r="B612" t="s">
        <v>4039</v>
      </c>
      <c r="C612" s="433">
        <v>167</v>
      </c>
      <c r="D612" t="str">
        <f>VLOOKUP($C612,param!$A$4:$B$266,2)</f>
        <v>Special Program Expense</v>
      </c>
      <c r="E612" s="607">
        <f>INDEX($K612:$O612,SUMIF(cbal!E$280:E$296,$B612,cbal!$D$280:$D$296)+1)</f>
        <v>0</v>
      </c>
      <c r="F612" s="607">
        <f>INDEX($K612:$O612,SUMIF(cbal!F$280:F$296,$B612,cbal!$D$280:$D$296)+1)</f>
        <v>0</v>
      </c>
      <c r="G612" s="607">
        <f>INDEX($K612:$O612,SUMIF(cbal!G$280:G$296,$B612,cbal!$D$280:$D$296)+1)</f>
        <v>0</v>
      </c>
      <c r="H612" s="607">
        <f>INDEX($K612:$O612,SUMIF(cbal!H$280:H$296,$B612,cbal!$D$280:$D$296)+1)</f>
        <v>0</v>
      </c>
      <c r="I612" s="607">
        <f>INDEX($K612:$O612,SUMIF(cbal!I$280:I$296,$B612,cbal!$D$280:$D$296)+1)</f>
        <v>0</v>
      </c>
      <c r="K612" s="1577">
        <v>0</v>
      </c>
      <c r="L612" s="1590">
        <v>2500000</v>
      </c>
      <c r="M612" s="1590">
        <v>750000</v>
      </c>
      <c r="N612" s="1590">
        <v>750000</v>
      </c>
      <c r="O612" s="1590">
        <v>750000</v>
      </c>
      <c r="R612" s="91">
        <f t="shared" si="73"/>
        <v>2500000</v>
      </c>
      <c r="S612" s="21">
        <f t="shared" si="74"/>
        <v>750000</v>
      </c>
      <c r="T612" s="97" t="b">
        <f t="shared" si="77"/>
        <v>0</v>
      </c>
    </row>
    <row r="613" spans="2:20">
      <c r="B613" t="s">
        <v>4039</v>
      </c>
      <c r="C613" s="433">
        <v>133.5</v>
      </c>
      <c r="D613" t="str">
        <f>VLOOKUP($C613,param!$A$4:$B$266,2)</f>
        <v>MTU Initiatives Allocation</v>
      </c>
      <c r="E613" s="607">
        <f>INDEX($K613:$O613,SUMIF(cbal!E$280:E$296,$B613,cbal!$D$280:$D$296)+1)</f>
        <v>0</v>
      </c>
      <c r="F613" s="607">
        <f>INDEX($K613:$O613,SUMIF(cbal!F$280:F$296,$B613,cbal!$D$280:$D$296)+1)</f>
        <v>0</v>
      </c>
      <c r="G613" s="607">
        <f>INDEX($K613:$O613,SUMIF(cbal!G$280:G$296,$B613,cbal!$D$280:$D$296)+1)</f>
        <v>0</v>
      </c>
      <c r="H613" s="607">
        <f>INDEX($K613:$O613,SUMIF(cbal!H$280:H$296,$B613,cbal!$D$280:$D$296)+1)</f>
        <v>0</v>
      </c>
      <c r="I613" s="607">
        <f>INDEX($K613:$O613,SUMIF(cbal!I$280:I$296,$B613,cbal!$D$280:$D$296)+1)</f>
        <v>0</v>
      </c>
      <c r="K613" s="1577">
        <v>0</v>
      </c>
      <c r="L613" s="1587">
        <v>5</v>
      </c>
      <c r="M613" s="1585"/>
      <c r="N613" s="1585"/>
      <c r="O613" s="1585"/>
      <c r="R613" s="91" t="b">
        <f t="shared" si="73"/>
        <v>0</v>
      </c>
      <c r="S613" s="21" t="b">
        <f t="shared" si="74"/>
        <v>0</v>
      </c>
      <c r="T613" s="97">
        <f t="shared" si="77"/>
        <v>5</v>
      </c>
    </row>
    <row r="614" spans="2:20">
      <c r="B614" t="s">
        <v>4039</v>
      </c>
      <c r="C614" s="433">
        <v>203</v>
      </c>
      <c r="D614" t="str">
        <f>VLOOKUP($C614,param!$A$4:$B$266,2)</f>
        <v>Productivity Strategy</v>
      </c>
      <c r="E614" s="607">
        <f>INDEX($K614:$O614,SUMIF(cbal!E$280:E$296,$B614,cbal!$D$280:$D$296)+1)</f>
        <v>0</v>
      </c>
      <c r="F614" s="607">
        <f>INDEX($K614:$O614,SUMIF(cbal!F$280:F$296,$B614,cbal!$D$280:$D$296)+1)</f>
        <v>0</v>
      </c>
      <c r="G614" s="607">
        <f>INDEX($K614:$O614,SUMIF(cbal!G$280:G$296,$B614,cbal!$D$280:$D$296)+1)</f>
        <v>0</v>
      </c>
      <c r="H614" s="607">
        <f>INDEX($K614:$O614,SUMIF(cbal!H$280:H$296,$B614,cbal!$D$280:$D$296)+1)</f>
        <v>0</v>
      </c>
      <c r="I614" s="607">
        <f>INDEX($K614:$O614,SUMIF(cbal!I$280:I$296,$B614,cbal!$D$280:$D$296)+1)</f>
        <v>0</v>
      </c>
      <c r="K614" s="1577">
        <v>0</v>
      </c>
      <c r="L614" s="1580">
        <f>L613</f>
        <v>5</v>
      </c>
      <c r="M614" s="1580">
        <f>L614</f>
        <v>5</v>
      </c>
      <c r="N614" s="1580">
        <f>M614</f>
        <v>5</v>
      </c>
      <c r="O614" s="1580">
        <f>N614</f>
        <v>5</v>
      </c>
      <c r="R614" s="91" t="b">
        <f>IF(AND(C614&gt;166,C614&lt;171.5),L614)</f>
        <v>0</v>
      </c>
      <c r="S614" s="21" t="b">
        <f>IF(AND(C614&gt;166,C614&lt;171.5),M614)</f>
        <v>0</v>
      </c>
      <c r="T614" s="97" t="b">
        <f>IF(C614=133.5,L614)</f>
        <v>0</v>
      </c>
    </row>
    <row r="615" spans="2:20">
      <c r="B615">
        <v>0</v>
      </c>
      <c r="C615" s="433">
        <v>0</v>
      </c>
      <c r="E615" s="607"/>
      <c r="F615" s="607"/>
      <c r="G615" s="607"/>
      <c r="H615" s="607"/>
      <c r="I615" s="607"/>
      <c r="K615" s="1577"/>
      <c r="L615" s="1590"/>
      <c r="M615" s="1590"/>
      <c r="N615" s="1590"/>
      <c r="O615" s="1590"/>
      <c r="R615" s="91">
        <v>0</v>
      </c>
      <c r="S615" s="21">
        <v>0</v>
      </c>
      <c r="T615" s="97">
        <v>0</v>
      </c>
    </row>
    <row r="616" spans="2:20">
      <c r="B616" t="s">
        <v>4040</v>
      </c>
      <c r="C616" t="str">
        <f>VLOOKUP(B616,DataInitiativesGrid,2,0)</f>
        <v>Operational Redundancy Reduction - Vetera</v>
      </c>
      <c r="E616" s="448"/>
      <c r="F616" s="448"/>
      <c r="G616" s="448"/>
      <c r="H616" s="448"/>
      <c r="I616" s="448"/>
      <c r="K616" s="1577"/>
      <c r="L616" s="1585"/>
      <c r="M616" s="1585"/>
      <c r="N616" s="1585"/>
      <c r="O616" s="1585"/>
      <c r="R616" s="91">
        <v>0</v>
      </c>
      <c r="S616" s="21">
        <v>0</v>
      </c>
      <c r="T616" s="97">
        <v>0</v>
      </c>
    </row>
    <row r="617" spans="2:20">
      <c r="B617" t="s">
        <v>4040</v>
      </c>
      <c r="C617" s="433">
        <v>13</v>
      </c>
      <c r="D617" t="str">
        <f>VLOOKUP($C617,param!$A$4:$B$266,2)</f>
        <v>CSD Distribution Costs for Reg. 1</v>
      </c>
      <c r="E617" s="448">
        <f>INDEX($K617:$O617,SUMIF(cbal!E$280:E$296,$B617,cbal!$D$280:$D$296)+1)</f>
        <v>0</v>
      </c>
      <c r="F617" s="448">
        <f>INDEX($K617:$O617,SUMIF(cbal!F$280:F$296,$B617,cbal!$D$280:$D$296)+1)</f>
        <v>0</v>
      </c>
      <c r="G617" s="448">
        <f>INDEX($K617:$O617,SUMIF(cbal!G$280:G$296,$B617,cbal!$D$280:$D$296)+1)</f>
        <v>0</v>
      </c>
      <c r="H617" s="448">
        <f>INDEX($K617:$O617,SUMIF(cbal!H$280:H$296,$B617,cbal!$D$280:$D$296)+1)</f>
        <v>0</v>
      </c>
      <c r="I617" s="448">
        <f>INDEX($K617:$O617,SUMIF(cbal!I$280:I$296,$B617,cbal!$D$280:$D$296)+1)</f>
        <v>0</v>
      </c>
      <c r="K617" s="1577">
        <v>0</v>
      </c>
      <c r="L617" s="1585">
        <v>-0.02</v>
      </c>
      <c r="M617" s="1585">
        <v>-0.02</v>
      </c>
      <c r="N617" s="1585">
        <v>-0.02</v>
      </c>
      <c r="O617" s="1585">
        <v>-0.02</v>
      </c>
      <c r="R617" s="91" t="b">
        <f t="shared" ref="R617:R701" si="87">IF(AND(C617&gt;166,C617&lt;171.5),L617)</f>
        <v>0</v>
      </c>
      <c r="S617" s="21" t="b">
        <f t="shared" ref="S617:S701" si="88">IF(AND(C617&gt;166,C617&lt;171.5),M617)</f>
        <v>0</v>
      </c>
      <c r="T617" s="97" t="b">
        <f t="shared" si="77"/>
        <v>0</v>
      </c>
    </row>
    <row r="618" spans="2:20">
      <c r="B618" t="s">
        <v>4040</v>
      </c>
      <c r="C618" s="433">
        <v>51</v>
      </c>
      <c r="D618" t="str">
        <f>VLOOKUP($C618,param!$A$4:$B$266,2)</f>
        <v>NCB Distribution Costs for Reg. 1</v>
      </c>
      <c r="E618" s="448">
        <f>INDEX($K618:$O618,SUMIF(cbal!E$280:E$296,$B618,cbal!$D$280:$D$296)+1)</f>
        <v>0</v>
      </c>
      <c r="F618" s="448">
        <f>INDEX($K618:$O618,SUMIF(cbal!F$280:F$296,$B618,cbal!$D$280:$D$296)+1)</f>
        <v>0</v>
      </c>
      <c r="G618" s="448">
        <f>INDEX($K618:$O618,SUMIF(cbal!G$280:G$296,$B618,cbal!$D$280:$D$296)+1)</f>
        <v>0</v>
      </c>
      <c r="H618" s="448">
        <f>INDEX($K618:$O618,SUMIF(cbal!H$280:H$296,$B618,cbal!$D$280:$D$296)+1)</f>
        <v>0</v>
      </c>
      <c r="I618" s="448">
        <f>INDEX($K618:$O618,SUMIF(cbal!I$280:I$296,$B618,cbal!$D$280:$D$296)+1)</f>
        <v>0</v>
      </c>
      <c r="K618" s="1577">
        <v>0</v>
      </c>
      <c r="L618" s="1585">
        <v>-0.02</v>
      </c>
      <c r="M618" s="1585">
        <v>-0.02</v>
      </c>
      <c r="N618" s="1585">
        <v>-0.02</v>
      </c>
      <c r="O618" s="1585">
        <v>-0.02</v>
      </c>
      <c r="R618" s="91" t="b">
        <f t="shared" si="87"/>
        <v>0</v>
      </c>
      <c r="S618" s="21" t="b">
        <f t="shared" si="88"/>
        <v>0</v>
      </c>
      <c r="T618" s="97" t="b">
        <f t="shared" si="77"/>
        <v>0</v>
      </c>
    </row>
    <row r="619" spans="2:20">
      <c r="B619" t="s">
        <v>4040</v>
      </c>
      <c r="C619" s="433">
        <v>70</v>
      </c>
      <c r="D619" t="str">
        <f>VLOOKUP($C619,param!$A$4:$B$266,2)</f>
        <v>F&amp;S Distribution Costs for Reg. 1</v>
      </c>
      <c r="E619" s="448">
        <f>INDEX($K619:$O619,SUMIF(cbal!E$280:E$296,$B619,cbal!$D$280:$D$296)+1)</f>
        <v>0</v>
      </c>
      <c r="F619" s="448">
        <f>INDEX($K619:$O619,SUMIF(cbal!F$280:F$296,$B619,cbal!$D$280:$D$296)+1)</f>
        <v>0</v>
      </c>
      <c r="G619" s="448">
        <f>INDEX($K619:$O619,SUMIF(cbal!G$280:G$296,$B619,cbal!$D$280:$D$296)+1)</f>
        <v>0</v>
      </c>
      <c r="H619" s="448">
        <f>INDEX($K619:$O619,SUMIF(cbal!H$280:H$296,$B619,cbal!$D$280:$D$296)+1)</f>
        <v>0</v>
      </c>
      <c r="I619" s="448">
        <f>INDEX($K619:$O619,SUMIF(cbal!I$280:I$296,$B619,cbal!$D$280:$D$296)+1)</f>
        <v>0</v>
      </c>
      <c r="K619" s="1577">
        <v>0</v>
      </c>
      <c r="L619" s="1585">
        <v>-0.02</v>
      </c>
      <c r="M619" s="1585">
        <v>-0.02</v>
      </c>
      <c r="N619" s="1585">
        <v>-0.02</v>
      </c>
      <c r="O619" s="1585">
        <v>-0.02</v>
      </c>
      <c r="R619" s="91" t="b">
        <f t="shared" si="87"/>
        <v>0</v>
      </c>
      <c r="S619" s="21" t="b">
        <f t="shared" si="88"/>
        <v>0</v>
      </c>
      <c r="T619" s="97" t="b">
        <f t="shared" si="77"/>
        <v>0</v>
      </c>
    </row>
    <row r="620" spans="2:20">
      <c r="B620" t="s">
        <v>4040</v>
      </c>
      <c r="C620" s="433">
        <v>9</v>
      </c>
      <c r="D620" t="str">
        <f>VLOOKUP($C620,param!$A$4:$B$266,2)</f>
        <v>CSD Labor Hours Req. Per Unit</v>
      </c>
      <c r="E620" s="448">
        <f>INDEX($K620:$O620,SUMIF(cbal!E$280:E$296,$B620,cbal!$D$280:$D$296)+1)</f>
        <v>0</v>
      </c>
      <c r="F620" s="448">
        <f>INDEX($K620:$O620,SUMIF(cbal!F$280:F$296,$B620,cbal!$D$280:$D$296)+1)</f>
        <v>0</v>
      </c>
      <c r="G620" s="448">
        <f>INDEX($K620:$O620,SUMIF(cbal!G$280:G$296,$B620,cbal!$D$280:$D$296)+1)</f>
        <v>0</v>
      </c>
      <c r="H620" s="448">
        <f>INDEX($K620:$O620,SUMIF(cbal!H$280:H$296,$B620,cbal!$D$280:$D$296)+1)</f>
        <v>0</v>
      </c>
      <c r="I620" s="448">
        <f>INDEX($K620:$O620,SUMIF(cbal!I$280:I$296,$B620,cbal!$D$280:$D$296)+1)</f>
        <v>0</v>
      </c>
      <c r="K620" s="1577">
        <v>0</v>
      </c>
      <c r="L620" s="1585">
        <v>-0.04</v>
      </c>
      <c r="M620" s="1585">
        <v>-0.04</v>
      </c>
      <c r="N620" s="1585">
        <v>-0.04</v>
      </c>
      <c r="O620" s="1585">
        <v>-0.04</v>
      </c>
      <c r="R620" s="91" t="b">
        <f t="shared" si="87"/>
        <v>0</v>
      </c>
      <c r="S620" s="21" t="b">
        <f t="shared" si="88"/>
        <v>0</v>
      </c>
      <c r="T620" s="97" t="b">
        <f t="shared" si="77"/>
        <v>0</v>
      </c>
    </row>
    <row r="621" spans="2:20">
      <c r="B621" t="s">
        <v>4040</v>
      </c>
      <c r="C621" s="433">
        <v>47</v>
      </c>
      <c r="D621" t="str">
        <f>VLOOKUP($C621,param!$A$4:$B$266,2)</f>
        <v>NCB Labor Hours Req. Per Unit</v>
      </c>
      <c r="E621" s="448">
        <f>INDEX($K621:$O621,SUMIF(cbal!E$280:E$296,$B621,cbal!$D$280:$D$296)+1)</f>
        <v>0</v>
      </c>
      <c r="F621" s="448">
        <f>INDEX($K621:$O621,SUMIF(cbal!F$280:F$296,$B621,cbal!$D$280:$D$296)+1)</f>
        <v>0</v>
      </c>
      <c r="G621" s="448">
        <f>INDEX($K621:$O621,SUMIF(cbal!G$280:G$296,$B621,cbal!$D$280:$D$296)+1)</f>
        <v>0</v>
      </c>
      <c r="H621" s="448">
        <f>INDEX($K621:$O621,SUMIF(cbal!H$280:H$296,$B621,cbal!$D$280:$D$296)+1)</f>
        <v>0</v>
      </c>
      <c r="I621" s="448">
        <f>INDEX($K621:$O621,SUMIF(cbal!I$280:I$296,$B621,cbal!$D$280:$D$296)+1)</f>
        <v>0</v>
      </c>
      <c r="K621" s="1577">
        <v>0</v>
      </c>
      <c r="L621" s="1585">
        <v>-0.04</v>
      </c>
      <c r="M621" s="1585">
        <v>-0.04</v>
      </c>
      <c r="N621" s="1585">
        <v>-0.04</v>
      </c>
      <c r="O621" s="1585">
        <v>-0.04</v>
      </c>
      <c r="R621" s="91" t="b">
        <f t="shared" si="87"/>
        <v>0</v>
      </c>
      <c r="S621" s="21" t="b">
        <f t="shared" si="88"/>
        <v>0</v>
      </c>
      <c r="T621" s="97" t="b">
        <f t="shared" si="77"/>
        <v>0</v>
      </c>
    </row>
    <row r="622" spans="2:20">
      <c r="B622" t="s">
        <v>4040</v>
      </c>
      <c r="C622" s="433">
        <v>66</v>
      </c>
      <c r="D622" t="str">
        <f>VLOOKUP($C622,param!$A$4:$B$266,2)</f>
        <v>F&amp;S Labor Hours Req. Per Unit</v>
      </c>
      <c r="E622" s="448">
        <f>INDEX($K622:$O622,SUMIF(cbal!E$280:E$296,$B622,cbal!$D$280:$D$296)+1)</f>
        <v>0</v>
      </c>
      <c r="F622" s="448">
        <f>INDEX($K622:$O622,SUMIF(cbal!F$280:F$296,$B622,cbal!$D$280:$D$296)+1)</f>
        <v>0</v>
      </c>
      <c r="G622" s="448">
        <f>INDEX($K622:$O622,SUMIF(cbal!G$280:G$296,$B622,cbal!$D$280:$D$296)+1)</f>
        <v>0</v>
      </c>
      <c r="H622" s="448">
        <f>INDEX($K622:$O622,SUMIF(cbal!H$280:H$296,$B622,cbal!$D$280:$D$296)+1)</f>
        <v>0</v>
      </c>
      <c r="I622" s="448">
        <f>INDEX($K622:$O622,SUMIF(cbal!I$280:I$296,$B622,cbal!$D$280:$D$296)+1)</f>
        <v>0</v>
      </c>
      <c r="K622" s="1577">
        <v>0</v>
      </c>
      <c r="L622" s="1585">
        <v>-0.04</v>
      </c>
      <c r="M622" s="1585">
        <v>-0.04</v>
      </c>
      <c r="N622" s="1585">
        <v>-0.04</v>
      </c>
      <c r="O622" s="1585">
        <v>-0.04</v>
      </c>
      <c r="R622" s="91" t="b">
        <f t="shared" si="87"/>
        <v>0</v>
      </c>
      <c r="S622" s="21" t="b">
        <f t="shared" si="88"/>
        <v>0</v>
      </c>
      <c r="T622" s="97" t="b">
        <f t="shared" si="77"/>
        <v>0</v>
      </c>
    </row>
    <row r="623" spans="2:20">
      <c r="B623" t="s">
        <v>4040</v>
      </c>
      <c r="C623" s="433">
        <v>123</v>
      </c>
      <c r="D623" t="str">
        <f>VLOOKUP($C623,param!$A$4:$B$266,2)</f>
        <v>Labor Admin Cost as Pct of Salary</v>
      </c>
      <c r="E623" s="448">
        <f>INDEX($K623:$O623,SUMIF(cbal!E$280:E$296,$B623,cbal!$D$280:$D$296)+1)</f>
        <v>0</v>
      </c>
      <c r="F623" s="448">
        <f>INDEX($K623:$O623,SUMIF(cbal!F$280:F$296,$B623,cbal!$D$280:$D$296)+1)</f>
        <v>0</v>
      </c>
      <c r="G623" s="448">
        <f>INDEX($K623:$O623,SUMIF(cbal!G$280:G$296,$B623,cbal!$D$280:$D$296)+1)</f>
        <v>0</v>
      </c>
      <c r="H623" s="448">
        <f>INDEX($K623:$O623,SUMIF(cbal!H$280:H$296,$B623,cbal!$D$280:$D$296)+1)</f>
        <v>0</v>
      </c>
      <c r="I623" s="448">
        <f>INDEX($K623:$O623,SUMIF(cbal!I$280:I$296,$B623,cbal!$D$280:$D$296)+1)</f>
        <v>0</v>
      </c>
      <c r="K623" s="1577">
        <v>0</v>
      </c>
      <c r="L623" s="1585">
        <v>0.03</v>
      </c>
      <c r="M623" s="1585">
        <v>0.03</v>
      </c>
      <c r="N623" s="1585">
        <v>0.03</v>
      </c>
      <c r="O623" s="1585">
        <v>0.03</v>
      </c>
      <c r="R623" s="91" t="b">
        <f t="shared" si="87"/>
        <v>0</v>
      </c>
      <c r="S623" s="21" t="b">
        <f t="shared" si="88"/>
        <v>0</v>
      </c>
      <c r="T623" s="97" t="b">
        <f t="shared" si="77"/>
        <v>0</v>
      </c>
    </row>
    <row r="624" spans="2:20">
      <c r="B624" t="s">
        <v>4040</v>
      </c>
      <c r="C624" s="433">
        <v>196</v>
      </c>
      <c r="D624" t="str">
        <f>VLOOKUP($C624,param!$A$4:$B$266,2)</f>
        <v>Career Path</v>
      </c>
      <c r="E624" s="448">
        <f>INDEX($K624:$O624,SUMIF(cbal!E$280:E$296,$B624,cbal!$D$280:$D$296)+1)</f>
        <v>0</v>
      </c>
      <c r="F624" s="448">
        <f>INDEX($K624:$O624,SUMIF(cbal!F$280:F$296,$B624,cbal!$D$280:$D$296)+1)</f>
        <v>0</v>
      </c>
      <c r="G624" s="448">
        <f>INDEX($K624:$O624,SUMIF(cbal!G$280:G$296,$B624,cbal!$D$280:$D$296)+1)</f>
        <v>0</v>
      </c>
      <c r="H624" s="448">
        <f>INDEX($K624:$O624,SUMIF(cbal!H$280:H$296,$B624,cbal!$D$280:$D$296)+1)</f>
        <v>0</v>
      </c>
      <c r="I624" s="448">
        <f>INDEX($K624:$O624,SUMIF(cbal!I$280:I$296,$B624,cbal!$D$280:$D$296)+1)</f>
        <v>0</v>
      </c>
      <c r="K624" s="1577">
        <v>0</v>
      </c>
      <c r="L624" s="1585">
        <v>-0.01</v>
      </c>
      <c r="M624" s="1585">
        <v>-0.01</v>
      </c>
      <c r="N624" s="1585">
        <v>-0.01</v>
      </c>
      <c r="O624" s="1585">
        <v>-0.01</v>
      </c>
      <c r="R624" s="91" t="b">
        <f>IF(AND(C624&gt;166,C624&lt;171.5),L624)</f>
        <v>0</v>
      </c>
      <c r="S624" s="21" t="b">
        <f>IF(AND(C624&gt;166,C624&lt;171.5),M624)</f>
        <v>0</v>
      </c>
      <c r="T624" s="97" t="b">
        <f>IF(C624=133.5,L624)</f>
        <v>0</v>
      </c>
    </row>
    <row r="625" spans="2:20">
      <c r="B625" t="s">
        <v>4040</v>
      </c>
      <c r="C625" s="433">
        <v>197</v>
      </c>
      <c r="D625" t="str">
        <f>VLOOKUP($C625,param!$A$4:$B$266,2)</f>
        <v>Company Culture</v>
      </c>
      <c r="E625" s="448">
        <f>INDEX($K625:$O625,SUMIF(cbal!E$280:E$296,$B625,cbal!$D$280:$D$296)+1)</f>
        <v>0</v>
      </c>
      <c r="F625" s="448">
        <f>INDEX($K625:$O625,SUMIF(cbal!F$280:F$296,$B625,cbal!$D$280:$D$296)+1)</f>
        <v>0</v>
      </c>
      <c r="G625" s="448">
        <f>INDEX($K625:$O625,SUMIF(cbal!G$280:G$296,$B625,cbal!$D$280:$D$296)+1)</f>
        <v>0</v>
      </c>
      <c r="H625" s="448">
        <f>INDEX($K625:$O625,SUMIF(cbal!H$280:H$296,$B625,cbal!$D$280:$D$296)+1)</f>
        <v>0</v>
      </c>
      <c r="I625" s="448">
        <f>INDEX($K625:$O625,SUMIF(cbal!I$280:I$296,$B625,cbal!$D$280:$D$296)+1)</f>
        <v>0</v>
      </c>
      <c r="K625" s="1577">
        <v>0</v>
      </c>
      <c r="L625" s="1585">
        <v>-0.01</v>
      </c>
      <c r="M625" s="1585">
        <v>-0.01</v>
      </c>
      <c r="N625" s="1585">
        <v>-0.01</v>
      </c>
      <c r="O625" s="1585">
        <v>-0.01</v>
      </c>
      <c r="R625" s="91" t="b">
        <f>IF(AND(C625&gt;166,C625&lt;171.5),L625)</f>
        <v>0</v>
      </c>
      <c r="S625" s="21" t="b">
        <f>IF(AND(C625&gt;166,C625&lt;171.5),M625)</f>
        <v>0</v>
      </c>
      <c r="T625" s="97" t="b">
        <f>IF(C625=133.5,L625)</f>
        <v>0</v>
      </c>
    </row>
    <row r="626" spans="2:20">
      <c r="B626" t="s">
        <v>4040</v>
      </c>
      <c r="C626" s="433">
        <v>167</v>
      </c>
      <c r="D626" t="str">
        <f>VLOOKUP($C626,param!$A$4:$B$266,2)</f>
        <v>Special Program Expense</v>
      </c>
      <c r="E626" s="607">
        <f>INDEX($K626:$O626,SUMIF(cbal!E$280:E$296,$B626,cbal!$D$280:$D$296)+1)</f>
        <v>0</v>
      </c>
      <c r="F626" s="607">
        <f>INDEX($K626:$O626,SUMIF(cbal!F$280:F$296,$B626,cbal!$D$280:$D$296)+1)</f>
        <v>0</v>
      </c>
      <c r="G626" s="607">
        <f>INDEX($K626:$O626,SUMIF(cbal!G$280:G$296,$B626,cbal!$D$280:$D$296)+1)</f>
        <v>0</v>
      </c>
      <c r="H626" s="607">
        <f>INDEX($K626:$O626,SUMIF(cbal!H$280:H$296,$B626,cbal!$D$280:$D$296)+1)</f>
        <v>0</v>
      </c>
      <c r="I626" s="607">
        <f>INDEX($K626:$O626,SUMIF(cbal!I$280:I$296,$B626,cbal!$D$280:$D$296)+1)</f>
        <v>0</v>
      </c>
      <c r="K626" s="1577">
        <v>0</v>
      </c>
      <c r="L626" s="1580">
        <v>5000000</v>
      </c>
      <c r="M626" s="1585"/>
      <c r="N626" s="1585"/>
      <c r="O626" s="1585"/>
      <c r="R626" s="91">
        <f t="shared" si="87"/>
        <v>5000000</v>
      </c>
      <c r="S626" s="21">
        <f t="shared" si="88"/>
        <v>0</v>
      </c>
      <c r="T626" s="97" t="b">
        <f t="shared" si="77"/>
        <v>0</v>
      </c>
    </row>
    <row r="627" spans="2:20">
      <c r="B627" t="s">
        <v>4040</v>
      </c>
      <c r="C627" s="433">
        <v>133.5</v>
      </c>
      <c r="D627" t="str">
        <f>VLOOKUP($C627,param!$A$4:$B$266,2)</f>
        <v>MTU Initiatives Allocation</v>
      </c>
      <c r="E627" s="607">
        <f>INDEX($K627:$O627,SUMIF(cbal!E$280:E$296,$B627,cbal!$D$280:$D$296)+1)</f>
        <v>0</v>
      </c>
      <c r="F627" s="607">
        <f>INDEX($K627:$O627,SUMIF(cbal!F$280:F$296,$B627,cbal!$D$280:$D$296)+1)</f>
        <v>0</v>
      </c>
      <c r="G627" s="607">
        <f>INDEX($K627:$O627,SUMIF(cbal!G$280:G$296,$B627,cbal!$D$280:$D$296)+1)</f>
        <v>0</v>
      </c>
      <c r="H627" s="607">
        <f>INDEX($K627:$O627,SUMIF(cbal!H$280:H$296,$B627,cbal!$D$280:$D$296)+1)</f>
        <v>0</v>
      </c>
      <c r="I627" s="607">
        <f>INDEX($K627:$O627,SUMIF(cbal!I$280:I$296,$B627,cbal!$D$280:$D$296)+1)</f>
        <v>0</v>
      </c>
      <c r="K627" s="1577">
        <v>0</v>
      </c>
      <c r="L627" s="1587">
        <v>10</v>
      </c>
      <c r="M627" s="1585"/>
      <c r="N627" s="1585"/>
      <c r="O627" s="1585"/>
      <c r="R627" s="91" t="b">
        <f t="shared" si="87"/>
        <v>0</v>
      </c>
      <c r="S627" s="21" t="b">
        <f t="shared" si="88"/>
        <v>0</v>
      </c>
      <c r="T627" s="97">
        <f>IF(C627=133.5,L627)</f>
        <v>10</v>
      </c>
    </row>
    <row r="628" spans="2:20">
      <c r="B628" t="s">
        <v>4040</v>
      </c>
      <c r="C628" s="433">
        <v>203</v>
      </c>
      <c r="D628" t="str">
        <f>VLOOKUP($C628,param!$A$4:$B$266,2)</f>
        <v>Productivity Strategy</v>
      </c>
      <c r="E628" s="607">
        <f>INDEX($K628:$O628,SUMIF(cbal!E$280:E$296,$B628,cbal!$D$280:$D$296)+1)</f>
        <v>0</v>
      </c>
      <c r="F628" s="607">
        <f>INDEX($K628:$O628,SUMIF(cbal!F$280:F$296,$B628,cbal!$D$280:$D$296)+1)</f>
        <v>0</v>
      </c>
      <c r="G628" s="607">
        <f>INDEX($K628:$O628,SUMIF(cbal!G$280:G$296,$B628,cbal!$D$280:$D$296)+1)</f>
        <v>0</v>
      </c>
      <c r="H628" s="607">
        <f>INDEX($K628:$O628,SUMIF(cbal!H$280:H$296,$B628,cbal!$D$280:$D$296)+1)</f>
        <v>0</v>
      </c>
      <c r="I628" s="607">
        <f>INDEX($K628:$O628,SUMIF(cbal!I$280:I$296,$B628,cbal!$D$280:$D$296)+1)</f>
        <v>0</v>
      </c>
      <c r="K628" s="1577">
        <v>0</v>
      </c>
      <c r="L628" s="1580">
        <f>L627</f>
        <v>10</v>
      </c>
      <c r="M628" s="1580">
        <f>L628</f>
        <v>10</v>
      </c>
      <c r="N628" s="1580">
        <f>M628</f>
        <v>10</v>
      </c>
      <c r="O628" s="1580">
        <f>N628</f>
        <v>10</v>
      </c>
      <c r="R628" s="91" t="b">
        <f t="shared" si="87"/>
        <v>0</v>
      </c>
      <c r="S628" s="21" t="b">
        <f t="shared" si="88"/>
        <v>0</v>
      </c>
      <c r="T628" s="97" t="b">
        <f>IF(C628=133.5,L628)</f>
        <v>0</v>
      </c>
    </row>
    <row r="629" spans="2:20">
      <c r="B629">
        <v>0</v>
      </c>
      <c r="C629" s="433">
        <v>0</v>
      </c>
      <c r="E629" s="183"/>
      <c r="F629" s="183"/>
      <c r="G629" s="183"/>
      <c r="H629" s="183"/>
      <c r="I629" s="183"/>
      <c r="K629" s="1577"/>
      <c r="L629" s="1580"/>
      <c r="M629" s="1585"/>
      <c r="N629" s="1585"/>
      <c r="O629" s="1585"/>
      <c r="R629" s="91">
        <v>0</v>
      </c>
      <c r="S629" s="21">
        <v>0</v>
      </c>
      <c r="T629" s="97">
        <v>0</v>
      </c>
    </row>
    <row r="630" spans="2:20">
      <c r="B630" t="s">
        <v>4041</v>
      </c>
      <c r="C630" t="str">
        <f>VLOOKUP(B630,DataInitiativesGrid,2,0)</f>
        <v>Operational Redundancy Reduction - Escendia</v>
      </c>
      <c r="E630" s="448"/>
      <c r="F630" s="448"/>
      <c r="G630" s="448"/>
      <c r="H630" s="448"/>
      <c r="I630" s="448"/>
      <c r="K630" s="1577"/>
      <c r="L630" s="1585"/>
      <c r="M630" s="1585"/>
      <c r="N630" s="1585"/>
      <c r="O630" s="1585"/>
      <c r="R630" s="91">
        <v>0</v>
      </c>
      <c r="S630" s="21">
        <v>0</v>
      </c>
      <c r="T630" s="97">
        <v>0</v>
      </c>
    </row>
    <row r="631" spans="2:20">
      <c r="B631" t="s">
        <v>4041</v>
      </c>
      <c r="C631" s="433">
        <v>14</v>
      </c>
      <c r="D631" t="str">
        <f>VLOOKUP($C631,param!$A$4:$B$266,2)</f>
        <v>CSD Distribution Costs for Reg. 2</v>
      </c>
      <c r="E631" s="448">
        <f>INDEX($K631:$O631,SUMIF(cbal!E$280:E$296,$B631,cbal!$D$280:$D$296)+1)</f>
        <v>0</v>
      </c>
      <c r="F631" s="448">
        <f>INDEX($K631:$O631,SUMIF(cbal!F$280:F$296,$B631,cbal!$D$280:$D$296)+1)</f>
        <v>0</v>
      </c>
      <c r="G631" s="448">
        <f>INDEX($K631:$O631,SUMIF(cbal!G$280:G$296,$B631,cbal!$D$280:$D$296)+1)</f>
        <v>0</v>
      </c>
      <c r="H631" s="448">
        <f>INDEX($K631:$O631,SUMIF(cbal!H$280:H$296,$B631,cbal!$D$280:$D$296)+1)</f>
        <v>0</v>
      </c>
      <c r="I631" s="448">
        <f>INDEX($K631:$O631,SUMIF(cbal!I$280:I$296,$B631,cbal!$D$280:$D$296)+1)</f>
        <v>0</v>
      </c>
      <c r="K631" s="1577">
        <v>0</v>
      </c>
      <c r="L631" s="1585">
        <v>-0.02</v>
      </c>
      <c r="M631" s="1585">
        <v>-0.02</v>
      </c>
      <c r="N631" s="1585">
        <v>-0.02</v>
      </c>
      <c r="O631" s="1585">
        <v>-0.02</v>
      </c>
      <c r="R631" s="91" t="b">
        <f t="shared" ref="R631:R642" si="89">IF(AND(C631&gt;166,C631&lt;171.5),L631)</f>
        <v>0</v>
      </c>
      <c r="S631" s="21" t="b">
        <f t="shared" ref="S631:S642" si="90">IF(AND(C631&gt;166,C631&lt;171.5),M631)</f>
        <v>0</v>
      </c>
      <c r="T631" s="97" t="b">
        <f t="shared" ref="T631:T640" si="91">IF(C631=133.5,L631)</f>
        <v>0</v>
      </c>
    </row>
    <row r="632" spans="2:20">
      <c r="B632" t="s">
        <v>4041</v>
      </c>
      <c r="C632" s="433">
        <v>52</v>
      </c>
      <c r="D632" t="str">
        <f>VLOOKUP($C632,param!$A$4:$B$266,2)</f>
        <v>NCB Distribution Costs for Reg. 2</v>
      </c>
      <c r="E632" s="448">
        <f>INDEX($K632:$O632,SUMIF(cbal!E$280:E$296,$B632,cbal!$D$280:$D$296)+1)</f>
        <v>0</v>
      </c>
      <c r="F632" s="448">
        <f>INDEX($K632:$O632,SUMIF(cbal!F$280:F$296,$B632,cbal!$D$280:$D$296)+1)</f>
        <v>0</v>
      </c>
      <c r="G632" s="448">
        <f>INDEX($K632:$O632,SUMIF(cbal!G$280:G$296,$B632,cbal!$D$280:$D$296)+1)</f>
        <v>0</v>
      </c>
      <c r="H632" s="448">
        <f>INDEX($K632:$O632,SUMIF(cbal!H$280:H$296,$B632,cbal!$D$280:$D$296)+1)</f>
        <v>0</v>
      </c>
      <c r="I632" s="448">
        <f>INDEX($K632:$O632,SUMIF(cbal!I$280:I$296,$B632,cbal!$D$280:$D$296)+1)</f>
        <v>0</v>
      </c>
      <c r="K632" s="1577">
        <v>0</v>
      </c>
      <c r="L632" s="1585">
        <v>-0.02</v>
      </c>
      <c r="M632" s="1585">
        <v>-0.02</v>
      </c>
      <c r="N632" s="1585">
        <v>-0.02</v>
      </c>
      <c r="O632" s="1585">
        <v>-0.02</v>
      </c>
      <c r="R632" s="91" t="b">
        <f t="shared" si="89"/>
        <v>0</v>
      </c>
      <c r="S632" s="21" t="b">
        <f t="shared" si="90"/>
        <v>0</v>
      </c>
      <c r="T632" s="97" t="b">
        <f t="shared" si="91"/>
        <v>0</v>
      </c>
    </row>
    <row r="633" spans="2:20">
      <c r="B633" t="s">
        <v>4041</v>
      </c>
      <c r="C633" s="433">
        <v>71</v>
      </c>
      <c r="D633" t="str">
        <f>VLOOKUP($C633,param!$A$4:$B$266,2)</f>
        <v>F&amp;S Distribution Costs for Reg. 2</v>
      </c>
      <c r="E633" s="448">
        <f>INDEX($K633:$O633,SUMIF(cbal!E$280:E$296,$B633,cbal!$D$280:$D$296)+1)</f>
        <v>0</v>
      </c>
      <c r="F633" s="448">
        <f>INDEX($K633:$O633,SUMIF(cbal!F$280:F$296,$B633,cbal!$D$280:$D$296)+1)</f>
        <v>0</v>
      </c>
      <c r="G633" s="448">
        <f>INDEX($K633:$O633,SUMIF(cbal!G$280:G$296,$B633,cbal!$D$280:$D$296)+1)</f>
        <v>0</v>
      </c>
      <c r="H633" s="448">
        <f>INDEX($K633:$O633,SUMIF(cbal!H$280:H$296,$B633,cbal!$D$280:$D$296)+1)</f>
        <v>0</v>
      </c>
      <c r="I633" s="448">
        <f>INDEX($K633:$O633,SUMIF(cbal!I$280:I$296,$B633,cbal!$D$280:$D$296)+1)</f>
        <v>0</v>
      </c>
      <c r="K633" s="1577">
        <v>0</v>
      </c>
      <c r="L633" s="1585">
        <v>-0.02</v>
      </c>
      <c r="M633" s="1585">
        <v>-0.02</v>
      </c>
      <c r="N633" s="1585">
        <v>-0.02</v>
      </c>
      <c r="O633" s="1585">
        <v>-0.02</v>
      </c>
      <c r="R633" s="91" t="b">
        <f t="shared" si="89"/>
        <v>0</v>
      </c>
      <c r="S633" s="21" t="b">
        <f t="shared" si="90"/>
        <v>0</v>
      </c>
      <c r="T633" s="97" t="b">
        <f t="shared" si="91"/>
        <v>0</v>
      </c>
    </row>
    <row r="634" spans="2:20">
      <c r="B634" t="s">
        <v>4041</v>
      </c>
      <c r="C634" s="433">
        <v>9</v>
      </c>
      <c r="D634" t="str">
        <f>VLOOKUP($C634,param!$A$4:$B$266,2)</f>
        <v>CSD Labor Hours Req. Per Unit</v>
      </c>
      <c r="E634" s="448">
        <f>INDEX($K634:$O634,SUMIF(cbal!E$280:E$296,$B634,cbal!$D$280:$D$296)+1)</f>
        <v>0</v>
      </c>
      <c r="F634" s="448">
        <f>INDEX($K634:$O634,SUMIF(cbal!F$280:F$296,$B634,cbal!$D$280:$D$296)+1)</f>
        <v>0</v>
      </c>
      <c r="G634" s="448">
        <f>INDEX($K634:$O634,SUMIF(cbal!G$280:G$296,$B634,cbal!$D$280:$D$296)+1)</f>
        <v>0</v>
      </c>
      <c r="H634" s="448">
        <f>INDEX($K634:$O634,SUMIF(cbal!H$280:H$296,$B634,cbal!$D$280:$D$296)+1)</f>
        <v>0</v>
      </c>
      <c r="I634" s="448">
        <f>INDEX($K634:$O634,SUMIF(cbal!I$280:I$296,$B634,cbal!$D$280:$D$296)+1)</f>
        <v>0</v>
      </c>
      <c r="K634" s="1577">
        <v>0</v>
      </c>
      <c r="L634" s="1585">
        <v>-0.04</v>
      </c>
      <c r="M634" s="1585">
        <v>-0.04</v>
      </c>
      <c r="N634" s="1585">
        <v>-0.04</v>
      </c>
      <c r="O634" s="1585">
        <v>-0.04</v>
      </c>
      <c r="R634" s="91" t="b">
        <f t="shared" si="89"/>
        <v>0</v>
      </c>
      <c r="S634" s="21" t="b">
        <f t="shared" si="90"/>
        <v>0</v>
      </c>
      <c r="T634" s="97" t="b">
        <f t="shared" si="91"/>
        <v>0</v>
      </c>
    </row>
    <row r="635" spans="2:20">
      <c r="B635" t="s">
        <v>4041</v>
      </c>
      <c r="C635" s="433">
        <v>47</v>
      </c>
      <c r="D635" t="str">
        <f>VLOOKUP($C635,param!$A$4:$B$266,2)</f>
        <v>NCB Labor Hours Req. Per Unit</v>
      </c>
      <c r="E635" s="448">
        <f>INDEX($K635:$O635,SUMIF(cbal!E$280:E$296,$B635,cbal!$D$280:$D$296)+1)</f>
        <v>0</v>
      </c>
      <c r="F635" s="448">
        <f>INDEX($K635:$O635,SUMIF(cbal!F$280:F$296,$B635,cbal!$D$280:$D$296)+1)</f>
        <v>0</v>
      </c>
      <c r="G635" s="448">
        <f>INDEX($K635:$O635,SUMIF(cbal!G$280:G$296,$B635,cbal!$D$280:$D$296)+1)</f>
        <v>0</v>
      </c>
      <c r="H635" s="448">
        <f>INDEX($K635:$O635,SUMIF(cbal!H$280:H$296,$B635,cbal!$D$280:$D$296)+1)</f>
        <v>0</v>
      </c>
      <c r="I635" s="448">
        <f>INDEX($K635:$O635,SUMIF(cbal!I$280:I$296,$B635,cbal!$D$280:$D$296)+1)</f>
        <v>0</v>
      </c>
      <c r="K635" s="1577">
        <v>0</v>
      </c>
      <c r="L635" s="1585">
        <v>-0.04</v>
      </c>
      <c r="M635" s="1585">
        <v>-0.04</v>
      </c>
      <c r="N635" s="1585">
        <v>-0.04</v>
      </c>
      <c r="O635" s="1585">
        <v>-0.04</v>
      </c>
      <c r="R635" s="91" t="b">
        <f t="shared" si="89"/>
        <v>0</v>
      </c>
      <c r="S635" s="21" t="b">
        <f t="shared" si="90"/>
        <v>0</v>
      </c>
      <c r="T635" s="97" t="b">
        <f t="shared" si="91"/>
        <v>0</v>
      </c>
    </row>
    <row r="636" spans="2:20">
      <c r="B636" t="s">
        <v>4041</v>
      </c>
      <c r="C636" s="433">
        <v>66</v>
      </c>
      <c r="D636" t="str">
        <f>VLOOKUP($C636,param!$A$4:$B$266,2)</f>
        <v>F&amp;S Labor Hours Req. Per Unit</v>
      </c>
      <c r="E636" s="448">
        <f>INDEX($K636:$O636,SUMIF(cbal!E$280:E$296,$B636,cbal!$D$280:$D$296)+1)</f>
        <v>0</v>
      </c>
      <c r="F636" s="448">
        <f>INDEX($K636:$O636,SUMIF(cbal!F$280:F$296,$B636,cbal!$D$280:$D$296)+1)</f>
        <v>0</v>
      </c>
      <c r="G636" s="448">
        <f>INDEX($K636:$O636,SUMIF(cbal!G$280:G$296,$B636,cbal!$D$280:$D$296)+1)</f>
        <v>0</v>
      </c>
      <c r="H636" s="448">
        <f>INDEX($K636:$O636,SUMIF(cbal!H$280:H$296,$B636,cbal!$D$280:$D$296)+1)</f>
        <v>0</v>
      </c>
      <c r="I636" s="448">
        <f>INDEX($K636:$O636,SUMIF(cbal!I$280:I$296,$B636,cbal!$D$280:$D$296)+1)</f>
        <v>0</v>
      </c>
      <c r="K636" s="1577">
        <v>0</v>
      </c>
      <c r="L636" s="1585">
        <v>-0.04</v>
      </c>
      <c r="M636" s="1585">
        <v>-0.04</v>
      </c>
      <c r="N636" s="1585">
        <v>-0.04</v>
      </c>
      <c r="O636" s="1585">
        <v>-0.04</v>
      </c>
      <c r="R636" s="91" t="b">
        <f t="shared" si="89"/>
        <v>0</v>
      </c>
      <c r="S636" s="21" t="b">
        <f t="shared" si="90"/>
        <v>0</v>
      </c>
      <c r="T636" s="97" t="b">
        <f t="shared" si="91"/>
        <v>0</v>
      </c>
    </row>
    <row r="637" spans="2:20">
      <c r="B637" t="s">
        <v>4041</v>
      </c>
      <c r="C637" s="433">
        <v>123</v>
      </c>
      <c r="D637" t="str">
        <f>VLOOKUP($C637,param!$A$4:$B$266,2)</f>
        <v>Labor Admin Cost as Pct of Salary</v>
      </c>
      <c r="E637" s="448">
        <f>INDEX($K637:$O637,SUMIF(cbal!E$280:E$296,$B637,cbal!$D$280:$D$296)+1)</f>
        <v>0</v>
      </c>
      <c r="F637" s="448">
        <f>INDEX($K637:$O637,SUMIF(cbal!F$280:F$296,$B637,cbal!$D$280:$D$296)+1)</f>
        <v>0</v>
      </c>
      <c r="G637" s="448">
        <f>INDEX($K637:$O637,SUMIF(cbal!G$280:G$296,$B637,cbal!$D$280:$D$296)+1)</f>
        <v>0</v>
      </c>
      <c r="H637" s="448">
        <f>INDEX($K637:$O637,SUMIF(cbal!H$280:H$296,$B637,cbal!$D$280:$D$296)+1)</f>
        <v>0</v>
      </c>
      <c r="I637" s="448">
        <f>INDEX($K637:$O637,SUMIF(cbal!I$280:I$296,$B637,cbal!$D$280:$D$296)+1)</f>
        <v>0</v>
      </c>
      <c r="K637" s="1577">
        <v>0</v>
      </c>
      <c r="L637" s="1585">
        <v>0.03</v>
      </c>
      <c r="M637" s="1585">
        <v>0.03</v>
      </c>
      <c r="N637" s="1585">
        <v>0.03</v>
      </c>
      <c r="O637" s="1585">
        <v>0.03</v>
      </c>
      <c r="R637" s="91" t="b">
        <f t="shared" si="89"/>
        <v>0</v>
      </c>
      <c r="S637" s="21" t="b">
        <f t="shared" si="90"/>
        <v>0</v>
      </c>
      <c r="T637" s="97" t="b">
        <f t="shared" si="91"/>
        <v>0</v>
      </c>
    </row>
    <row r="638" spans="2:20">
      <c r="B638" t="s">
        <v>4041</v>
      </c>
      <c r="C638" s="433">
        <v>196</v>
      </c>
      <c r="D638" t="str">
        <f>VLOOKUP($C638,param!$A$4:$B$266,2)</f>
        <v>Career Path</v>
      </c>
      <c r="E638" s="448">
        <f>INDEX($K638:$O638,SUMIF(cbal!E$280:E$296,$B638,cbal!$D$280:$D$296)+1)</f>
        <v>0</v>
      </c>
      <c r="F638" s="448">
        <f>INDEX($K638:$O638,SUMIF(cbal!F$280:F$296,$B638,cbal!$D$280:$D$296)+1)</f>
        <v>0</v>
      </c>
      <c r="G638" s="448">
        <f>INDEX($K638:$O638,SUMIF(cbal!G$280:G$296,$B638,cbal!$D$280:$D$296)+1)</f>
        <v>0</v>
      </c>
      <c r="H638" s="448">
        <f>INDEX($K638:$O638,SUMIF(cbal!H$280:H$296,$B638,cbal!$D$280:$D$296)+1)</f>
        <v>0</v>
      </c>
      <c r="I638" s="448">
        <f>INDEX($K638:$O638,SUMIF(cbal!I$280:I$296,$B638,cbal!$D$280:$D$296)+1)</f>
        <v>0</v>
      </c>
      <c r="K638" s="1577">
        <v>0</v>
      </c>
      <c r="L638" s="1585">
        <v>-0.01</v>
      </c>
      <c r="M638" s="1585">
        <v>-0.01</v>
      </c>
      <c r="N638" s="1585">
        <v>-0.01</v>
      </c>
      <c r="O638" s="1585">
        <v>-0.01</v>
      </c>
      <c r="R638" s="91" t="b">
        <f t="shared" si="89"/>
        <v>0</v>
      </c>
      <c r="S638" s="21" t="b">
        <f t="shared" si="90"/>
        <v>0</v>
      </c>
      <c r="T638" s="97" t="b">
        <f t="shared" si="91"/>
        <v>0</v>
      </c>
    </row>
    <row r="639" spans="2:20">
      <c r="B639" t="s">
        <v>4041</v>
      </c>
      <c r="C639" s="433">
        <v>197</v>
      </c>
      <c r="D639" t="str">
        <f>VLOOKUP($C639,param!$A$4:$B$266,2)</f>
        <v>Company Culture</v>
      </c>
      <c r="E639" s="448">
        <f>INDEX($K639:$O639,SUMIF(cbal!E$280:E$296,$B639,cbal!$D$280:$D$296)+1)</f>
        <v>0</v>
      </c>
      <c r="F639" s="448">
        <f>INDEX($K639:$O639,SUMIF(cbal!F$280:F$296,$B639,cbal!$D$280:$D$296)+1)</f>
        <v>0</v>
      </c>
      <c r="G639" s="448">
        <f>INDEX($K639:$O639,SUMIF(cbal!G$280:G$296,$B639,cbal!$D$280:$D$296)+1)</f>
        <v>0</v>
      </c>
      <c r="H639" s="448">
        <f>INDEX($K639:$O639,SUMIF(cbal!H$280:H$296,$B639,cbal!$D$280:$D$296)+1)</f>
        <v>0</v>
      </c>
      <c r="I639" s="448">
        <f>INDEX($K639:$O639,SUMIF(cbal!I$280:I$296,$B639,cbal!$D$280:$D$296)+1)</f>
        <v>0</v>
      </c>
      <c r="K639" s="1577">
        <v>0</v>
      </c>
      <c r="L639" s="1585">
        <v>-0.01</v>
      </c>
      <c r="M639" s="1585">
        <v>-0.01</v>
      </c>
      <c r="N639" s="1585">
        <v>-0.01</v>
      </c>
      <c r="O639" s="1585">
        <v>-0.01</v>
      </c>
      <c r="R639" s="91" t="b">
        <f t="shared" si="89"/>
        <v>0</v>
      </c>
      <c r="S639" s="21" t="b">
        <f t="shared" si="90"/>
        <v>0</v>
      </c>
      <c r="T639" s="97" t="b">
        <f t="shared" si="91"/>
        <v>0</v>
      </c>
    </row>
    <row r="640" spans="2:20">
      <c r="B640" t="s">
        <v>4041</v>
      </c>
      <c r="C640" s="433">
        <v>167</v>
      </c>
      <c r="D640" t="str">
        <f>VLOOKUP($C640,param!$A$4:$B$266,2)</f>
        <v>Special Program Expense</v>
      </c>
      <c r="E640" s="607">
        <f>INDEX($K640:$O640,SUMIF(cbal!E$280:E$296,$B640,cbal!$D$280:$D$296)+1)</f>
        <v>0</v>
      </c>
      <c r="F640" s="607">
        <f>INDEX($K640:$O640,SUMIF(cbal!F$280:F$296,$B640,cbal!$D$280:$D$296)+1)</f>
        <v>0</v>
      </c>
      <c r="G640" s="607">
        <f>INDEX($K640:$O640,SUMIF(cbal!G$280:G$296,$B640,cbal!$D$280:$D$296)+1)</f>
        <v>0</v>
      </c>
      <c r="H640" s="607">
        <f>INDEX($K640:$O640,SUMIF(cbal!H$280:H$296,$B640,cbal!$D$280:$D$296)+1)</f>
        <v>0</v>
      </c>
      <c r="I640" s="607">
        <f>INDEX($K640:$O640,SUMIF(cbal!I$280:I$296,$B640,cbal!$D$280:$D$296)+1)</f>
        <v>0</v>
      </c>
      <c r="K640" s="1577">
        <v>0</v>
      </c>
      <c r="L640" s="1580">
        <v>5000000</v>
      </c>
      <c r="M640" s="1585"/>
      <c r="N640" s="1585"/>
      <c r="O640" s="1585"/>
      <c r="R640" s="91">
        <f t="shared" si="89"/>
        <v>5000000</v>
      </c>
      <c r="S640" s="21">
        <f t="shared" si="90"/>
        <v>0</v>
      </c>
      <c r="T640" s="97" t="b">
        <f t="shared" si="91"/>
        <v>0</v>
      </c>
    </row>
    <row r="641" spans="2:20">
      <c r="B641" t="s">
        <v>4041</v>
      </c>
      <c r="C641" s="433">
        <v>133.5</v>
      </c>
      <c r="D641" t="str">
        <f>VLOOKUP($C641,param!$A$4:$B$266,2)</f>
        <v>MTU Initiatives Allocation</v>
      </c>
      <c r="E641" s="607">
        <f>INDEX($K641:$O641,SUMIF(cbal!E$280:E$296,$B641,cbal!$D$280:$D$296)+1)</f>
        <v>0</v>
      </c>
      <c r="F641" s="607">
        <f>INDEX($K641:$O641,SUMIF(cbal!F$280:F$296,$B641,cbal!$D$280:$D$296)+1)</f>
        <v>0</v>
      </c>
      <c r="G641" s="607">
        <f>INDEX($K641:$O641,SUMIF(cbal!G$280:G$296,$B641,cbal!$D$280:$D$296)+1)</f>
        <v>0</v>
      </c>
      <c r="H641" s="607">
        <f>INDEX($K641:$O641,SUMIF(cbal!H$280:H$296,$B641,cbal!$D$280:$D$296)+1)</f>
        <v>0</v>
      </c>
      <c r="I641" s="607">
        <f>INDEX($K641:$O641,SUMIF(cbal!I$280:I$296,$B641,cbal!$D$280:$D$296)+1)</f>
        <v>0</v>
      </c>
      <c r="K641" s="1577">
        <v>0</v>
      </c>
      <c r="L641" s="1587">
        <v>10</v>
      </c>
      <c r="M641" s="1585"/>
      <c r="N641" s="1585"/>
      <c r="O641" s="1585"/>
      <c r="R641" s="91" t="b">
        <f t="shared" si="89"/>
        <v>0</v>
      </c>
      <c r="S641" s="21" t="b">
        <f t="shared" si="90"/>
        <v>0</v>
      </c>
      <c r="T641" s="97">
        <f>IF(C641=133.5,L641)</f>
        <v>10</v>
      </c>
    </row>
    <row r="642" spans="2:20">
      <c r="B642" t="s">
        <v>4041</v>
      </c>
      <c r="C642" s="433">
        <v>203</v>
      </c>
      <c r="D642" t="str">
        <f>VLOOKUP($C642,param!$A$4:$B$266,2)</f>
        <v>Productivity Strategy</v>
      </c>
      <c r="E642" s="607">
        <f>INDEX($K642:$O642,SUMIF(cbal!E$280:E$296,$B642,cbal!$D$280:$D$296)+1)</f>
        <v>0</v>
      </c>
      <c r="F642" s="607">
        <f>INDEX($K642:$O642,SUMIF(cbal!F$280:F$296,$B642,cbal!$D$280:$D$296)+1)</f>
        <v>0</v>
      </c>
      <c r="G642" s="607">
        <f>INDEX($K642:$O642,SUMIF(cbal!G$280:G$296,$B642,cbal!$D$280:$D$296)+1)</f>
        <v>0</v>
      </c>
      <c r="H642" s="607">
        <f>INDEX($K642:$O642,SUMIF(cbal!H$280:H$296,$B642,cbal!$D$280:$D$296)+1)</f>
        <v>0</v>
      </c>
      <c r="I642" s="607">
        <f>INDEX($K642:$O642,SUMIF(cbal!I$280:I$296,$B642,cbal!$D$280:$D$296)+1)</f>
        <v>0</v>
      </c>
      <c r="K642" s="1577">
        <v>0</v>
      </c>
      <c r="L642" s="1580">
        <f>L641</f>
        <v>10</v>
      </c>
      <c r="M642" s="1580">
        <f>L642</f>
        <v>10</v>
      </c>
      <c r="N642" s="1580">
        <f>M642</f>
        <v>10</v>
      </c>
      <c r="O642" s="1580">
        <f>N642</f>
        <v>10</v>
      </c>
      <c r="R642" s="91" t="b">
        <f t="shared" si="89"/>
        <v>0</v>
      </c>
      <c r="S642" s="21" t="b">
        <f t="shared" si="90"/>
        <v>0</v>
      </c>
      <c r="T642" s="97" t="b">
        <f>IF(C642=133.5,L642)</f>
        <v>0</v>
      </c>
    </row>
    <row r="643" spans="2:20">
      <c r="B643">
        <v>0</v>
      </c>
      <c r="C643" s="433">
        <v>0</v>
      </c>
      <c r="E643" s="183"/>
      <c r="F643" s="183"/>
      <c r="G643" s="183"/>
      <c r="H643" s="183"/>
      <c r="I643" s="183"/>
      <c r="K643" s="1577"/>
      <c r="L643" s="1580"/>
      <c r="M643" s="1585"/>
      <c r="N643" s="1585"/>
      <c r="O643" s="1585"/>
      <c r="R643" s="91">
        <v>0</v>
      </c>
      <c r="S643" s="21">
        <v>0</v>
      </c>
      <c r="T643" s="97">
        <v>0</v>
      </c>
    </row>
    <row r="644" spans="2:20">
      <c r="B644" t="s">
        <v>4042</v>
      </c>
      <c r="C644" t="str">
        <f>VLOOKUP(B644,DataInitiativesGrid,2,0)</f>
        <v>KPI Crackdown</v>
      </c>
      <c r="E644" s="183"/>
      <c r="F644" s="183"/>
      <c r="G644" s="183"/>
      <c r="H644" s="183"/>
      <c r="I644" s="183"/>
      <c r="K644" s="1577"/>
      <c r="L644" s="1580"/>
      <c r="M644" s="1585"/>
      <c r="N644" s="1585"/>
      <c r="O644" s="1585"/>
      <c r="R644" s="91">
        <v>0</v>
      </c>
      <c r="S644" s="21">
        <v>0</v>
      </c>
      <c r="T644" s="97">
        <v>0</v>
      </c>
    </row>
    <row r="645" spans="2:20">
      <c r="B645" t="s">
        <v>4042</v>
      </c>
      <c r="C645" s="433">
        <v>142</v>
      </c>
      <c r="D645" s="33" t="str">
        <f>VLOOKUP($C645,param!$A$4:$B$266,2)</f>
        <v>Plant Efficiency</v>
      </c>
      <c r="E645" s="448">
        <f>INDEX($K645:$O645,SUMIF(cbal!E$280:E$296,$B645,cbal!$D$280:$D$296)+1)</f>
        <v>0</v>
      </c>
      <c r="F645" s="448">
        <f>INDEX($K645:$O645,SUMIF(cbal!F$280:F$296,$B645,cbal!$D$280:$D$296)+1)</f>
        <v>0</v>
      </c>
      <c r="G645" s="448">
        <f>INDEX($K645:$O645,SUMIF(cbal!G$280:G$296,$B645,cbal!$D$280:$D$296)+1)</f>
        <v>0</v>
      </c>
      <c r="H645" s="448">
        <f>INDEX($K645:$O645,SUMIF(cbal!H$280:H$296,$B645,cbal!$D$280:$D$296)+1)</f>
        <v>0</v>
      </c>
      <c r="I645" s="448">
        <f>INDEX($K645:$O645,SUMIF(cbal!I$280:I$296,$B645,cbal!$D$280:$D$296)+1)</f>
        <v>0</v>
      </c>
      <c r="K645" s="1577">
        <v>0</v>
      </c>
      <c r="L645" s="1585">
        <v>0.02</v>
      </c>
      <c r="M645" s="1585">
        <v>0.02</v>
      </c>
      <c r="N645" s="1585">
        <v>0.02</v>
      </c>
      <c r="O645" s="1585">
        <v>0.02</v>
      </c>
      <c r="R645" s="91" t="b">
        <f t="shared" si="87"/>
        <v>0</v>
      </c>
      <c r="S645" s="21" t="b">
        <f t="shared" si="88"/>
        <v>0</v>
      </c>
      <c r="T645" s="97" t="b">
        <f t="shared" si="77"/>
        <v>0</v>
      </c>
    </row>
    <row r="646" spans="2:20">
      <c r="B646" t="s">
        <v>4042</v>
      </c>
      <c r="C646" s="433">
        <v>10</v>
      </c>
      <c r="D646" t="str">
        <f>VLOOKUP($C646,param!$A$4:$B$266,2)</f>
        <v>CSD Machinery Hours Req. Per Unit</v>
      </c>
      <c r="E646" s="448">
        <f>INDEX($K646:$O646,SUMIF(cbal!E$280:E$296,$B646,cbal!$D$280:$D$296)+1)</f>
        <v>0</v>
      </c>
      <c r="F646" s="448">
        <f>INDEX($K646:$O646,SUMIF(cbal!F$280:F$296,$B646,cbal!$D$280:$D$296)+1)</f>
        <v>0</v>
      </c>
      <c r="G646" s="448">
        <f>INDEX($K646:$O646,SUMIF(cbal!G$280:G$296,$B646,cbal!$D$280:$D$296)+1)</f>
        <v>0</v>
      </c>
      <c r="H646" s="448">
        <f>INDEX($K646:$O646,SUMIF(cbal!H$280:H$296,$B646,cbal!$D$280:$D$296)+1)</f>
        <v>0</v>
      </c>
      <c r="I646" s="448">
        <f>INDEX($K646:$O646,SUMIF(cbal!I$280:I$296,$B646,cbal!$D$280:$D$296)+1)</f>
        <v>0</v>
      </c>
      <c r="K646" s="1577">
        <v>0</v>
      </c>
      <c r="L646" s="1585">
        <v>-0.01</v>
      </c>
      <c r="M646" s="1585">
        <v>-0.01</v>
      </c>
      <c r="N646" s="1585">
        <v>-0.01</v>
      </c>
      <c r="O646" s="1585">
        <v>-0.01</v>
      </c>
      <c r="R646" s="91" t="b">
        <f t="shared" si="87"/>
        <v>0</v>
      </c>
      <c r="S646" s="21" t="b">
        <f t="shared" si="88"/>
        <v>0</v>
      </c>
      <c r="T646" s="97" t="b">
        <f t="shared" si="77"/>
        <v>0</v>
      </c>
    </row>
    <row r="647" spans="2:20">
      <c r="B647" t="s">
        <v>4042</v>
      </c>
      <c r="C647" s="433">
        <v>48</v>
      </c>
      <c r="D647" t="str">
        <f>VLOOKUP($C647,param!$A$4:$B$266,2)</f>
        <v>NCB Machinery Hours Req. Per Unit</v>
      </c>
      <c r="E647" s="448">
        <f>INDEX($K647:$O647,SUMIF(cbal!E$280:E$296,$B647,cbal!$D$280:$D$296)+1)</f>
        <v>0</v>
      </c>
      <c r="F647" s="448">
        <f>INDEX($K647:$O647,SUMIF(cbal!F$280:F$296,$B647,cbal!$D$280:$D$296)+1)</f>
        <v>0</v>
      </c>
      <c r="G647" s="448">
        <f>INDEX($K647:$O647,SUMIF(cbal!G$280:G$296,$B647,cbal!$D$280:$D$296)+1)</f>
        <v>0</v>
      </c>
      <c r="H647" s="448">
        <f>INDEX($K647:$O647,SUMIF(cbal!H$280:H$296,$B647,cbal!$D$280:$D$296)+1)</f>
        <v>0</v>
      </c>
      <c r="I647" s="448">
        <f>INDEX($K647:$O647,SUMIF(cbal!I$280:I$296,$B647,cbal!$D$280:$D$296)+1)</f>
        <v>0</v>
      </c>
      <c r="K647" s="1577">
        <v>0</v>
      </c>
      <c r="L647" s="1585">
        <v>-0.01</v>
      </c>
      <c r="M647" s="1585">
        <v>-0.01</v>
      </c>
      <c r="N647" s="1585">
        <v>-0.01</v>
      </c>
      <c r="O647" s="1585">
        <v>-0.01</v>
      </c>
      <c r="R647" s="91" t="b">
        <f t="shared" si="87"/>
        <v>0</v>
      </c>
      <c r="S647" s="21" t="b">
        <f t="shared" si="88"/>
        <v>0</v>
      </c>
      <c r="T647" s="97" t="b">
        <f t="shared" si="77"/>
        <v>0</v>
      </c>
    </row>
    <row r="648" spans="2:20">
      <c r="B648" t="s">
        <v>4042</v>
      </c>
      <c r="C648" s="433">
        <v>67</v>
      </c>
      <c r="D648" t="str">
        <f>VLOOKUP($C648,param!$A$4:$B$266,2)</f>
        <v>F&amp;S Machinery Hours Req. Per Unit</v>
      </c>
      <c r="E648" s="448">
        <f>INDEX($K648:$O648,SUMIF(cbal!E$280:E$296,$B648,cbal!$D$280:$D$296)+1)</f>
        <v>0</v>
      </c>
      <c r="F648" s="448">
        <f>INDEX($K648:$O648,SUMIF(cbal!F$280:F$296,$B648,cbal!$D$280:$D$296)+1)</f>
        <v>0</v>
      </c>
      <c r="G648" s="448">
        <f>INDEX($K648:$O648,SUMIF(cbal!G$280:G$296,$B648,cbal!$D$280:$D$296)+1)</f>
        <v>0</v>
      </c>
      <c r="H648" s="448">
        <f>INDEX($K648:$O648,SUMIF(cbal!H$280:H$296,$B648,cbal!$D$280:$D$296)+1)</f>
        <v>0</v>
      </c>
      <c r="I648" s="448">
        <f>INDEX($K648:$O648,SUMIF(cbal!I$280:I$296,$B648,cbal!$D$280:$D$296)+1)</f>
        <v>0</v>
      </c>
      <c r="K648" s="1577">
        <v>0</v>
      </c>
      <c r="L648" s="1585">
        <v>-0.01</v>
      </c>
      <c r="M648" s="1585">
        <v>-0.01</v>
      </c>
      <c r="N648" s="1585">
        <v>-0.01</v>
      </c>
      <c r="O648" s="1585">
        <v>-0.01</v>
      </c>
      <c r="R648" s="91" t="b">
        <f t="shared" si="87"/>
        <v>0</v>
      </c>
      <c r="S648" s="21" t="b">
        <f t="shared" si="88"/>
        <v>0</v>
      </c>
      <c r="T648" s="97" t="b">
        <f t="shared" si="77"/>
        <v>0</v>
      </c>
    </row>
    <row r="649" spans="2:20">
      <c r="B649" t="s">
        <v>4042</v>
      </c>
      <c r="C649" s="433">
        <v>190</v>
      </c>
      <c r="D649" t="str">
        <f>VLOOKUP($C649,param!$A$4:$B$266,2)</f>
        <v>Water Usage Performance</v>
      </c>
      <c r="E649" s="448">
        <f>INDEX($K649:$O649,SUMIF(cbal!E$280:E$296,$B649,cbal!$D$280:$D$296)+1)</f>
        <v>0</v>
      </c>
      <c r="F649" s="448">
        <f>INDEX($K649:$O649,SUMIF(cbal!F$280:F$296,$B649,cbal!$D$280:$D$296)+1)</f>
        <v>0</v>
      </c>
      <c r="G649" s="448">
        <f>INDEX($K649:$O649,SUMIF(cbal!G$280:G$296,$B649,cbal!$D$280:$D$296)+1)</f>
        <v>0</v>
      </c>
      <c r="H649" s="448">
        <f>INDEX($K649:$O649,SUMIF(cbal!H$280:H$296,$B649,cbal!$D$280:$D$296)+1)</f>
        <v>0</v>
      </c>
      <c r="I649" s="448">
        <f>INDEX($K649:$O649,SUMIF(cbal!I$280:I$296,$B649,cbal!$D$280:$D$296)+1)</f>
        <v>0</v>
      </c>
      <c r="K649" s="1577">
        <v>0</v>
      </c>
      <c r="L649" s="1585">
        <v>0.01</v>
      </c>
      <c r="M649" s="1585">
        <v>0.01</v>
      </c>
      <c r="N649" s="1585">
        <v>0.01</v>
      </c>
      <c r="O649" s="1585">
        <v>0.01</v>
      </c>
      <c r="R649" s="91" t="b">
        <f t="shared" si="87"/>
        <v>0</v>
      </c>
      <c r="S649" s="21" t="b">
        <f t="shared" si="88"/>
        <v>0</v>
      </c>
      <c r="T649" s="97" t="b">
        <f>IF(C649=133.5,L649)</f>
        <v>0</v>
      </c>
    </row>
    <row r="650" spans="2:20">
      <c r="B650" t="s">
        <v>4042</v>
      </c>
      <c r="C650" s="433">
        <v>191</v>
      </c>
      <c r="D650" t="str">
        <f>VLOOKUP($C650,param!$A$4:$B$266,2)</f>
        <v>Energy Usage Performance</v>
      </c>
      <c r="E650" s="448">
        <f>INDEX($K650:$O650,SUMIF(cbal!E$280:E$296,$B650,cbal!$D$280:$D$296)+1)</f>
        <v>0</v>
      </c>
      <c r="F650" s="448">
        <f>INDEX($K650:$O650,SUMIF(cbal!F$280:F$296,$B650,cbal!$D$280:$D$296)+1)</f>
        <v>0</v>
      </c>
      <c r="G650" s="448">
        <f>INDEX($K650:$O650,SUMIF(cbal!G$280:G$296,$B650,cbal!$D$280:$D$296)+1)</f>
        <v>0</v>
      </c>
      <c r="H650" s="448">
        <f>INDEX($K650:$O650,SUMIF(cbal!H$280:H$296,$B650,cbal!$D$280:$D$296)+1)</f>
        <v>0</v>
      </c>
      <c r="I650" s="448">
        <f>INDEX($K650:$O650,SUMIF(cbal!I$280:I$296,$B650,cbal!$D$280:$D$296)+1)</f>
        <v>0</v>
      </c>
      <c r="K650" s="1577">
        <v>0</v>
      </c>
      <c r="L650" s="1585">
        <v>0.01</v>
      </c>
      <c r="M650" s="1585">
        <v>0.01</v>
      </c>
      <c r="N650" s="1585">
        <v>0.01</v>
      </c>
      <c r="O650" s="1585">
        <v>0.01</v>
      </c>
      <c r="R650" s="91" t="b">
        <f t="shared" si="87"/>
        <v>0</v>
      </c>
      <c r="S650" s="21" t="b">
        <f t="shared" si="88"/>
        <v>0</v>
      </c>
      <c r="T650" s="97" t="b">
        <f>IF(C650=133.5,L650)</f>
        <v>0</v>
      </c>
    </row>
    <row r="651" spans="2:20">
      <c r="B651" t="s">
        <v>4042</v>
      </c>
      <c r="C651" s="433">
        <v>167</v>
      </c>
      <c r="D651" t="str">
        <f>VLOOKUP($C651,param!$A$4:$B$266,2)</f>
        <v>Special Program Expense</v>
      </c>
      <c r="E651" s="607">
        <f>INDEX($K651:$O651,SUMIF(cbal!E$280:E$296,$B651,cbal!$D$280:$D$296)+1)</f>
        <v>0</v>
      </c>
      <c r="F651" s="607">
        <f>INDEX($K651:$O651,SUMIF(cbal!F$280:F$296,$B651,cbal!$D$280:$D$296)+1)</f>
        <v>0</v>
      </c>
      <c r="G651" s="607">
        <f>INDEX($K651:$O651,SUMIF(cbal!G$280:G$296,$B651,cbal!$D$280:$D$296)+1)</f>
        <v>0</v>
      </c>
      <c r="H651" s="607">
        <f>INDEX($K651:$O651,SUMIF(cbal!H$280:H$296,$B651,cbal!$D$280:$D$296)+1)</f>
        <v>0</v>
      </c>
      <c r="I651" s="848">
        <f>INDEX($K651:$O651,SUMIF(cbal!I$280:I$296,$B651,cbal!$D$280:$D$296)+1)</f>
        <v>0</v>
      </c>
      <c r="K651" s="1577">
        <v>0</v>
      </c>
      <c r="L651" s="1580">
        <v>1500000</v>
      </c>
      <c r="M651" s="1585"/>
      <c r="N651" s="1585"/>
      <c r="O651" s="1585"/>
      <c r="R651" s="91">
        <f t="shared" si="87"/>
        <v>1500000</v>
      </c>
      <c r="S651" s="21">
        <f t="shared" si="88"/>
        <v>0</v>
      </c>
      <c r="T651" s="97" t="b">
        <f t="shared" si="77"/>
        <v>0</v>
      </c>
    </row>
    <row r="652" spans="2:20">
      <c r="B652" t="s">
        <v>4042</v>
      </c>
      <c r="C652" s="433">
        <v>133.5</v>
      </c>
      <c r="D652" t="str">
        <f>VLOOKUP($C652,param!$A$4:$B$266,2)</f>
        <v>MTU Initiatives Allocation</v>
      </c>
      <c r="E652" s="607">
        <f>INDEX($K652:$O652,SUMIF(cbal!E$280:E$296,$B652,cbal!$D$280:$D$296)+1)</f>
        <v>0</v>
      </c>
      <c r="F652" s="607">
        <f>INDEX($K652:$O652,SUMIF(cbal!F$280:F$296,$B652,cbal!$D$280:$D$296)+1)</f>
        <v>0</v>
      </c>
      <c r="G652" s="607">
        <f>INDEX($K652:$O652,SUMIF(cbal!G$280:G$296,$B652,cbal!$D$280:$D$296)+1)</f>
        <v>0</v>
      </c>
      <c r="H652" s="607">
        <f>INDEX($K652:$O652,SUMIF(cbal!H$280:H$296,$B652,cbal!$D$280:$D$296)+1)</f>
        <v>0</v>
      </c>
      <c r="I652" s="607">
        <f>INDEX($K652:$O652,SUMIF(cbal!I$280:I$296,$B652,cbal!$D$280:$D$296)+1)</f>
        <v>0</v>
      </c>
      <c r="K652" s="1577">
        <v>0</v>
      </c>
      <c r="L652" s="1587">
        <v>5</v>
      </c>
      <c r="M652" s="1585"/>
      <c r="N652" s="1585"/>
      <c r="O652" s="1585"/>
      <c r="R652" s="91" t="b">
        <f t="shared" si="87"/>
        <v>0</v>
      </c>
      <c r="S652" s="21" t="b">
        <f t="shared" si="88"/>
        <v>0</v>
      </c>
      <c r="T652" s="97">
        <f t="shared" si="77"/>
        <v>5</v>
      </c>
    </row>
    <row r="653" spans="2:20">
      <c r="B653" t="s">
        <v>4042</v>
      </c>
      <c r="C653" s="433">
        <v>203</v>
      </c>
      <c r="D653" t="str">
        <f>VLOOKUP($C653,param!$A$4:$B$266,2)</f>
        <v>Productivity Strategy</v>
      </c>
      <c r="E653" s="607">
        <f>INDEX($K653:$O653,SUMIF(cbal!E$280:E$296,$B653,cbal!$D$280:$D$296)+1)</f>
        <v>0</v>
      </c>
      <c r="F653" s="607">
        <f>INDEX($K653:$O653,SUMIF(cbal!F$280:F$296,$B653,cbal!$D$280:$D$296)+1)</f>
        <v>0</v>
      </c>
      <c r="G653" s="607">
        <f>INDEX($K653:$O653,SUMIF(cbal!G$280:G$296,$B653,cbal!$D$280:$D$296)+1)</f>
        <v>0</v>
      </c>
      <c r="H653" s="607">
        <f>INDEX($K653:$O653,SUMIF(cbal!H$280:H$296,$B653,cbal!$D$280:$D$296)+1)</f>
        <v>0</v>
      </c>
      <c r="I653" s="607">
        <f>INDEX($K653:$O653,SUMIF(cbal!I$280:I$296,$B653,cbal!$D$280:$D$296)+1)</f>
        <v>0</v>
      </c>
      <c r="K653" s="1577">
        <v>0</v>
      </c>
      <c r="L653" s="1580">
        <f>L652</f>
        <v>5</v>
      </c>
      <c r="M653" s="1580">
        <f>L653</f>
        <v>5</v>
      </c>
      <c r="N653" s="1580">
        <f>M653</f>
        <v>5</v>
      </c>
      <c r="O653" s="1580">
        <f>N653</f>
        <v>5</v>
      </c>
      <c r="R653" s="91" t="b">
        <f t="shared" si="87"/>
        <v>0</v>
      </c>
      <c r="S653" s="21" t="b">
        <f t="shared" si="88"/>
        <v>0</v>
      </c>
      <c r="T653" s="97" t="b">
        <f t="shared" si="77"/>
        <v>0</v>
      </c>
    </row>
    <row r="654" spans="2:20">
      <c r="B654">
        <v>0</v>
      </c>
      <c r="C654" s="433">
        <v>0</v>
      </c>
      <c r="E654" s="448"/>
      <c r="F654" s="448"/>
      <c r="G654" s="448"/>
      <c r="H654" s="448"/>
      <c r="I654" s="448"/>
      <c r="K654" s="1577"/>
      <c r="L654" s="1585"/>
      <c r="M654" s="1585"/>
      <c r="N654" s="1585"/>
      <c r="O654" s="1585"/>
      <c r="R654" s="91">
        <v>0</v>
      </c>
      <c r="S654" s="21">
        <v>0</v>
      </c>
      <c r="T654" s="97">
        <v>0</v>
      </c>
    </row>
    <row r="655" spans="2:20">
      <c r="B655" s="358" t="s">
        <v>4043</v>
      </c>
      <c r="C655" s="358" t="str">
        <f>VLOOKUP(B655,DataInitiativesGrid,2,0)</f>
        <v>Pioneer's Circle</v>
      </c>
      <c r="D655" s="358"/>
      <c r="E655" s="448"/>
      <c r="F655" s="448"/>
      <c r="G655" s="448"/>
      <c r="H655" s="448"/>
      <c r="I655" s="448"/>
      <c r="K655" s="1577"/>
      <c r="L655" s="1585"/>
      <c r="M655" s="1585"/>
      <c r="N655" s="1585"/>
      <c r="O655" s="1585"/>
      <c r="R655" s="91">
        <v>0</v>
      </c>
      <c r="S655" s="21">
        <v>0</v>
      </c>
      <c r="T655" s="97">
        <v>0</v>
      </c>
    </row>
    <row r="656" spans="2:20">
      <c r="B656" t="s">
        <v>4043</v>
      </c>
      <c r="C656" s="433">
        <v>17</v>
      </c>
      <c r="D656" t="str">
        <f>VLOOKUP($C656,param!$A$4:$B$266,2)</f>
        <v>CSD Admin Costs</v>
      </c>
      <c r="E656" s="448">
        <f>INDEX($K656:$O656,SUMIF(cbal!E$280:E$296,$B656,cbal!$D$280:$D$296)+1)</f>
        <v>0</v>
      </c>
      <c r="F656" s="448">
        <f>INDEX($K656:$O656,SUMIF(cbal!F$280:F$296,$B656,cbal!$D$280:$D$296)+1)</f>
        <v>0</v>
      </c>
      <c r="G656" s="448">
        <f>INDEX($K656:$O656,SUMIF(cbal!G$280:G$296,$B656,cbal!$D$280:$D$296)+1)</f>
        <v>0</v>
      </c>
      <c r="H656" s="448">
        <f>INDEX($K656:$O656,SUMIF(cbal!H$280:H$296,$B656,cbal!$D$280:$D$296)+1)</f>
        <v>0</v>
      </c>
      <c r="I656" s="448">
        <f>INDEX($K656:$O656,SUMIF(cbal!I$280:I$296,$B656,cbal!$D$280:$D$296)+1)</f>
        <v>0</v>
      </c>
      <c r="K656" s="1577">
        <v>0</v>
      </c>
      <c r="L656" s="1585">
        <v>-0.06</v>
      </c>
      <c r="M656" s="1585">
        <v>-0.06</v>
      </c>
      <c r="N656" s="1585">
        <v>-0.06</v>
      </c>
      <c r="O656" s="1585">
        <v>-0.06</v>
      </c>
      <c r="R656" s="91" t="b">
        <f t="shared" si="87"/>
        <v>0</v>
      </c>
      <c r="S656" s="21" t="b">
        <f t="shared" si="88"/>
        <v>0</v>
      </c>
      <c r="T656" s="97" t="b">
        <f t="shared" si="77"/>
        <v>0</v>
      </c>
    </row>
    <row r="657" spans="2:20">
      <c r="B657" t="s">
        <v>4043</v>
      </c>
      <c r="C657" s="433">
        <v>55</v>
      </c>
      <c r="D657" t="str">
        <f>VLOOKUP($C657,param!$A$4:$B$266,2)</f>
        <v>NCB Admin Costs</v>
      </c>
      <c r="E657" s="448">
        <f>INDEX($K657:$O657,SUMIF(cbal!E$280:E$296,$B657,cbal!$D$280:$D$296)+1)</f>
        <v>0</v>
      </c>
      <c r="F657" s="448">
        <f>INDEX($K657:$O657,SUMIF(cbal!F$280:F$296,$B657,cbal!$D$280:$D$296)+1)</f>
        <v>0</v>
      </c>
      <c r="G657" s="448">
        <f>INDEX($K657:$O657,SUMIF(cbal!G$280:G$296,$B657,cbal!$D$280:$D$296)+1)</f>
        <v>0</v>
      </c>
      <c r="H657" s="448">
        <f>INDEX($K657:$O657,SUMIF(cbal!H$280:H$296,$B657,cbal!$D$280:$D$296)+1)</f>
        <v>0</v>
      </c>
      <c r="I657" s="448">
        <f>INDEX($K657:$O657,SUMIF(cbal!I$280:I$296,$B657,cbal!$D$280:$D$296)+1)</f>
        <v>0</v>
      </c>
      <c r="K657" s="1577">
        <v>0</v>
      </c>
      <c r="L657" s="1585">
        <v>-0.06</v>
      </c>
      <c r="M657" s="1585">
        <v>-0.06</v>
      </c>
      <c r="N657" s="1585">
        <v>-0.06</v>
      </c>
      <c r="O657" s="1585">
        <v>-0.06</v>
      </c>
      <c r="R657" s="91" t="b">
        <f t="shared" si="87"/>
        <v>0</v>
      </c>
      <c r="S657" s="21" t="b">
        <f t="shared" si="88"/>
        <v>0</v>
      </c>
      <c r="T657" s="97" t="b">
        <f t="shared" ref="T657:T700" si="92">IF(C657=133.5,L657)</f>
        <v>0</v>
      </c>
    </row>
    <row r="658" spans="2:20">
      <c r="B658" s="33" t="s">
        <v>4043</v>
      </c>
      <c r="C658" s="433">
        <v>74</v>
      </c>
      <c r="D658" t="str">
        <f>VLOOKUP($C658,param!$A$4:$B$266,2)</f>
        <v>F&amp;S Admin Costs</v>
      </c>
      <c r="E658" s="448">
        <f>INDEX($K658:$O658,SUMIF(cbal!E$280:E$296,$B658,cbal!$D$280:$D$296)+1)</f>
        <v>0</v>
      </c>
      <c r="F658" s="448">
        <f>INDEX($K658:$O658,SUMIF(cbal!F$280:F$296,$B658,cbal!$D$280:$D$296)+1)</f>
        <v>0</v>
      </c>
      <c r="G658" s="448">
        <f>INDEX($K658:$O658,SUMIF(cbal!G$280:G$296,$B658,cbal!$D$280:$D$296)+1)</f>
        <v>0</v>
      </c>
      <c r="H658" s="448">
        <f>INDEX($K658:$O658,SUMIF(cbal!H$280:H$296,$B658,cbal!$D$280:$D$296)+1)</f>
        <v>0</v>
      </c>
      <c r="I658" s="448">
        <f>INDEX($K658:$O658,SUMIF(cbal!I$280:I$296,$B658,cbal!$D$280:$D$296)+1)</f>
        <v>0</v>
      </c>
      <c r="K658" s="1577">
        <v>0</v>
      </c>
      <c r="L658" s="1585">
        <v>-0.06</v>
      </c>
      <c r="M658" s="1585">
        <v>-0.06</v>
      </c>
      <c r="N658" s="1585">
        <v>-0.06</v>
      </c>
      <c r="O658" s="1585">
        <v>-0.06</v>
      </c>
      <c r="R658" s="91" t="b">
        <f t="shared" si="87"/>
        <v>0</v>
      </c>
      <c r="S658" s="21" t="b">
        <f t="shared" si="88"/>
        <v>0</v>
      </c>
      <c r="T658" s="97" t="b">
        <f t="shared" si="92"/>
        <v>0</v>
      </c>
    </row>
    <row r="659" spans="2:20">
      <c r="B659" t="s">
        <v>4043</v>
      </c>
      <c r="C659" s="433">
        <v>107</v>
      </c>
      <c r="D659" t="str">
        <f>VLOOKUP($C659,param!$A$4:$B$266,2)</f>
        <v>Lower Region Sales Force Admin Cost as Pct of Salary</v>
      </c>
      <c r="E659" s="448">
        <f>INDEX($K659:$O659,SUMIF(cbal!E$280:E$296,$B659,cbal!$D$280:$D$296)+1)</f>
        <v>0</v>
      </c>
      <c r="F659" s="448">
        <f>INDEX($K659:$O659,SUMIF(cbal!F$280:F$296,$B659,cbal!$D$280:$D$296)+1)</f>
        <v>0</v>
      </c>
      <c r="G659" s="448">
        <f>INDEX($K659:$O659,SUMIF(cbal!G$280:G$296,$B659,cbal!$D$280:$D$296)+1)</f>
        <v>0</v>
      </c>
      <c r="H659" s="448">
        <f>INDEX($K659:$O659,SUMIF(cbal!H$280:H$296,$B659,cbal!$D$280:$D$296)+1)</f>
        <v>0</v>
      </c>
      <c r="I659" s="448">
        <f>INDEX($K659:$O659,SUMIF(cbal!I$280:I$296,$B659,cbal!$D$280:$D$296)+1)</f>
        <v>0</v>
      </c>
      <c r="K659" s="1577">
        <v>0</v>
      </c>
      <c r="L659" s="1585">
        <v>-0.06</v>
      </c>
      <c r="M659" s="1585">
        <v>-0.06</v>
      </c>
      <c r="N659" s="1585">
        <v>-0.06</v>
      </c>
      <c r="O659" s="1585">
        <v>-0.06</v>
      </c>
      <c r="R659" s="91" t="b">
        <f t="shared" si="87"/>
        <v>0</v>
      </c>
      <c r="S659" s="21" t="b">
        <f t="shared" si="88"/>
        <v>0</v>
      </c>
      <c r="T659" s="97" t="b">
        <f t="shared" si="92"/>
        <v>0</v>
      </c>
    </row>
    <row r="660" spans="2:20">
      <c r="B660" t="s">
        <v>4043</v>
      </c>
      <c r="C660" s="433">
        <v>115</v>
      </c>
      <c r="D660" t="str">
        <f>VLOOKUP($C660,param!$A$4:$B$266,2)</f>
        <v>Upper Region Sales Force Admin Cost as Pct of Salary</v>
      </c>
      <c r="E660" s="448">
        <f>INDEX($K660:$O660,SUMIF(cbal!E$280:E$296,$B660,cbal!$D$280:$D$296)+1)</f>
        <v>0</v>
      </c>
      <c r="F660" s="448">
        <f>INDEX($K660:$O660,SUMIF(cbal!F$280:F$296,$B660,cbal!$D$280:$D$296)+1)</f>
        <v>0</v>
      </c>
      <c r="G660" s="448">
        <f>INDEX($K660:$O660,SUMIF(cbal!G$280:G$296,$B660,cbal!$D$280:$D$296)+1)</f>
        <v>0</v>
      </c>
      <c r="H660" s="448">
        <f>INDEX($K660:$O660,SUMIF(cbal!H$280:H$296,$B660,cbal!$D$280:$D$296)+1)</f>
        <v>0</v>
      </c>
      <c r="I660" s="448">
        <f>INDEX($K660:$O660,SUMIF(cbal!I$280:I$296,$B660,cbal!$D$280:$D$296)+1)</f>
        <v>0</v>
      </c>
      <c r="K660" s="1577">
        <v>0</v>
      </c>
      <c r="L660" s="1585">
        <v>-0.06</v>
      </c>
      <c r="M660" s="1585">
        <v>-0.06</v>
      </c>
      <c r="N660" s="1585">
        <v>-0.06</v>
      </c>
      <c r="O660" s="1585">
        <v>-0.06</v>
      </c>
      <c r="R660" s="91" t="b">
        <f t="shared" si="87"/>
        <v>0</v>
      </c>
      <c r="S660" s="21" t="b">
        <f t="shared" si="88"/>
        <v>0</v>
      </c>
      <c r="T660" s="97" t="b">
        <f t="shared" si="92"/>
        <v>0</v>
      </c>
    </row>
    <row r="661" spans="2:20">
      <c r="B661" t="s">
        <v>4043</v>
      </c>
      <c r="C661" s="433">
        <v>123</v>
      </c>
      <c r="D661" t="str">
        <f>VLOOKUP($C661,param!$A$4:$B$266,2)</f>
        <v>Labor Admin Cost as Pct of Salary</v>
      </c>
      <c r="E661" s="448">
        <f>INDEX($K661:$O661,SUMIF(cbal!E$280:E$296,$B661,cbal!$D$280:$D$296)+1)</f>
        <v>0</v>
      </c>
      <c r="F661" s="448">
        <f>INDEX($K661:$O661,SUMIF(cbal!F$280:F$296,$B661,cbal!$D$280:$D$296)+1)</f>
        <v>0</v>
      </c>
      <c r="G661" s="448">
        <f>INDEX($K661:$O661,SUMIF(cbal!G$280:G$296,$B661,cbal!$D$280:$D$296)+1)</f>
        <v>0</v>
      </c>
      <c r="H661" s="448">
        <f>INDEX($K661:$O661,SUMIF(cbal!H$280:H$296,$B661,cbal!$D$280:$D$296)+1)</f>
        <v>0</v>
      </c>
      <c r="I661" s="448">
        <f>INDEX($K661:$O661,SUMIF(cbal!I$280:I$296,$B661,cbal!$D$280:$D$296)+1)</f>
        <v>0</v>
      </c>
      <c r="K661" s="1577">
        <v>0</v>
      </c>
      <c r="L661" s="1585">
        <v>-0.06</v>
      </c>
      <c r="M661" s="1585">
        <v>-0.06</v>
      </c>
      <c r="N661" s="1585">
        <v>-0.06</v>
      </c>
      <c r="O661" s="1585">
        <v>-0.06</v>
      </c>
      <c r="R661" s="91" t="b">
        <f t="shared" si="87"/>
        <v>0</v>
      </c>
      <c r="S661" s="21" t="b">
        <f t="shared" si="88"/>
        <v>0</v>
      </c>
      <c r="T661" s="97" t="b">
        <f t="shared" si="92"/>
        <v>0</v>
      </c>
    </row>
    <row r="662" spans="2:20">
      <c r="B662" t="s">
        <v>4043</v>
      </c>
      <c r="C662" s="506">
        <v>197</v>
      </c>
      <c r="D662" t="str">
        <f>VLOOKUP($C662,param!$A$4:$B$266,2)</f>
        <v>Company Culture</v>
      </c>
      <c r="E662" s="448">
        <f>INDEX($K662:$O662,SUMIF(cbal!E$280:E$296,$B662,cbal!$D$280:$D$296)+1)</f>
        <v>0</v>
      </c>
      <c r="F662" s="448">
        <f>INDEX($K662:$O662,SUMIF(cbal!F$280:F$296,$B662,cbal!$D$280:$D$296)+1)</f>
        <v>0</v>
      </c>
      <c r="G662" s="448">
        <f>INDEX($K662:$O662,SUMIF(cbal!G$280:G$296,$B662,cbal!$D$280:$D$296)+1)</f>
        <v>0</v>
      </c>
      <c r="H662" s="448">
        <f>INDEX($K662:$O662,SUMIF(cbal!H$280:H$296,$B662,cbal!$D$280:$D$296)+1)</f>
        <v>0</v>
      </c>
      <c r="I662" s="448">
        <f>INDEX($K662:$O662,SUMIF(cbal!I$280:I$296,$B662,cbal!$D$280:$D$296)+1)</f>
        <v>0</v>
      </c>
      <c r="K662" s="1577">
        <v>0</v>
      </c>
      <c r="L662" s="1584">
        <v>0.02</v>
      </c>
      <c r="M662" s="1584">
        <v>0.03</v>
      </c>
      <c r="N662" s="1584">
        <v>0.05</v>
      </c>
      <c r="O662" s="1584">
        <v>0.05</v>
      </c>
      <c r="R662" s="91" t="b">
        <f t="shared" si="87"/>
        <v>0</v>
      </c>
      <c r="S662" s="21" t="b">
        <f t="shared" si="88"/>
        <v>0</v>
      </c>
      <c r="T662" s="97" t="b">
        <f t="shared" si="92"/>
        <v>0</v>
      </c>
    </row>
    <row r="663" spans="2:20">
      <c r="B663" t="s">
        <v>4043</v>
      </c>
      <c r="C663" s="433">
        <v>167</v>
      </c>
      <c r="D663" t="str">
        <f>VLOOKUP($C663,param!$A$4:$B$266,2)</f>
        <v>Special Program Expense</v>
      </c>
      <c r="E663" s="610">
        <f>INDEX($K663:$O663,SUMIF(cbal!E$280:E$296,$B663,cbal!$D$280:$D$296)+1)</f>
        <v>0</v>
      </c>
      <c r="F663" s="610">
        <f>INDEX($K663:$O663,SUMIF(cbal!F$280:F$296,$B663,cbal!$D$280:$D$296)+1)</f>
        <v>0</v>
      </c>
      <c r="G663" s="610">
        <f>INDEX($K663:$O663,SUMIF(cbal!G$280:G$296,$B663,cbal!$D$280:$D$296)+1)</f>
        <v>0</v>
      </c>
      <c r="H663" s="610">
        <f>INDEX($K663:$O663,SUMIF(cbal!H$280:H$296,$B663,cbal!$D$280:$D$296)+1)</f>
        <v>0</v>
      </c>
      <c r="I663" s="610">
        <f>INDEX($K663:$O663,SUMIF(cbal!I$280:I$296,$B663,cbal!$D$280:$D$296)+1)</f>
        <v>0</v>
      </c>
      <c r="K663" s="1577">
        <v>0</v>
      </c>
      <c r="L663" s="1580">
        <v>675000</v>
      </c>
      <c r="M663" s="1585"/>
      <c r="N663" s="1585"/>
      <c r="O663" s="1585"/>
      <c r="R663" s="91">
        <f t="shared" si="87"/>
        <v>675000</v>
      </c>
      <c r="S663" s="21">
        <f t="shared" si="88"/>
        <v>0</v>
      </c>
      <c r="T663" s="97" t="b">
        <f t="shared" si="92"/>
        <v>0</v>
      </c>
    </row>
    <row r="664" spans="2:20">
      <c r="B664" t="s">
        <v>4043</v>
      </c>
      <c r="C664" s="433">
        <v>133.5</v>
      </c>
      <c r="D664" t="str">
        <f>VLOOKUP($C664,param!$A$4:$B$266,2)</f>
        <v>MTU Initiatives Allocation</v>
      </c>
      <c r="E664" s="607">
        <f>INDEX($K664:$O664,SUMIF(cbal!E$280:E$296,$B664,cbal!$D$280:$D$296)+1)</f>
        <v>0</v>
      </c>
      <c r="F664" s="607">
        <f>INDEX($K664:$O664,SUMIF(cbal!F$280:F$296,$B664,cbal!$D$280:$D$296)+1)</f>
        <v>0</v>
      </c>
      <c r="G664" s="607">
        <f>INDEX($K664:$O664,SUMIF(cbal!G$280:G$296,$B664,cbal!$D$280:$D$296)+1)</f>
        <v>0</v>
      </c>
      <c r="H664" s="607">
        <f>INDEX($K664:$O664,SUMIF(cbal!H$280:H$296,$B664,cbal!$D$280:$D$296)+1)</f>
        <v>0</v>
      </c>
      <c r="I664" s="607">
        <f>INDEX($K664:$O664,SUMIF(cbal!I$280:I$296,$B664,cbal!$D$280:$D$296)+1)</f>
        <v>0</v>
      </c>
      <c r="K664" s="1577">
        <v>0</v>
      </c>
      <c r="L664" s="1587">
        <v>5</v>
      </c>
      <c r="M664" s="1585"/>
      <c r="N664" s="1585"/>
      <c r="O664" s="1585"/>
      <c r="R664" s="91" t="b">
        <f t="shared" si="87"/>
        <v>0</v>
      </c>
      <c r="S664" s="21" t="b">
        <f t="shared" si="88"/>
        <v>0</v>
      </c>
      <c r="T664" s="97">
        <f t="shared" si="92"/>
        <v>5</v>
      </c>
    </row>
    <row r="665" spans="2:20">
      <c r="B665" t="s">
        <v>4043</v>
      </c>
      <c r="C665" s="433">
        <v>203</v>
      </c>
      <c r="D665" t="str">
        <f>VLOOKUP($C665,param!$A$4:$B$266,2)</f>
        <v>Productivity Strategy</v>
      </c>
      <c r="E665" s="607">
        <f>INDEX($K665:$O665,SUMIF(cbal!E$280:E$296,$B665,cbal!$D$280:$D$296)+1)</f>
        <v>0</v>
      </c>
      <c r="F665" s="607">
        <f>INDEX($K665:$O665,SUMIF(cbal!F$280:F$296,$B665,cbal!$D$280:$D$296)+1)</f>
        <v>0</v>
      </c>
      <c r="G665" s="607">
        <f>INDEX($K665:$O665,SUMIF(cbal!G$280:G$296,$B665,cbal!$D$280:$D$296)+1)</f>
        <v>0</v>
      </c>
      <c r="H665" s="607">
        <f>INDEX($K665:$O665,SUMIF(cbal!H$280:H$296,$B665,cbal!$D$280:$D$296)+1)</f>
        <v>0</v>
      </c>
      <c r="I665" s="607">
        <f>INDEX($K665:$O665,SUMIF(cbal!I$280:I$296,$B665,cbal!$D$280:$D$296)+1)</f>
        <v>0</v>
      </c>
      <c r="K665" s="1577">
        <v>0</v>
      </c>
      <c r="L665" s="1580">
        <f>L664</f>
        <v>5</v>
      </c>
      <c r="M665" s="1580">
        <f>L665</f>
        <v>5</v>
      </c>
      <c r="N665" s="1580">
        <f>M665</f>
        <v>5</v>
      </c>
      <c r="O665" s="1580">
        <f>N665</f>
        <v>5</v>
      </c>
      <c r="R665" s="91" t="b">
        <f>IF(AND(C665&gt;166,C665&lt;171.5),L665)</f>
        <v>0</v>
      </c>
      <c r="S665" s="21" t="b">
        <f>IF(AND(C665&gt;166,C665&lt;171.5),M665)</f>
        <v>0</v>
      </c>
      <c r="T665" s="97" t="b">
        <f t="shared" si="92"/>
        <v>0</v>
      </c>
    </row>
    <row r="666" spans="2:20">
      <c r="B666">
        <v>0</v>
      </c>
      <c r="C666" s="433">
        <v>0</v>
      </c>
      <c r="E666" s="448"/>
      <c r="F666" s="448"/>
      <c r="G666" s="448"/>
      <c r="H666" s="448"/>
      <c r="I666" s="448"/>
      <c r="K666" s="1577"/>
      <c r="L666" s="1585"/>
      <c r="M666" s="1585"/>
      <c r="N666" s="1585"/>
      <c r="O666" s="1585"/>
      <c r="R666" s="91">
        <v>0</v>
      </c>
      <c r="S666" s="21">
        <v>0</v>
      </c>
      <c r="T666" s="97">
        <v>0</v>
      </c>
    </row>
    <row r="667" spans="2:20">
      <c r="B667" t="s">
        <v>3203</v>
      </c>
      <c r="C667" t="str">
        <f>VLOOKUP(B667,DataInitiativesGrid,2,0)</f>
        <v>Parnership With University R&amp;D Lab</v>
      </c>
      <c r="E667" s="448"/>
      <c r="F667" s="448"/>
      <c r="G667" s="448"/>
      <c r="H667" s="448"/>
      <c r="I667" s="448"/>
      <c r="K667" s="1577"/>
      <c r="L667" s="1585"/>
      <c r="M667" s="1585"/>
      <c r="N667" s="1585"/>
      <c r="O667" s="1585"/>
      <c r="R667" s="91">
        <v>0</v>
      </c>
      <c r="S667" s="21">
        <v>0</v>
      </c>
      <c r="T667" s="97">
        <v>0</v>
      </c>
    </row>
    <row r="668" spans="2:20">
      <c r="B668" t="s">
        <v>3203</v>
      </c>
      <c r="C668" s="433">
        <v>164.1</v>
      </c>
      <c r="D668" t="str">
        <f>VLOOKUP($C668,param!$A$4:$B$266,2)</f>
        <v>R&amp;D Time-To-Market Coefficient</v>
      </c>
      <c r="E668" s="448">
        <f>INDEX($K668:$O668,SUMIF(cbal!E$280:E$296,$B668,cbal!$D$280:$D$296)+1)</f>
        <v>0</v>
      </c>
      <c r="F668" s="448">
        <f>INDEX($K668:$O668,SUMIF(cbal!F$280:F$296,$B668,cbal!$D$280:$D$296)+1)</f>
        <v>0</v>
      </c>
      <c r="G668" s="448">
        <f>INDEX($K668:$O668,SUMIF(cbal!G$280:G$296,$B668,cbal!$D$280:$D$296)+1)</f>
        <v>0</v>
      </c>
      <c r="H668" s="448">
        <f>INDEX($K668:$O668,SUMIF(cbal!H$280:H$296,$B668,cbal!$D$280:$D$296)+1)</f>
        <v>0</v>
      </c>
      <c r="I668" s="448">
        <f>INDEX($K668:$O668,SUMIF(cbal!I$280:I$296,$B668,cbal!$D$280:$D$296)+1)</f>
        <v>0</v>
      </c>
      <c r="K668" s="1577">
        <v>0</v>
      </c>
      <c r="L668" s="1585">
        <v>-0.05</v>
      </c>
      <c r="M668" s="1585">
        <v>-0.05</v>
      </c>
      <c r="N668" s="1585">
        <v>-0.05</v>
      </c>
      <c r="O668" s="1585">
        <v>-0.05</v>
      </c>
      <c r="R668" s="91" t="b">
        <f t="shared" si="87"/>
        <v>0</v>
      </c>
      <c r="S668" s="21" t="b">
        <f t="shared" si="88"/>
        <v>0</v>
      </c>
      <c r="T668" s="97" t="b">
        <f t="shared" si="92"/>
        <v>0</v>
      </c>
    </row>
    <row r="669" spans="2:20">
      <c r="B669" t="s">
        <v>3203</v>
      </c>
      <c r="C669" s="506">
        <v>179.5</v>
      </c>
      <c r="D669" t="str">
        <f>VLOOKUP($C669,param!$A$4:$B$266,2)</f>
        <v>Special Program Success Breakthrough</v>
      </c>
      <c r="E669" s="448">
        <f>INDEX($K669:$O669,SUMIF(cbal!E$280:E$296,$B669,cbal!$D$280:$D$296)+1)</f>
        <v>0</v>
      </c>
      <c r="F669" s="448">
        <f>INDEX($K669:$O669,SUMIF(cbal!F$280:F$296,$B669,cbal!$D$280:$D$296)+1)</f>
        <v>0</v>
      </c>
      <c r="G669" s="448">
        <f>INDEX($K669:$O669,SUMIF(cbal!G$280:G$296,$B669,cbal!$D$280:$D$296)+1)</f>
        <v>0</v>
      </c>
      <c r="H669" s="448">
        <f>INDEX($K669:$O669,SUMIF(cbal!H$280:H$296,$B669,cbal!$D$280:$D$296)+1)</f>
        <v>0</v>
      </c>
      <c r="I669" s="448">
        <f>INDEX($K669:$O669,SUMIF(cbal!I$280:I$296,$B669,cbal!$D$280:$D$296)+1)</f>
        <v>0</v>
      </c>
      <c r="K669" s="1577">
        <v>0</v>
      </c>
      <c r="L669" s="1585">
        <v>0.1</v>
      </c>
      <c r="M669" s="1585">
        <v>0.1</v>
      </c>
      <c r="N669" s="1585">
        <v>0.1</v>
      </c>
      <c r="O669" s="1585">
        <v>0.1</v>
      </c>
      <c r="R669" s="91" t="b">
        <f>IF(AND(C669&gt;166,C669&lt;171.5),L669)</f>
        <v>0</v>
      </c>
      <c r="S669" s="21" t="b">
        <f>IF(AND(C669&gt;166,C669&lt;171.5),M669)</f>
        <v>0</v>
      </c>
      <c r="T669" s="97" t="b">
        <f t="shared" si="92"/>
        <v>0</v>
      </c>
    </row>
    <row r="670" spans="2:20">
      <c r="B670" t="s">
        <v>3203</v>
      </c>
      <c r="C670" s="506">
        <v>167</v>
      </c>
      <c r="D670" t="str">
        <f>VLOOKUP($C670,param!$A$4:$B$266,2)</f>
        <v>Special Program Expense</v>
      </c>
      <c r="E670" s="183">
        <f>INDEX($K670:$O670,SUMIF(cbal!E$280:E$296,$B670,cbal!$D$280:$D$296)+1)</f>
        <v>0</v>
      </c>
      <c r="F670" s="183">
        <f>INDEX($K670:$O670,SUMIF(cbal!F$280:F$296,$B670,cbal!$D$280:$D$296)+1)</f>
        <v>0</v>
      </c>
      <c r="G670" s="183">
        <f>INDEX($K670:$O670,SUMIF(cbal!G$280:G$296,$B670,cbal!$D$280:$D$296)+1)</f>
        <v>0</v>
      </c>
      <c r="H670" s="183">
        <f>INDEX($K670:$O670,SUMIF(cbal!H$280:H$296,$B670,cbal!$D$280:$D$296)+1)</f>
        <v>0</v>
      </c>
      <c r="I670" s="183">
        <f>INDEX($K670:$O670,SUMIF(cbal!I$280:I$296,$B670,cbal!$D$280:$D$296)+1)</f>
        <v>0</v>
      </c>
      <c r="K670" s="1577">
        <v>0</v>
      </c>
      <c r="L670" s="1580">
        <v>3000000</v>
      </c>
      <c r="M670" s="1580">
        <v>750000</v>
      </c>
      <c r="N670" s="1580">
        <v>750000</v>
      </c>
      <c r="O670" s="1580">
        <v>750000</v>
      </c>
      <c r="R670" s="91">
        <f t="shared" si="87"/>
        <v>3000000</v>
      </c>
      <c r="S670" s="21">
        <f t="shared" si="88"/>
        <v>750000</v>
      </c>
      <c r="T670" s="97" t="b">
        <f t="shared" si="92"/>
        <v>0</v>
      </c>
    </row>
    <row r="671" spans="2:20">
      <c r="B671" t="str">
        <f>B670</f>
        <v>IN1</v>
      </c>
      <c r="C671" s="433">
        <v>133.5</v>
      </c>
      <c r="D671" t="str">
        <f>VLOOKUP($C671,param!$A$4:$B$266,2)</f>
        <v>MTU Initiatives Allocation</v>
      </c>
      <c r="E671" s="183">
        <f>INDEX($K671:$O671,SUMIF(cbal!E$280:E$296,$B671,cbal!$D$280:$D$296)+1)</f>
        <v>0</v>
      </c>
      <c r="F671" s="183">
        <f>INDEX($K671:$O671,SUMIF(cbal!F$280:F$296,$B671,cbal!$D$280:$D$296)+1)</f>
        <v>0</v>
      </c>
      <c r="G671" s="183">
        <f>INDEX($K671:$O671,SUMIF(cbal!G$280:G$296,$B671,cbal!$D$280:$D$296)+1)</f>
        <v>0</v>
      </c>
      <c r="H671" s="183">
        <f>INDEX($K671:$O671,SUMIF(cbal!H$280:H$296,$B671,cbal!$D$280:$D$296)+1)</f>
        <v>0</v>
      </c>
      <c r="I671" s="183">
        <f>INDEX($K671:$O671,SUMIF(cbal!I$280:I$296,$B671,cbal!$D$280:$D$296)+1)</f>
        <v>0</v>
      </c>
      <c r="K671" s="1577">
        <v>0</v>
      </c>
      <c r="L671" s="1587">
        <v>5</v>
      </c>
      <c r="M671" s="1585"/>
      <c r="N671" s="1585"/>
      <c r="O671" s="1585"/>
      <c r="R671" s="91" t="b">
        <f t="shared" si="87"/>
        <v>0</v>
      </c>
      <c r="S671" s="21" t="b">
        <f t="shared" si="88"/>
        <v>0</v>
      </c>
      <c r="T671" s="97">
        <f t="shared" si="92"/>
        <v>5</v>
      </c>
    </row>
    <row r="672" spans="2:20">
      <c r="B672" t="str">
        <f>B671</f>
        <v>IN1</v>
      </c>
      <c r="C672" s="433">
        <v>204</v>
      </c>
      <c r="D672" t="str">
        <f>VLOOKUP($C672,param!$A$4:$B$266,2)</f>
        <v>Innovation Strategy</v>
      </c>
      <c r="E672" s="183">
        <f>INDEX($K672:$O672,SUMIF(cbal!E$280:E$296,$B672,cbal!$D$280:$D$296)+1)</f>
        <v>0</v>
      </c>
      <c r="F672" s="183">
        <f>INDEX($K672:$O672,SUMIF(cbal!F$280:F$296,$B672,cbal!$D$280:$D$296)+1)</f>
        <v>0</v>
      </c>
      <c r="G672" s="183">
        <f>INDEX($K672:$O672,SUMIF(cbal!G$280:G$296,$B672,cbal!$D$280:$D$296)+1)</f>
        <v>0</v>
      </c>
      <c r="H672" s="183">
        <f>INDEX($K672:$O672,SUMIF(cbal!H$280:H$296,$B672,cbal!$D$280:$D$296)+1)</f>
        <v>0</v>
      </c>
      <c r="I672" s="183">
        <f>INDEX($K672:$O672,SUMIF(cbal!I$280:I$296,$B672,cbal!$D$280:$D$296)+1)</f>
        <v>0</v>
      </c>
      <c r="K672" s="1577">
        <v>0</v>
      </c>
      <c r="L672" s="1580">
        <f>L671</f>
        <v>5</v>
      </c>
      <c r="M672" s="1580">
        <f>L672</f>
        <v>5</v>
      </c>
      <c r="N672" s="1580">
        <f>M672</f>
        <v>5</v>
      </c>
      <c r="O672" s="1580">
        <f>N672</f>
        <v>5</v>
      </c>
      <c r="R672" s="91" t="b">
        <f>IF(AND(C672&gt;166,C672&lt;171.5),L672)</f>
        <v>0</v>
      </c>
      <c r="S672" s="21" t="b">
        <f>IF(AND(C672&gt;166,C672&lt;171.5),M672)</f>
        <v>0</v>
      </c>
      <c r="T672" s="97" t="b">
        <f t="shared" si="92"/>
        <v>0</v>
      </c>
    </row>
    <row r="673" spans="2:20">
      <c r="B673">
        <v>0</v>
      </c>
      <c r="C673" s="433">
        <v>0</v>
      </c>
      <c r="E673" s="183"/>
      <c r="F673" s="183"/>
      <c r="G673" s="183"/>
      <c r="H673" s="183"/>
      <c r="I673" s="183"/>
      <c r="K673" s="1577"/>
      <c r="L673" s="1580"/>
      <c r="M673" s="1581"/>
      <c r="N673" s="1581"/>
      <c r="O673" s="1581"/>
      <c r="R673" s="91">
        <v>0</v>
      </c>
      <c r="S673" s="21">
        <v>0</v>
      </c>
      <c r="T673" s="97">
        <v>0</v>
      </c>
    </row>
    <row r="674" spans="2:20">
      <c r="B674" t="s">
        <v>3204</v>
      </c>
      <c r="C674" t="str">
        <f>VLOOKUP(B674,DataInitiativesGrid,2,0)</f>
        <v>Innovation Partnership Cooperative</v>
      </c>
      <c r="E674" s="183"/>
      <c r="F674" s="183"/>
      <c r="G674" s="183"/>
      <c r="H674" s="183"/>
      <c r="I674" s="183"/>
      <c r="K674" s="1577"/>
      <c r="L674" s="1580"/>
      <c r="M674" s="1581"/>
      <c r="N674" s="1581"/>
      <c r="O674" s="1581"/>
      <c r="R674" s="91">
        <v>0</v>
      </c>
      <c r="S674" s="21">
        <v>0</v>
      </c>
      <c r="T674" s="97">
        <v>0</v>
      </c>
    </row>
    <row r="675" spans="2:20">
      <c r="B675" t="s">
        <v>3204</v>
      </c>
      <c r="C675" s="433">
        <v>9</v>
      </c>
      <c r="D675" t="str">
        <f>VLOOKUP($C675,param!$A$4:$B$266,2)</f>
        <v>CSD Labor Hours Req. Per Unit</v>
      </c>
      <c r="E675" s="448">
        <f>INDEX($K675:$O675,SUMIF(cbal!E$280:E$296,$B675,cbal!$D$280:$D$296)+1)</f>
        <v>0</v>
      </c>
      <c r="F675" s="448">
        <f>INDEX($K675:$O675,SUMIF(cbal!F$280:F$296,$B675,cbal!$D$280:$D$296)+1)</f>
        <v>0</v>
      </c>
      <c r="G675" s="448">
        <f>INDEX($K675:$O675,SUMIF(cbal!G$280:G$296,$B675,cbal!$D$280:$D$296)+1)</f>
        <v>0</v>
      </c>
      <c r="H675" s="448">
        <f>INDEX($K675:$O675,SUMIF(cbal!H$280:H$296,$B675,cbal!$D$280:$D$296)+1)</f>
        <v>0</v>
      </c>
      <c r="I675" s="448">
        <f>INDEX($K675:$O675,SUMIF(cbal!I$280:I$296,$B675,cbal!$D$280:$D$296)+1)</f>
        <v>0</v>
      </c>
      <c r="K675" s="1577">
        <v>0</v>
      </c>
      <c r="L675" s="1585">
        <v>-0.05</v>
      </c>
      <c r="M675" s="1585">
        <v>-0.05</v>
      </c>
      <c r="N675" s="1585">
        <v>-0.05</v>
      </c>
      <c r="O675" s="1585">
        <v>-0.05</v>
      </c>
      <c r="R675" s="91" t="b">
        <f t="shared" si="87"/>
        <v>0</v>
      </c>
      <c r="S675" s="21" t="b">
        <f t="shared" si="88"/>
        <v>0</v>
      </c>
      <c r="T675" s="97" t="b">
        <f t="shared" si="92"/>
        <v>0</v>
      </c>
    </row>
    <row r="676" spans="2:20">
      <c r="B676" t="s">
        <v>3204</v>
      </c>
      <c r="C676" s="433">
        <v>138</v>
      </c>
      <c r="D676" t="str">
        <f>VLOOKUP($C676,param!$A$4:$B$266,2)</f>
        <v>Plant Machine Hours Per Plant Unit</v>
      </c>
      <c r="E676" s="448">
        <f>INDEX($K676:$O676,SUMIF(cbal!E$280:E$296,$B676,cbal!$D$280:$D$296)+1)</f>
        <v>0</v>
      </c>
      <c r="F676" s="448">
        <f>INDEX($K676:$O676,SUMIF(cbal!F$280:F$296,$B676,cbal!$D$280:$D$296)+1)</f>
        <v>0</v>
      </c>
      <c r="G676" s="448">
        <f>INDEX($K676:$O676,SUMIF(cbal!G$280:G$296,$B676,cbal!$D$280:$D$296)+1)</f>
        <v>0</v>
      </c>
      <c r="H676" s="448">
        <f>INDEX($K676:$O676,SUMIF(cbal!H$280:H$296,$B676,cbal!$D$280:$D$296)+1)</f>
        <v>0</v>
      </c>
      <c r="I676" s="448">
        <f>INDEX($K676:$O676,SUMIF(cbal!I$280:I$296,$B676,cbal!$D$280:$D$296)+1)</f>
        <v>0</v>
      </c>
      <c r="K676" s="1577">
        <v>0</v>
      </c>
      <c r="L676" s="1585">
        <v>-0.02</v>
      </c>
      <c r="M676" s="1585">
        <v>-0.02</v>
      </c>
      <c r="N676" s="1585">
        <v>-0.02</v>
      </c>
      <c r="O676" s="1585">
        <v>-0.02</v>
      </c>
      <c r="R676" s="91" t="b">
        <f t="shared" si="87"/>
        <v>0</v>
      </c>
      <c r="S676" s="21" t="b">
        <f t="shared" si="88"/>
        <v>0</v>
      </c>
      <c r="T676" s="97" t="b">
        <f t="shared" si="92"/>
        <v>0</v>
      </c>
    </row>
    <row r="677" spans="2:20" ht="11.25" customHeight="1">
      <c r="B677" t="s">
        <v>3204</v>
      </c>
      <c r="C677" s="441">
        <v>139</v>
      </c>
      <c r="D677" t="str">
        <f>VLOOKUP($C677,param!$A$4:$B$266,2)</f>
        <v>Plant Machinery Cost Per Hour</v>
      </c>
      <c r="E677" s="448">
        <f>INDEX($K677:$O677,SUMIF(cbal!E$280:E$296,$B677,cbal!$D$280:$D$296)+1)</f>
        <v>0</v>
      </c>
      <c r="F677" s="448">
        <f>INDEX($K677:$O677,SUMIF(cbal!F$280:F$296,$B677,cbal!$D$280:$D$296)+1)</f>
        <v>0</v>
      </c>
      <c r="G677" s="448">
        <f>INDEX($K677:$O677,SUMIF(cbal!G$280:G$296,$B677,cbal!$D$280:$D$296)+1)</f>
        <v>0</v>
      </c>
      <c r="H677" s="448">
        <f>INDEX($K677:$O677,SUMIF(cbal!H$280:H$296,$B677,cbal!$D$280:$D$296)+1)</f>
        <v>0</v>
      </c>
      <c r="I677" s="448">
        <f>INDEX($K677:$O677,SUMIF(cbal!I$280:I$296,$B677,cbal!$D$280:$D$296)+1)</f>
        <v>0</v>
      </c>
      <c r="K677" s="1577">
        <v>0</v>
      </c>
      <c r="L677" s="1584">
        <v>5.0000000000000001E-3</v>
      </c>
      <c r="M677" s="1584">
        <v>5.0000000000000001E-3</v>
      </c>
      <c r="N677" s="1584">
        <v>5.0000000000000001E-3</v>
      </c>
      <c r="O677" s="1584">
        <v>5.0000000000000001E-3</v>
      </c>
      <c r="R677" s="91" t="b">
        <f t="shared" si="87"/>
        <v>0</v>
      </c>
      <c r="S677" s="21" t="b">
        <f t="shared" si="88"/>
        <v>0</v>
      </c>
      <c r="T677" s="97" t="b">
        <f t="shared" si="92"/>
        <v>0</v>
      </c>
    </row>
    <row r="678" spans="2:20">
      <c r="B678" t="s">
        <v>3204</v>
      </c>
      <c r="C678" s="506">
        <v>179.5</v>
      </c>
      <c r="D678" t="str">
        <f>VLOOKUP($C678,param!$A$4:$B$266,2)</f>
        <v>Special Program Success Breakthrough</v>
      </c>
      <c r="E678" s="448">
        <f>INDEX($K678:$O678,SUMIF(cbal!E$280:E$296,$B678,cbal!$D$280:$D$296)+1)</f>
        <v>0</v>
      </c>
      <c r="F678" s="448">
        <f>INDEX($K678:$O678,SUMIF(cbal!F$280:F$296,$B678,cbal!$D$280:$D$296)+1)</f>
        <v>0</v>
      </c>
      <c r="G678" s="448">
        <f>INDEX($K678:$O678,SUMIF(cbal!G$280:G$296,$B678,cbal!$D$280:$D$296)+1)</f>
        <v>0</v>
      </c>
      <c r="H678" s="448">
        <f>INDEX($K678:$O678,SUMIF(cbal!H$280:H$296,$B678,cbal!$D$280:$D$296)+1)</f>
        <v>0</v>
      </c>
      <c r="I678" s="448">
        <f>INDEX($K678:$O678,SUMIF(cbal!I$280:I$296,$B678,cbal!$D$280:$D$296)+1)</f>
        <v>0</v>
      </c>
      <c r="K678" s="1577">
        <v>0</v>
      </c>
      <c r="L678" s="1585">
        <v>0.02</v>
      </c>
      <c r="M678" s="1585">
        <v>0.02</v>
      </c>
      <c r="N678" s="1585">
        <v>0.02</v>
      </c>
      <c r="O678" s="1585">
        <v>0.02</v>
      </c>
      <c r="R678" s="91" t="b">
        <f>IF(AND(C678&gt;166,C678&lt;171.5),L678)</f>
        <v>0</v>
      </c>
      <c r="S678" s="21" t="b">
        <f>IF(AND(C678&gt;166,C678&lt;171.5),M678)</f>
        <v>0</v>
      </c>
      <c r="T678" s="97" t="b">
        <f t="shared" si="92"/>
        <v>0</v>
      </c>
    </row>
    <row r="679" spans="2:20" ht="11.25" customHeight="1">
      <c r="B679" t="s">
        <v>3204</v>
      </c>
      <c r="C679" s="433">
        <v>167</v>
      </c>
      <c r="D679" t="str">
        <f>VLOOKUP($C679,param!$A$4:$B$266,2)</f>
        <v>Special Program Expense</v>
      </c>
      <c r="E679" s="609">
        <f>INDEX($K679:$O679,SUMIF(cbal!E$280:E$296,$B679,cbal!$D$280:$D$296)+1)</f>
        <v>0</v>
      </c>
      <c r="F679" s="609">
        <f>INDEX($K679:$O679,SUMIF(cbal!F$280:F$296,$B679,cbal!$D$280:$D$296)+1)</f>
        <v>0</v>
      </c>
      <c r="G679" s="609">
        <f>INDEX($K679:$O679,SUMIF(cbal!G$280:G$296,$B679,cbal!$D$280:$D$296)+1)</f>
        <v>0</v>
      </c>
      <c r="H679" s="609">
        <f>INDEX($K679:$O679,SUMIF(cbal!H$280:H$296,$B679,cbal!$D$280:$D$296)+1)</f>
        <v>0</v>
      </c>
      <c r="I679" s="609">
        <f>INDEX($K679:$O679,SUMIF(cbal!I$280:I$296,$B679,cbal!$D$280:$D$296)+1)</f>
        <v>0</v>
      </c>
      <c r="K679" s="1577">
        <v>0</v>
      </c>
      <c r="L679" s="1590">
        <v>2300000</v>
      </c>
      <c r="M679" s="1590">
        <v>600000</v>
      </c>
      <c r="N679" s="1590">
        <v>600000</v>
      </c>
      <c r="O679" s="1590">
        <v>600000</v>
      </c>
      <c r="R679" s="91">
        <f t="shared" si="87"/>
        <v>2300000</v>
      </c>
      <c r="S679" s="21">
        <f t="shared" si="88"/>
        <v>600000</v>
      </c>
      <c r="T679" s="97" t="b">
        <f t="shared" si="92"/>
        <v>0</v>
      </c>
    </row>
    <row r="680" spans="2:20">
      <c r="B680" t="str">
        <f>B679</f>
        <v>IN2</v>
      </c>
      <c r="C680" s="433">
        <v>133.5</v>
      </c>
      <c r="D680" t="str">
        <f>VLOOKUP($C680,param!$A$4:$B$266,2)</f>
        <v>MTU Initiatives Allocation</v>
      </c>
      <c r="E680" s="183">
        <f>INDEX($K680:$O680,SUMIF(cbal!E$280:E$296,$B680,cbal!$D$280:$D$296)+1)</f>
        <v>0</v>
      </c>
      <c r="F680" s="183">
        <f>INDEX($K680:$O680,SUMIF(cbal!F$280:F$296,$B680,cbal!$D$280:$D$296)+1)</f>
        <v>0</v>
      </c>
      <c r="G680" s="183">
        <f>INDEX($K680:$O680,SUMIF(cbal!G$280:G$296,$B680,cbal!$D$280:$D$296)+1)</f>
        <v>0</v>
      </c>
      <c r="H680" s="183">
        <f>INDEX($K680:$O680,SUMIF(cbal!H$280:H$296,$B680,cbal!$D$280:$D$296)+1)</f>
        <v>0</v>
      </c>
      <c r="I680" s="183">
        <f>INDEX($K680:$O680,SUMIF(cbal!I$280:I$296,$B680,cbal!$D$280:$D$296)+1)</f>
        <v>0</v>
      </c>
      <c r="K680" s="1577">
        <v>0</v>
      </c>
      <c r="L680" s="1587">
        <v>5</v>
      </c>
      <c r="M680" s="1585"/>
      <c r="N680" s="1585"/>
      <c r="O680" s="1585"/>
      <c r="R680" s="91" t="b">
        <f t="shared" si="87"/>
        <v>0</v>
      </c>
      <c r="S680" s="21" t="b">
        <f t="shared" si="88"/>
        <v>0</v>
      </c>
      <c r="T680" s="97">
        <f t="shared" si="92"/>
        <v>5</v>
      </c>
    </row>
    <row r="681" spans="2:20">
      <c r="B681" t="str">
        <f>B680</f>
        <v>IN2</v>
      </c>
      <c r="C681" s="433">
        <v>204</v>
      </c>
      <c r="D681" t="str">
        <f>VLOOKUP($C681,param!$A$4:$B$266,2)</f>
        <v>Innovation Strategy</v>
      </c>
      <c r="E681" s="183">
        <f>INDEX($K681:$O681,SUMIF(cbal!E$280:E$296,$B681,cbal!$D$280:$D$296)+1)</f>
        <v>0</v>
      </c>
      <c r="F681" s="183">
        <f>INDEX($K681:$O681,SUMIF(cbal!F$280:F$296,$B681,cbal!$D$280:$D$296)+1)</f>
        <v>0</v>
      </c>
      <c r="G681" s="183">
        <f>INDEX($K681:$O681,SUMIF(cbal!G$280:G$296,$B681,cbal!$D$280:$D$296)+1)</f>
        <v>0</v>
      </c>
      <c r="H681" s="183">
        <f>INDEX($K681:$O681,SUMIF(cbal!H$280:H$296,$B681,cbal!$D$280:$D$296)+1)</f>
        <v>0</v>
      </c>
      <c r="I681" s="183">
        <f>INDEX($K681:$O681,SUMIF(cbal!I$280:I$296,$B681,cbal!$D$280:$D$296)+1)</f>
        <v>0</v>
      </c>
      <c r="K681" s="1577">
        <v>0</v>
      </c>
      <c r="L681" s="1580">
        <f>L680/2</f>
        <v>2.5</v>
      </c>
      <c r="M681" s="1582">
        <f t="shared" ref="M681:O682" si="93">L681</f>
        <v>2.5</v>
      </c>
      <c r="N681" s="1582">
        <f t="shared" si="93"/>
        <v>2.5</v>
      </c>
      <c r="O681" s="1582">
        <f t="shared" si="93"/>
        <v>2.5</v>
      </c>
      <c r="R681" s="91" t="b">
        <f t="shared" si="87"/>
        <v>0</v>
      </c>
      <c r="S681" s="21" t="b">
        <f t="shared" si="88"/>
        <v>0</v>
      </c>
      <c r="T681" s="97" t="b">
        <f t="shared" si="92"/>
        <v>0</v>
      </c>
    </row>
    <row r="682" spans="2:20">
      <c r="B682" t="str">
        <f>B681</f>
        <v>IN2</v>
      </c>
      <c r="C682" s="433">
        <v>202</v>
      </c>
      <c r="D682" t="str">
        <f>VLOOKUP($C682,param!$A$4:$B$266,2)</f>
        <v>Go-to-Market Strategy</v>
      </c>
      <c r="E682" s="183">
        <f>INDEX($K682:$O682,SUMIF(cbal!E$280:E$296,$B682,cbal!$D$280:$D$296)+1)</f>
        <v>0</v>
      </c>
      <c r="F682" s="183">
        <f>INDEX($K682:$O682,SUMIF(cbal!F$280:F$296,$B682,cbal!$D$280:$D$296)+1)</f>
        <v>0</v>
      </c>
      <c r="G682" s="183">
        <f>INDEX($K682:$O682,SUMIF(cbal!G$280:G$296,$B682,cbal!$D$280:$D$296)+1)</f>
        <v>0</v>
      </c>
      <c r="H682" s="183">
        <f>INDEX($K682:$O682,SUMIF(cbal!H$280:H$296,$B682,cbal!$D$280:$D$296)+1)</f>
        <v>0</v>
      </c>
      <c r="I682" s="183">
        <f>INDEX($K682:$O682,SUMIF(cbal!I$280:I$296,$B682,cbal!$D$280:$D$296)+1)</f>
        <v>0</v>
      </c>
      <c r="K682" s="1577">
        <v>0</v>
      </c>
      <c r="L682" s="1580">
        <f>L680-L681</f>
        <v>2.5</v>
      </c>
      <c r="M682" s="1582">
        <f t="shared" si="93"/>
        <v>2.5</v>
      </c>
      <c r="N682" s="1582">
        <f t="shared" si="93"/>
        <v>2.5</v>
      </c>
      <c r="O682" s="1582">
        <f t="shared" si="93"/>
        <v>2.5</v>
      </c>
      <c r="R682" s="91" t="b">
        <f>IF(AND(C682&gt;166,C682&lt;171.5),L682)</f>
        <v>0</v>
      </c>
      <c r="S682" s="21" t="b">
        <f>IF(AND(C682&gt;166,C682&lt;171.5),M682)</f>
        <v>0</v>
      </c>
      <c r="T682" s="97" t="b">
        <f t="shared" si="92"/>
        <v>0</v>
      </c>
    </row>
    <row r="683" spans="2:20" ht="11.25" customHeight="1">
      <c r="B683">
        <v>0</v>
      </c>
      <c r="C683" s="433">
        <v>0</v>
      </c>
      <c r="E683" s="448"/>
      <c r="F683" s="448"/>
      <c r="G683" s="448"/>
      <c r="H683" s="448"/>
      <c r="I683" s="448"/>
      <c r="K683" s="1577"/>
      <c r="L683" s="1585"/>
      <c r="M683" s="1585"/>
      <c r="N683" s="1585"/>
      <c r="O683" s="1585"/>
      <c r="R683" s="91">
        <v>0</v>
      </c>
      <c r="S683" s="21">
        <v>0</v>
      </c>
      <c r="T683" s="97">
        <v>0</v>
      </c>
    </row>
    <row r="684" spans="2:20">
      <c r="B684" t="s">
        <v>3205</v>
      </c>
      <c r="C684" t="str">
        <f>VLOOKUP(B684,DataInitiativesGrid,2,0)</f>
        <v>Market Research Study</v>
      </c>
      <c r="E684" s="448"/>
      <c r="F684" s="448"/>
      <c r="G684" s="448"/>
      <c r="H684" s="448"/>
      <c r="I684" s="448"/>
      <c r="K684" s="1577"/>
      <c r="L684" s="1585"/>
      <c r="M684" s="1585"/>
      <c r="N684" s="1585"/>
      <c r="O684" s="1585"/>
      <c r="R684" s="91">
        <v>0</v>
      </c>
      <c r="S684" s="21">
        <v>0</v>
      </c>
      <c r="T684" s="97">
        <v>0</v>
      </c>
    </row>
    <row r="685" spans="2:20">
      <c r="B685" t="s">
        <v>3205</v>
      </c>
      <c r="C685" s="433">
        <v>172</v>
      </c>
      <c r="D685" t="str">
        <f>VLOOKUP($C685,param!$A$4:$B$266,2)</f>
        <v>Region 1 Special Program Success CSD</v>
      </c>
      <c r="E685" s="448">
        <f>INDEX($K685:$O685,SUMIF(cbal!E$280:E$296,$B685,cbal!$D$280:$D$296)+1)</f>
        <v>0</v>
      </c>
      <c r="F685" s="448">
        <f>INDEX($K685:$O685,SUMIF(cbal!F$280:F$296,$B685,cbal!$D$280:$D$296)+1)</f>
        <v>0</v>
      </c>
      <c r="G685" s="448">
        <f>INDEX($K685:$O685,SUMIF(cbal!G$280:G$296,$B685,cbal!$D$280:$D$296)+1)</f>
        <v>0</v>
      </c>
      <c r="H685" s="448">
        <f>INDEX($K685:$O685,SUMIF(cbal!H$280:H$296,$B685,cbal!$D$280:$D$296)+1)</f>
        <v>0</v>
      </c>
      <c r="I685" s="448">
        <f>INDEX($K685:$O685,SUMIF(cbal!I$280:I$296,$B685,cbal!$D$280:$D$296)+1)</f>
        <v>0</v>
      </c>
      <c r="K685" s="1577">
        <v>0</v>
      </c>
      <c r="L685" s="1585">
        <v>0.01</v>
      </c>
      <c r="M685" s="1585">
        <v>0.01</v>
      </c>
      <c r="N685" s="1585">
        <v>0.01</v>
      </c>
      <c r="O685" s="1585">
        <v>0.01</v>
      </c>
      <c r="R685" s="91" t="b">
        <f t="shared" si="87"/>
        <v>0</v>
      </c>
      <c r="S685" s="21" t="b">
        <f t="shared" si="88"/>
        <v>0</v>
      </c>
      <c r="T685" s="97" t="b">
        <f t="shared" si="92"/>
        <v>0</v>
      </c>
    </row>
    <row r="686" spans="2:20">
      <c r="B686" t="s">
        <v>3205</v>
      </c>
      <c r="C686" s="433">
        <v>174</v>
      </c>
      <c r="D686" t="str">
        <f>VLOOKUP($C686,param!$A$4:$B$266,2)</f>
        <v>Region 1 Special Program Success NCB</v>
      </c>
      <c r="E686" s="448">
        <f>INDEX($K686:$O686,SUMIF(cbal!E$280:E$296,$B686,cbal!$D$280:$D$296)+1)</f>
        <v>0</v>
      </c>
      <c r="F686" s="448">
        <f>INDEX($K686:$O686,SUMIF(cbal!F$280:F$296,$B686,cbal!$D$280:$D$296)+1)</f>
        <v>0</v>
      </c>
      <c r="G686" s="448">
        <f>INDEX($K686:$O686,SUMIF(cbal!G$280:G$296,$B686,cbal!$D$280:$D$296)+1)</f>
        <v>0</v>
      </c>
      <c r="H686" s="448">
        <f>INDEX($K686:$O686,SUMIF(cbal!H$280:H$296,$B686,cbal!$D$280:$D$296)+1)</f>
        <v>0</v>
      </c>
      <c r="I686" s="448">
        <f>INDEX($K686:$O686,SUMIF(cbal!I$280:I$296,$B686,cbal!$D$280:$D$296)+1)</f>
        <v>0</v>
      </c>
      <c r="K686" s="1577">
        <v>0</v>
      </c>
      <c r="L686" s="1585">
        <v>0.01</v>
      </c>
      <c r="M686" s="1585">
        <v>0.01</v>
      </c>
      <c r="N686" s="1585">
        <v>0.01</v>
      </c>
      <c r="O686" s="1585">
        <v>0.01</v>
      </c>
      <c r="R686" s="91" t="b">
        <f t="shared" si="87"/>
        <v>0</v>
      </c>
      <c r="S686" s="21" t="b">
        <f t="shared" si="88"/>
        <v>0</v>
      </c>
      <c r="T686" s="97" t="b">
        <f t="shared" si="92"/>
        <v>0</v>
      </c>
    </row>
    <row r="687" spans="2:20">
      <c r="B687" t="s">
        <v>3205</v>
      </c>
      <c r="C687" s="433">
        <v>175</v>
      </c>
      <c r="D687" t="str">
        <f>VLOOKUP($C687,param!$A$4:$B$266,2)</f>
        <v>Region 1 Special Program Success F&amp;S</v>
      </c>
      <c r="E687" s="448">
        <f>INDEX($K687:$O687,SUMIF(cbal!E$280:E$296,$B687,cbal!$D$280:$D$296)+1)</f>
        <v>0</v>
      </c>
      <c r="F687" s="448">
        <f>INDEX($K687:$O687,SUMIF(cbal!F$280:F$296,$B687,cbal!$D$280:$D$296)+1)</f>
        <v>0</v>
      </c>
      <c r="G687" s="448">
        <f>INDEX($K687:$O687,SUMIF(cbal!G$280:G$296,$B687,cbal!$D$280:$D$296)+1)</f>
        <v>0</v>
      </c>
      <c r="H687" s="448">
        <f>INDEX($K687:$O687,SUMIF(cbal!H$280:H$296,$B687,cbal!$D$280:$D$296)+1)</f>
        <v>0</v>
      </c>
      <c r="I687" s="448">
        <f>INDEX($K687:$O687,SUMIF(cbal!I$280:I$296,$B687,cbal!$D$280:$D$296)+1)</f>
        <v>0</v>
      </c>
      <c r="K687" s="1577">
        <v>0</v>
      </c>
      <c r="L687" s="1585">
        <v>0.01</v>
      </c>
      <c r="M687" s="1585">
        <v>0.01</v>
      </c>
      <c r="N687" s="1585">
        <v>0.01</v>
      </c>
      <c r="O687" s="1585">
        <v>0.01</v>
      </c>
      <c r="R687" s="91" t="b">
        <f t="shared" si="87"/>
        <v>0</v>
      </c>
      <c r="S687" s="21" t="b">
        <f t="shared" si="88"/>
        <v>0</v>
      </c>
      <c r="T687" s="97" t="b">
        <f t="shared" si="92"/>
        <v>0</v>
      </c>
    </row>
    <row r="688" spans="2:20">
      <c r="B688" t="s">
        <v>3205</v>
      </c>
      <c r="C688" s="433">
        <v>176</v>
      </c>
      <c r="D688" t="str">
        <f>VLOOKUP($C688,param!$A$4:$B$266,2)</f>
        <v>Region 2 Special Program Success CSD</v>
      </c>
      <c r="E688" s="448">
        <f>INDEX($K688:$O688,SUMIF(cbal!E$280:E$296,$B688,cbal!$D$280:$D$296)+1)</f>
        <v>0</v>
      </c>
      <c r="F688" s="448">
        <f>INDEX($K688:$O688,SUMIF(cbal!F$280:F$296,$B688,cbal!$D$280:$D$296)+1)</f>
        <v>0</v>
      </c>
      <c r="G688" s="448">
        <f>INDEX($K688:$O688,SUMIF(cbal!G$280:G$296,$B688,cbal!$D$280:$D$296)+1)</f>
        <v>0</v>
      </c>
      <c r="H688" s="448">
        <f>INDEX($K688:$O688,SUMIF(cbal!H$280:H$296,$B688,cbal!$D$280:$D$296)+1)</f>
        <v>0</v>
      </c>
      <c r="I688" s="448">
        <f>INDEX($K688:$O688,SUMIF(cbal!I$280:I$296,$B688,cbal!$D$280:$D$296)+1)</f>
        <v>0</v>
      </c>
      <c r="K688" s="1577">
        <v>0</v>
      </c>
      <c r="L688" s="1585">
        <v>0.01</v>
      </c>
      <c r="M688" s="1585">
        <v>0.01</v>
      </c>
      <c r="N688" s="1585">
        <v>0.01</v>
      </c>
      <c r="O688" s="1585">
        <v>0.01</v>
      </c>
      <c r="R688" s="91" t="b">
        <f t="shared" si="87"/>
        <v>0</v>
      </c>
      <c r="S688" s="21" t="b">
        <f t="shared" si="88"/>
        <v>0</v>
      </c>
      <c r="T688" s="97" t="b">
        <f t="shared" si="92"/>
        <v>0</v>
      </c>
    </row>
    <row r="689" spans="2:20">
      <c r="B689" t="s">
        <v>3205</v>
      </c>
      <c r="C689" s="433">
        <v>178</v>
      </c>
      <c r="D689" t="str">
        <f>VLOOKUP($C689,param!$A$4:$B$266,2)</f>
        <v>Region 2 Special Program Success NCB</v>
      </c>
      <c r="E689" s="448">
        <f>INDEX($K689:$O689,SUMIF(cbal!E$280:E$296,$B689,cbal!$D$280:$D$296)+1)</f>
        <v>0</v>
      </c>
      <c r="F689" s="448">
        <f>INDEX($K689:$O689,SUMIF(cbal!F$280:F$296,$B689,cbal!$D$280:$D$296)+1)</f>
        <v>0</v>
      </c>
      <c r="G689" s="448">
        <f>INDEX($K689:$O689,SUMIF(cbal!G$280:G$296,$B689,cbal!$D$280:$D$296)+1)</f>
        <v>0</v>
      </c>
      <c r="H689" s="448">
        <f>INDEX($K689:$O689,SUMIF(cbal!H$280:H$296,$B689,cbal!$D$280:$D$296)+1)</f>
        <v>0</v>
      </c>
      <c r="I689" s="448">
        <f>INDEX($K689:$O689,SUMIF(cbal!I$280:I$296,$B689,cbal!$D$280:$D$296)+1)</f>
        <v>0</v>
      </c>
      <c r="K689" s="1577">
        <v>0</v>
      </c>
      <c r="L689" s="1585">
        <v>0.01</v>
      </c>
      <c r="M689" s="1585">
        <v>0.01</v>
      </c>
      <c r="N689" s="1585">
        <v>0.01</v>
      </c>
      <c r="O689" s="1585">
        <v>0.01</v>
      </c>
      <c r="R689" s="91" t="b">
        <f t="shared" si="87"/>
        <v>0</v>
      </c>
      <c r="S689" s="21" t="b">
        <f t="shared" si="88"/>
        <v>0</v>
      </c>
      <c r="T689" s="97" t="b">
        <f t="shared" si="92"/>
        <v>0</v>
      </c>
    </row>
    <row r="690" spans="2:20">
      <c r="B690" t="s">
        <v>3205</v>
      </c>
      <c r="C690" s="433">
        <v>179</v>
      </c>
      <c r="D690" t="str">
        <f>VLOOKUP($C690,param!$A$4:$B$266,2)</f>
        <v>Region 2 Special Program Success F&amp;S</v>
      </c>
      <c r="E690" s="448">
        <f>INDEX($K690:$O690,SUMIF(cbal!E$280:E$296,$B690,cbal!$D$280:$D$296)+1)</f>
        <v>0</v>
      </c>
      <c r="F690" s="448">
        <f>INDEX($K690:$O690,SUMIF(cbal!F$280:F$296,$B690,cbal!$D$280:$D$296)+1)</f>
        <v>0</v>
      </c>
      <c r="G690" s="448">
        <f>INDEX($K690:$O690,SUMIF(cbal!G$280:G$296,$B690,cbal!$D$280:$D$296)+1)</f>
        <v>0</v>
      </c>
      <c r="H690" s="448">
        <f>INDEX($K690:$O690,SUMIF(cbal!H$280:H$296,$B690,cbal!$D$280:$D$296)+1)</f>
        <v>0</v>
      </c>
      <c r="I690" s="448">
        <f>INDEX($K690:$O690,SUMIF(cbal!I$280:I$296,$B690,cbal!$D$280:$D$296)+1)</f>
        <v>0</v>
      </c>
      <c r="K690" s="1577">
        <v>0</v>
      </c>
      <c r="L690" s="1585">
        <v>0.01</v>
      </c>
      <c r="M690" s="1585">
        <v>0.01</v>
      </c>
      <c r="N690" s="1585">
        <v>0.01</v>
      </c>
      <c r="O690" s="1585">
        <v>0.01</v>
      </c>
      <c r="R690" s="91" t="b">
        <f t="shared" si="87"/>
        <v>0</v>
      </c>
      <c r="S690" s="21" t="b">
        <f t="shared" si="88"/>
        <v>0</v>
      </c>
      <c r="T690" s="97" t="b">
        <f t="shared" si="92"/>
        <v>0</v>
      </c>
    </row>
    <row r="691" spans="2:20">
      <c r="B691" t="s">
        <v>3205</v>
      </c>
      <c r="C691" s="433">
        <v>179.5</v>
      </c>
      <c r="D691" t="str">
        <f>VLOOKUP($C691,param!$A$4:$B$266,2)</f>
        <v>Special Program Success Breakthrough</v>
      </c>
      <c r="E691" s="448">
        <f>INDEX($K691:$O691,SUMIF(cbal!E$280:E$296,$B691,cbal!$D$280:$D$296)+1)</f>
        <v>0</v>
      </c>
      <c r="F691" s="448">
        <f>INDEX($K691:$O691,SUMIF(cbal!F$280:F$296,$B691,cbal!$D$280:$D$296)+1)</f>
        <v>0</v>
      </c>
      <c r="G691" s="448">
        <f>INDEX($K691:$O691,SUMIF(cbal!G$280:G$296,$B691,cbal!$D$280:$D$296)+1)</f>
        <v>0</v>
      </c>
      <c r="H691" s="448">
        <f>INDEX($K691:$O691,SUMIF(cbal!H$280:H$296,$B691,cbal!$D$280:$D$296)+1)</f>
        <v>0</v>
      </c>
      <c r="I691" s="448">
        <f>INDEX($K691:$O691,SUMIF(cbal!I$280:I$296,$B691,cbal!$D$280:$D$296)+1)</f>
        <v>0</v>
      </c>
      <c r="K691" s="1577">
        <v>0</v>
      </c>
      <c r="L691" s="1585">
        <v>0.05</v>
      </c>
      <c r="M691" s="1585">
        <v>0.05</v>
      </c>
      <c r="N691" s="1585">
        <v>0.05</v>
      </c>
      <c r="O691" s="1585">
        <v>0.05</v>
      </c>
      <c r="R691" s="91" t="b">
        <f>IF(AND(C691&gt;166,C691&lt;171.5),L691)</f>
        <v>0</v>
      </c>
      <c r="S691" s="21" t="b">
        <f>IF(AND(C691&gt;166,C691&lt;171.5),M691)</f>
        <v>0</v>
      </c>
      <c r="T691" s="97" t="b">
        <f t="shared" si="92"/>
        <v>0</v>
      </c>
    </row>
    <row r="692" spans="2:20">
      <c r="B692" t="s">
        <v>3205</v>
      </c>
      <c r="C692" s="433">
        <v>167</v>
      </c>
      <c r="D692" s="33" t="str">
        <f>VLOOKUP($C692,param!$A$4:$B$266,2)</f>
        <v>Special Program Expense</v>
      </c>
      <c r="E692" s="183">
        <f>INDEX($K692:$O692,SUMIF(cbal!E$280:E$296,$B692,cbal!$D$280:$D$296)+1)</f>
        <v>0</v>
      </c>
      <c r="F692" s="183">
        <f>INDEX($K692:$O692,SUMIF(cbal!F$280:F$296,$B692,cbal!$D$280:$D$296)+1)</f>
        <v>0</v>
      </c>
      <c r="G692" s="183">
        <f>INDEX($K692:$O692,SUMIF(cbal!G$280:G$296,$B692,cbal!$D$280:$D$296)+1)</f>
        <v>0</v>
      </c>
      <c r="H692" s="183">
        <f>INDEX($K692:$O692,SUMIF(cbal!H$280:H$296,$B692,cbal!$D$280:$D$296)+1)</f>
        <v>0</v>
      </c>
      <c r="I692" s="183">
        <f>INDEX($K692:$O692,SUMIF(cbal!I$280:I$296,$B692,cbal!$D$280:$D$296)+1)</f>
        <v>0</v>
      </c>
      <c r="K692" s="1577">
        <v>0</v>
      </c>
      <c r="L692" s="1580">
        <v>1200000</v>
      </c>
      <c r="M692" s="1585"/>
      <c r="N692" s="1585"/>
      <c r="O692" s="1585"/>
      <c r="R692" s="91">
        <f>IF(AND(C692&gt;166,C692&lt;171.5),L692)</f>
        <v>1200000</v>
      </c>
      <c r="S692" s="21">
        <f>IF(AND(C692&gt;166,C692&lt;171.5),M692)</f>
        <v>0</v>
      </c>
      <c r="T692" s="97" t="b">
        <f t="shared" si="92"/>
        <v>0</v>
      </c>
    </row>
    <row r="693" spans="2:20">
      <c r="B693" t="str">
        <f>B692</f>
        <v>IN3</v>
      </c>
      <c r="C693" s="433">
        <v>133.5</v>
      </c>
      <c r="D693" t="str">
        <f>VLOOKUP($C693,param!$A$4:$B$266,2)</f>
        <v>MTU Initiatives Allocation</v>
      </c>
      <c r="E693" s="183">
        <f>INDEX($K693:$O693,SUMIF(cbal!E$280:E$296,$B693,cbal!$D$280:$D$296)+1)</f>
        <v>0</v>
      </c>
      <c r="F693" s="183">
        <f>INDEX($K693:$O693,SUMIF(cbal!F$280:F$296,$B693,cbal!$D$280:$D$296)+1)</f>
        <v>0</v>
      </c>
      <c r="G693" s="183">
        <f>INDEX($K693:$O693,SUMIF(cbal!G$280:G$296,$B693,cbal!$D$280:$D$296)+1)</f>
        <v>0</v>
      </c>
      <c r="H693" s="183">
        <f>INDEX($K693:$O693,SUMIF(cbal!H$280:H$296,$B693,cbal!$D$280:$D$296)+1)</f>
        <v>0</v>
      </c>
      <c r="I693" s="183">
        <f>INDEX($K693:$O693,SUMIF(cbal!I$280:I$296,$B693,cbal!$D$280:$D$296)+1)</f>
        <v>0</v>
      </c>
      <c r="K693" s="1577">
        <v>0</v>
      </c>
      <c r="L693" s="1587">
        <v>10</v>
      </c>
      <c r="M693" s="1585"/>
      <c r="N693" s="1585"/>
      <c r="O693" s="1585"/>
      <c r="R693" s="91" t="b">
        <f>IF(AND(C693&gt;166,C693&lt;171.5),L693)</f>
        <v>0</v>
      </c>
      <c r="S693" s="21" t="b">
        <f>IF(AND(C693&gt;166,C693&lt;171.5),M693)</f>
        <v>0</v>
      </c>
      <c r="T693" s="97">
        <f t="shared" si="92"/>
        <v>10</v>
      </c>
    </row>
    <row r="694" spans="2:20">
      <c r="B694" t="str">
        <f>B693</f>
        <v>IN3</v>
      </c>
      <c r="C694" s="433">
        <v>204</v>
      </c>
      <c r="D694" t="str">
        <f>VLOOKUP($C694,param!$A$4:$B$266,2)</f>
        <v>Innovation Strategy</v>
      </c>
      <c r="E694" s="183">
        <f>INDEX($K694:$O694,SUMIF(cbal!E$280:E$296,$B694,cbal!$D$280:$D$296)+1)</f>
        <v>0</v>
      </c>
      <c r="F694" s="183">
        <f>INDEX($K694:$O694,SUMIF(cbal!F$280:F$296,$B694,cbal!$D$280:$D$296)+1)</f>
        <v>0</v>
      </c>
      <c r="G694" s="183">
        <f>INDEX($K694:$O694,SUMIF(cbal!G$280:G$296,$B694,cbal!$D$280:$D$296)+1)</f>
        <v>0</v>
      </c>
      <c r="H694" s="183">
        <f>INDEX($K694:$O694,SUMIF(cbal!H$280:H$296,$B694,cbal!$D$280:$D$296)+1)</f>
        <v>0</v>
      </c>
      <c r="I694" s="183">
        <f>INDEX($K694:$O694,SUMIF(cbal!I$280:I$296,$B694,cbal!$D$280:$D$296)+1)</f>
        <v>0</v>
      </c>
      <c r="K694" s="1577">
        <v>0</v>
      </c>
      <c r="L694" s="1580">
        <f>L693</f>
        <v>10</v>
      </c>
      <c r="M694" s="1580">
        <f>L694</f>
        <v>10</v>
      </c>
      <c r="N694" s="1580">
        <f>M694</f>
        <v>10</v>
      </c>
      <c r="O694" s="1580">
        <f>N694</f>
        <v>10</v>
      </c>
      <c r="R694" s="91" t="b">
        <f>IF(AND(C694&gt;166,C694&lt;171.5),L694)</f>
        <v>0</v>
      </c>
      <c r="S694" s="21" t="b">
        <f>IF(AND(C694&gt;166,C694&lt;171.5),M694)</f>
        <v>0</v>
      </c>
      <c r="T694" s="97" t="b">
        <f t="shared" si="92"/>
        <v>0</v>
      </c>
    </row>
    <row r="695" spans="2:20">
      <c r="B695">
        <v>0</v>
      </c>
      <c r="C695" s="433">
        <v>0</v>
      </c>
      <c r="D695" s="33"/>
      <c r="E695" s="183"/>
      <c r="F695" s="183"/>
      <c r="G695" s="183"/>
      <c r="H695" s="183"/>
      <c r="I695" s="183"/>
      <c r="K695" s="1577"/>
      <c r="L695" s="1580"/>
      <c r="M695" s="1581"/>
      <c r="N695" s="1581"/>
      <c r="O695" s="1581"/>
      <c r="R695" s="91">
        <v>0</v>
      </c>
      <c r="S695" s="21">
        <v>0</v>
      </c>
      <c r="T695" s="97">
        <v>0</v>
      </c>
    </row>
    <row r="696" spans="2:20">
      <c r="B696" t="s">
        <v>3206</v>
      </c>
      <c r="C696" t="str">
        <f>VLOOKUP(B696,DataInitiativesGrid,2,0)</f>
        <v>Nutrition Start-up Partnerships</v>
      </c>
      <c r="E696" s="183"/>
      <c r="F696" s="183"/>
      <c r="G696" s="183"/>
      <c r="H696" s="183"/>
      <c r="I696" s="183"/>
      <c r="K696" s="1577"/>
      <c r="L696" s="1581"/>
      <c r="M696" s="1581"/>
      <c r="N696" s="1581"/>
      <c r="O696" s="1581"/>
      <c r="R696" s="91">
        <v>0</v>
      </c>
      <c r="S696" s="21">
        <v>0</v>
      </c>
      <c r="T696" s="97">
        <v>0</v>
      </c>
    </row>
    <row r="697" spans="2:20">
      <c r="B697" t="s">
        <v>3206</v>
      </c>
      <c r="C697" s="433">
        <v>164.1</v>
      </c>
      <c r="D697" t="str">
        <f>VLOOKUP($C697,param!$A$4:$B$266,2)</f>
        <v>R&amp;D Time-To-Market Coefficient</v>
      </c>
      <c r="E697" s="183">
        <f>INDEX($K697:$O697,SUMIF(cbal!E$280:E$296,$B697,cbal!$D$280:$D$296)+1)</f>
        <v>0</v>
      </c>
      <c r="F697" s="183">
        <f>INDEX($K697:$O697,SUMIF(cbal!F$280:F$296,$B697,cbal!$D$280:$D$296)+1)</f>
        <v>0</v>
      </c>
      <c r="G697" s="183">
        <f>INDEX($K697:$O697,SUMIF(cbal!G$280:G$296,$B697,cbal!$D$280:$D$296)+1)</f>
        <v>0</v>
      </c>
      <c r="H697" s="183">
        <f>INDEX($K697:$O697,SUMIF(cbal!H$280:H$296,$B697,cbal!$D$280:$D$296)+1)</f>
        <v>0</v>
      </c>
      <c r="I697" s="183">
        <f>INDEX($K697:$O697,SUMIF(cbal!I$280:I$296,$B697,cbal!$D$280:$D$296)+1)</f>
        <v>0</v>
      </c>
      <c r="K697" s="1577"/>
      <c r="L697" s="1585">
        <v>-0.02</v>
      </c>
      <c r="M697" s="1585">
        <v>-0.02</v>
      </c>
      <c r="N697" s="1585">
        <v>-0.02</v>
      </c>
      <c r="O697" s="1585">
        <v>-0.02</v>
      </c>
      <c r="R697" s="91" t="b">
        <f t="shared" si="87"/>
        <v>0</v>
      </c>
      <c r="S697" s="21" t="b">
        <f t="shared" si="88"/>
        <v>0</v>
      </c>
      <c r="T697" s="97" t="b">
        <f t="shared" si="92"/>
        <v>0</v>
      </c>
    </row>
    <row r="698" spans="2:20">
      <c r="B698" t="s">
        <v>3206</v>
      </c>
      <c r="C698" s="433">
        <v>179.5</v>
      </c>
      <c r="D698" t="str">
        <f>VLOOKUP($C698,param!$A$4:$B$266,2)</f>
        <v>Special Program Success Breakthrough</v>
      </c>
      <c r="E698" s="183">
        <f>INDEX($K698:$O698,SUMIF(cbal!E$280:E$296,$B698,cbal!$D$280:$D$296)+1)</f>
        <v>0</v>
      </c>
      <c r="F698" s="183">
        <f>INDEX($K698:$O698,SUMIF(cbal!F$280:F$296,$B698,cbal!$D$280:$D$296)+1)</f>
        <v>0</v>
      </c>
      <c r="G698" s="183">
        <f>INDEX($K698:$O698,SUMIF(cbal!G$280:G$296,$B698,cbal!$D$280:$D$296)+1)</f>
        <v>0</v>
      </c>
      <c r="H698" s="183">
        <f>INDEX($K698:$O698,SUMIF(cbal!H$280:H$296,$B698,cbal!$D$280:$D$296)+1)</f>
        <v>0</v>
      </c>
      <c r="I698" s="183">
        <f>INDEX($K698:$O698,SUMIF(cbal!I$280:I$296,$B698,cbal!$D$280:$D$296)+1)</f>
        <v>0</v>
      </c>
      <c r="K698" s="1577"/>
      <c r="L698" s="1585">
        <v>0.02</v>
      </c>
      <c r="M698" s="1585">
        <v>0.02</v>
      </c>
      <c r="N698" s="1585">
        <v>0.02</v>
      </c>
      <c r="O698" s="1585">
        <v>0.02</v>
      </c>
      <c r="R698" s="91" t="b">
        <f t="shared" si="87"/>
        <v>0</v>
      </c>
      <c r="S698" s="21" t="b">
        <f t="shared" si="88"/>
        <v>0</v>
      </c>
      <c r="T698" s="97" t="b">
        <f t="shared" si="92"/>
        <v>0</v>
      </c>
    </row>
    <row r="699" spans="2:20">
      <c r="B699" t="s">
        <v>3206</v>
      </c>
      <c r="C699" s="433">
        <v>193</v>
      </c>
      <c r="D699" t="str">
        <f>VLOOKUP($C699,param!$A$4:$B$266,2)</f>
        <v>Healthy Product Innovation</v>
      </c>
      <c r="E699" s="183">
        <f>INDEX($K699:$O699,SUMIF(cbal!E$280:E$296,$B699,cbal!$D$280:$D$296)+1)</f>
        <v>0</v>
      </c>
      <c r="F699" s="183">
        <f>INDEX($K699:$O699,SUMIF(cbal!F$280:F$296,$B699,cbal!$D$280:$D$296)+1)</f>
        <v>0</v>
      </c>
      <c r="G699" s="183">
        <f>INDEX($K699:$O699,SUMIF(cbal!G$280:G$296,$B699,cbal!$D$280:$D$296)+1)</f>
        <v>0</v>
      </c>
      <c r="H699" s="183">
        <f>INDEX($K699:$O699,SUMIF(cbal!H$280:H$296,$B699,cbal!$D$280:$D$296)+1)</f>
        <v>0</v>
      </c>
      <c r="I699" s="183">
        <f>INDEX($K699:$O699,SUMIF(cbal!I$280:I$296,$B699,cbal!$D$280:$D$296)+1)</f>
        <v>0</v>
      </c>
      <c r="K699" s="1577"/>
      <c r="L699" s="1585">
        <v>0.02</v>
      </c>
      <c r="M699" s="1585">
        <v>0.02</v>
      </c>
      <c r="N699" s="1585">
        <v>0.02</v>
      </c>
      <c r="O699" s="1585">
        <v>0.02</v>
      </c>
      <c r="R699" s="91" t="b">
        <f t="shared" si="87"/>
        <v>0</v>
      </c>
      <c r="S699" s="21" t="b">
        <f t="shared" si="88"/>
        <v>0</v>
      </c>
      <c r="T699" s="97" t="b">
        <f t="shared" si="92"/>
        <v>0</v>
      </c>
    </row>
    <row r="700" spans="2:20">
      <c r="B700" t="s">
        <v>3206</v>
      </c>
      <c r="C700" s="433">
        <v>197</v>
      </c>
      <c r="D700" t="str">
        <f>VLOOKUP($C700,param!$A$4:$B$266,2)</f>
        <v>Company Culture</v>
      </c>
      <c r="E700" s="183">
        <f>INDEX($K700:$O700,SUMIF(cbal!E$280:E$296,$B700,cbal!$D$280:$D$296)+1)</f>
        <v>0</v>
      </c>
      <c r="F700" s="183">
        <f>INDEX($K700:$O700,SUMIF(cbal!F$280:F$296,$B700,cbal!$D$280:$D$296)+1)</f>
        <v>0</v>
      </c>
      <c r="G700" s="183">
        <f>INDEX($K700:$O700,SUMIF(cbal!G$280:G$296,$B700,cbal!$D$280:$D$296)+1)</f>
        <v>0</v>
      </c>
      <c r="H700" s="183">
        <f>INDEX($K700:$O700,SUMIF(cbal!H$280:H$296,$B700,cbal!$D$280:$D$296)+1)</f>
        <v>0</v>
      </c>
      <c r="I700" s="183">
        <f>INDEX($K700:$O700,SUMIF(cbal!I$280:I$296,$B700,cbal!$D$280:$D$296)+1)</f>
        <v>0</v>
      </c>
      <c r="K700" s="1577"/>
      <c r="L700" s="1585">
        <v>0.02</v>
      </c>
      <c r="M700" s="1585">
        <v>0.02</v>
      </c>
      <c r="N700" s="1585">
        <v>0.02</v>
      </c>
      <c r="O700" s="1585">
        <v>0.02</v>
      </c>
      <c r="R700" s="91" t="b">
        <f t="shared" si="87"/>
        <v>0</v>
      </c>
      <c r="S700" s="21" t="b">
        <f t="shared" si="88"/>
        <v>0</v>
      </c>
      <c r="T700" s="97" t="b">
        <f t="shared" si="92"/>
        <v>0</v>
      </c>
    </row>
    <row r="701" spans="2:20">
      <c r="B701" s="33" t="s">
        <v>3206</v>
      </c>
      <c r="C701" s="433">
        <v>26</v>
      </c>
      <c r="D701" t="str">
        <f>VLOOKUP($C701,param!$A$4:$B$266,2)</f>
        <v>Breakthrough Prod 1 Material Cost Per Unit</v>
      </c>
      <c r="E701" s="448">
        <f>INDEX($K701:$O701,SUMIF(cbal!E$280:E$296,$B701,cbal!$D$280:$D$296)+1)</f>
        <v>0</v>
      </c>
      <c r="F701" s="448">
        <f>INDEX($K701:$O701,SUMIF(cbal!F$280:F$296,$B701,cbal!$D$280:$D$296)+1)</f>
        <v>0</v>
      </c>
      <c r="G701" s="448">
        <f>INDEX($K701:$O701,SUMIF(cbal!G$280:G$296,$B701,cbal!$D$280:$D$296)+1)</f>
        <v>0</v>
      </c>
      <c r="H701" s="448">
        <f>INDEX($K701:$O701,SUMIF(cbal!H$280:H$296,$B701,cbal!$D$280:$D$296)+1)</f>
        <v>0</v>
      </c>
      <c r="I701" s="448">
        <f>INDEX($K701:$O701,SUMIF(cbal!I$280:I$296,$B701,cbal!$D$280:$D$296)+1)</f>
        <v>0</v>
      </c>
      <c r="K701" s="1577">
        <v>0</v>
      </c>
      <c r="L701" s="1584">
        <v>-5.0000000000000001E-3</v>
      </c>
      <c r="M701" s="1584">
        <v>-5.0000000000000001E-3</v>
      </c>
      <c r="N701" s="1584">
        <v>-5.0000000000000001E-3</v>
      </c>
      <c r="O701" s="1584">
        <v>-5.0000000000000001E-3</v>
      </c>
      <c r="R701" s="91" t="b">
        <f t="shared" si="87"/>
        <v>0</v>
      </c>
      <c r="S701" s="21" t="b">
        <f t="shared" si="88"/>
        <v>0</v>
      </c>
      <c r="T701" s="97" t="b">
        <f t="shared" ref="T701:T704" si="94">IF(C701=133.5,L701)</f>
        <v>0</v>
      </c>
    </row>
    <row r="702" spans="2:20">
      <c r="B702" s="33" t="s">
        <v>3206</v>
      </c>
      <c r="C702" s="433">
        <v>26.5</v>
      </c>
      <c r="D702" t="str">
        <f>VLOOKUP($C702,param!$A$4:$B$266,2)</f>
        <v>Breakthrough Prod 2 Material Cost Per Unit</v>
      </c>
      <c r="E702" s="448">
        <f>INDEX($K702:$O702,SUMIF(cbal!E$280:E$296,$B702,cbal!$D$280:$D$296)+1)</f>
        <v>0</v>
      </c>
      <c r="F702" s="448">
        <f>INDEX($K702:$O702,SUMIF(cbal!F$280:F$296,$B702,cbal!$D$280:$D$296)+1)</f>
        <v>0</v>
      </c>
      <c r="G702" s="448">
        <f>INDEX($K702:$O702,SUMIF(cbal!G$280:G$296,$B702,cbal!$D$280:$D$296)+1)</f>
        <v>0</v>
      </c>
      <c r="H702" s="448">
        <f>INDEX($K702:$O702,SUMIF(cbal!H$280:H$296,$B702,cbal!$D$280:$D$296)+1)</f>
        <v>0</v>
      </c>
      <c r="I702" s="448">
        <f>INDEX($K702:$O702,SUMIF(cbal!I$280:I$296,$B702,cbal!$D$280:$D$296)+1)</f>
        <v>0</v>
      </c>
      <c r="K702" s="1577">
        <v>0</v>
      </c>
      <c r="L702" s="1584">
        <v>-5.0000000000000001E-3</v>
      </c>
      <c r="M702" s="1584">
        <v>-5.0000000000000001E-3</v>
      </c>
      <c r="N702" s="1584">
        <v>-5.0000000000000001E-3</v>
      </c>
      <c r="O702" s="1584">
        <v>-5.0000000000000001E-3</v>
      </c>
      <c r="R702" s="91" t="b">
        <f t="shared" ref="R702:R724" si="95">IF(AND(C702&gt;166,C702&lt;171.5),L702)</f>
        <v>0</v>
      </c>
      <c r="S702" s="21" t="b">
        <f t="shared" ref="S702:S724" si="96">IF(AND(C702&gt;166,C702&lt;171.5),M702)</f>
        <v>0</v>
      </c>
      <c r="T702" s="97" t="b">
        <f t="shared" si="94"/>
        <v>0</v>
      </c>
    </row>
    <row r="703" spans="2:20">
      <c r="B703" s="33" t="s">
        <v>3206</v>
      </c>
      <c r="C703" s="433">
        <v>167</v>
      </c>
      <c r="D703" s="33" t="str">
        <f>VLOOKUP($C703,param!$A$4:$B$266,2)</f>
        <v>Special Program Expense</v>
      </c>
      <c r="E703" s="183">
        <f>INDEX($K703:$O703,SUMIF(cbal!E$280:E$296,$B703,cbal!$D$280:$D$296)+1)</f>
        <v>0</v>
      </c>
      <c r="F703" s="183">
        <f>INDEX($K703:$O703,SUMIF(cbal!F$280:F$296,$B703,cbal!$D$280:$D$296)+1)</f>
        <v>0</v>
      </c>
      <c r="G703" s="183">
        <f>INDEX($K703:$O703,SUMIF(cbal!G$280:G$296,$B703,cbal!$D$280:$D$296)+1)</f>
        <v>0</v>
      </c>
      <c r="H703" s="183">
        <f>INDEX($K703:$O703,SUMIF(cbal!H$280:H$296,$B703,cbal!$D$280:$D$296)+1)</f>
        <v>0</v>
      </c>
      <c r="I703" s="183">
        <f>INDEX($K703:$O703,SUMIF(cbal!I$280:I$296,$B703,cbal!$D$280:$D$296)+1)</f>
        <v>0</v>
      </c>
      <c r="K703" s="1577">
        <v>0</v>
      </c>
      <c r="L703" s="1587">
        <v>2000000</v>
      </c>
      <c r="M703" s="1587">
        <v>2000000</v>
      </c>
      <c r="N703" s="1587">
        <v>2000000</v>
      </c>
      <c r="O703" s="1587">
        <v>2000000</v>
      </c>
      <c r="R703" s="91">
        <f t="shared" si="95"/>
        <v>2000000</v>
      </c>
      <c r="S703" s="21">
        <f t="shared" si="96"/>
        <v>2000000</v>
      </c>
      <c r="T703" s="97" t="b">
        <f t="shared" si="94"/>
        <v>0</v>
      </c>
    </row>
    <row r="704" spans="2:20">
      <c r="B704" s="33" t="s">
        <v>3206</v>
      </c>
      <c r="C704" s="433">
        <v>133.5</v>
      </c>
      <c r="D704" t="str">
        <f>VLOOKUP($C704,param!$A$4:$B$266,2)</f>
        <v>MTU Initiatives Allocation</v>
      </c>
      <c r="E704" s="183">
        <f>INDEX($K704:$O704,SUMIF(cbal!E$280:E$296,$B704,cbal!$D$280:$D$296)+1)</f>
        <v>0</v>
      </c>
      <c r="F704" s="183">
        <f>INDEX($K704:$O704,SUMIF(cbal!F$280:F$296,$B704,cbal!$D$280:$D$296)+1)</f>
        <v>0</v>
      </c>
      <c r="G704" s="183">
        <f>INDEX($K704:$O704,SUMIF(cbal!G$280:G$296,$B704,cbal!$D$280:$D$296)+1)</f>
        <v>0</v>
      </c>
      <c r="H704" s="183">
        <f>INDEX($K704:$O704,SUMIF(cbal!H$280:H$296,$B704,cbal!$D$280:$D$296)+1)</f>
        <v>0</v>
      </c>
      <c r="I704" s="183">
        <f>INDEX($K704:$O704,SUMIF(cbal!I$280:I$296,$B704,cbal!$D$280:$D$296)+1)</f>
        <v>0</v>
      </c>
      <c r="K704" s="1577">
        <v>0</v>
      </c>
      <c r="L704" s="1587">
        <v>10</v>
      </c>
      <c r="M704" s="1585"/>
      <c r="N704" s="1585"/>
      <c r="O704" s="1585"/>
      <c r="R704" s="91" t="b">
        <f t="shared" si="95"/>
        <v>0</v>
      </c>
      <c r="S704" s="21" t="b">
        <f t="shared" si="96"/>
        <v>0</v>
      </c>
      <c r="T704" s="97">
        <f t="shared" si="94"/>
        <v>10</v>
      </c>
    </row>
    <row r="705" spans="2:20">
      <c r="B705" s="33" t="s">
        <v>3206</v>
      </c>
      <c r="C705" s="433">
        <v>204</v>
      </c>
      <c r="D705" t="str">
        <f>VLOOKUP($C705,param!$A$4:$B$266,2)</f>
        <v>Innovation Strategy</v>
      </c>
      <c r="E705" s="183">
        <f>INDEX($K705:$O705,SUMIF(cbal!E$280:E$296,$B705,cbal!$D$280:$D$296)+1)</f>
        <v>0</v>
      </c>
      <c r="F705" s="183">
        <f>INDEX($K705:$O705,SUMIF(cbal!F$280:F$296,$B705,cbal!$D$280:$D$296)+1)</f>
        <v>0</v>
      </c>
      <c r="G705" s="183">
        <f>INDEX($K705:$O705,SUMIF(cbal!G$280:G$296,$B705,cbal!$D$280:$D$296)+1)</f>
        <v>0</v>
      </c>
      <c r="H705" s="183">
        <f>INDEX($K705:$O705,SUMIF(cbal!H$280:H$296,$B705,cbal!$D$280:$D$296)+1)</f>
        <v>0</v>
      </c>
      <c r="I705" s="183">
        <f>INDEX($K705:$O705,SUMIF(cbal!I$280:I$296,$B705,cbal!$D$280:$D$296)+1)</f>
        <v>0</v>
      </c>
      <c r="K705" s="1577">
        <v>0</v>
      </c>
      <c r="L705" s="1580">
        <v>10</v>
      </c>
      <c r="M705" s="1582">
        <f t="shared" ref="M705:O705" si="97">L705</f>
        <v>10</v>
      </c>
      <c r="N705" s="1582">
        <f t="shared" si="97"/>
        <v>10</v>
      </c>
      <c r="O705" s="1582">
        <f t="shared" si="97"/>
        <v>10</v>
      </c>
      <c r="R705" s="91" t="b">
        <f>IF(AND(C705&gt;166,C705&lt;171.5),L705)</f>
        <v>0</v>
      </c>
      <c r="S705" s="21" t="b">
        <f>IF(AND(C705&gt;166,C705&lt;171.5),M705)</f>
        <v>0</v>
      </c>
      <c r="T705" s="97" t="b">
        <f t="shared" ref="T705:T724" si="98">IF(C705=133.5,L705)</f>
        <v>0</v>
      </c>
    </row>
    <row r="706" spans="2:20">
      <c r="B706">
        <v>0</v>
      </c>
      <c r="C706" s="433">
        <v>0</v>
      </c>
      <c r="E706" s="448"/>
      <c r="F706" s="448"/>
      <c r="G706" s="448"/>
      <c r="H706" s="448"/>
      <c r="I706" s="448"/>
      <c r="K706" s="1577"/>
      <c r="L706" s="1584"/>
      <c r="M706" s="1584"/>
      <c r="N706" s="1584"/>
      <c r="O706" s="1584"/>
      <c r="R706" s="91">
        <v>0</v>
      </c>
      <c r="S706" s="21">
        <v>0</v>
      </c>
      <c r="T706" s="97">
        <v>0</v>
      </c>
    </row>
    <row r="707" spans="2:20">
      <c r="B707" t="s">
        <v>4044</v>
      </c>
      <c r="C707" t="str">
        <f>VLOOKUP(B707,DataInitiativesGrid,2,0)</f>
        <v>Strategic Sourcing Program</v>
      </c>
      <c r="E707" s="183"/>
      <c r="F707" s="183"/>
      <c r="G707" s="183"/>
      <c r="H707" s="183"/>
      <c r="I707" s="183"/>
      <c r="K707" s="1577"/>
      <c r="L707" s="1580"/>
      <c r="M707" s="1585"/>
      <c r="N707" s="1585"/>
      <c r="O707" s="1585"/>
      <c r="R707" s="91">
        <v>0</v>
      </c>
      <c r="S707" s="21">
        <v>0</v>
      </c>
      <c r="T707" s="97">
        <v>0</v>
      </c>
    </row>
    <row r="708" spans="2:20">
      <c r="B708" t="s">
        <v>4044</v>
      </c>
      <c r="C708" s="433">
        <v>7</v>
      </c>
      <c r="D708" t="str">
        <f>VLOOKUP($C708,param!$A$4:$B$266,2)</f>
        <v>CSD Material Cost Per Unit</v>
      </c>
      <c r="E708" s="448">
        <f>INDEX($K708:$O708,SUMIF(cbal!E$280:E$296,$B708,cbal!$D$280:$D$296)+1)</f>
        <v>0</v>
      </c>
      <c r="F708" s="448">
        <f>INDEX($K708:$O708,SUMIF(cbal!F$280:F$296,$B708,cbal!$D$280:$D$296)+1)</f>
        <v>0</v>
      </c>
      <c r="G708" s="448">
        <f>INDEX($K708:$O708,SUMIF(cbal!G$280:G$296,$B708,cbal!$D$280:$D$296)+1)</f>
        <v>0</v>
      </c>
      <c r="H708" s="448">
        <f>INDEX($K708:$O708,SUMIF(cbal!H$280:H$296,$B708,cbal!$D$280:$D$296)+1)</f>
        <v>0</v>
      </c>
      <c r="I708" s="448">
        <f>INDEX($K708:$O708,SUMIF(cbal!I$280:I$296,$B708,cbal!$D$280:$D$296)+1)</f>
        <v>0</v>
      </c>
      <c r="K708" s="1577">
        <v>0</v>
      </c>
      <c r="L708" s="1585">
        <v>-0.05</v>
      </c>
      <c r="M708" s="1585">
        <v>-0.05</v>
      </c>
      <c r="N708" s="1585">
        <v>-0.05</v>
      </c>
      <c r="O708" s="1585">
        <v>-0.05</v>
      </c>
      <c r="R708" s="91" t="b">
        <f t="shared" si="95"/>
        <v>0</v>
      </c>
      <c r="S708" s="21" t="b">
        <f t="shared" si="96"/>
        <v>0</v>
      </c>
      <c r="T708" s="97" t="b">
        <f t="shared" si="98"/>
        <v>0</v>
      </c>
    </row>
    <row r="709" spans="2:20">
      <c r="B709" t="s">
        <v>4044</v>
      </c>
      <c r="C709" s="433">
        <v>45</v>
      </c>
      <c r="D709" t="str">
        <f>VLOOKUP($C709,param!$A$4:$B$266,2)</f>
        <v>NCB Material Cost Per Unit</v>
      </c>
      <c r="E709" s="448">
        <f>INDEX($K709:$O709,SUMIF(cbal!E$280:E$296,$B709,cbal!$D$280:$D$296)+1)</f>
        <v>0</v>
      </c>
      <c r="F709" s="448">
        <f>INDEX($K709:$O709,SUMIF(cbal!F$280:F$296,$B709,cbal!$D$280:$D$296)+1)</f>
        <v>0</v>
      </c>
      <c r="G709" s="448">
        <f>INDEX($K709:$O709,SUMIF(cbal!G$280:G$296,$B709,cbal!$D$280:$D$296)+1)</f>
        <v>0</v>
      </c>
      <c r="H709" s="448">
        <f>INDEX($K709:$O709,SUMIF(cbal!H$280:H$296,$B709,cbal!$D$280:$D$296)+1)</f>
        <v>0</v>
      </c>
      <c r="I709" s="448">
        <f>INDEX($K709:$O709,SUMIF(cbal!I$280:I$296,$B709,cbal!$D$280:$D$296)+1)</f>
        <v>0</v>
      </c>
      <c r="K709" s="1577">
        <v>0</v>
      </c>
      <c r="L709" s="1585">
        <v>-0.05</v>
      </c>
      <c r="M709" s="1585">
        <v>-0.05</v>
      </c>
      <c r="N709" s="1585">
        <v>-0.05</v>
      </c>
      <c r="O709" s="1585">
        <v>-0.05</v>
      </c>
      <c r="R709" s="91" t="b">
        <f t="shared" si="95"/>
        <v>0</v>
      </c>
      <c r="S709" s="21" t="b">
        <f t="shared" si="96"/>
        <v>0</v>
      </c>
      <c r="T709" s="97" t="b">
        <f t="shared" si="98"/>
        <v>0</v>
      </c>
    </row>
    <row r="710" spans="2:20">
      <c r="B710" t="s">
        <v>4044</v>
      </c>
      <c r="C710" s="433">
        <v>64</v>
      </c>
      <c r="D710" t="str">
        <f>VLOOKUP($C710,param!$A$4:$B$266,2)</f>
        <v>F&amp;S Material Cost Per Unit</v>
      </c>
      <c r="E710" s="448">
        <f>INDEX($K710:$O710,SUMIF(cbal!E$280:E$296,$B710,cbal!$D$280:$D$296)+1)</f>
        <v>0</v>
      </c>
      <c r="F710" s="448">
        <f>INDEX($K710:$O710,SUMIF(cbal!F$280:F$296,$B710,cbal!$D$280:$D$296)+1)</f>
        <v>0</v>
      </c>
      <c r="G710" s="448">
        <f>INDEX($K710:$O710,SUMIF(cbal!G$280:G$296,$B710,cbal!$D$280:$D$296)+1)</f>
        <v>0</v>
      </c>
      <c r="H710" s="448">
        <f>INDEX($K710:$O710,SUMIF(cbal!H$280:H$296,$B710,cbal!$D$280:$D$296)+1)</f>
        <v>0</v>
      </c>
      <c r="I710" s="448">
        <f>INDEX($K710:$O710,SUMIF(cbal!I$280:I$296,$B710,cbal!$D$280:$D$296)+1)</f>
        <v>0</v>
      </c>
      <c r="K710" s="1577">
        <v>0</v>
      </c>
      <c r="L710" s="1585">
        <v>-0.05</v>
      </c>
      <c r="M710" s="1585">
        <v>-0.05</v>
      </c>
      <c r="N710" s="1585">
        <v>-0.05</v>
      </c>
      <c r="O710" s="1585">
        <v>-0.05</v>
      </c>
      <c r="R710" s="91" t="b">
        <f t="shared" si="95"/>
        <v>0</v>
      </c>
      <c r="S710" s="21" t="b">
        <f t="shared" si="96"/>
        <v>0</v>
      </c>
      <c r="T710" s="97" t="b">
        <f t="shared" si="98"/>
        <v>0</v>
      </c>
    </row>
    <row r="711" spans="2:20">
      <c r="B711" t="s">
        <v>4044</v>
      </c>
      <c r="C711" s="433">
        <v>157</v>
      </c>
      <c r="D711" t="str">
        <f>VLOOKUP($C711,param!$A$4:$B$266,2)</f>
        <v>Payables Days</v>
      </c>
      <c r="E711" s="448">
        <f>INDEX($K711:$O711,SUMIF(cbal!E$280:E$296,$B711,cbal!$D$280:$D$296)+1)</f>
        <v>0</v>
      </c>
      <c r="F711" s="448">
        <f>INDEX($K711:$O711,SUMIF(cbal!F$280:F$296,$B711,cbal!$D$280:$D$296)+1)</f>
        <v>0</v>
      </c>
      <c r="G711" s="448">
        <f>INDEX($K711:$O711,SUMIF(cbal!G$280:G$296,$B711,cbal!$D$280:$D$296)+1)</f>
        <v>0</v>
      </c>
      <c r="H711" s="448">
        <f>INDEX($K711:$O711,SUMIF(cbal!H$280:H$296,$B711,cbal!$D$280:$D$296)+1)</f>
        <v>0</v>
      </c>
      <c r="I711" s="448">
        <f>INDEX($K711:$O711,SUMIF(cbal!I$280:I$296,$B711,cbal!$D$280:$D$296)+1)</f>
        <v>0</v>
      </c>
      <c r="K711" s="1577">
        <v>0</v>
      </c>
      <c r="L711" s="1585">
        <v>-0.15</v>
      </c>
      <c r="M711" s="1585">
        <v>-0.15</v>
      </c>
      <c r="N711" s="1585">
        <v>-0.15</v>
      </c>
      <c r="O711" s="1585">
        <v>-0.15</v>
      </c>
      <c r="R711" s="91" t="b">
        <f t="shared" si="95"/>
        <v>0</v>
      </c>
      <c r="S711" s="21" t="b">
        <f t="shared" si="96"/>
        <v>0</v>
      </c>
      <c r="T711" s="97" t="b">
        <f t="shared" si="98"/>
        <v>0</v>
      </c>
    </row>
    <row r="712" spans="2:20">
      <c r="B712" t="s">
        <v>4044</v>
      </c>
      <c r="C712" s="433">
        <v>167</v>
      </c>
      <c r="D712" t="str">
        <f>VLOOKUP($C712,param!$A$4:$B$266,2)</f>
        <v>Special Program Expense</v>
      </c>
      <c r="E712" s="183">
        <f>INDEX($K712:$O712,SUMIF(cbal!E$280:E$296,$B712,cbal!$D$280:$D$296)+1)</f>
        <v>0</v>
      </c>
      <c r="F712" s="183">
        <f>INDEX($K712:$O712,SUMIF(cbal!F$280:F$296,$B712,cbal!$D$280:$D$296)+1)</f>
        <v>0</v>
      </c>
      <c r="G712" s="183">
        <f>INDEX($K712:$O712,SUMIF(cbal!G$280:G$296,$B712,cbal!$D$280:$D$296)+1)</f>
        <v>0</v>
      </c>
      <c r="H712" s="183">
        <f>INDEX($K712:$O712,SUMIF(cbal!H$280:H$296,$B712,cbal!$D$280:$D$296)+1)</f>
        <v>0</v>
      </c>
      <c r="I712" s="183">
        <f>INDEX($K712:$O712,SUMIF(cbal!I$280:I$296,$B712,cbal!$D$280:$D$296)+1)</f>
        <v>0</v>
      </c>
      <c r="K712" s="1577">
        <v>0</v>
      </c>
      <c r="L712" s="1580">
        <v>2500000</v>
      </c>
      <c r="M712" s="1580">
        <v>350000</v>
      </c>
      <c r="N712" s="1580">
        <v>350000</v>
      </c>
      <c r="O712" s="1580">
        <v>350000</v>
      </c>
      <c r="R712" s="91">
        <f t="shared" si="95"/>
        <v>2500000</v>
      </c>
      <c r="S712" s="21">
        <f t="shared" si="96"/>
        <v>350000</v>
      </c>
      <c r="T712" s="97" t="b">
        <f t="shared" si="98"/>
        <v>0</v>
      </c>
    </row>
    <row r="713" spans="2:20">
      <c r="B713" t="s">
        <v>4044</v>
      </c>
      <c r="C713" s="433">
        <v>133.5</v>
      </c>
      <c r="D713" t="str">
        <f>VLOOKUP($C713,param!$A$4:$B$266,2)</f>
        <v>MTU Initiatives Allocation</v>
      </c>
      <c r="E713" s="183">
        <f>INDEX($K713:$O713,SUMIF(cbal!E$280:E$296,$B713,cbal!$D$280:$D$296)+1)</f>
        <v>0</v>
      </c>
      <c r="F713" s="183">
        <f>INDEX($K713:$O713,SUMIF(cbal!F$280:F$296,$B713,cbal!$D$280:$D$296)+1)</f>
        <v>0</v>
      </c>
      <c r="G713" s="183">
        <f>INDEX($K713:$O713,SUMIF(cbal!G$280:G$296,$B713,cbal!$D$280:$D$296)+1)</f>
        <v>0</v>
      </c>
      <c r="H713" s="183">
        <f>INDEX($K713:$O713,SUMIF(cbal!H$280:H$296,$B713,cbal!$D$280:$D$296)+1)</f>
        <v>0</v>
      </c>
      <c r="I713" s="183">
        <f>INDEX($K713:$O713,SUMIF(cbal!I$280:I$296,$B713,cbal!$D$280:$D$296)+1)</f>
        <v>0</v>
      </c>
      <c r="K713" s="1577">
        <v>0</v>
      </c>
      <c r="L713" s="1587">
        <v>5</v>
      </c>
      <c r="M713" s="1585"/>
      <c r="N713" s="1585"/>
      <c r="O713" s="1585"/>
      <c r="R713" s="91" t="b">
        <f t="shared" si="95"/>
        <v>0</v>
      </c>
      <c r="S713" s="21" t="b">
        <f t="shared" si="96"/>
        <v>0</v>
      </c>
      <c r="T713" s="97">
        <f t="shared" si="98"/>
        <v>5</v>
      </c>
    </row>
    <row r="714" spans="2:20">
      <c r="B714" t="s">
        <v>4044</v>
      </c>
      <c r="C714" s="433">
        <v>203</v>
      </c>
      <c r="D714" t="str">
        <f>VLOOKUP($C714,param!$A$4:$B$266,2)</f>
        <v>Productivity Strategy</v>
      </c>
      <c r="E714" s="183">
        <f>INDEX($K714:$O714,SUMIF(cbal!E$280:E$296,$B714,cbal!$D$280:$D$296)+1)</f>
        <v>0</v>
      </c>
      <c r="F714" s="183">
        <f>INDEX($K714:$O714,SUMIF(cbal!F$280:F$296,$B714,cbal!$D$280:$D$296)+1)</f>
        <v>0</v>
      </c>
      <c r="G714" s="183">
        <f>INDEX($K714:$O714,SUMIF(cbal!G$280:G$296,$B714,cbal!$D$280:$D$296)+1)</f>
        <v>0</v>
      </c>
      <c r="H714" s="183">
        <f>INDEX($K714:$O714,SUMIF(cbal!H$280:H$296,$B714,cbal!$D$280:$D$296)+1)</f>
        <v>0</v>
      </c>
      <c r="I714" s="183">
        <f>INDEX($K714:$O714,SUMIF(cbal!I$280:I$296,$B714,cbal!$D$280:$D$296)+1)</f>
        <v>0</v>
      </c>
      <c r="K714" s="1577">
        <v>0</v>
      </c>
      <c r="L714" s="1580">
        <f>L713</f>
        <v>5</v>
      </c>
      <c r="M714" s="1580">
        <f>L714</f>
        <v>5</v>
      </c>
      <c r="N714" s="1580">
        <f>M714</f>
        <v>5</v>
      </c>
      <c r="O714" s="1580">
        <f>N714</f>
        <v>5</v>
      </c>
      <c r="R714" s="91" t="b">
        <f>IF(AND(C714&gt;166,C714&lt;171.5),L714)</f>
        <v>0</v>
      </c>
      <c r="S714" s="21" t="b">
        <f>IF(AND(C714&gt;166,C714&lt;171.5),M714)</f>
        <v>0</v>
      </c>
      <c r="T714" s="97" t="b">
        <f t="shared" si="98"/>
        <v>0</v>
      </c>
    </row>
    <row r="715" spans="2:20">
      <c r="B715">
        <v>0</v>
      </c>
      <c r="C715" s="433">
        <v>0</v>
      </c>
      <c r="E715" s="183"/>
      <c r="F715" s="183"/>
      <c r="G715" s="183"/>
      <c r="H715" s="183"/>
      <c r="I715" s="183"/>
      <c r="K715" s="1577"/>
      <c r="L715" s="1580"/>
      <c r="M715" s="1585"/>
      <c r="N715" s="1585"/>
      <c r="O715" s="1585"/>
      <c r="R715" s="91">
        <v>0</v>
      </c>
      <c r="S715" s="21">
        <v>0</v>
      </c>
      <c r="T715" s="97">
        <v>0</v>
      </c>
    </row>
    <row r="716" spans="2:20">
      <c r="B716" t="s">
        <v>4045</v>
      </c>
      <c r="C716" t="str">
        <f>VLOOKUP(B716,DataInitiativesGrid,2,0)</f>
        <v>SOP Refresh</v>
      </c>
      <c r="E716" s="183"/>
      <c r="F716" s="183"/>
      <c r="G716" s="183"/>
      <c r="H716" s="183"/>
      <c r="I716" s="183"/>
      <c r="K716" s="1577"/>
      <c r="L716" s="1581"/>
      <c r="M716" s="1581"/>
      <c r="N716" s="1581"/>
      <c r="O716" s="1581"/>
      <c r="R716" s="91">
        <v>0</v>
      </c>
      <c r="S716" s="21">
        <v>0</v>
      </c>
      <c r="T716" s="97">
        <v>0</v>
      </c>
    </row>
    <row r="717" spans="2:20">
      <c r="B717" t="s">
        <v>4045</v>
      </c>
      <c r="C717" s="433">
        <v>9</v>
      </c>
      <c r="D717" t="str">
        <f>VLOOKUP($C717,param!$A$4:$B$266,2)</f>
        <v>CSD Labor Hours Req. Per Unit</v>
      </c>
      <c r="E717" s="430">
        <f>INDEX($K717:$O717,SUMIF(cbal!E$280:E$296,$B717,cbal!$D$280:$D$296)+1)</f>
        <v>0</v>
      </c>
      <c r="F717" s="430">
        <f>INDEX($K717:$O717,SUMIF(cbal!F$280:F$296,$B717,cbal!$D$280:$D$296)+1)</f>
        <v>0</v>
      </c>
      <c r="G717" s="430">
        <f>INDEX($K717:$O717,SUMIF(cbal!G$280:G$296,$B717,cbal!$D$280:$D$296)+1)</f>
        <v>0</v>
      </c>
      <c r="H717" s="430">
        <f>INDEX($K717:$O717,SUMIF(cbal!H$280:H$296,$B717,cbal!$D$280:$D$296)+1)</f>
        <v>0</v>
      </c>
      <c r="I717" s="430">
        <f>INDEX($K717:$O717,SUMIF(cbal!I$280:I$296,$B717,cbal!$D$280:$D$296)+1)</f>
        <v>0</v>
      </c>
      <c r="K717" s="1577">
        <v>0</v>
      </c>
      <c r="L717" s="1591">
        <v>-0.02</v>
      </c>
      <c r="M717" s="1591">
        <v>-0.02</v>
      </c>
      <c r="N717" s="1591">
        <v>-0.02</v>
      </c>
      <c r="O717" s="1591">
        <v>-0.02</v>
      </c>
      <c r="R717" s="91" t="b">
        <f t="shared" si="95"/>
        <v>0</v>
      </c>
      <c r="S717" s="21" t="b">
        <f t="shared" si="96"/>
        <v>0</v>
      </c>
      <c r="T717" s="97" t="b">
        <f t="shared" si="98"/>
        <v>0</v>
      </c>
    </row>
    <row r="718" spans="2:20">
      <c r="B718" t="s">
        <v>4045</v>
      </c>
      <c r="C718" s="433">
        <v>47</v>
      </c>
      <c r="D718" t="str">
        <f>VLOOKUP($C718,param!$A$4:$B$266,2)</f>
        <v>NCB Labor Hours Req. Per Unit</v>
      </c>
      <c r="E718" s="430">
        <f>INDEX($K718:$O718,SUMIF(cbal!E$280:E$296,$B718,cbal!$D$280:$D$296)+1)</f>
        <v>0</v>
      </c>
      <c r="F718" s="430">
        <f>INDEX($K718:$O718,SUMIF(cbal!F$280:F$296,$B718,cbal!$D$280:$D$296)+1)</f>
        <v>0</v>
      </c>
      <c r="G718" s="430">
        <f>INDEX($K718:$O718,SUMIF(cbal!G$280:G$296,$B718,cbal!$D$280:$D$296)+1)</f>
        <v>0</v>
      </c>
      <c r="H718" s="430">
        <f>INDEX($K718:$O718,SUMIF(cbal!H$280:H$296,$B718,cbal!$D$280:$D$296)+1)</f>
        <v>0</v>
      </c>
      <c r="I718" s="430">
        <f>INDEX($K718:$O718,SUMIF(cbal!I$280:I$296,$B718,cbal!$D$280:$D$296)+1)</f>
        <v>0</v>
      </c>
      <c r="K718" s="1577">
        <v>0</v>
      </c>
      <c r="L718" s="1591">
        <v>-0.02</v>
      </c>
      <c r="M718" s="1591">
        <v>-0.02</v>
      </c>
      <c r="N718" s="1591">
        <v>-0.02</v>
      </c>
      <c r="O718" s="1591">
        <v>-0.02</v>
      </c>
      <c r="R718" s="91" t="b">
        <f t="shared" si="95"/>
        <v>0</v>
      </c>
      <c r="S718" s="21" t="b">
        <f t="shared" si="96"/>
        <v>0</v>
      </c>
      <c r="T718" s="97" t="b">
        <f t="shared" si="98"/>
        <v>0</v>
      </c>
    </row>
    <row r="719" spans="2:20">
      <c r="B719" t="s">
        <v>4045</v>
      </c>
      <c r="C719" s="433">
        <v>66</v>
      </c>
      <c r="D719" t="str">
        <f>VLOOKUP($C719,param!$A$4:$B$266,2)</f>
        <v>F&amp;S Labor Hours Req. Per Unit</v>
      </c>
      <c r="E719" s="430">
        <f>INDEX($K719:$O719,SUMIF(cbal!E$280:E$296,$B719,cbal!$D$280:$D$296)+1)</f>
        <v>0</v>
      </c>
      <c r="F719" s="430">
        <f>INDEX($K719:$O719,SUMIF(cbal!F$280:F$296,$B719,cbal!$D$280:$D$296)+1)</f>
        <v>0</v>
      </c>
      <c r="G719" s="430">
        <f>INDEX($K719:$O719,SUMIF(cbal!G$280:G$296,$B719,cbal!$D$280:$D$296)+1)</f>
        <v>0</v>
      </c>
      <c r="H719" s="430">
        <f>INDEX($K719:$O719,SUMIF(cbal!H$280:H$296,$B719,cbal!$D$280:$D$296)+1)</f>
        <v>0</v>
      </c>
      <c r="I719" s="430">
        <f>INDEX($K719:$O719,SUMIF(cbal!I$280:I$296,$B719,cbal!$D$280:$D$296)+1)</f>
        <v>0</v>
      </c>
      <c r="K719" s="1577">
        <v>0</v>
      </c>
      <c r="L719" s="1591">
        <v>-0.02</v>
      </c>
      <c r="M719" s="1591">
        <v>-0.02</v>
      </c>
      <c r="N719" s="1591">
        <v>-0.02</v>
      </c>
      <c r="O719" s="1591">
        <v>-0.02</v>
      </c>
      <c r="R719" s="91" t="b">
        <f t="shared" si="95"/>
        <v>0</v>
      </c>
      <c r="S719" s="21" t="b">
        <f t="shared" si="96"/>
        <v>0</v>
      </c>
      <c r="T719" s="97" t="b">
        <f t="shared" si="98"/>
        <v>0</v>
      </c>
    </row>
    <row r="720" spans="2:20">
      <c r="B720" t="s">
        <v>4045</v>
      </c>
      <c r="C720" s="433">
        <v>120</v>
      </c>
      <c r="D720" t="str">
        <f>VLOOKUP($C720,param!$A$4:$B$266,2)</f>
        <v>Labor Attrition rate</v>
      </c>
      <c r="E720" s="430">
        <f>INDEX($K720:$O720,SUMIF(cbal!E$280:E$296,$B720,cbal!$D$280:$D$296)+1)</f>
        <v>0</v>
      </c>
      <c r="F720" s="430">
        <f>INDEX($K720:$O720,SUMIF(cbal!F$280:F$296,$B720,cbal!$D$280:$D$296)+1)</f>
        <v>0</v>
      </c>
      <c r="G720" s="430">
        <f>INDEX($K720:$O720,SUMIF(cbal!G$280:G$296,$B720,cbal!$D$280:$D$296)+1)</f>
        <v>0</v>
      </c>
      <c r="H720" s="430">
        <f>INDEX($K720:$O720,SUMIF(cbal!H$280:H$296,$B720,cbal!$D$280:$D$296)+1)</f>
        <v>0</v>
      </c>
      <c r="I720" s="430">
        <f>INDEX($K720:$O720,SUMIF(cbal!I$280:I$296,$B720,cbal!$D$280:$D$296)+1)</f>
        <v>0</v>
      </c>
      <c r="K720" s="1577">
        <v>0</v>
      </c>
      <c r="L720" s="1591">
        <v>-0.01</v>
      </c>
      <c r="M720" s="1591">
        <v>-0.01</v>
      </c>
      <c r="N720" s="1591">
        <v>-0.01</v>
      </c>
      <c r="O720" s="1591">
        <v>-0.01</v>
      </c>
      <c r="R720" s="91" t="b">
        <f t="shared" si="95"/>
        <v>0</v>
      </c>
      <c r="S720" s="21" t="b">
        <f t="shared" si="96"/>
        <v>0</v>
      </c>
      <c r="T720" s="97" t="b">
        <f t="shared" si="98"/>
        <v>0</v>
      </c>
    </row>
    <row r="721" spans="2:20">
      <c r="B721" t="s">
        <v>4045</v>
      </c>
      <c r="C721" s="433">
        <v>142</v>
      </c>
      <c r="D721" t="str">
        <f>VLOOKUP($C721,param!$A$4:$B$266,2)</f>
        <v>Plant Efficiency</v>
      </c>
      <c r="E721" s="430">
        <f>INDEX($K721:$O721,SUMIF(cbal!E$280:E$296,$B721,cbal!$D$280:$D$296)+1)</f>
        <v>0</v>
      </c>
      <c r="F721" s="430">
        <f>INDEX($K721:$O721,SUMIF(cbal!F$280:F$296,$B721,cbal!$D$280:$D$296)+1)</f>
        <v>0</v>
      </c>
      <c r="G721" s="430">
        <f>INDEX($K721:$O721,SUMIF(cbal!G$280:G$296,$B721,cbal!$D$280:$D$296)+1)</f>
        <v>0</v>
      </c>
      <c r="H721" s="430">
        <f>INDEX($K721:$O721,SUMIF(cbal!H$280:H$296,$B721,cbal!$D$280:$D$296)+1)</f>
        <v>0</v>
      </c>
      <c r="I721" s="430">
        <f>INDEX($K721:$O721,SUMIF(cbal!I$280:I$296,$B721,cbal!$D$280:$D$296)+1)</f>
        <v>0</v>
      </c>
      <c r="K721" s="1577">
        <v>0</v>
      </c>
      <c r="L721" s="1591">
        <v>0.05</v>
      </c>
      <c r="M721" s="1591">
        <v>0.05</v>
      </c>
      <c r="N721" s="1591">
        <v>0.05</v>
      </c>
      <c r="O721" s="1591">
        <v>0.05</v>
      </c>
      <c r="R721" s="91" t="b">
        <f t="shared" si="95"/>
        <v>0</v>
      </c>
      <c r="S721" s="21" t="b">
        <f t="shared" si="96"/>
        <v>0</v>
      </c>
      <c r="T721" s="97" t="b">
        <f t="shared" si="98"/>
        <v>0</v>
      </c>
    </row>
    <row r="722" spans="2:20">
      <c r="B722" t="s">
        <v>4045</v>
      </c>
      <c r="C722" s="433">
        <v>167</v>
      </c>
      <c r="D722" t="str">
        <f>VLOOKUP($C722,param!$A$4:$B$266,2)</f>
        <v>Special Program Expense</v>
      </c>
      <c r="E722" s="183">
        <f>INDEX($K722:$O722,SUMIF(cbal!E$280:E$296,$B722,cbal!$D$280:$D$296)+1)</f>
        <v>0</v>
      </c>
      <c r="F722" s="183">
        <f>INDEX($K722:$O722,SUMIF(cbal!F$280:F$296,$B722,cbal!$D$280:$D$296)+1)</f>
        <v>0</v>
      </c>
      <c r="G722" s="183">
        <f>INDEX($K722:$O722,SUMIF(cbal!G$280:G$296,$B722,cbal!$D$280:$D$296)+1)</f>
        <v>0</v>
      </c>
      <c r="H722" s="183">
        <f>INDEX($K722:$O722,SUMIF(cbal!H$280:H$296,$B722,cbal!$D$280:$D$296)+1)</f>
        <v>0</v>
      </c>
      <c r="I722" s="183">
        <f>INDEX($K722:$O722,SUMIF(cbal!I$280:I$296,$B722,cbal!$D$280:$D$296)+1)</f>
        <v>0</v>
      </c>
      <c r="K722" s="1577">
        <v>0</v>
      </c>
      <c r="L722" s="1582">
        <v>2000000</v>
      </c>
      <c r="M722" s="1582">
        <v>500000</v>
      </c>
      <c r="N722" s="1582">
        <v>500000</v>
      </c>
      <c r="O722" s="1582">
        <v>500000</v>
      </c>
      <c r="R722" s="91">
        <f t="shared" si="95"/>
        <v>2000000</v>
      </c>
      <c r="S722" s="21">
        <f t="shared" si="96"/>
        <v>500000</v>
      </c>
      <c r="T722" s="97" t="b">
        <f t="shared" si="98"/>
        <v>0</v>
      </c>
    </row>
    <row r="723" spans="2:20">
      <c r="B723" t="s">
        <v>4045</v>
      </c>
      <c r="C723" s="433">
        <v>133.5</v>
      </c>
      <c r="D723" t="str">
        <f>VLOOKUP($C723,param!$A$4:$B$266,2)</f>
        <v>MTU Initiatives Allocation</v>
      </c>
      <c r="E723" s="183">
        <f>INDEX($K723:$O723,SUMIF(cbal!E$280:E$296,$B723,cbal!$D$280:$D$296)+1)</f>
        <v>0</v>
      </c>
      <c r="F723" s="183">
        <f>INDEX($K723:$O723,SUMIF(cbal!F$280:F$296,$B723,cbal!$D$280:$D$296)+1)</f>
        <v>0</v>
      </c>
      <c r="G723" s="183">
        <f>INDEX($K723:$O723,SUMIF(cbal!G$280:G$296,$B723,cbal!$D$280:$D$296)+1)</f>
        <v>0</v>
      </c>
      <c r="H723" s="183">
        <f>INDEX($K723:$O723,SUMIF(cbal!H$280:H$296,$B723,cbal!$D$280:$D$296)+1)</f>
        <v>0</v>
      </c>
      <c r="I723" s="183">
        <f>INDEX($K723:$O723,SUMIF(cbal!I$280:I$296,$B723,cbal!$D$280:$D$296)+1)</f>
        <v>0</v>
      </c>
      <c r="K723" s="1577">
        <v>0</v>
      </c>
      <c r="L723" s="1587">
        <v>10</v>
      </c>
      <c r="M723" s="1585"/>
      <c r="N723" s="1585"/>
      <c r="O723" s="1585"/>
      <c r="R723" s="91" t="b">
        <f t="shared" si="95"/>
        <v>0</v>
      </c>
      <c r="S723" s="21" t="b">
        <f t="shared" si="96"/>
        <v>0</v>
      </c>
      <c r="T723" s="97">
        <f t="shared" si="98"/>
        <v>10</v>
      </c>
    </row>
    <row r="724" spans="2:20">
      <c r="B724" t="s">
        <v>4045</v>
      </c>
      <c r="C724" s="433">
        <v>203</v>
      </c>
      <c r="D724" t="str">
        <f>VLOOKUP($C724,param!$A$4:$B$266,2)</f>
        <v>Productivity Strategy</v>
      </c>
      <c r="E724" s="183">
        <f>INDEX($K724:$O724,SUMIF(cbal!E$280:E$296,$B724,cbal!$D$280:$D$296)+1)</f>
        <v>0</v>
      </c>
      <c r="F724" s="183">
        <f>INDEX($K724:$O724,SUMIF(cbal!F$280:F$296,$B724,cbal!$D$280:$D$296)+1)</f>
        <v>0</v>
      </c>
      <c r="G724" s="183">
        <f>INDEX($K724:$O724,SUMIF(cbal!G$280:G$296,$B724,cbal!$D$280:$D$296)+1)</f>
        <v>0</v>
      </c>
      <c r="H724" s="183">
        <f>INDEX($K724:$O724,SUMIF(cbal!H$280:H$296,$B724,cbal!$D$280:$D$296)+1)</f>
        <v>0</v>
      </c>
      <c r="I724" s="183">
        <f>INDEX($K724:$O724,SUMIF(cbal!I$280:I$296,$B724,cbal!$D$280:$D$296)+1)</f>
        <v>0</v>
      </c>
      <c r="K724" s="1577">
        <v>0</v>
      </c>
      <c r="L724" s="1580">
        <f>L723</f>
        <v>10</v>
      </c>
      <c r="M724" s="1580">
        <f>L724</f>
        <v>10</v>
      </c>
      <c r="N724" s="1580">
        <f>M724</f>
        <v>10</v>
      </c>
      <c r="O724" s="1580">
        <f>N724</f>
        <v>10</v>
      </c>
      <c r="R724" s="91" t="b">
        <f t="shared" si="95"/>
        <v>0</v>
      </c>
      <c r="S724" s="21" t="b">
        <f t="shared" si="96"/>
        <v>0</v>
      </c>
      <c r="T724" s="97" t="b">
        <f t="shared" si="98"/>
        <v>0</v>
      </c>
    </row>
    <row r="725" spans="2:20">
      <c r="B725">
        <v>0</v>
      </c>
      <c r="C725" s="433">
        <v>0</v>
      </c>
      <c r="E725" s="183"/>
      <c r="F725" s="183"/>
      <c r="G725" s="183"/>
      <c r="H725" s="183"/>
      <c r="I725" s="183"/>
      <c r="K725" s="1577"/>
      <c r="L725" s="1581"/>
      <c r="M725" s="1581"/>
      <c r="N725" s="1581"/>
      <c r="O725" s="1581"/>
      <c r="R725" s="91">
        <v>0</v>
      </c>
      <c r="S725" s="21">
        <v>0</v>
      </c>
      <c r="T725" s="97">
        <v>0</v>
      </c>
    </row>
    <row r="726" spans="2:20">
      <c r="B726" s="905" t="s">
        <v>4731</v>
      </c>
      <c r="C726" t="str">
        <f>VLOOKUP(B726,DataInitiativesGrid,2,0)</f>
        <v>Manufacturing Facilities Revamp</v>
      </c>
      <c r="E726" s="183"/>
      <c r="F726" s="183"/>
      <c r="G726" s="183"/>
      <c r="H726" s="183"/>
      <c r="I726" s="183"/>
      <c r="K726" s="1577"/>
      <c r="L726" s="1581"/>
      <c r="M726" s="1581"/>
      <c r="N726" s="1581"/>
      <c r="O726" s="1581"/>
      <c r="R726" s="91">
        <v>0</v>
      </c>
      <c r="S726" s="21">
        <v>0</v>
      </c>
      <c r="T726" s="97">
        <v>0</v>
      </c>
    </row>
    <row r="727" spans="2:20">
      <c r="B727" s="905" t="s">
        <v>4731</v>
      </c>
      <c r="C727" s="433">
        <v>9</v>
      </c>
      <c r="D727" t="str">
        <f>VLOOKUP($C727,param!$A$4:$B$266,2)</f>
        <v>CSD Labor Hours Req. Per Unit</v>
      </c>
      <c r="E727" s="430">
        <f>INDEX($K727:$O727,SUMIF(cbal!E$280:E$296,$B727,cbal!$D$280:$D$296)+1)</f>
        <v>0</v>
      </c>
      <c r="F727" s="430">
        <f>INDEX($K727:$O727,SUMIF(cbal!F$280:F$296,$B727,cbal!$D$280:$D$296)+1)</f>
        <v>0</v>
      </c>
      <c r="G727" s="430">
        <f>INDEX($K727:$O727,SUMIF(cbal!G$280:G$296,$B727,cbal!$D$280:$D$296)+1)</f>
        <v>0</v>
      </c>
      <c r="H727" s="430">
        <f>INDEX($K727:$O727,SUMIF(cbal!H$280:H$296,$B727,cbal!$D$280:$D$296)+1)</f>
        <v>0</v>
      </c>
      <c r="I727" s="430">
        <f>INDEX($K727:$O727,SUMIF(cbal!I$280:I$296,$B727,cbal!$D$280:$D$296)+1)</f>
        <v>0</v>
      </c>
      <c r="K727" s="1577">
        <v>0</v>
      </c>
      <c r="L727" s="1591">
        <v>-0.03</v>
      </c>
      <c r="M727" s="1591">
        <v>-0.03</v>
      </c>
      <c r="N727" s="1591">
        <v>-0.03</v>
      </c>
      <c r="O727" s="1591">
        <v>-0.03</v>
      </c>
      <c r="R727" s="91" t="b">
        <f t="shared" ref="R727:R734" si="99">IF(AND(C727&gt;166,C727&lt;171.5),L727)</f>
        <v>0</v>
      </c>
      <c r="S727" s="21" t="b">
        <f t="shared" ref="S727:S734" si="100">IF(AND(C727&gt;166,C727&lt;171.5),M727)</f>
        <v>0</v>
      </c>
      <c r="T727" s="97" t="b">
        <f t="shared" ref="T727:T734" si="101">IF(C727=133.5,L727)</f>
        <v>0</v>
      </c>
    </row>
    <row r="728" spans="2:20">
      <c r="B728" s="905" t="s">
        <v>4731</v>
      </c>
      <c r="C728" s="433">
        <v>47</v>
      </c>
      <c r="D728" t="str">
        <f>VLOOKUP($C728,param!$A$4:$B$266,2)</f>
        <v>NCB Labor Hours Req. Per Unit</v>
      </c>
      <c r="E728" s="430">
        <f>INDEX($K728:$O728,SUMIF(cbal!E$280:E$296,$B728,cbal!$D$280:$D$296)+1)</f>
        <v>0</v>
      </c>
      <c r="F728" s="430">
        <f>INDEX($K728:$O728,SUMIF(cbal!F$280:F$296,$B728,cbal!$D$280:$D$296)+1)</f>
        <v>0</v>
      </c>
      <c r="G728" s="430">
        <f>INDEX($K728:$O728,SUMIF(cbal!G$280:G$296,$B728,cbal!$D$280:$D$296)+1)</f>
        <v>0</v>
      </c>
      <c r="H728" s="430">
        <f>INDEX($K728:$O728,SUMIF(cbal!H$280:H$296,$B728,cbal!$D$280:$D$296)+1)</f>
        <v>0</v>
      </c>
      <c r="I728" s="430">
        <f>INDEX($K728:$O728,SUMIF(cbal!I$280:I$296,$B728,cbal!$D$280:$D$296)+1)</f>
        <v>0</v>
      </c>
      <c r="K728" s="1577">
        <v>0</v>
      </c>
      <c r="L728" s="1591">
        <v>-0.03</v>
      </c>
      <c r="M728" s="1591">
        <v>-0.03</v>
      </c>
      <c r="N728" s="1591">
        <v>-0.03</v>
      </c>
      <c r="O728" s="1591">
        <v>-0.03</v>
      </c>
      <c r="R728" s="91" t="b">
        <f t="shared" si="99"/>
        <v>0</v>
      </c>
      <c r="S728" s="21" t="b">
        <f t="shared" si="100"/>
        <v>0</v>
      </c>
      <c r="T728" s="97" t="b">
        <f t="shared" si="101"/>
        <v>0</v>
      </c>
    </row>
    <row r="729" spans="2:20">
      <c r="B729" s="905" t="s">
        <v>4731</v>
      </c>
      <c r="C729" s="433">
        <v>66</v>
      </c>
      <c r="D729" t="str">
        <f>VLOOKUP($C729,param!$A$4:$B$266,2)</f>
        <v>F&amp;S Labor Hours Req. Per Unit</v>
      </c>
      <c r="E729" s="430">
        <f>INDEX($K729:$O729,SUMIF(cbal!E$280:E$296,$B729,cbal!$D$280:$D$296)+1)</f>
        <v>0</v>
      </c>
      <c r="F729" s="430">
        <f>INDEX($K729:$O729,SUMIF(cbal!F$280:F$296,$B729,cbal!$D$280:$D$296)+1)</f>
        <v>0</v>
      </c>
      <c r="G729" s="430">
        <f>INDEX($K729:$O729,SUMIF(cbal!G$280:G$296,$B729,cbal!$D$280:$D$296)+1)</f>
        <v>0</v>
      </c>
      <c r="H729" s="430">
        <f>INDEX($K729:$O729,SUMIF(cbal!H$280:H$296,$B729,cbal!$D$280:$D$296)+1)</f>
        <v>0</v>
      </c>
      <c r="I729" s="430">
        <f>INDEX($K729:$O729,SUMIF(cbal!I$280:I$296,$B729,cbal!$D$280:$D$296)+1)</f>
        <v>0</v>
      </c>
      <c r="K729" s="1577">
        <v>0</v>
      </c>
      <c r="L729" s="1591">
        <v>-0.03</v>
      </c>
      <c r="M729" s="1591">
        <v>-0.03</v>
      </c>
      <c r="N729" s="1591">
        <v>-0.03</v>
      </c>
      <c r="O729" s="1591">
        <v>-0.03</v>
      </c>
      <c r="R729" s="91" t="b">
        <f t="shared" si="99"/>
        <v>0</v>
      </c>
      <c r="S729" s="21" t="b">
        <f t="shared" si="100"/>
        <v>0</v>
      </c>
      <c r="T729" s="97" t="b">
        <f t="shared" si="101"/>
        <v>0</v>
      </c>
    </row>
    <row r="730" spans="2:20">
      <c r="B730" s="905" t="s">
        <v>4731</v>
      </c>
      <c r="C730" s="433">
        <v>120</v>
      </c>
      <c r="D730" t="str">
        <f>VLOOKUP($C730,param!$A$4:$B$266,2)</f>
        <v>Labor Attrition rate</v>
      </c>
      <c r="E730" s="430">
        <f>INDEX($K730:$O730,SUMIF(cbal!E$280:E$296,$B730,cbal!$D$280:$D$296)+1)</f>
        <v>0</v>
      </c>
      <c r="F730" s="430">
        <f>INDEX($K730:$O730,SUMIF(cbal!F$280:F$296,$B730,cbal!$D$280:$D$296)+1)</f>
        <v>0</v>
      </c>
      <c r="G730" s="430">
        <f>INDEX($K730:$O730,SUMIF(cbal!G$280:G$296,$B730,cbal!$D$280:$D$296)+1)</f>
        <v>0</v>
      </c>
      <c r="H730" s="430">
        <f>INDEX($K730:$O730,SUMIF(cbal!H$280:H$296,$B730,cbal!$D$280:$D$296)+1)</f>
        <v>0</v>
      </c>
      <c r="I730" s="430">
        <f>INDEX($K730:$O730,SUMIF(cbal!I$280:I$296,$B730,cbal!$D$280:$D$296)+1)</f>
        <v>0</v>
      </c>
      <c r="K730" s="1577">
        <v>0</v>
      </c>
      <c r="L730" s="1591">
        <v>-0.02</v>
      </c>
      <c r="M730" s="1591">
        <v>-0.02</v>
      </c>
      <c r="N730" s="1591">
        <v>-0.02</v>
      </c>
      <c r="O730" s="1591">
        <v>-0.02</v>
      </c>
      <c r="R730" s="91" t="b">
        <f t="shared" si="99"/>
        <v>0</v>
      </c>
      <c r="S730" s="21" t="b">
        <f t="shared" si="100"/>
        <v>0</v>
      </c>
      <c r="T730" s="97" t="b">
        <f t="shared" si="101"/>
        <v>0</v>
      </c>
    </row>
    <row r="731" spans="2:20">
      <c r="B731" s="905" t="s">
        <v>4731</v>
      </c>
      <c r="C731" s="433">
        <v>142</v>
      </c>
      <c r="D731" t="str">
        <f>VLOOKUP($C731,param!$A$4:$B$266,2)</f>
        <v>Plant Efficiency</v>
      </c>
      <c r="E731" s="430">
        <f>INDEX($K731:$O731,SUMIF(cbal!E$280:E$296,$B731,cbal!$D$280:$D$296)+1)</f>
        <v>0</v>
      </c>
      <c r="F731" s="430">
        <f>INDEX($K731:$O731,SUMIF(cbal!F$280:F$296,$B731,cbal!$D$280:$D$296)+1)</f>
        <v>0</v>
      </c>
      <c r="G731" s="430">
        <f>INDEX($K731:$O731,SUMIF(cbal!G$280:G$296,$B731,cbal!$D$280:$D$296)+1)</f>
        <v>0</v>
      </c>
      <c r="H731" s="430">
        <f>INDEX($K731:$O731,SUMIF(cbal!H$280:H$296,$B731,cbal!$D$280:$D$296)+1)</f>
        <v>0</v>
      </c>
      <c r="I731" s="430">
        <f>INDEX($K731:$O731,SUMIF(cbal!I$280:I$296,$B731,cbal!$D$280:$D$296)+1)</f>
        <v>0</v>
      </c>
      <c r="K731" s="1577">
        <v>0</v>
      </c>
      <c r="L731" s="1591">
        <v>0.06</v>
      </c>
      <c r="M731" s="1591">
        <v>0.06</v>
      </c>
      <c r="N731" s="1591">
        <v>0.06</v>
      </c>
      <c r="O731" s="1591">
        <v>0.06</v>
      </c>
      <c r="R731" s="91" t="b">
        <f t="shared" si="99"/>
        <v>0</v>
      </c>
      <c r="S731" s="21" t="b">
        <f t="shared" si="100"/>
        <v>0</v>
      </c>
      <c r="T731" s="97" t="b">
        <f t="shared" si="101"/>
        <v>0</v>
      </c>
    </row>
    <row r="732" spans="2:20">
      <c r="B732" s="905" t="s">
        <v>4731</v>
      </c>
      <c r="C732" s="433">
        <v>167</v>
      </c>
      <c r="D732" t="str">
        <f>VLOOKUP($C732,param!$A$4:$B$266,2)</f>
        <v>Special Program Expense</v>
      </c>
      <c r="E732" s="183">
        <f>INDEX($K732:$O732,SUMIF(cbal!E$280:E$296,$B732,cbal!$D$280:$D$296)+1)</f>
        <v>0</v>
      </c>
      <c r="F732" s="183">
        <f>INDEX($K732:$O732,SUMIF(cbal!F$280:F$296,$B732,cbal!$D$280:$D$296)+1)</f>
        <v>0</v>
      </c>
      <c r="G732" s="183">
        <f>INDEX($K732:$O732,SUMIF(cbal!G$280:G$296,$B732,cbal!$D$280:$D$296)+1)</f>
        <v>0</v>
      </c>
      <c r="H732" s="183">
        <f>INDEX($K732:$O732,SUMIF(cbal!H$280:H$296,$B732,cbal!$D$280:$D$296)+1)</f>
        <v>0</v>
      </c>
      <c r="I732" s="183">
        <f>INDEX($K732:$O732,SUMIF(cbal!I$280:I$296,$B732,cbal!$D$280:$D$296)+1)</f>
        <v>0</v>
      </c>
      <c r="K732" s="1577">
        <v>0</v>
      </c>
      <c r="L732" s="1582">
        <v>10000000</v>
      </c>
      <c r="M732" s="1582"/>
      <c r="N732" s="1582"/>
      <c r="O732" s="1582"/>
      <c r="R732" s="91">
        <f t="shared" si="99"/>
        <v>10000000</v>
      </c>
      <c r="S732" s="21">
        <f t="shared" si="100"/>
        <v>0</v>
      </c>
      <c r="T732" s="97" t="b">
        <f t="shared" si="101"/>
        <v>0</v>
      </c>
    </row>
    <row r="733" spans="2:20">
      <c r="B733" s="905" t="s">
        <v>4731</v>
      </c>
      <c r="C733" s="433">
        <v>133.5</v>
      </c>
      <c r="D733" t="str">
        <f>VLOOKUP($C733,param!$A$4:$B$266,2)</f>
        <v>MTU Initiatives Allocation</v>
      </c>
      <c r="E733" s="183">
        <f>INDEX($K733:$O733,SUMIF(cbal!E$280:E$296,$B733,cbal!$D$280:$D$296)+1)</f>
        <v>0</v>
      </c>
      <c r="F733" s="183">
        <f>INDEX($K733:$O733,SUMIF(cbal!F$280:F$296,$B733,cbal!$D$280:$D$296)+1)</f>
        <v>0</v>
      </c>
      <c r="G733" s="183">
        <f>INDEX($K733:$O733,SUMIF(cbal!G$280:G$296,$B733,cbal!$D$280:$D$296)+1)</f>
        <v>0</v>
      </c>
      <c r="H733" s="183">
        <f>INDEX($K733:$O733,SUMIF(cbal!H$280:H$296,$B733,cbal!$D$280:$D$296)+1)</f>
        <v>0</v>
      </c>
      <c r="I733" s="183">
        <f>INDEX($K733:$O733,SUMIF(cbal!I$280:I$296,$B733,cbal!$D$280:$D$296)+1)</f>
        <v>0</v>
      </c>
      <c r="K733" s="1577">
        <v>0</v>
      </c>
      <c r="L733" s="1587">
        <v>10</v>
      </c>
      <c r="M733" s="1585"/>
      <c r="N733" s="1585"/>
      <c r="O733" s="1585"/>
      <c r="R733" s="91" t="b">
        <f t="shared" si="99"/>
        <v>0</v>
      </c>
      <c r="S733" s="21" t="b">
        <f t="shared" si="100"/>
        <v>0</v>
      </c>
      <c r="T733" s="97">
        <f t="shared" si="101"/>
        <v>10</v>
      </c>
    </row>
    <row r="734" spans="2:20">
      <c r="B734" s="905" t="s">
        <v>4731</v>
      </c>
      <c r="C734" s="433">
        <v>203</v>
      </c>
      <c r="D734" t="str">
        <f>VLOOKUP($C734,param!$A$4:$B$266,2)</f>
        <v>Productivity Strategy</v>
      </c>
      <c r="E734" s="183">
        <f>INDEX($K734:$O734,SUMIF(cbal!E$280:E$296,$B734,cbal!$D$280:$D$296)+1)</f>
        <v>0</v>
      </c>
      <c r="F734" s="183">
        <f>INDEX($K734:$O734,SUMIF(cbal!F$280:F$296,$B734,cbal!$D$280:$D$296)+1)</f>
        <v>0</v>
      </c>
      <c r="G734" s="183">
        <f>INDEX($K734:$O734,SUMIF(cbal!G$280:G$296,$B734,cbal!$D$280:$D$296)+1)</f>
        <v>0</v>
      </c>
      <c r="H734" s="183">
        <f>INDEX($K734:$O734,SUMIF(cbal!H$280:H$296,$B734,cbal!$D$280:$D$296)+1)</f>
        <v>0</v>
      </c>
      <c r="I734" s="183">
        <f>INDEX($K734:$O734,SUMIF(cbal!I$280:I$296,$B734,cbal!$D$280:$D$296)+1)</f>
        <v>0</v>
      </c>
      <c r="K734" s="1577">
        <v>0</v>
      </c>
      <c r="L734" s="1580">
        <f>L733</f>
        <v>10</v>
      </c>
      <c r="M734" s="1580">
        <f>L734</f>
        <v>10</v>
      </c>
      <c r="N734" s="1580">
        <f>M734</f>
        <v>10</v>
      </c>
      <c r="O734" s="1580">
        <f>N734</f>
        <v>10</v>
      </c>
      <c r="R734" s="91" t="b">
        <f t="shared" si="99"/>
        <v>0</v>
      </c>
      <c r="S734" s="21" t="b">
        <f t="shared" si="100"/>
        <v>0</v>
      </c>
      <c r="T734" s="97" t="b">
        <f t="shared" si="101"/>
        <v>0</v>
      </c>
    </row>
    <row r="735" spans="2:20">
      <c r="B735">
        <v>0</v>
      </c>
      <c r="C735" s="433">
        <v>0</v>
      </c>
      <c r="E735" s="183"/>
      <c r="F735" s="183"/>
      <c r="G735" s="183"/>
      <c r="H735" s="183"/>
      <c r="I735" s="183"/>
      <c r="K735" s="1577"/>
      <c r="L735" s="1581"/>
      <c r="M735" s="1581"/>
      <c r="N735" s="1581"/>
      <c r="O735" s="1581"/>
      <c r="R735" s="91">
        <v>0</v>
      </c>
      <c r="S735" s="21">
        <v>0</v>
      </c>
      <c r="T735" s="97">
        <v>0</v>
      </c>
    </row>
    <row r="736" spans="2:20">
      <c r="B736" t="s">
        <v>4046</v>
      </c>
      <c r="C736" t="str">
        <f>VLOOKUP(B736,DataInitiativesGrid,2,0)</f>
        <v>Distribution Routing Optimization Program - Vetera</v>
      </c>
      <c r="E736" s="183"/>
      <c r="F736" s="183"/>
      <c r="G736" s="183"/>
      <c r="H736" s="183"/>
      <c r="I736" s="183"/>
      <c r="K736" s="1577"/>
      <c r="L736" s="1581"/>
      <c r="M736" s="1581"/>
      <c r="N736" s="1581"/>
      <c r="O736" s="1581"/>
      <c r="R736" s="91">
        <v>0</v>
      </c>
      <c r="S736" s="21">
        <v>0</v>
      </c>
      <c r="T736" s="97">
        <v>0</v>
      </c>
    </row>
    <row r="737" spans="2:20">
      <c r="B737" t="s">
        <v>4046</v>
      </c>
      <c r="C737" s="433">
        <v>13</v>
      </c>
      <c r="D737" t="str">
        <f>VLOOKUP($C737,param!$A$4:$B$266,2)</f>
        <v>CSD Distribution Costs for Reg. 1</v>
      </c>
      <c r="E737" s="430">
        <f>INDEX($K737:$O737,SUMIF(cbal!E$280:E$296,$B737,cbal!$D$280:$D$296)+1)</f>
        <v>0</v>
      </c>
      <c r="F737" s="430">
        <f>INDEX($K737:$O737,SUMIF(cbal!F$280:F$296,$B737,cbal!$D$280:$D$296)+1)</f>
        <v>0</v>
      </c>
      <c r="G737" s="430">
        <f>INDEX($K737:$O737,SUMIF(cbal!G$280:G$296,$B737,cbal!$D$280:$D$296)+1)</f>
        <v>0</v>
      </c>
      <c r="H737" s="430">
        <f>INDEX($K737:$O737,SUMIF(cbal!H$280:H$296,$B737,cbal!$D$280:$D$296)+1)</f>
        <v>0</v>
      </c>
      <c r="I737" s="430">
        <f>INDEX($K737:$O737,SUMIF(cbal!I$280:I$296,$B737,cbal!$D$280:$D$296)+1)</f>
        <v>0</v>
      </c>
      <c r="K737" s="1577">
        <v>0</v>
      </c>
      <c r="L737" s="1591">
        <v>-0.05</v>
      </c>
      <c r="M737" s="1591">
        <v>-0.05</v>
      </c>
      <c r="N737" s="1591">
        <v>-0.05</v>
      </c>
      <c r="O737" s="1591">
        <v>-0.05</v>
      </c>
      <c r="R737" s="91" t="b">
        <f t="shared" ref="R737:R742" si="102">IF(AND(C737&gt;166,C737&lt;171.5),L737)</f>
        <v>0</v>
      </c>
      <c r="S737" s="21" t="b">
        <f t="shared" ref="S737:S742" si="103">IF(AND(C737&gt;166,C737&lt;171.5),M737)</f>
        <v>0</v>
      </c>
      <c r="T737" s="97" t="b">
        <f t="shared" ref="T737:T742" si="104">IF(C737=133.5,L737)</f>
        <v>0</v>
      </c>
    </row>
    <row r="738" spans="2:20">
      <c r="B738" t="s">
        <v>4046</v>
      </c>
      <c r="C738" s="433">
        <v>32</v>
      </c>
      <c r="D738" t="str">
        <f>VLOOKUP($C738,param!$A$4:$B$266,2)</f>
        <v>Breakthrough Distribution Costs for Reg. 1</v>
      </c>
      <c r="E738" s="430">
        <f>INDEX($K738:$O738,SUMIF(cbal!E$280:E$296,$B738,cbal!$D$280:$D$296)+1)</f>
        <v>0</v>
      </c>
      <c r="F738" s="430">
        <f>INDEX($K738:$O738,SUMIF(cbal!F$280:F$296,$B738,cbal!$D$280:$D$296)+1)</f>
        <v>0</v>
      </c>
      <c r="G738" s="430">
        <f>INDEX($K738:$O738,SUMIF(cbal!G$280:G$296,$B738,cbal!$D$280:$D$296)+1)</f>
        <v>0</v>
      </c>
      <c r="H738" s="430">
        <f>INDEX($K738:$O738,SUMIF(cbal!H$280:H$296,$B738,cbal!$D$280:$D$296)+1)</f>
        <v>0</v>
      </c>
      <c r="I738" s="430">
        <f>INDEX($K738:$O738,SUMIF(cbal!I$280:I$296,$B738,cbal!$D$280:$D$296)+1)</f>
        <v>0</v>
      </c>
      <c r="K738" s="1577">
        <v>0</v>
      </c>
      <c r="L738" s="1591">
        <v>-0.05</v>
      </c>
      <c r="M738" s="1591">
        <v>-0.05</v>
      </c>
      <c r="N738" s="1591">
        <v>-0.05</v>
      </c>
      <c r="O738" s="1591">
        <v>-0.05</v>
      </c>
      <c r="R738" s="91" t="b">
        <f t="shared" si="102"/>
        <v>0</v>
      </c>
      <c r="S738" s="21" t="b">
        <f t="shared" si="103"/>
        <v>0</v>
      </c>
      <c r="T738" s="97" t="b">
        <f t="shared" si="104"/>
        <v>0</v>
      </c>
    </row>
    <row r="739" spans="2:20">
      <c r="B739" t="s">
        <v>4046</v>
      </c>
      <c r="C739" s="433">
        <v>51</v>
      </c>
      <c r="D739" t="str">
        <f>VLOOKUP($C739,param!$A$4:$B$266,2)</f>
        <v>NCB Distribution Costs for Reg. 1</v>
      </c>
      <c r="E739" s="430">
        <f>INDEX($K739:$O739,SUMIF(cbal!E$280:E$296,$B739,cbal!$D$280:$D$296)+1)</f>
        <v>0</v>
      </c>
      <c r="F739" s="430">
        <f>INDEX($K739:$O739,SUMIF(cbal!F$280:F$296,$B739,cbal!$D$280:$D$296)+1)</f>
        <v>0</v>
      </c>
      <c r="G739" s="430">
        <f>INDEX($K739:$O739,SUMIF(cbal!G$280:G$296,$B739,cbal!$D$280:$D$296)+1)</f>
        <v>0</v>
      </c>
      <c r="H739" s="430">
        <f>INDEX($K739:$O739,SUMIF(cbal!H$280:H$296,$B739,cbal!$D$280:$D$296)+1)</f>
        <v>0</v>
      </c>
      <c r="I739" s="430">
        <f>INDEX($K739:$O739,SUMIF(cbal!I$280:I$296,$B739,cbal!$D$280:$D$296)+1)</f>
        <v>0</v>
      </c>
      <c r="K739" s="1577">
        <v>0</v>
      </c>
      <c r="L739" s="1591">
        <v>-0.05</v>
      </c>
      <c r="M739" s="1591">
        <v>-0.05</v>
      </c>
      <c r="N739" s="1591">
        <v>-0.05</v>
      </c>
      <c r="O739" s="1591">
        <v>-0.05</v>
      </c>
      <c r="R739" s="91" t="b">
        <f t="shared" si="102"/>
        <v>0</v>
      </c>
      <c r="S739" s="21" t="b">
        <f t="shared" si="103"/>
        <v>0</v>
      </c>
      <c r="T739" s="97" t="b">
        <f t="shared" si="104"/>
        <v>0</v>
      </c>
    </row>
    <row r="740" spans="2:20">
      <c r="B740" t="s">
        <v>4046</v>
      </c>
      <c r="C740" s="433">
        <v>70</v>
      </c>
      <c r="D740" t="str">
        <f>VLOOKUP($C740,param!$A$4:$B$266,2)</f>
        <v>F&amp;S Distribution Costs for Reg. 1</v>
      </c>
      <c r="E740" s="430">
        <f>INDEX($K740:$O740,SUMIF(cbal!E$280:E$296,$B740,cbal!$D$280:$D$296)+1)</f>
        <v>0</v>
      </c>
      <c r="F740" s="430">
        <f>INDEX($K740:$O740,SUMIF(cbal!F$280:F$296,$B740,cbal!$D$280:$D$296)+1)</f>
        <v>0</v>
      </c>
      <c r="G740" s="430">
        <f>INDEX($K740:$O740,SUMIF(cbal!G$280:G$296,$B740,cbal!$D$280:$D$296)+1)</f>
        <v>0</v>
      </c>
      <c r="H740" s="430">
        <f>INDEX($K740:$O740,SUMIF(cbal!H$280:H$296,$B740,cbal!$D$280:$D$296)+1)</f>
        <v>0</v>
      </c>
      <c r="I740" s="430">
        <f>INDEX($K740:$O740,SUMIF(cbal!I$280:I$296,$B740,cbal!$D$280:$D$296)+1)</f>
        <v>0</v>
      </c>
      <c r="K740" s="1577">
        <v>0</v>
      </c>
      <c r="L740" s="1591">
        <v>-0.05</v>
      </c>
      <c r="M740" s="1591">
        <v>-0.05</v>
      </c>
      <c r="N740" s="1591">
        <v>-0.05</v>
      </c>
      <c r="O740" s="1591">
        <v>-0.05</v>
      </c>
      <c r="R740" s="91" t="b">
        <f t="shared" si="102"/>
        <v>0</v>
      </c>
      <c r="S740" s="21" t="b">
        <f t="shared" si="103"/>
        <v>0</v>
      </c>
      <c r="T740" s="97" t="b">
        <f t="shared" si="104"/>
        <v>0</v>
      </c>
    </row>
    <row r="741" spans="2:20">
      <c r="B741" t="s">
        <v>4046</v>
      </c>
      <c r="C741" s="433">
        <v>192</v>
      </c>
      <c r="D741" t="str">
        <f>VLOOKUP($C741,param!$A$4:$B$266,2)</f>
        <v>Waste Production Performance</v>
      </c>
      <c r="E741" s="430">
        <f>INDEX($K741:$O741,SUMIF(cbal!E$280:E$296,$B741,cbal!$D$280:$D$296)+1)</f>
        <v>0</v>
      </c>
      <c r="F741" s="430">
        <f>INDEX($K741:$O741,SUMIF(cbal!F$280:F$296,$B741,cbal!$D$280:$D$296)+1)</f>
        <v>0</v>
      </c>
      <c r="G741" s="430">
        <f>INDEX($K741:$O741,SUMIF(cbal!G$280:G$296,$B741,cbal!$D$280:$D$296)+1)</f>
        <v>0</v>
      </c>
      <c r="H741" s="430">
        <f>INDEX($K741:$O741,SUMIF(cbal!H$280:H$296,$B741,cbal!$D$280:$D$296)+1)</f>
        <v>0</v>
      </c>
      <c r="I741" s="430">
        <f>INDEX($K741:$O741,SUMIF(cbal!I$280:I$296,$B741,cbal!$D$280:$D$296)+1)</f>
        <v>0</v>
      </c>
      <c r="K741" s="1577">
        <v>0</v>
      </c>
      <c r="L741" s="1591">
        <v>0.04</v>
      </c>
      <c r="M741" s="1591">
        <v>0.04</v>
      </c>
      <c r="N741" s="1591">
        <v>0.04</v>
      </c>
      <c r="O741" s="1591">
        <v>0.04</v>
      </c>
      <c r="R741" s="91" t="b">
        <f t="shared" si="102"/>
        <v>0</v>
      </c>
      <c r="S741" s="21" t="b">
        <f t="shared" si="103"/>
        <v>0</v>
      </c>
      <c r="T741" s="97" t="b">
        <f t="shared" si="104"/>
        <v>0</v>
      </c>
    </row>
    <row r="742" spans="2:20">
      <c r="B742" t="s">
        <v>4046</v>
      </c>
      <c r="C742" s="433">
        <v>191</v>
      </c>
      <c r="D742" t="str">
        <f>VLOOKUP($C742,param!$A$4:$B$266,2)</f>
        <v>Energy Usage Performance</v>
      </c>
      <c r="E742" s="430">
        <f>INDEX($K742:$O742,SUMIF(cbal!E$280:E$296,$B742,cbal!$D$280:$D$296)+1)</f>
        <v>0</v>
      </c>
      <c r="F742" s="430">
        <f>INDEX($K742:$O742,SUMIF(cbal!F$280:F$296,$B742,cbal!$D$280:$D$296)+1)</f>
        <v>0</v>
      </c>
      <c r="G742" s="430">
        <f>INDEX($K742:$O742,SUMIF(cbal!G$280:G$296,$B742,cbal!$D$280:$D$296)+1)</f>
        <v>0</v>
      </c>
      <c r="H742" s="430">
        <f>INDEX($K742:$O742,SUMIF(cbal!H$280:H$296,$B742,cbal!$D$280:$D$296)+1)</f>
        <v>0</v>
      </c>
      <c r="I742" s="430">
        <f>INDEX($K742:$O742,SUMIF(cbal!I$280:I$296,$B742,cbal!$D$280:$D$296)+1)</f>
        <v>0</v>
      </c>
      <c r="K742" s="1577">
        <v>0</v>
      </c>
      <c r="L742" s="1591">
        <v>0.04</v>
      </c>
      <c r="M742" s="1591">
        <v>0.04</v>
      </c>
      <c r="N742" s="1591">
        <v>0.04</v>
      </c>
      <c r="O742" s="1591">
        <v>0.04</v>
      </c>
      <c r="R742" s="91" t="b">
        <f t="shared" si="102"/>
        <v>0</v>
      </c>
      <c r="S742" s="21" t="b">
        <f t="shared" si="103"/>
        <v>0</v>
      </c>
      <c r="T742" s="97" t="b">
        <f t="shared" si="104"/>
        <v>0</v>
      </c>
    </row>
    <row r="743" spans="2:20">
      <c r="B743" t="s">
        <v>4046</v>
      </c>
      <c r="C743" s="433">
        <v>167</v>
      </c>
      <c r="D743" t="str">
        <f>VLOOKUP($C743,param!$A$4:$B$266,2)</f>
        <v>Special Program Expense</v>
      </c>
      <c r="E743" s="183">
        <f>INDEX($K743:$O743,SUMIF(cbal!E$280:E$296,$B743,cbal!$D$280:$D$296)+1)</f>
        <v>0</v>
      </c>
      <c r="F743" s="183">
        <f>INDEX($K743:$O743,SUMIF(cbal!F$280:F$296,$B743,cbal!$D$280:$D$296)+1)</f>
        <v>0</v>
      </c>
      <c r="G743" s="183">
        <f>INDEX($K743:$O743,SUMIF(cbal!G$280:G$296,$B743,cbal!$D$280:$D$296)+1)</f>
        <v>0</v>
      </c>
      <c r="H743" s="183">
        <f>INDEX($K743:$O743,SUMIF(cbal!H$280:H$296,$B743,cbal!$D$280:$D$296)+1)</f>
        <v>0</v>
      </c>
      <c r="I743" s="183">
        <f>INDEX($K743:$O743,SUMIF(cbal!I$280:I$296,$B743,cbal!$D$280:$D$296)+1)</f>
        <v>0</v>
      </c>
      <c r="K743" s="1577">
        <v>0</v>
      </c>
      <c r="L743" s="1582">
        <v>3350000</v>
      </c>
      <c r="M743" s="1582">
        <v>3350000</v>
      </c>
      <c r="N743" s="1582">
        <v>3350000</v>
      </c>
      <c r="O743" s="1582">
        <v>3350000</v>
      </c>
      <c r="R743" s="91">
        <f>IF(AND(C743&gt;166,C743&lt;171.5),L743)</f>
        <v>3350000</v>
      </c>
      <c r="S743" s="21">
        <f>IF(AND(C743&gt;166,C743&lt;171.5),M743)</f>
        <v>3350000</v>
      </c>
      <c r="T743" s="97" t="b">
        <f>IF(C743=133.5,L743)</f>
        <v>0</v>
      </c>
    </row>
    <row r="744" spans="2:20">
      <c r="B744" t="s">
        <v>4046</v>
      </c>
      <c r="C744" s="433">
        <v>133.5</v>
      </c>
      <c r="D744" t="str">
        <f>VLOOKUP($C744,param!$A$4:$B$266,2)</f>
        <v>MTU Initiatives Allocation</v>
      </c>
      <c r="E744" s="183">
        <f>INDEX($K744:$O744,SUMIF(cbal!E$280:E$296,$B744,cbal!$D$280:$D$296)+1)</f>
        <v>0</v>
      </c>
      <c r="F744" s="183">
        <f>INDEX($K744:$O744,SUMIF(cbal!F$280:F$296,$B744,cbal!$D$280:$D$296)+1)</f>
        <v>0</v>
      </c>
      <c r="G744" s="183">
        <f>INDEX($K744:$O744,SUMIF(cbal!G$280:G$296,$B744,cbal!$D$280:$D$296)+1)</f>
        <v>0</v>
      </c>
      <c r="H744" s="183">
        <f>INDEX($K744:$O744,SUMIF(cbal!H$280:H$296,$B744,cbal!$D$280:$D$296)+1)</f>
        <v>0</v>
      </c>
      <c r="I744" s="183">
        <f>INDEX($K744:$O744,SUMIF(cbal!I$280:I$296,$B744,cbal!$D$280:$D$296)+1)</f>
        <v>0</v>
      </c>
      <c r="K744" s="1577">
        <v>0</v>
      </c>
      <c r="L744" s="1587">
        <v>10</v>
      </c>
      <c r="M744" s="1585"/>
      <c r="N744" s="1585"/>
      <c r="O744" s="1585"/>
      <c r="R744" s="91" t="b">
        <f>IF(AND(C744&gt;166,C744&lt;171.5),L744)</f>
        <v>0</v>
      </c>
      <c r="S744" s="21" t="b">
        <f>IF(AND(C744&gt;166,C744&lt;171.5),M744)</f>
        <v>0</v>
      </c>
      <c r="T744" s="97">
        <f>IF(C744=133.5,L744)</f>
        <v>10</v>
      </c>
    </row>
    <row r="745" spans="2:20">
      <c r="B745" t="s">
        <v>4046</v>
      </c>
      <c r="C745" s="433">
        <v>202</v>
      </c>
      <c r="D745" t="str">
        <f>VLOOKUP($C745,param!$A$4:$B$266,2)</f>
        <v>Go-to-Market Strategy</v>
      </c>
      <c r="E745" s="183">
        <f>INDEX($K745:$O745,SUMIF(cbal!E$280:E$296,$B745,cbal!$D$280:$D$296)+1)</f>
        <v>0</v>
      </c>
      <c r="F745" s="183">
        <f>INDEX($K745:$O745,SUMIF(cbal!F$280:F$296,$B745,cbal!$D$280:$D$296)+1)</f>
        <v>0</v>
      </c>
      <c r="G745" s="183">
        <f>INDEX($K745:$O745,SUMIF(cbal!G$280:G$296,$B745,cbal!$D$280:$D$296)+1)</f>
        <v>0</v>
      </c>
      <c r="H745" s="183">
        <f>INDEX($K745:$O745,SUMIF(cbal!H$280:H$296,$B745,cbal!$D$280:$D$296)+1)</f>
        <v>0</v>
      </c>
      <c r="I745" s="183">
        <f>INDEX($K745:$O745,SUMIF(cbal!I$280:I$296,$B745,cbal!$D$280:$D$296)+1)</f>
        <v>0</v>
      </c>
      <c r="K745" s="1577">
        <v>0</v>
      </c>
      <c r="L745" s="1580">
        <f>L744/2</f>
        <v>5</v>
      </c>
      <c r="M745" s="1582">
        <f t="shared" ref="M745:O746" si="105">L745</f>
        <v>5</v>
      </c>
      <c r="N745" s="1582">
        <f t="shared" si="105"/>
        <v>5</v>
      </c>
      <c r="O745" s="1582">
        <f t="shared" si="105"/>
        <v>5</v>
      </c>
      <c r="R745" s="91" t="b">
        <f>IF(AND(C745&gt;166,C745&lt;171.5),L745)</f>
        <v>0</v>
      </c>
      <c r="S745" s="21" t="b">
        <f>IF(AND(C745&gt;166,C745&lt;171.5),M745)</f>
        <v>0</v>
      </c>
      <c r="T745" s="97" t="b">
        <f>IF(C745=133.5,L745)</f>
        <v>0</v>
      </c>
    </row>
    <row r="746" spans="2:20">
      <c r="B746" t="s">
        <v>4046</v>
      </c>
      <c r="C746" s="433">
        <v>203</v>
      </c>
      <c r="D746" t="str">
        <f>VLOOKUP($C746,param!$A$4:$B$266,2)</f>
        <v>Productivity Strategy</v>
      </c>
      <c r="E746" s="183">
        <f>INDEX($K746:$O746,SUMIF(cbal!E$280:E$296,$B746,cbal!$D$280:$D$296)+1)</f>
        <v>0</v>
      </c>
      <c r="F746" s="183">
        <f>INDEX($K746:$O746,SUMIF(cbal!F$280:F$296,$B746,cbal!$D$280:$D$296)+1)</f>
        <v>0</v>
      </c>
      <c r="G746" s="183">
        <f>INDEX($K746:$O746,SUMIF(cbal!G$280:G$296,$B746,cbal!$D$280:$D$296)+1)</f>
        <v>0</v>
      </c>
      <c r="H746" s="183">
        <f>INDEX($K746:$O746,SUMIF(cbal!H$280:H$296,$B746,cbal!$D$280:$D$296)+1)</f>
        <v>0</v>
      </c>
      <c r="I746" s="183">
        <f>INDEX($K746:$O746,SUMIF(cbal!I$280:I$296,$B746,cbal!$D$280:$D$296)+1)</f>
        <v>0</v>
      </c>
      <c r="K746" s="1577">
        <v>0</v>
      </c>
      <c r="L746" s="1580">
        <f>L744-L745</f>
        <v>5</v>
      </c>
      <c r="M746" s="1582">
        <f t="shared" si="105"/>
        <v>5</v>
      </c>
      <c r="N746" s="1582">
        <f t="shared" si="105"/>
        <v>5</v>
      </c>
      <c r="O746" s="1582">
        <f t="shared" si="105"/>
        <v>5</v>
      </c>
      <c r="R746" s="91" t="b">
        <f>IF(AND(C746&gt;166,C746&lt;171.5),L746)</f>
        <v>0</v>
      </c>
      <c r="S746" s="21" t="b">
        <f>IF(AND(C746&gt;166,C746&lt;171.5),M746)</f>
        <v>0</v>
      </c>
      <c r="T746" s="97" t="b">
        <f>IF(C746=133.5,L746)</f>
        <v>0</v>
      </c>
    </row>
    <row r="747" spans="2:20">
      <c r="B747">
        <v>0</v>
      </c>
      <c r="C747" s="433">
        <v>0</v>
      </c>
      <c r="E747" s="183"/>
      <c r="F747" s="183"/>
      <c r="G747" s="183"/>
      <c r="H747" s="183"/>
      <c r="I747" s="183"/>
      <c r="K747" s="1577"/>
      <c r="L747" s="1581"/>
      <c r="M747" s="1581"/>
      <c r="N747" s="1581"/>
      <c r="O747" s="1581"/>
      <c r="R747" s="91">
        <v>0</v>
      </c>
      <c r="S747" s="21">
        <v>0</v>
      </c>
      <c r="T747" s="97">
        <v>0</v>
      </c>
    </row>
    <row r="748" spans="2:20">
      <c r="B748" t="s">
        <v>4047</v>
      </c>
      <c r="C748" t="str">
        <f>VLOOKUP(B748,DataInitiativesGrid,2,0)</f>
        <v>Distribution Routing Optimization Program - Escendia</v>
      </c>
      <c r="E748" s="183"/>
      <c r="F748" s="183"/>
      <c r="G748" s="183"/>
      <c r="H748" s="183"/>
      <c r="I748" s="183"/>
      <c r="K748" s="1577"/>
      <c r="L748" s="1581"/>
      <c r="M748" s="1581"/>
      <c r="N748" s="1581"/>
      <c r="O748" s="1581"/>
      <c r="R748" s="91">
        <v>0</v>
      </c>
      <c r="S748" s="21">
        <v>0</v>
      </c>
      <c r="T748" s="97">
        <v>0</v>
      </c>
    </row>
    <row r="749" spans="2:20">
      <c r="B749" t="s">
        <v>4047</v>
      </c>
      <c r="C749" s="433">
        <v>14</v>
      </c>
      <c r="D749" t="str">
        <f>VLOOKUP($C749,param!$A$4:$B$266,2)</f>
        <v>CSD Distribution Costs for Reg. 2</v>
      </c>
      <c r="E749" s="430">
        <f>INDEX($K749:$O749,SUMIF(cbal!E$280:E$296,$B749,cbal!$D$280:$D$296)+1)</f>
        <v>0</v>
      </c>
      <c r="F749" s="430">
        <f>INDEX($K749:$O749,SUMIF(cbal!F$280:F$296,$B749,cbal!$D$280:$D$296)+1)</f>
        <v>0</v>
      </c>
      <c r="G749" s="430">
        <f>INDEX($K749:$O749,SUMIF(cbal!G$280:G$296,$B749,cbal!$D$280:$D$296)+1)</f>
        <v>0</v>
      </c>
      <c r="H749" s="430">
        <f>INDEX($K749:$O749,SUMIF(cbal!H$280:H$296,$B749,cbal!$D$280:$D$296)+1)</f>
        <v>0</v>
      </c>
      <c r="I749" s="430">
        <f>INDEX($K749:$O749,SUMIF(cbal!I$280:I$296,$B749,cbal!$D$280:$D$296)+1)</f>
        <v>0</v>
      </c>
      <c r="K749" s="1577">
        <v>0</v>
      </c>
      <c r="L749" s="1591">
        <v>-0.03</v>
      </c>
      <c r="M749" s="1591">
        <v>-0.03</v>
      </c>
      <c r="N749" s="1591">
        <v>-0.03</v>
      </c>
      <c r="O749" s="1591">
        <v>-0.03</v>
      </c>
      <c r="R749" s="91" t="b">
        <f t="shared" ref="R749:R754" si="106">IF(AND(C749&gt;166,C749&lt;171.5),L749)</f>
        <v>0</v>
      </c>
      <c r="S749" s="21" t="b">
        <f t="shared" ref="S749:S754" si="107">IF(AND(C749&gt;166,C749&lt;171.5),M749)</f>
        <v>0</v>
      </c>
      <c r="T749" s="97" t="b">
        <f t="shared" ref="T749:T754" si="108">IF(C749=133.5,L749)</f>
        <v>0</v>
      </c>
    </row>
    <row r="750" spans="2:20">
      <c r="B750" t="s">
        <v>4047</v>
      </c>
      <c r="C750" s="433">
        <v>33</v>
      </c>
      <c r="D750" t="str">
        <f>VLOOKUP($C750,param!$A$4:$B$266,2)</f>
        <v>Breakthrough Distribution Costs for Reg. 2</v>
      </c>
      <c r="E750" s="430">
        <f>INDEX($K750:$O750,SUMIF(cbal!E$280:E$296,$B750,cbal!$D$280:$D$296)+1)</f>
        <v>0</v>
      </c>
      <c r="F750" s="430">
        <f>INDEX($K750:$O750,SUMIF(cbal!F$280:F$296,$B750,cbal!$D$280:$D$296)+1)</f>
        <v>0</v>
      </c>
      <c r="G750" s="430">
        <f>INDEX($K750:$O750,SUMIF(cbal!G$280:G$296,$B750,cbal!$D$280:$D$296)+1)</f>
        <v>0</v>
      </c>
      <c r="H750" s="430">
        <f>INDEX($K750:$O750,SUMIF(cbal!H$280:H$296,$B750,cbal!$D$280:$D$296)+1)</f>
        <v>0</v>
      </c>
      <c r="I750" s="430">
        <f>INDEX($K750:$O750,SUMIF(cbal!I$280:I$296,$B750,cbal!$D$280:$D$296)+1)</f>
        <v>0</v>
      </c>
      <c r="K750" s="1577">
        <v>0</v>
      </c>
      <c r="L750" s="1591">
        <v>-0.03</v>
      </c>
      <c r="M750" s="1591">
        <v>-0.03</v>
      </c>
      <c r="N750" s="1591">
        <v>-0.03</v>
      </c>
      <c r="O750" s="1591">
        <v>-0.03</v>
      </c>
      <c r="R750" s="91" t="b">
        <f t="shared" si="106"/>
        <v>0</v>
      </c>
      <c r="S750" s="21" t="b">
        <f t="shared" si="107"/>
        <v>0</v>
      </c>
      <c r="T750" s="97" t="b">
        <f t="shared" si="108"/>
        <v>0</v>
      </c>
    </row>
    <row r="751" spans="2:20">
      <c r="B751" t="s">
        <v>4047</v>
      </c>
      <c r="C751" s="433">
        <v>52</v>
      </c>
      <c r="D751" t="str">
        <f>VLOOKUP($C751,param!$A$4:$B$266,2)</f>
        <v>NCB Distribution Costs for Reg. 2</v>
      </c>
      <c r="E751" s="430">
        <f>INDEX($K751:$O751,SUMIF(cbal!E$280:E$296,$B751,cbal!$D$280:$D$296)+1)</f>
        <v>0</v>
      </c>
      <c r="F751" s="430">
        <f>INDEX($K751:$O751,SUMIF(cbal!F$280:F$296,$B751,cbal!$D$280:$D$296)+1)</f>
        <v>0</v>
      </c>
      <c r="G751" s="430">
        <f>INDEX($K751:$O751,SUMIF(cbal!G$280:G$296,$B751,cbal!$D$280:$D$296)+1)</f>
        <v>0</v>
      </c>
      <c r="H751" s="430">
        <f>INDEX($K751:$O751,SUMIF(cbal!H$280:H$296,$B751,cbal!$D$280:$D$296)+1)</f>
        <v>0</v>
      </c>
      <c r="I751" s="430">
        <f>INDEX($K751:$O751,SUMIF(cbal!I$280:I$296,$B751,cbal!$D$280:$D$296)+1)</f>
        <v>0</v>
      </c>
      <c r="K751" s="1577">
        <v>0</v>
      </c>
      <c r="L751" s="1591">
        <v>-0.03</v>
      </c>
      <c r="M751" s="1591">
        <v>-0.03</v>
      </c>
      <c r="N751" s="1591">
        <v>-0.03</v>
      </c>
      <c r="O751" s="1591">
        <v>-0.03</v>
      </c>
      <c r="R751" s="91" t="b">
        <f t="shared" si="106"/>
        <v>0</v>
      </c>
      <c r="S751" s="21" t="b">
        <f t="shared" si="107"/>
        <v>0</v>
      </c>
      <c r="T751" s="97" t="b">
        <f t="shared" si="108"/>
        <v>0</v>
      </c>
    </row>
    <row r="752" spans="2:20">
      <c r="B752" t="s">
        <v>4047</v>
      </c>
      <c r="C752" s="433">
        <v>71</v>
      </c>
      <c r="D752" t="str">
        <f>VLOOKUP($C752,param!$A$4:$B$266,2)</f>
        <v>F&amp;S Distribution Costs for Reg. 2</v>
      </c>
      <c r="E752" s="430">
        <f>INDEX($K752:$O752,SUMIF(cbal!E$280:E$296,$B752,cbal!$D$280:$D$296)+1)</f>
        <v>0</v>
      </c>
      <c r="F752" s="430">
        <f>INDEX($K752:$O752,SUMIF(cbal!F$280:F$296,$B752,cbal!$D$280:$D$296)+1)</f>
        <v>0</v>
      </c>
      <c r="G752" s="430">
        <f>INDEX($K752:$O752,SUMIF(cbal!G$280:G$296,$B752,cbal!$D$280:$D$296)+1)</f>
        <v>0</v>
      </c>
      <c r="H752" s="430">
        <f>INDEX($K752:$O752,SUMIF(cbal!H$280:H$296,$B752,cbal!$D$280:$D$296)+1)</f>
        <v>0</v>
      </c>
      <c r="I752" s="430">
        <f>INDEX($K752:$O752,SUMIF(cbal!I$280:I$296,$B752,cbal!$D$280:$D$296)+1)</f>
        <v>0</v>
      </c>
      <c r="K752" s="1577">
        <v>0</v>
      </c>
      <c r="L752" s="1591">
        <v>-0.03</v>
      </c>
      <c r="M752" s="1591">
        <v>-0.03</v>
      </c>
      <c r="N752" s="1591">
        <v>-0.03</v>
      </c>
      <c r="O752" s="1591">
        <v>-0.03</v>
      </c>
      <c r="R752" s="91" t="b">
        <f t="shared" si="106"/>
        <v>0</v>
      </c>
      <c r="S752" s="21" t="b">
        <f t="shared" si="107"/>
        <v>0</v>
      </c>
      <c r="T752" s="97" t="b">
        <f t="shared" si="108"/>
        <v>0</v>
      </c>
    </row>
    <row r="753" spans="2:20">
      <c r="B753" t="s">
        <v>4047</v>
      </c>
      <c r="C753" s="433">
        <v>192</v>
      </c>
      <c r="D753" t="str">
        <f>VLOOKUP($C753,param!$A$4:$B$266,2)</f>
        <v>Waste Production Performance</v>
      </c>
      <c r="E753" s="430">
        <f>INDEX($K753:$O753,SUMIF(cbal!E$280:E$296,$B753,cbal!$D$280:$D$296)+1)</f>
        <v>0</v>
      </c>
      <c r="F753" s="430">
        <f>INDEX($K753:$O753,SUMIF(cbal!F$280:F$296,$B753,cbal!$D$280:$D$296)+1)</f>
        <v>0</v>
      </c>
      <c r="G753" s="430">
        <f>INDEX($K753:$O753,SUMIF(cbal!G$280:G$296,$B753,cbal!$D$280:$D$296)+1)</f>
        <v>0</v>
      </c>
      <c r="H753" s="430">
        <f>INDEX($K753:$O753,SUMIF(cbal!H$280:H$296,$B753,cbal!$D$280:$D$296)+1)</f>
        <v>0</v>
      </c>
      <c r="I753" s="430">
        <f>INDEX($K753:$O753,SUMIF(cbal!I$280:I$296,$B753,cbal!$D$280:$D$296)+1)</f>
        <v>0</v>
      </c>
      <c r="K753" s="1577">
        <v>0</v>
      </c>
      <c r="L753" s="1591">
        <v>0.04</v>
      </c>
      <c r="M753" s="1591">
        <v>0.04</v>
      </c>
      <c r="N753" s="1591">
        <v>0.04</v>
      </c>
      <c r="O753" s="1591">
        <v>0.04</v>
      </c>
      <c r="R753" s="91" t="b">
        <f t="shared" si="106"/>
        <v>0</v>
      </c>
      <c r="S753" s="21" t="b">
        <f t="shared" si="107"/>
        <v>0</v>
      </c>
      <c r="T753" s="97" t="b">
        <f t="shared" si="108"/>
        <v>0</v>
      </c>
    </row>
    <row r="754" spans="2:20">
      <c r="B754" t="s">
        <v>4047</v>
      </c>
      <c r="C754" s="433">
        <v>191</v>
      </c>
      <c r="D754" t="str">
        <f>VLOOKUP($C754,param!$A$4:$B$266,2)</f>
        <v>Energy Usage Performance</v>
      </c>
      <c r="E754" s="430">
        <f>INDEX($K754:$O754,SUMIF(cbal!E$280:E$296,$B754,cbal!$D$280:$D$296)+1)</f>
        <v>0</v>
      </c>
      <c r="F754" s="430">
        <f>INDEX($K754:$O754,SUMIF(cbal!F$280:F$296,$B754,cbal!$D$280:$D$296)+1)</f>
        <v>0</v>
      </c>
      <c r="G754" s="430">
        <f>INDEX($K754:$O754,SUMIF(cbal!G$280:G$296,$B754,cbal!$D$280:$D$296)+1)</f>
        <v>0</v>
      </c>
      <c r="H754" s="430">
        <f>INDEX($K754:$O754,SUMIF(cbal!H$280:H$296,$B754,cbal!$D$280:$D$296)+1)</f>
        <v>0</v>
      </c>
      <c r="I754" s="430">
        <f>INDEX($K754:$O754,SUMIF(cbal!I$280:I$296,$B754,cbal!$D$280:$D$296)+1)</f>
        <v>0</v>
      </c>
      <c r="K754" s="1577">
        <v>0</v>
      </c>
      <c r="L754" s="1591">
        <v>0.04</v>
      </c>
      <c r="M754" s="1591">
        <v>0.04</v>
      </c>
      <c r="N754" s="1591">
        <v>0.04</v>
      </c>
      <c r="O754" s="1591">
        <v>0.04</v>
      </c>
      <c r="R754" s="91" t="b">
        <f t="shared" si="106"/>
        <v>0</v>
      </c>
      <c r="S754" s="21" t="b">
        <f t="shared" si="107"/>
        <v>0</v>
      </c>
      <c r="T754" s="97" t="b">
        <f t="shared" si="108"/>
        <v>0</v>
      </c>
    </row>
    <row r="755" spans="2:20">
      <c r="B755" t="s">
        <v>4047</v>
      </c>
      <c r="C755" s="433">
        <v>167</v>
      </c>
      <c r="D755" t="str">
        <f>VLOOKUP($C755,param!$A$4:$B$266,2)</f>
        <v>Special Program Expense</v>
      </c>
      <c r="E755" s="183">
        <f>INDEX($K755:$O755,SUMIF(cbal!E$280:E$296,$B755,cbal!$D$280:$D$296)+1)</f>
        <v>0</v>
      </c>
      <c r="F755" s="183">
        <f>INDEX($K755:$O755,SUMIF(cbal!F$280:F$296,$B755,cbal!$D$280:$D$296)+1)</f>
        <v>0</v>
      </c>
      <c r="G755" s="183">
        <f>INDEX($K755:$O755,SUMIF(cbal!G$280:G$296,$B755,cbal!$D$280:$D$296)+1)</f>
        <v>0</v>
      </c>
      <c r="H755" s="183">
        <f>INDEX($K755:$O755,SUMIF(cbal!H$280:H$296,$B755,cbal!$D$280:$D$296)+1)</f>
        <v>0</v>
      </c>
      <c r="I755" s="183">
        <f>INDEX($K755:$O755,SUMIF(cbal!I$280:I$296,$B755,cbal!$D$280:$D$296)+1)</f>
        <v>0</v>
      </c>
      <c r="K755" s="1577">
        <v>0</v>
      </c>
      <c r="L755" s="1582">
        <v>3350000</v>
      </c>
      <c r="M755" s="1582">
        <v>3350000</v>
      </c>
      <c r="N755" s="1582">
        <v>3350000</v>
      </c>
      <c r="O755" s="1582">
        <v>3350000</v>
      </c>
      <c r="R755" s="91">
        <f t="shared" ref="R755:R758" si="109">IF(AND(C755&gt;166,C755&lt;171.5),L755)</f>
        <v>3350000</v>
      </c>
      <c r="S755" s="21">
        <f t="shared" ref="S755:S758" si="110">IF(AND(C755&gt;166,C755&lt;171.5),M755)</f>
        <v>3350000</v>
      </c>
      <c r="T755" s="97" t="b">
        <f t="shared" ref="T755:T758" si="111">IF(C755=133.5,L755)</f>
        <v>0</v>
      </c>
    </row>
    <row r="756" spans="2:20">
      <c r="B756" t="s">
        <v>4047</v>
      </c>
      <c r="C756" s="433">
        <v>133.5</v>
      </c>
      <c r="D756" t="str">
        <f>VLOOKUP($C756,param!$A$4:$B$266,2)</f>
        <v>MTU Initiatives Allocation</v>
      </c>
      <c r="E756" s="183">
        <f>INDEX($K756:$O756,SUMIF(cbal!E$280:E$296,$B756,cbal!$D$280:$D$296)+1)</f>
        <v>0</v>
      </c>
      <c r="F756" s="183">
        <f>INDEX($K756:$O756,SUMIF(cbal!F$280:F$296,$B756,cbal!$D$280:$D$296)+1)</f>
        <v>0</v>
      </c>
      <c r="G756" s="183">
        <f>INDEX($K756:$O756,SUMIF(cbal!G$280:G$296,$B756,cbal!$D$280:$D$296)+1)</f>
        <v>0</v>
      </c>
      <c r="H756" s="183">
        <f>INDEX($K756:$O756,SUMIF(cbal!H$280:H$296,$B756,cbal!$D$280:$D$296)+1)</f>
        <v>0</v>
      </c>
      <c r="I756" s="183">
        <f>INDEX($K756:$O756,SUMIF(cbal!I$280:I$296,$B756,cbal!$D$280:$D$296)+1)</f>
        <v>0</v>
      </c>
      <c r="K756" s="1577">
        <v>0</v>
      </c>
      <c r="L756" s="1587">
        <v>10</v>
      </c>
      <c r="M756" s="1585"/>
      <c r="N756" s="1585"/>
      <c r="O756" s="1585"/>
      <c r="R756" s="91" t="b">
        <f t="shared" si="109"/>
        <v>0</v>
      </c>
      <c r="S756" s="21" t="b">
        <f t="shared" si="110"/>
        <v>0</v>
      </c>
      <c r="T756" s="97">
        <f t="shared" si="111"/>
        <v>10</v>
      </c>
    </row>
    <row r="757" spans="2:20">
      <c r="B757" t="s">
        <v>4047</v>
      </c>
      <c r="C757" s="433">
        <v>202</v>
      </c>
      <c r="D757" t="str">
        <f>VLOOKUP($C757,param!$A$4:$B$266,2)</f>
        <v>Go-to-Market Strategy</v>
      </c>
      <c r="E757" s="183">
        <f>INDEX($K757:$O757,SUMIF(cbal!E$280:E$296,$B757,cbal!$D$280:$D$296)+1)</f>
        <v>0</v>
      </c>
      <c r="F757" s="183">
        <f>INDEX($K757:$O757,SUMIF(cbal!F$280:F$296,$B757,cbal!$D$280:$D$296)+1)</f>
        <v>0</v>
      </c>
      <c r="G757" s="183">
        <f>INDEX($K757:$O757,SUMIF(cbal!G$280:G$296,$B757,cbal!$D$280:$D$296)+1)</f>
        <v>0</v>
      </c>
      <c r="H757" s="183">
        <f>INDEX($K757:$O757,SUMIF(cbal!H$280:H$296,$B757,cbal!$D$280:$D$296)+1)</f>
        <v>0</v>
      </c>
      <c r="I757" s="183">
        <f>INDEX($K757:$O757,SUMIF(cbal!I$280:I$296,$B757,cbal!$D$280:$D$296)+1)</f>
        <v>0</v>
      </c>
      <c r="K757" s="1577">
        <v>0</v>
      </c>
      <c r="L757" s="1580">
        <f>L756/2</f>
        <v>5</v>
      </c>
      <c r="M757" s="1582">
        <f t="shared" ref="M757:O758" si="112">L757</f>
        <v>5</v>
      </c>
      <c r="N757" s="1582">
        <f t="shared" si="112"/>
        <v>5</v>
      </c>
      <c r="O757" s="1582">
        <f t="shared" si="112"/>
        <v>5</v>
      </c>
      <c r="R757" s="91" t="b">
        <f t="shared" si="109"/>
        <v>0</v>
      </c>
      <c r="S757" s="21" t="b">
        <f t="shared" si="110"/>
        <v>0</v>
      </c>
      <c r="T757" s="97" t="b">
        <f t="shared" si="111"/>
        <v>0</v>
      </c>
    </row>
    <row r="758" spans="2:20">
      <c r="B758" t="s">
        <v>4047</v>
      </c>
      <c r="C758" s="433">
        <v>203</v>
      </c>
      <c r="D758" t="str">
        <f>VLOOKUP($C758,param!$A$4:$B$266,2)</f>
        <v>Productivity Strategy</v>
      </c>
      <c r="E758" s="183">
        <f>INDEX($K758:$O758,SUMIF(cbal!E$280:E$296,$B758,cbal!$D$280:$D$296)+1)</f>
        <v>0</v>
      </c>
      <c r="F758" s="183">
        <f>INDEX($K758:$O758,SUMIF(cbal!F$280:F$296,$B758,cbal!$D$280:$D$296)+1)</f>
        <v>0</v>
      </c>
      <c r="G758" s="183">
        <f>INDEX($K758:$O758,SUMIF(cbal!G$280:G$296,$B758,cbal!$D$280:$D$296)+1)</f>
        <v>0</v>
      </c>
      <c r="H758" s="183">
        <f>INDEX($K758:$O758,SUMIF(cbal!H$280:H$296,$B758,cbal!$D$280:$D$296)+1)</f>
        <v>0</v>
      </c>
      <c r="I758" s="183">
        <f>INDEX($K758:$O758,SUMIF(cbal!I$280:I$296,$B758,cbal!$D$280:$D$296)+1)</f>
        <v>0</v>
      </c>
      <c r="K758" s="1577">
        <v>0</v>
      </c>
      <c r="L758" s="1580">
        <f>L756-L757</f>
        <v>5</v>
      </c>
      <c r="M758" s="1582">
        <f t="shared" si="112"/>
        <v>5</v>
      </c>
      <c r="N758" s="1582">
        <f t="shared" si="112"/>
        <v>5</v>
      </c>
      <c r="O758" s="1582">
        <f t="shared" si="112"/>
        <v>5</v>
      </c>
      <c r="R758" s="91" t="b">
        <f t="shared" si="109"/>
        <v>0</v>
      </c>
      <c r="S758" s="21" t="b">
        <f t="shared" si="110"/>
        <v>0</v>
      </c>
      <c r="T758" s="97" t="b">
        <f t="shared" si="111"/>
        <v>0</v>
      </c>
    </row>
    <row r="759" spans="2:20">
      <c r="B759">
        <v>0</v>
      </c>
      <c r="C759" s="433">
        <v>0</v>
      </c>
      <c r="E759" s="183"/>
      <c r="F759" s="183"/>
      <c r="G759" s="183"/>
      <c r="H759" s="183"/>
      <c r="I759" s="183"/>
      <c r="K759" s="1577"/>
      <c r="L759" s="1581"/>
      <c r="M759" s="1581"/>
      <c r="N759" s="1581"/>
      <c r="O759" s="1581"/>
      <c r="R759" s="91">
        <v>0</v>
      </c>
      <c r="S759" s="21">
        <v>0</v>
      </c>
      <c r="T759" s="97">
        <v>0</v>
      </c>
    </row>
    <row r="760" spans="2:20">
      <c r="B760" t="s">
        <v>4048</v>
      </c>
      <c r="C760" t="str">
        <f>VLOOKUP(B760,DataInitiativesGrid,2,0)</f>
        <v>Wholesaler Consolidation in Escendia</v>
      </c>
      <c r="E760" s="183"/>
      <c r="F760" s="183"/>
      <c r="G760" s="183"/>
      <c r="H760" s="183"/>
      <c r="I760" s="183"/>
      <c r="K760" s="1577"/>
      <c r="L760" s="1581"/>
      <c r="M760" s="1581"/>
      <c r="N760" s="1581"/>
      <c r="O760" s="1581"/>
      <c r="R760" s="91">
        <v>0</v>
      </c>
      <c r="S760" s="21">
        <v>0</v>
      </c>
      <c r="T760" s="97">
        <v>0</v>
      </c>
    </row>
    <row r="761" spans="2:20">
      <c r="B761" t="s">
        <v>4048</v>
      </c>
      <c r="C761" s="433">
        <v>14</v>
      </c>
      <c r="D761" t="str">
        <f>VLOOKUP($C761,param!$A$4:$B$266,2)</f>
        <v>CSD Distribution Costs for Reg. 2</v>
      </c>
      <c r="E761" s="430">
        <v>0</v>
      </c>
      <c r="F761" s="430">
        <v>0</v>
      </c>
      <c r="G761" s="430">
        <v>0</v>
      </c>
      <c r="H761" s="430">
        <v>0</v>
      </c>
      <c r="I761" s="430">
        <v>0</v>
      </c>
      <c r="K761" s="1577">
        <v>0</v>
      </c>
      <c r="L761" s="1591">
        <v>-0.06</v>
      </c>
      <c r="M761" s="1591">
        <v>-0.06</v>
      </c>
      <c r="N761" s="1591">
        <v>-0.06</v>
      </c>
      <c r="O761" s="1591">
        <v>-0.06</v>
      </c>
      <c r="R761" s="91">
        <v>0</v>
      </c>
      <c r="S761" s="21">
        <v>0</v>
      </c>
      <c r="T761" s="97">
        <v>0</v>
      </c>
    </row>
    <row r="762" spans="2:20">
      <c r="B762" t="s">
        <v>4048</v>
      </c>
      <c r="C762" s="433">
        <v>33</v>
      </c>
      <c r="D762" t="str">
        <f>VLOOKUP($C762,param!$A$4:$B$266,2)</f>
        <v>Breakthrough Distribution Costs for Reg. 2</v>
      </c>
      <c r="E762" s="430">
        <v>0</v>
      </c>
      <c r="F762" s="430">
        <v>0</v>
      </c>
      <c r="G762" s="430">
        <v>0</v>
      </c>
      <c r="H762" s="430">
        <v>0</v>
      </c>
      <c r="I762" s="430">
        <v>0</v>
      </c>
      <c r="K762" s="1577">
        <v>0</v>
      </c>
      <c r="L762" s="1591">
        <v>-0.06</v>
      </c>
      <c r="M762" s="1591">
        <v>-0.06</v>
      </c>
      <c r="N762" s="1591">
        <v>-0.06</v>
      </c>
      <c r="O762" s="1591">
        <v>-0.06</v>
      </c>
      <c r="R762" s="91">
        <v>0</v>
      </c>
      <c r="S762" s="21">
        <v>0</v>
      </c>
      <c r="T762" s="97">
        <v>0</v>
      </c>
    </row>
    <row r="763" spans="2:20">
      <c r="B763" t="s">
        <v>4048</v>
      </c>
      <c r="C763" s="433">
        <v>52</v>
      </c>
      <c r="D763" t="str">
        <f>VLOOKUP($C763,param!$A$4:$B$266,2)</f>
        <v>NCB Distribution Costs for Reg. 2</v>
      </c>
      <c r="E763" s="430">
        <v>0</v>
      </c>
      <c r="F763" s="430">
        <v>0</v>
      </c>
      <c r="G763" s="430">
        <v>0</v>
      </c>
      <c r="H763" s="430">
        <v>0</v>
      </c>
      <c r="I763" s="430">
        <v>0</v>
      </c>
      <c r="K763" s="1577">
        <v>0</v>
      </c>
      <c r="L763" s="1591">
        <v>-0.06</v>
      </c>
      <c r="M763" s="1591">
        <v>-0.06</v>
      </c>
      <c r="N763" s="1591">
        <v>-0.06</v>
      </c>
      <c r="O763" s="1591">
        <v>-0.06</v>
      </c>
      <c r="R763" s="91">
        <v>0</v>
      </c>
      <c r="S763" s="21">
        <v>0</v>
      </c>
      <c r="T763" s="97">
        <v>0</v>
      </c>
    </row>
    <row r="764" spans="2:20">
      <c r="B764" t="s">
        <v>4048</v>
      </c>
      <c r="C764" s="433">
        <v>71</v>
      </c>
      <c r="D764" t="str">
        <f>VLOOKUP($C764,param!$A$4:$B$266,2)</f>
        <v>F&amp;S Distribution Costs for Reg. 2</v>
      </c>
      <c r="E764" s="430">
        <v>0</v>
      </c>
      <c r="F764" s="430">
        <v>0</v>
      </c>
      <c r="G764" s="430">
        <v>0</v>
      </c>
      <c r="H764" s="430">
        <v>0</v>
      </c>
      <c r="I764" s="430">
        <v>0</v>
      </c>
      <c r="K764" s="1577">
        <v>0</v>
      </c>
      <c r="L764" s="1591">
        <v>-0.06</v>
      </c>
      <c r="M764" s="1591">
        <v>-0.06</v>
      </c>
      <c r="N764" s="1591">
        <v>-0.06</v>
      </c>
      <c r="O764" s="1591">
        <v>-0.06</v>
      </c>
      <c r="R764" s="91">
        <v>0</v>
      </c>
      <c r="S764" s="21">
        <v>0</v>
      </c>
      <c r="T764" s="97">
        <v>0</v>
      </c>
    </row>
    <row r="765" spans="2:20">
      <c r="B765" t="s">
        <v>4048</v>
      </c>
      <c r="C765" s="433">
        <v>176</v>
      </c>
      <c r="D765" t="str">
        <f>VLOOKUP($C765,param!$A$4:$B$266,2)</f>
        <v>Region 2 Special Program Success CSD</v>
      </c>
      <c r="E765" s="430">
        <v>0</v>
      </c>
      <c r="F765" s="430">
        <v>0</v>
      </c>
      <c r="G765" s="430">
        <v>0</v>
      </c>
      <c r="H765" s="430">
        <v>0</v>
      </c>
      <c r="I765" s="430">
        <v>0</v>
      </c>
      <c r="K765" s="1577">
        <v>0</v>
      </c>
      <c r="L765" s="1591">
        <v>0.04</v>
      </c>
      <c r="M765" s="1591">
        <v>0.04</v>
      </c>
      <c r="N765" s="1591">
        <v>0.04</v>
      </c>
      <c r="O765" s="1591">
        <v>0.04</v>
      </c>
      <c r="R765" s="91">
        <v>0</v>
      </c>
      <c r="S765" s="21">
        <v>0</v>
      </c>
      <c r="T765" s="97">
        <v>0</v>
      </c>
    </row>
    <row r="766" spans="2:20">
      <c r="B766" t="s">
        <v>4048</v>
      </c>
      <c r="C766" s="433">
        <f>C765+1</f>
        <v>177</v>
      </c>
      <c r="D766" t="str">
        <f>VLOOKUP($C766,param!$A$4:$B$266,2)</f>
        <v>Region 2 Special Program Success CSD</v>
      </c>
      <c r="E766" s="430">
        <v>0</v>
      </c>
      <c r="F766" s="430">
        <v>0</v>
      </c>
      <c r="G766" s="430">
        <v>0</v>
      </c>
      <c r="H766" s="430">
        <v>0</v>
      </c>
      <c r="I766" s="430">
        <v>0</v>
      </c>
      <c r="K766" s="1577">
        <v>0</v>
      </c>
      <c r="L766" s="1591">
        <v>0.04</v>
      </c>
      <c r="M766" s="1591">
        <v>0.04</v>
      </c>
      <c r="N766" s="1591">
        <v>0.04</v>
      </c>
      <c r="O766" s="1591">
        <v>0.04</v>
      </c>
      <c r="R766" s="91">
        <v>0</v>
      </c>
      <c r="S766" s="21">
        <v>0</v>
      </c>
      <c r="T766" s="97">
        <v>0</v>
      </c>
    </row>
    <row r="767" spans="2:20">
      <c r="B767" t="s">
        <v>4048</v>
      </c>
      <c r="C767" s="433">
        <f>C766+1</f>
        <v>178</v>
      </c>
      <c r="D767" t="str">
        <f>VLOOKUP($C767,param!$A$4:$B$266,2)</f>
        <v>Region 2 Special Program Success NCB</v>
      </c>
      <c r="E767" s="430">
        <v>0</v>
      </c>
      <c r="F767" s="430">
        <v>0</v>
      </c>
      <c r="G767" s="430">
        <v>0</v>
      </c>
      <c r="H767" s="430">
        <v>0</v>
      </c>
      <c r="I767" s="430">
        <v>0</v>
      </c>
      <c r="K767" s="1577">
        <v>0</v>
      </c>
      <c r="L767" s="1591">
        <v>0.04</v>
      </c>
      <c r="M767" s="1591">
        <v>0.04</v>
      </c>
      <c r="N767" s="1591">
        <v>0.04</v>
      </c>
      <c r="O767" s="1591">
        <v>0.04</v>
      </c>
      <c r="R767" s="91">
        <v>0</v>
      </c>
      <c r="S767" s="21">
        <v>0</v>
      </c>
      <c r="T767" s="97">
        <v>0</v>
      </c>
    </row>
    <row r="768" spans="2:20">
      <c r="B768" t="s">
        <v>4048</v>
      </c>
      <c r="C768" s="433">
        <f>C767+1</f>
        <v>179</v>
      </c>
      <c r="D768" t="str">
        <f>VLOOKUP($C768,param!$A$4:$B$266,2)</f>
        <v>Region 2 Special Program Success F&amp;S</v>
      </c>
      <c r="E768" s="430">
        <v>0</v>
      </c>
      <c r="F768" s="430">
        <v>0</v>
      </c>
      <c r="G768" s="430">
        <v>0</v>
      </c>
      <c r="H768" s="430">
        <v>0</v>
      </c>
      <c r="I768" s="430">
        <v>0</v>
      </c>
      <c r="K768" s="1577">
        <v>0</v>
      </c>
      <c r="L768" s="1591">
        <v>0.04</v>
      </c>
      <c r="M768" s="1591">
        <v>0.04</v>
      </c>
      <c r="N768" s="1591">
        <v>0.04</v>
      </c>
      <c r="O768" s="1591">
        <v>0.04</v>
      </c>
      <c r="R768" s="91">
        <v>0</v>
      </c>
      <c r="S768" s="21">
        <v>0</v>
      </c>
      <c r="T768" s="97">
        <v>0</v>
      </c>
    </row>
    <row r="769" spans="2:20">
      <c r="B769" t="s">
        <v>4048</v>
      </c>
      <c r="C769" s="433">
        <v>117.1</v>
      </c>
      <c r="D769" t="str">
        <f>VLOOKUP($C769,param!$A$4:$B$266,2)</f>
        <v>Upper Region Sales Force Effectiveness</v>
      </c>
      <c r="E769" s="430">
        <v>0</v>
      </c>
      <c r="F769" s="430">
        <v>0</v>
      </c>
      <c r="G769" s="430">
        <v>0</v>
      </c>
      <c r="H769" s="430">
        <v>0</v>
      </c>
      <c r="I769" s="430">
        <v>0</v>
      </c>
      <c r="K769" s="1577">
        <v>0</v>
      </c>
      <c r="L769" s="1591">
        <v>0.09</v>
      </c>
      <c r="M769" s="1591">
        <v>0.09</v>
      </c>
      <c r="N769" s="1591">
        <v>0.09</v>
      </c>
      <c r="O769" s="1591">
        <v>0.09</v>
      </c>
      <c r="R769" s="91">
        <v>0</v>
      </c>
      <c r="S769" s="21" t="b">
        <f t="shared" ref="S769:S797" si="113">IF(AND(C769&gt;166,C769&lt;171.5),M769)</f>
        <v>0</v>
      </c>
      <c r="T769" s="97" t="b">
        <f t="shared" ref="T769:T855" si="114">IF(C769=133.5,L769)</f>
        <v>0</v>
      </c>
    </row>
    <row r="770" spans="2:20">
      <c r="B770" t="s">
        <v>4048</v>
      </c>
      <c r="C770" s="433">
        <v>167</v>
      </c>
      <c r="D770" t="str">
        <f>VLOOKUP($C770,param!$A$4:$B$266,2)</f>
        <v>Special Program Expense</v>
      </c>
      <c r="E770" s="183">
        <f>INDEX($K770:$O770,SUMIF(cbal!E$280:E$296,$B770,cbal!$D$280:$D$296)+1)</f>
        <v>0</v>
      </c>
      <c r="F770" s="183">
        <f>INDEX($K770:$O770,SUMIF(cbal!F$280:F$296,$B770,cbal!$D$280:$D$296)+1)</f>
        <v>0</v>
      </c>
      <c r="G770" s="183">
        <f>INDEX($K770:$O770,SUMIF(cbal!G$280:G$296,$B770,cbal!$D$280:$D$296)+1)</f>
        <v>0</v>
      </c>
      <c r="H770" s="183">
        <f>INDEX($K770:$O770,SUMIF(cbal!H$280:H$296,$B770,cbal!$D$280:$D$296)+1)</f>
        <v>0</v>
      </c>
      <c r="I770" s="183">
        <f>INDEX($K770:$O770,SUMIF(cbal!I$280:I$296,$B770,cbal!$D$280:$D$296)+1)</f>
        <v>0</v>
      </c>
      <c r="K770" s="1577">
        <v>0</v>
      </c>
      <c r="L770" s="1587">
        <v>2250000</v>
      </c>
      <c r="M770" s="1587">
        <v>600000</v>
      </c>
      <c r="N770" s="1587">
        <v>600000</v>
      </c>
      <c r="O770" s="1587">
        <v>600000</v>
      </c>
      <c r="R770" s="91">
        <f t="shared" ref="R770:R797" si="115">IF(AND(C770&gt;166,C770&lt;171.5),L770)</f>
        <v>2250000</v>
      </c>
      <c r="S770" s="21">
        <f t="shared" si="113"/>
        <v>600000</v>
      </c>
      <c r="T770" s="97" t="b">
        <f t="shared" si="114"/>
        <v>0</v>
      </c>
    </row>
    <row r="771" spans="2:20">
      <c r="B771" t="s">
        <v>4048</v>
      </c>
      <c r="C771" s="433">
        <v>133.5</v>
      </c>
      <c r="D771" t="str">
        <f>VLOOKUP($C771,param!$A$4:$B$266,2)</f>
        <v>MTU Initiatives Allocation</v>
      </c>
      <c r="E771" s="183">
        <f>INDEX($K771:$O771,SUMIF(cbal!E$280:E$296,$B771,cbal!$D$280:$D$296)+1)</f>
        <v>0</v>
      </c>
      <c r="F771" s="183">
        <f>INDEX($K771:$O771,SUMIF(cbal!F$280:F$296,$B771,cbal!$D$280:$D$296)+1)</f>
        <v>0</v>
      </c>
      <c r="G771" s="183">
        <f>INDEX($K771:$O771,SUMIF(cbal!G$280:G$296,$B771,cbal!$D$280:$D$296)+1)</f>
        <v>0</v>
      </c>
      <c r="H771" s="183">
        <f>INDEX($K771:$O771,SUMIF(cbal!H$280:H$296,$B771,cbal!$D$280:$D$296)+1)</f>
        <v>0</v>
      </c>
      <c r="I771" s="183">
        <f>INDEX($K771:$O771,SUMIF(cbal!I$280:I$296,$B771,cbal!$D$280:$D$296)+1)</f>
        <v>0</v>
      </c>
      <c r="K771" s="1577">
        <v>0</v>
      </c>
      <c r="L771" s="1587">
        <v>10</v>
      </c>
      <c r="M771" s="1587"/>
      <c r="N771" s="1587"/>
      <c r="O771" s="1587"/>
      <c r="R771" s="91" t="b">
        <f t="shared" si="115"/>
        <v>0</v>
      </c>
      <c r="S771" s="21" t="b">
        <f t="shared" si="113"/>
        <v>0</v>
      </c>
      <c r="T771" s="97">
        <f t="shared" si="114"/>
        <v>10</v>
      </c>
    </row>
    <row r="772" spans="2:20">
      <c r="B772" t="s">
        <v>4048</v>
      </c>
      <c r="C772" s="433">
        <v>202</v>
      </c>
      <c r="D772" t="str">
        <f>VLOOKUP($C772,param!$A$4:$B$266,2)</f>
        <v>Go-to-Market Strategy</v>
      </c>
      <c r="E772" s="183">
        <f>INDEX($K772:$O772,SUMIF(cbal!E$280:E$296,$B772,cbal!$D$280:$D$296)+1)</f>
        <v>0</v>
      </c>
      <c r="F772" s="183">
        <f>INDEX($K772:$O772,SUMIF(cbal!F$280:F$296,$B772,cbal!$D$280:$D$296)+1)</f>
        <v>0</v>
      </c>
      <c r="G772" s="183">
        <f>INDEX($K772:$O772,SUMIF(cbal!G$280:G$296,$B772,cbal!$D$280:$D$296)+1)</f>
        <v>0</v>
      </c>
      <c r="H772" s="183">
        <f>INDEX($K772:$O772,SUMIF(cbal!H$280:H$296,$B772,cbal!$D$280:$D$296)+1)</f>
        <v>0</v>
      </c>
      <c r="I772" s="183">
        <f>INDEX($K772:$O772,SUMIF(cbal!I$280:I$296,$B772,cbal!$D$280:$D$296)+1)</f>
        <v>0</v>
      </c>
      <c r="K772" s="1577">
        <v>0</v>
      </c>
      <c r="L772" s="1580">
        <f>L771/2</f>
        <v>5</v>
      </c>
      <c r="M772" s="1582">
        <f t="shared" ref="M772:O773" si="116">L772</f>
        <v>5</v>
      </c>
      <c r="N772" s="1582">
        <f t="shared" si="116"/>
        <v>5</v>
      </c>
      <c r="O772" s="1582">
        <f t="shared" si="116"/>
        <v>5</v>
      </c>
      <c r="R772" s="91" t="b">
        <f t="shared" si="115"/>
        <v>0</v>
      </c>
      <c r="S772" s="21" t="b">
        <f t="shared" si="113"/>
        <v>0</v>
      </c>
      <c r="T772" s="97" t="b">
        <f t="shared" si="114"/>
        <v>0</v>
      </c>
    </row>
    <row r="773" spans="2:20">
      <c r="B773" t="s">
        <v>4048</v>
      </c>
      <c r="C773" s="433">
        <v>203</v>
      </c>
      <c r="D773" t="str">
        <f>VLOOKUP($C773,param!$A$4:$B$266,2)</f>
        <v>Productivity Strategy</v>
      </c>
      <c r="E773" s="183">
        <f>INDEX($K773:$O773,SUMIF(cbal!E$280:E$296,$B773,cbal!$D$280:$D$296)+1)</f>
        <v>0</v>
      </c>
      <c r="F773" s="183">
        <f>INDEX($K773:$O773,SUMIF(cbal!F$280:F$296,$B773,cbal!$D$280:$D$296)+1)</f>
        <v>0</v>
      </c>
      <c r="G773" s="183">
        <f>INDEX($K773:$O773,SUMIF(cbal!G$280:G$296,$B773,cbal!$D$280:$D$296)+1)</f>
        <v>0</v>
      </c>
      <c r="H773" s="183">
        <f>INDEX($K773:$O773,SUMIF(cbal!H$280:H$296,$B773,cbal!$D$280:$D$296)+1)</f>
        <v>0</v>
      </c>
      <c r="I773" s="183">
        <f>INDEX($K773:$O773,SUMIF(cbal!I$280:I$296,$B773,cbal!$D$280:$D$296)+1)</f>
        <v>0</v>
      </c>
      <c r="K773" s="1577">
        <v>0</v>
      </c>
      <c r="L773" s="1580">
        <f>L771-L772</f>
        <v>5</v>
      </c>
      <c r="M773" s="1582">
        <f t="shared" si="116"/>
        <v>5</v>
      </c>
      <c r="N773" s="1582">
        <f t="shared" si="116"/>
        <v>5</v>
      </c>
      <c r="O773" s="1582">
        <f t="shared" si="116"/>
        <v>5</v>
      </c>
      <c r="R773" s="91" t="b">
        <f t="shared" si="115"/>
        <v>0</v>
      </c>
      <c r="S773" s="21" t="b">
        <f t="shared" si="113"/>
        <v>0</v>
      </c>
      <c r="T773" s="97" t="b">
        <f t="shared" si="114"/>
        <v>0</v>
      </c>
    </row>
    <row r="774" spans="2:20">
      <c r="B774">
        <v>0</v>
      </c>
      <c r="C774" s="433">
        <v>0</v>
      </c>
      <c r="E774" s="183"/>
      <c r="F774" s="183"/>
      <c r="G774" s="183"/>
      <c r="H774" s="183"/>
      <c r="I774" s="183"/>
      <c r="K774" s="1577"/>
      <c r="L774" s="1581"/>
      <c r="M774" s="1581"/>
      <c r="N774" s="1581"/>
      <c r="O774" s="1581"/>
      <c r="R774" s="91">
        <v>0</v>
      </c>
      <c r="S774" s="21">
        <v>0</v>
      </c>
      <c r="T774" s="97">
        <v>0</v>
      </c>
    </row>
    <row r="775" spans="2:20">
      <c r="B775" s="33" t="s">
        <v>4049</v>
      </c>
      <c r="C775" t="str">
        <f>VLOOKUP(B775,DataInitiativesGrid,2,0)</f>
        <v>Distribu-Link Program - Vetera</v>
      </c>
      <c r="E775" s="430"/>
      <c r="F775" s="430"/>
      <c r="G775" s="430"/>
      <c r="H775" s="430"/>
      <c r="I775" s="430"/>
      <c r="K775" s="1577"/>
      <c r="L775" s="1584"/>
      <c r="M775" s="1584"/>
      <c r="N775" s="1584"/>
      <c r="O775" s="1584"/>
      <c r="R775" s="91">
        <v>0</v>
      </c>
      <c r="S775" s="21">
        <v>0</v>
      </c>
      <c r="T775" s="97">
        <v>0</v>
      </c>
    </row>
    <row r="776" spans="2:20">
      <c r="B776" s="33" t="s">
        <v>4049</v>
      </c>
      <c r="C776" s="433">
        <v>12</v>
      </c>
      <c r="D776" t="str">
        <f>VLOOKUP($C776,param!$A$4:$B$266,2)</f>
        <v>CSD Inventory Handling % of Closing Value</v>
      </c>
      <c r="E776" s="430">
        <f>INDEX($K776:$O776,SUMIF(cbal!E$280:E$296,$B776,cbal!$D$280:$D$296)+1)</f>
        <v>0</v>
      </c>
      <c r="F776" s="430">
        <f>INDEX($K776:$O776,SUMIF(cbal!F$280:F$296,$B776,cbal!$D$280:$D$296)+1)</f>
        <v>0</v>
      </c>
      <c r="G776" s="430">
        <f>INDEX($K776:$O776,SUMIF(cbal!G$280:G$296,$B776,cbal!$D$280:$D$296)+1)</f>
        <v>0</v>
      </c>
      <c r="H776" s="430">
        <f>INDEX($K776:$O776,SUMIF(cbal!H$280:H$296,$B776,cbal!$D$280:$D$296)+1)</f>
        <v>0</v>
      </c>
      <c r="I776" s="430">
        <f>INDEX($K776:$O776,SUMIF(cbal!I$280:I$296,$B776,cbal!$D$280:$D$296)+1)</f>
        <v>0</v>
      </c>
      <c r="K776" s="1577">
        <v>0</v>
      </c>
      <c r="L776" s="1584">
        <v>-0.03</v>
      </c>
      <c r="M776" s="1584">
        <v>-0.03</v>
      </c>
      <c r="N776" s="1584">
        <v>-0.03</v>
      </c>
      <c r="O776" s="1584">
        <v>-0.03</v>
      </c>
      <c r="R776" s="91" t="b">
        <f t="shared" si="115"/>
        <v>0</v>
      </c>
      <c r="S776" s="21" t="b">
        <f t="shared" si="113"/>
        <v>0</v>
      </c>
      <c r="T776" s="97" t="b">
        <f>IF(C776=133.5,L776)</f>
        <v>0</v>
      </c>
    </row>
    <row r="777" spans="2:20">
      <c r="B777" s="33" t="s">
        <v>4049</v>
      </c>
      <c r="C777" s="433">
        <v>46</v>
      </c>
      <c r="D777" t="str">
        <f>VLOOKUP($C777,param!$A$4:$B$266,2)</f>
        <v>NCB Materials Inventory As % of Production</v>
      </c>
      <c r="E777" s="430">
        <f>INDEX($K777:$O777,SUMIF(cbal!E$280:E$296,$B777,cbal!$D$280:$D$296)+1)</f>
        <v>0</v>
      </c>
      <c r="F777" s="430">
        <f>INDEX($K777:$O777,SUMIF(cbal!F$280:F$296,$B777,cbal!$D$280:$D$296)+1)</f>
        <v>0</v>
      </c>
      <c r="G777" s="430">
        <f>INDEX($K777:$O777,SUMIF(cbal!G$280:G$296,$B777,cbal!$D$280:$D$296)+1)</f>
        <v>0</v>
      </c>
      <c r="H777" s="430">
        <f>INDEX($K777:$O777,SUMIF(cbal!H$280:H$296,$B777,cbal!$D$280:$D$296)+1)</f>
        <v>0</v>
      </c>
      <c r="I777" s="430">
        <f>INDEX($K777:$O777,SUMIF(cbal!I$280:I$296,$B777,cbal!$D$280:$D$296)+1)</f>
        <v>0</v>
      </c>
      <c r="K777" s="1577">
        <v>0</v>
      </c>
      <c r="L777" s="1584">
        <v>-2.5000000000000001E-2</v>
      </c>
      <c r="M777" s="1584">
        <v>-2.5000000000000001E-2</v>
      </c>
      <c r="N777" s="1584">
        <v>-2.5000000000000001E-2</v>
      </c>
      <c r="O777" s="1584">
        <v>-2.5000000000000001E-2</v>
      </c>
      <c r="R777" s="91" t="b">
        <f t="shared" si="115"/>
        <v>0</v>
      </c>
      <c r="S777" s="21" t="b">
        <f t="shared" si="113"/>
        <v>0</v>
      </c>
      <c r="T777" s="97" t="b">
        <f>IF(C777=133.5,L777)</f>
        <v>0</v>
      </c>
    </row>
    <row r="778" spans="2:20">
      <c r="B778" s="33" t="s">
        <v>4049</v>
      </c>
      <c r="C778" s="433">
        <v>65</v>
      </c>
      <c r="D778" t="str">
        <f>VLOOKUP($C778,param!$A$4:$B$266,2)</f>
        <v>F&amp;S Materials Inventory As % of Production</v>
      </c>
      <c r="E778" s="430">
        <f>INDEX($K778:$O778,SUMIF(cbal!E$280:E$296,$B778,cbal!$D$280:$D$296)+1)</f>
        <v>0</v>
      </c>
      <c r="F778" s="430">
        <f>INDEX($K778:$O778,SUMIF(cbal!F$280:F$296,$B778,cbal!$D$280:$D$296)+1)</f>
        <v>0</v>
      </c>
      <c r="G778" s="430">
        <f>INDEX($K778:$O778,SUMIF(cbal!G$280:G$296,$B778,cbal!$D$280:$D$296)+1)</f>
        <v>0</v>
      </c>
      <c r="H778" s="430">
        <f>INDEX($K778:$O778,SUMIF(cbal!H$280:H$296,$B778,cbal!$D$280:$D$296)+1)</f>
        <v>0</v>
      </c>
      <c r="I778" s="430">
        <f>INDEX($K778:$O778,SUMIF(cbal!I$280:I$296,$B778,cbal!$D$280:$D$296)+1)</f>
        <v>0</v>
      </c>
      <c r="K778" s="1577">
        <v>0</v>
      </c>
      <c r="L778" s="1584">
        <v>-0.02</v>
      </c>
      <c r="M778" s="1584">
        <v>-0.02</v>
      </c>
      <c r="N778" s="1584">
        <v>-0.02</v>
      </c>
      <c r="O778" s="1584">
        <v>-0.02</v>
      </c>
      <c r="R778" s="91" t="b">
        <f t="shared" si="115"/>
        <v>0</v>
      </c>
      <c r="S778" s="21" t="b">
        <f t="shared" si="113"/>
        <v>0</v>
      </c>
      <c r="T778" s="97" t="b">
        <f>IF(C778=133.5,L778)</f>
        <v>0</v>
      </c>
    </row>
    <row r="779" spans="2:20">
      <c r="B779" s="33" t="s">
        <v>4049</v>
      </c>
      <c r="C779" s="433">
        <v>13</v>
      </c>
      <c r="D779" t="str">
        <f>VLOOKUP($C779,param!$A$4:$B$266,2)</f>
        <v>CSD Distribution Costs for Reg. 1</v>
      </c>
      <c r="E779" s="430">
        <f>INDEX($K779:$O779,SUMIF(cbal!E$280:E$296,$B779,cbal!$D$280:$D$296)+1)</f>
        <v>0</v>
      </c>
      <c r="F779" s="430">
        <f>INDEX($K779:$O779,SUMIF(cbal!F$280:F$296,$B779,cbal!$D$280:$D$296)+1)</f>
        <v>0</v>
      </c>
      <c r="G779" s="430">
        <f>INDEX($K779:$O779,SUMIF(cbal!G$280:G$296,$B779,cbal!$D$280:$D$296)+1)</f>
        <v>0</v>
      </c>
      <c r="H779" s="430">
        <f>INDEX($K779:$O779,SUMIF(cbal!H$280:H$296,$B779,cbal!$D$280:$D$296)+1)</f>
        <v>0</v>
      </c>
      <c r="I779" s="430">
        <f>INDEX($K779:$O779,SUMIF(cbal!I$280:I$296,$B779,cbal!$D$280:$D$296)+1)</f>
        <v>0</v>
      </c>
      <c r="K779" s="1577">
        <v>0</v>
      </c>
      <c r="L779" s="1584">
        <v>-0.03</v>
      </c>
      <c r="M779" s="1584">
        <v>-0.03</v>
      </c>
      <c r="N779" s="1584">
        <v>-0.03</v>
      </c>
      <c r="O779" s="1584">
        <v>-0.03</v>
      </c>
      <c r="R779" s="91" t="b">
        <f t="shared" si="115"/>
        <v>0</v>
      </c>
      <c r="S779" s="21" t="b">
        <f t="shared" si="113"/>
        <v>0</v>
      </c>
      <c r="T779" s="97" t="b">
        <f t="shared" si="114"/>
        <v>0</v>
      </c>
    </row>
    <row r="780" spans="2:20">
      <c r="B780" s="33" t="s">
        <v>4049</v>
      </c>
      <c r="C780" s="433">
        <v>51</v>
      </c>
      <c r="D780" t="str">
        <f>VLOOKUP($C780,param!$A$4:$B$266,2)</f>
        <v>NCB Distribution Costs for Reg. 1</v>
      </c>
      <c r="E780" s="430">
        <f>INDEX($K780:$O780,SUMIF(cbal!E$280:E$296,$B780,cbal!$D$280:$D$296)+1)</f>
        <v>0</v>
      </c>
      <c r="F780" s="430">
        <f>INDEX($K780:$O780,SUMIF(cbal!F$280:F$296,$B780,cbal!$D$280:$D$296)+1)</f>
        <v>0</v>
      </c>
      <c r="G780" s="430">
        <f>INDEX($K780:$O780,SUMIF(cbal!G$280:G$296,$B780,cbal!$D$280:$D$296)+1)</f>
        <v>0</v>
      </c>
      <c r="H780" s="430">
        <f>INDEX($K780:$O780,SUMIF(cbal!H$280:H$296,$B780,cbal!$D$280:$D$296)+1)</f>
        <v>0</v>
      </c>
      <c r="I780" s="430">
        <f>INDEX($K780:$O780,SUMIF(cbal!I$280:I$296,$B780,cbal!$D$280:$D$296)+1)</f>
        <v>0</v>
      </c>
      <c r="K780" s="1577">
        <v>0</v>
      </c>
      <c r="L780" s="1584">
        <v>-0.03</v>
      </c>
      <c r="M780" s="1584">
        <v>-0.03</v>
      </c>
      <c r="N780" s="1584">
        <v>-0.03</v>
      </c>
      <c r="O780" s="1584">
        <v>-0.03</v>
      </c>
      <c r="R780" s="91" t="b">
        <f t="shared" si="115"/>
        <v>0</v>
      </c>
      <c r="S780" s="21" t="b">
        <f t="shared" si="113"/>
        <v>0</v>
      </c>
      <c r="T780" s="97" t="b">
        <f t="shared" si="114"/>
        <v>0</v>
      </c>
    </row>
    <row r="781" spans="2:20">
      <c r="B781" s="33" t="s">
        <v>4049</v>
      </c>
      <c r="C781" s="433">
        <v>32</v>
      </c>
      <c r="D781" t="str">
        <f>VLOOKUP($C781,param!$A$4:$B$266,2)</f>
        <v>Breakthrough Distribution Costs for Reg. 1</v>
      </c>
      <c r="E781" s="430">
        <f>INDEX($K781:$O781,SUMIF(cbal!E$280:E$296,$B781,cbal!$D$280:$D$296)+1)</f>
        <v>0</v>
      </c>
      <c r="F781" s="430">
        <f>INDEX($K781:$O781,SUMIF(cbal!F$280:F$296,$B781,cbal!$D$280:$D$296)+1)</f>
        <v>0</v>
      </c>
      <c r="G781" s="430">
        <f>INDEX($K781:$O781,SUMIF(cbal!G$280:G$296,$B781,cbal!$D$280:$D$296)+1)</f>
        <v>0</v>
      </c>
      <c r="H781" s="430">
        <f>INDEX($K781:$O781,SUMIF(cbal!H$280:H$296,$B781,cbal!$D$280:$D$296)+1)</f>
        <v>0</v>
      </c>
      <c r="I781" s="430">
        <f>INDEX($K781:$O781,SUMIF(cbal!I$280:I$296,$B781,cbal!$D$280:$D$296)+1)</f>
        <v>0</v>
      </c>
      <c r="K781" s="1577">
        <v>0</v>
      </c>
      <c r="L781" s="1584">
        <v>-0.03</v>
      </c>
      <c r="M781" s="1584">
        <v>-0.03</v>
      </c>
      <c r="N781" s="1584">
        <v>-0.03</v>
      </c>
      <c r="O781" s="1584">
        <v>-0.03</v>
      </c>
      <c r="R781" s="91" t="b">
        <f t="shared" si="115"/>
        <v>0</v>
      </c>
      <c r="S781" s="21" t="b">
        <f t="shared" si="113"/>
        <v>0</v>
      </c>
      <c r="T781" s="97" t="b">
        <f t="shared" si="114"/>
        <v>0</v>
      </c>
    </row>
    <row r="782" spans="2:20">
      <c r="B782" s="33" t="s">
        <v>4049</v>
      </c>
      <c r="C782" s="433">
        <v>70</v>
      </c>
      <c r="D782" t="str">
        <f>VLOOKUP($C782,param!$A$4:$B$266,2)</f>
        <v>F&amp;S Distribution Costs for Reg. 1</v>
      </c>
      <c r="E782" s="430">
        <f>INDEX($K782:$O782,SUMIF(cbal!E$280:E$296,$B782,cbal!$D$280:$D$296)+1)</f>
        <v>0</v>
      </c>
      <c r="F782" s="430">
        <f>INDEX($K782:$O782,SUMIF(cbal!F$280:F$296,$B782,cbal!$D$280:$D$296)+1)</f>
        <v>0</v>
      </c>
      <c r="G782" s="430">
        <f>INDEX($K782:$O782,SUMIF(cbal!G$280:G$296,$B782,cbal!$D$280:$D$296)+1)</f>
        <v>0</v>
      </c>
      <c r="H782" s="430">
        <f>INDEX($K782:$O782,SUMIF(cbal!H$280:H$296,$B782,cbal!$D$280:$D$296)+1)</f>
        <v>0</v>
      </c>
      <c r="I782" s="430">
        <f>INDEX($K782:$O782,SUMIF(cbal!I$280:I$296,$B782,cbal!$D$280:$D$296)+1)</f>
        <v>0</v>
      </c>
      <c r="K782" s="1577">
        <v>0</v>
      </c>
      <c r="L782" s="1584">
        <v>-0.03</v>
      </c>
      <c r="M782" s="1584">
        <v>-0.03</v>
      </c>
      <c r="N782" s="1584">
        <v>-0.03</v>
      </c>
      <c r="O782" s="1584">
        <v>-0.03</v>
      </c>
      <c r="R782" s="91" t="b">
        <f t="shared" si="115"/>
        <v>0</v>
      </c>
      <c r="S782" s="21" t="b">
        <f t="shared" si="113"/>
        <v>0</v>
      </c>
      <c r="T782" s="97" t="b">
        <f t="shared" si="114"/>
        <v>0</v>
      </c>
    </row>
    <row r="783" spans="2:20">
      <c r="B783" s="33" t="s">
        <v>4049</v>
      </c>
      <c r="C783" s="433">
        <v>76</v>
      </c>
      <c r="D783" t="str">
        <f>VLOOKUP($C783,param!$A$4:$B$266,2)</f>
        <v>F&amp;S Region A Marketing Spend Effectiveness</v>
      </c>
      <c r="E783" s="430">
        <f>INDEX($K783:$O783,SUMIF(cbal!E$280:E$296,$B783,cbal!$D$280:$D$296)+1)</f>
        <v>0</v>
      </c>
      <c r="F783" s="430">
        <f>INDEX($K783:$O783,SUMIF(cbal!F$280:F$296,$B783,cbal!$D$280:$D$296)+1)</f>
        <v>0</v>
      </c>
      <c r="G783" s="430">
        <f>INDEX($K783:$O783,SUMIF(cbal!G$280:G$296,$B783,cbal!$D$280:$D$296)+1)</f>
        <v>0</v>
      </c>
      <c r="H783" s="430">
        <f>INDEX($K783:$O783,SUMIF(cbal!H$280:H$296,$B783,cbal!$D$280:$D$296)+1)</f>
        <v>0</v>
      </c>
      <c r="I783" s="430">
        <f>INDEX($K783:$O783,SUMIF(cbal!I$280:I$296,$B783,cbal!$D$280:$D$296)+1)</f>
        <v>0</v>
      </c>
      <c r="K783" s="1577">
        <v>0</v>
      </c>
      <c r="L783" s="1584">
        <v>5.0000000000000001E-3</v>
      </c>
      <c r="M783" s="1584">
        <v>5.0000000000000001E-3</v>
      </c>
      <c r="N783" s="1584">
        <v>5.0000000000000001E-3</v>
      </c>
      <c r="O783" s="1584">
        <v>5.0000000000000001E-3</v>
      </c>
      <c r="R783" s="91" t="b">
        <f t="shared" si="115"/>
        <v>0</v>
      </c>
      <c r="S783" s="21" t="b">
        <f t="shared" si="113"/>
        <v>0</v>
      </c>
      <c r="T783" s="97" t="b">
        <f t="shared" si="114"/>
        <v>0</v>
      </c>
    </row>
    <row r="784" spans="2:20">
      <c r="B784" s="33" t="s">
        <v>4049</v>
      </c>
      <c r="C784" s="433">
        <v>43</v>
      </c>
      <c r="D784" t="str">
        <f>VLOOKUP($C784,param!$A$4:$B$266,2)</f>
        <v>NCB Region A Marketing Spend Effectiveness</v>
      </c>
      <c r="E784" s="430">
        <f>INDEX($K784:$O784,SUMIF(cbal!E$280:E$296,$B784,cbal!$D$280:$D$296)+1)</f>
        <v>0</v>
      </c>
      <c r="F784" s="430">
        <f>INDEX($K784:$O784,SUMIF(cbal!F$280:F$296,$B784,cbal!$D$280:$D$296)+1)</f>
        <v>0</v>
      </c>
      <c r="G784" s="430">
        <f>INDEX($K784:$O784,SUMIF(cbal!G$280:G$296,$B784,cbal!$D$280:$D$296)+1)</f>
        <v>0</v>
      </c>
      <c r="H784" s="430">
        <f>INDEX($K784:$O784,SUMIF(cbal!H$280:H$296,$B784,cbal!$D$280:$D$296)+1)</f>
        <v>0</v>
      </c>
      <c r="I784" s="430">
        <f>INDEX($K784:$O784,SUMIF(cbal!I$280:I$296,$B784,cbal!$D$280:$D$296)+1)</f>
        <v>0</v>
      </c>
      <c r="K784" s="1577">
        <v>0</v>
      </c>
      <c r="L784" s="1584">
        <v>5.0000000000000001E-3</v>
      </c>
      <c r="M784" s="1584">
        <v>5.0000000000000001E-3</v>
      </c>
      <c r="N784" s="1584">
        <v>5.0000000000000001E-3</v>
      </c>
      <c r="O784" s="1584">
        <v>5.0000000000000001E-3</v>
      </c>
      <c r="R784" s="91" t="b">
        <f t="shared" si="115"/>
        <v>0</v>
      </c>
      <c r="S784" s="21" t="b">
        <f t="shared" si="113"/>
        <v>0</v>
      </c>
      <c r="T784" s="97" t="b">
        <f t="shared" si="114"/>
        <v>0</v>
      </c>
    </row>
    <row r="785" spans="2:20">
      <c r="B785" s="33" t="s">
        <v>4049</v>
      </c>
      <c r="C785" s="433">
        <v>5</v>
      </c>
      <c r="D785" t="str">
        <f>VLOOKUP($C785,param!$A$4:$B$266,2)</f>
        <v>CSD Region A Marketing Spend Effectiveness</v>
      </c>
      <c r="E785" s="430">
        <f>INDEX($K785:$O785,SUMIF(cbal!E$280:E$296,$B785,cbal!$D$280:$D$296)+1)</f>
        <v>0</v>
      </c>
      <c r="F785" s="430">
        <f>INDEX($K785:$O785,SUMIF(cbal!F$280:F$296,$B785,cbal!$D$280:$D$296)+1)</f>
        <v>0</v>
      </c>
      <c r="G785" s="430">
        <f>INDEX($K785:$O785,SUMIF(cbal!G$280:G$296,$B785,cbal!$D$280:$D$296)+1)</f>
        <v>0</v>
      </c>
      <c r="H785" s="430">
        <f>INDEX($K785:$O785,SUMIF(cbal!H$280:H$296,$B785,cbal!$D$280:$D$296)+1)</f>
        <v>0</v>
      </c>
      <c r="I785" s="430">
        <f>INDEX($K785:$O785,SUMIF(cbal!I$280:I$296,$B785,cbal!$D$280:$D$296)+1)</f>
        <v>0</v>
      </c>
      <c r="K785" s="1577">
        <v>0</v>
      </c>
      <c r="L785" s="1584">
        <v>5.0000000000000001E-3</v>
      </c>
      <c r="M785" s="1584">
        <v>5.0000000000000001E-3</v>
      </c>
      <c r="N785" s="1584">
        <v>5.0000000000000001E-3</v>
      </c>
      <c r="O785" s="1584">
        <v>5.0000000000000001E-3</v>
      </c>
      <c r="R785" s="91" t="b">
        <f t="shared" si="115"/>
        <v>0</v>
      </c>
      <c r="S785" s="21" t="b">
        <f t="shared" si="113"/>
        <v>0</v>
      </c>
      <c r="T785" s="97" t="b">
        <f t="shared" si="114"/>
        <v>0</v>
      </c>
    </row>
    <row r="786" spans="2:20">
      <c r="B786" s="33" t="s">
        <v>4049</v>
      </c>
      <c r="C786" s="433">
        <v>156</v>
      </c>
      <c r="D786" t="str">
        <f>VLOOKUP($C786,param!$A$4:$B$266,2)</f>
        <v>Credit Days - Region A</v>
      </c>
      <c r="E786" s="430">
        <f>INDEX($K786:$O786,SUMIF(cbal!E$280:E$296,$B786,cbal!$D$280:$D$296)+1)</f>
        <v>0</v>
      </c>
      <c r="F786" s="430">
        <f>INDEX($K786:$O786,SUMIF(cbal!F$280:F$296,$B786,cbal!$D$280:$D$296)+1)</f>
        <v>0</v>
      </c>
      <c r="G786" s="430">
        <f>INDEX($K786:$O786,SUMIF(cbal!G$280:G$296,$B786,cbal!$D$280:$D$296)+1)</f>
        <v>0</v>
      </c>
      <c r="H786" s="430">
        <f>INDEX($K786:$O786,SUMIF(cbal!H$280:H$296,$B786,cbal!$D$280:$D$296)+1)</f>
        <v>0</v>
      </c>
      <c r="I786" s="430">
        <f>INDEX($K786:$O786,SUMIF(cbal!I$280:I$296,$B786,cbal!$D$280:$D$296)+1)</f>
        <v>0</v>
      </c>
      <c r="K786" s="1577">
        <v>0</v>
      </c>
      <c r="L786" s="1584">
        <v>-0.1</v>
      </c>
      <c r="M786" s="1584">
        <v>-0.1</v>
      </c>
      <c r="N786" s="1584">
        <v>-0.1</v>
      </c>
      <c r="O786" s="1584">
        <v>-0.1</v>
      </c>
      <c r="R786" s="91" t="b">
        <f t="shared" si="115"/>
        <v>0</v>
      </c>
      <c r="S786" s="21" t="b">
        <f t="shared" si="113"/>
        <v>0</v>
      </c>
      <c r="T786" s="97" t="b">
        <f t="shared" si="114"/>
        <v>0</v>
      </c>
    </row>
    <row r="787" spans="2:20">
      <c r="B787" s="33" t="s">
        <v>4049</v>
      </c>
      <c r="C787" s="433">
        <v>191</v>
      </c>
      <c r="D787" t="str">
        <f>VLOOKUP($C787,param!$A$4:$B$266,2)</f>
        <v>Energy Usage Performance</v>
      </c>
      <c r="E787" s="430">
        <f>INDEX($K787:$O787,SUMIF(cbal!E$280:E$296,$B787,cbal!$D$280:$D$296)+1)</f>
        <v>0</v>
      </c>
      <c r="F787" s="430">
        <f>INDEX($K787:$O787,SUMIF(cbal!F$280:F$296,$B787,cbal!$D$280:$D$296)+1)</f>
        <v>0</v>
      </c>
      <c r="G787" s="430">
        <f>INDEX($K787:$O787,SUMIF(cbal!G$280:G$296,$B787,cbal!$D$280:$D$296)+1)</f>
        <v>0</v>
      </c>
      <c r="H787" s="430">
        <f>INDEX($K787:$O787,SUMIF(cbal!H$280:H$296,$B787,cbal!$D$280:$D$296)+1)</f>
        <v>0</v>
      </c>
      <c r="I787" s="430">
        <f>INDEX($K787:$O787,SUMIF(cbal!I$280:I$296,$B787,cbal!$D$280:$D$296)+1)</f>
        <v>0</v>
      </c>
      <c r="K787" s="1577">
        <v>0</v>
      </c>
      <c r="L787" s="1584">
        <v>0.06</v>
      </c>
      <c r="M787" s="1584">
        <v>0.06</v>
      </c>
      <c r="N787" s="1584">
        <v>0.06</v>
      </c>
      <c r="O787" s="1584">
        <v>0.06</v>
      </c>
      <c r="R787" s="91" t="b">
        <f t="shared" si="115"/>
        <v>0</v>
      </c>
      <c r="S787" s="21" t="b">
        <f t="shared" si="113"/>
        <v>0</v>
      </c>
      <c r="T787" s="97" t="b">
        <f>IF(C787=133.5,L787)</f>
        <v>0</v>
      </c>
    </row>
    <row r="788" spans="2:20">
      <c r="B788" s="33" t="s">
        <v>4049</v>
      </c>
      <c r="C788" s="433">
        <v>192</v>
      </c>
      <c r="D788" t="str">
        <f>VLOOKUP($C788,param!$A$4:$B$266,2)</f>
        <v>Waste Production Performance</v>
      </c>
      <c r="E788" s="430">
        <f>INDEX($K788:$O788,SUMIF(cbal!E$280:E$296,$B788,cbal!$D$280:$D$296)+1)</f>
        <v>0</v>
      </c>
      <c r="F788" s="430">
        <f>INDEX($K788:$O788,SUMIF(cbal!F$280:F$296,$B788,cbal!$D$280:$D$296)+1)</f>
        <v>0</v>
      </c>
      <c r="G788" s="430">
        <f>INDEX($K788:$O788,SUMIF(cbal!G$280:G$296,$B788,cbal!$D$280:$D$296)+1)</f>
        <v>0</v>
      </c>
      <c r="H788" s="430">
        <f>INDEX($K788:$O788,SUMIF(cbal!H$280:H$296,$B788,cbal!$D$280:$D$296)+1)</f>
        <v>0</v>
      </c>
      <c r="I788" s="430">
        <f>INDEX($K788:$O788,SUMIF(cbal!I$280:I$296,$B788,cbal!$D$280:$D$296)+1)</f>
        <v>0</v>
      </c>
      <c r="K788" s="1577">
        <v>0</v>
      </c>
      <c r="L788" s="1584">
        <v>0.1</v>
      </c>
      <c r="M788" s="1584">
        <v>0.1</v>
      </c>
      <c r="N788" s="1584">
        <v>0.1</v>
      </c>
      <c r="O788" s="1584">
        <v>0.1</v>
      </c>
      <c r="R788" s="91" t="b">
        <f t="shared" si="115"/>
        <v>0</v>
      </c>
      <c r="S788" s="21" t="b">
        <f t="shared" si="113"/>
        <v>0</v>
      </c>
      <c r="T788" s="97" t="b">
        <f>IF(C788=133.5,L788)</f>
        <v>0</v>
      </c>
    </row>
    <row r="789" spans="2:20">
      <c r="B789" s="33" t="s">
        <v>4049</v>
      </c>
      <c r="C789" s="506">
        <v>197</v>
      </c>
      <c r="D789" t="str">
        <f>VLOOKUP($C789,param!$A$4:$B$266,2)</f>
        <v>Company Culture</v>
      </c>
      <c r="E789" s="448">
        <f>INDEX($K789:$O789,SUMIF(cbal!E$280:E$296,$B789,cbal!$D$280:$D$296)+1)</f>
        <v>0</v>
      </c>
      <c r="F789" s="448">
        <f>INDEX($K789:$O789,SUMIF(cbal!F$280:F$296,$B789,cbal!$D$280:$D$296)+1)</f>
        <v>0</v>
      </c>
      <c r="G789" s="448">
        <f>INDEX($K789:$O789,SUMIF(cbal!G$280:G$296,$B789,cbal!$D$280:$D$296)+1)</f>
        <v>0</v>
      </c>
      <c r="H789" s="448">
        <f>INDEX($K789:$O789,SUMIF(cbal!H$280:H$296,$B789,cbal!$D$280:$D$296)+1)</f>
        <v>0</v>
      </c>
      <c r="I789" s="448">
        <f>INDEX($K789:$O789,SUMIF(cbal!I$280:I$296,$B789,cbal!$D$280:$D$296)+1)</f>
        <v>0</v>
      </c>
      <c r="K789" s="1577">
        <v>0</v>
      </c>
      <c r="L789" s="1584">
        <v>0.01</v>
      </c>
      <c r="M789" s="1584">
        <v>0.02</v>
      </c>
      <c r="N789" s="1584">
        <v>0.02</v>
      </c>
      <c r="O789" s="1584">
        <v>0.02</v>
      </c>
      <c r="R789" s="91" t="b">
        <f t="shared" si="115"/>
        <v>0</v>
      </c>
      <c r="S789" s="21" t="b">
        <f t="shared" si="113"/>
        <v>0</v>
      </c>
      <c r="T789" s="97" t="b">
        <f>IF(C789=133.5,L789)</f>
        <v>0</v>
      </c>
    </row>
    <row r="790" spans="2:20">
      <c r="B790" s="33" t="s">
        <v>4049</v>
      </c>
      <c r="C790" s="433">
        <v>167</v>
      </c>
      <c r="D790" t="str">
        <f>VLOOKUP($C790,param!$A$4:$B$266,2)</f>
        <v>Special Program Expense</v>
      </c>
      <c r="E790" s="615">
        <f>INDEX($K790:$O790,SUMIF(cbal!E$280:E$296,$B790,cbal!$D$280:$D$296)+1)</f>
        <v>0</v>
      </c>
      <c r="F790" s="615">
        <f>INDEX($K790:$O790,SUMIF(cbal!F$280:F$296,$B790,cbal!$D$280:$D$296)+1)</f>
        <v>0</v>
      </c>
      <c r="G790" s="615">
        <f>INDEX($K790:$O790,SUMIF(cbal!G$280:G$296,$B790,cbal!$D$280:$D$296)+1)</f>
        <v>0</v>
      </c>
      <c r="H790" s="615">
        <f>INDEX($K790:$O790,SUMIF(cbal!H$280:H$296,$B790,cbal!$D$280:$D$296)+1)</f>
        <v>0</v>
      </c>
      <c r="I790" s="615">
        <f>INDEX($K790:$O790,SUMIF(cbal!I$280:I$296,$B790,cbal!$D$280:$D$296)+1)</f>
        <v>0</v>
      </c>
      <c r="K790" s="1577">
        <v>0</v>
      </c>
      <c r="L790" s="1580">
        <v>1800000</v>
      </c>
      <c r="M790" s="1585"/>
      <c r="N790" s="1585"/>
      <c r="O790" s="1585"/>
      <c r="R790" s="91">
        <f t="shared" si="115"/>
        <v>1800000</v>
      </c>
      <c r="S790" s="21">
        <f t="shared" si="113"/>
        <v>0</v>
      </c>
      <c r="T790" s="97" t="b">
        <f t="shared" si="114"/>
        <v>0</v>
      </c>
    </row>
    <row r="791" spans="2:20">
      <c r="B791" s="33" t="s">
        <v>4049</v>
      </c>
      <c r="C791" s="433">
        <v>133.5</v>
      </c>
      <c r="D791" t="str">
        <f>VLOOKUP($C791,param!$A$4:$B$266,2)</f>
        <v>MTU Initiatives Allocation</v>
      </c>
      <c r="E791" s="183">
        <f>INDEX($K791:$O791,SUMIF(cbal!E$280:E$296,$B791,cbal!$D$280:$D$296)+1)</f>
        <v>0</v>
      </c>
      <c r="F791" s="183">
        <f>INDEX($K791:$O791,SUMIF(cbal!F$280:F$296,$B791,cbal!$D$280:$D$296)+1)</f>
        <v>0</v>
      </c>
      <c r="G791" s="183">
        <f>INDEX($K791:$O791,SUMIF(cbal!G$280:G$296,$B791,cbal!$D$280:$D$296)+1)</f>
        <v>0</v>
      </c>
      <c r="H791" s="183">
        <f>INDEX($K791:$O791,SUMIF(cbal!H$280:H$296,$B791,cbal!$D$280:$D$296)+1)</f>
        <v>0</v>
      </c>
      <c r="I791" s="183">
        <f>INDEX($K791:$O791,SUMIF(cbal!I$280:I$296,$B791,cbal!$D$280:$D$296)+1)</f>
        <v>0</v>
      </c>
      <c r="K791" s="1577">
        <v>0</v>
      </c>
      <c r="L791" s="1587">
        <v>10</v>
      </c>
      <c r="M791" s="1587"/>
      <c r="N791" s="1587"/>
      <c r="O791" s="1587"/>
      <c r="R791" s="91" t="b">
        <f t="shared" si="115"/>
        <v>0</v>
      </c>
      <c r="S791" s="21" t="b">
        <f t="shared" si="113"/>
        <v>0</v>
      </c>
      <c r="T791" s="97">
        <f>IF(C791=133.5,L791)</f>
        <v>10</v>
      </c>
    </row>
    <row r="792" spans="2:20">
      <c r="B792" t="s">
        <v>4049</v>
      </c>
      <c r="C792" s="433">
        <v>202</v>
      </c>
      <c r="D792" t="str">
        <f>VLOOKUP($C792,param!$A$4:$B$266,2)</f>
        <v>Go-to-Market Strategy</v>
      </c>
      <c r="E792" s="183">
        <f>INDEX($K792:$O792,SUMIF(cbal!E$280:E$296,$B792,cbal!$D$280:$D$296)+1)</f>
        <v>0</v>
      </c>
      <c r="F792" s="183">
        <f>INDEX($K792:$O792,SUMIF(cbal!F$280:F$296,$B792,cbal!$D$280:$D$296)+1)</f>
        <v>0</v>
      </c>
      <c r="G792" s="183">
        <f>INDEX($K792:$O792,SUMIF(cbal!G$280:G$296,$B792,cbal!$D$280:$D$296)+1)</f>
        <v>0</v>
      </c>
      <c r="H792" s="183">
        <f>INDEX($K792:$O792,SUMIF(cbal!H$280:H$296,$B792,cbal!$D$280:$D$296)+1)</f>
        <v>0</v>
      </c>
      <c r="I792" s="183">
        <f>INDEX($K792:$O792,SUMIF(cbal!I$280:I$296,$B792,cbal!$D$280:$D$296)+1)</f>
        <v>0</v>
      </c>
      <c r="K792" s="1577">
        <v>0</v>
      </c>
      <c r="L792" s="1580">
        <f>L791</f>
        <v>10</v>
      </c>
      <c r="M792" s="1580">
        <f>L792</f>
        <v>10</v>
      </c>
      <c r="N792" s="1580">
        <f>M792</f>
        <v>10</v>
      </c>
      <c r="O792" s="1580">
        <f>N792</f>
        <v>10</v>
      </c>
      <c r="R792" s="91" t="b">
        <f>IF(AND(C792&gt;166,C792&lt;171.5),L792)</f>
        <v>0</v>
      </c>
      <c r="S792" s="21" t="b">
        <f>IF(AND(C792&gt;166,C792&lt;171.5),M792)</f>
        <v>0</v>
      </c>
      <c r="T792" s="97" t="b">
        <f>IF(C792=133.5,L792)</f>
        <v>0</v>
      </c>
    </row>
    <row r="793" spans="2:20">
      <c r="B793">
        <v>0</v>
      </c>
      <c r="C793" s="433">
        <v>0</v>
      </c>
      <c r="D793" s="33"/>
      <c r="E793" s="448"/>
      <c r="F793" s="448"/>
      <c r="G793" s="448"/>
      <c r="H793" s="448"/>
      <c r="I793" s="448"/>
      <c r="K793" s="1577"/>
      <c r="L793" s="1585"/>
      <c r="M793" s="1585"/>
      <c r="N793" s="1585"/>
      <c r="O793" s="1585"/>
      <c r="R793" s="91">
        <v>0</v>
      </c>
      <c r="S793" s="21">
        <v>0</v>
      </c>
      <c r="T793" s="97">
        <v>0</v>
      </c>
    </row>
    <row r="794" spans="2:20">
      <c r="B794" s="33" t="s">
        <v>4050</v>
      </c>
      <c r="C794" t="str">
        <f>VLOOKUP(B794,DataInitiativesGrid,2,0)</f>
        <v>Distribu-Link Program - Escendia</v>
      </c>
      <c r="E794" s="430"/>
      <c r="F794" s="430"/>
      <c r="G794" s="430"/>
      <c r="H794" s="430"/>
      <c r="I794" s="430"/>
      <c r="K794" s="1577"/>
      <c r="L794" s="1584"/>
      <c r="M794" s="1584"/>
      <c r="N794" s="1584"/>
      <c r="O794" s="1584"/>
      <c r="R794" s="91">
        <v>0</v>
      </c>
      <c r="S794" s="21">
        <v>0</v>
      </c>
      <c r="T794" s="97">
        <v>0</v>
      </c>
    </row>
    <row r="795" spans="2:20">
      <c r="B795" s="33" t="s">
        <v>4050</v>
      </c>
      <c r="C795" s="433">
        <v>12</v>
      </c>
      <c r="D795" t="str">
        <f>VLOOKUP($C795,param!$A$4:$B$266,2)</f>
        <v>CSD Inventory Handling % of Closing Value</v>
      </c>
      <c r="E795" s="430">
        <f>INDEX($K795:$O795,SUMIF(cbal!E$280:E$296,$B795,cbal!$D$280:$D$296)+1)</f>
        <v>0</v>
      </c>
      <c r="F795" s="430">
        <f>INDEX($K795:$O795,SUMIF(cbal!F$280:F$296,$B795,cbal!$D$280:$D$296)+1)</f>
        <v>0</v>
      </c>
      <c r="G795" s="430">
        <f>INDEX($K795:$O795,SUMIF(cbal!G$280:G$296,$B795,cbal!$D$280:$D$296)+1)</f>
        <v>0</v>
      </c>
      <c r="H795" s="430">
        <f>INDEX($K795:$O795,SUMIF(cbal!H$280:H$296,$B795,cbal!$D$280:$D$296)+1)</f>
        <v>0</v>
      </c>
      <c r="I795" s="430">
        <f>INDEX($K795:$O795,SUMIF(cbal!I$280:I$296,$B795,cbal!$D$280:$D$296)+1)</f>
        <v>0</v>
      </c>
      <c r="K795" s="1577">
        <v>0</v>
      </c>
      <c r="L795" s="1584">
        <v>-0.03</v>
      </c>
      <c r="M795" s="1584">
        <v>-0.03</v>
      </c>
      <c r="N795" s="1584">
        <v>-0.03</v>
      </c>
      <c r="O795" s="1584">
        <v>-0.03</v>
      </c>
      <c r="R795" s="91" t="b">
        <f t="shared" si="115"/>
        <v>0</v>
      </c>
      <c r="S795" s="21" t="b">
        <f t="shared" si="113"/>
        <v>0</v>
      </c>
      <c r="T795" s="97" t="b">
        <f>IF(C795=133.5,L795)</f>
        <v>0</v>
      </c>
    </row>
    <row r="796" spans="2:20">
      <c r="B796" s="33" t="s">
        <v>4050</v>
      </c>
      <c r="C796" s="433">
        <v>46</v>
      </c>
      <c r="D796" t="str">
        <f>VLOOKUP($C796,param!$A$4:$B$266,2)</f>
        <v>NCB Materials Inventory As % of Production</v>
      </c>
      <c r="E796" s="430">
        <f>INDEX($K796:$O796,SUMIF(cbal!E$280:E$296,$B796,cbal!$D$280:$D$296)+1)</f>
        <v>0</v>
      </c>
      <c r="F796" s="430">
        <f>INDEX($K796:$O796,SUMIF(cbal!F$280:F$296,$B796,cbal!$D$280:$D$296)+1)</f>
        <v>0</v>
      </c>
      <c r="G796" s="430">
        <f>INDEX($K796:$O796,SUMIF(cbal!G$280:G$296,$B796,cbal!$D$280:$D$296)+1)</f>
        <v>0</v>
      </c>
      <c r="H796" s="430">
        <f>INDEX($K796:$O796,SUMIF(cbal!H$280:H$296,$B796,cbal!$D$280:$D$296)+1)</f>
        <v>0</v>
      </c>
      <c r="I796" s="430">
        <f>INDEX($K796:$O796,SUMIF(cbal!I$280:I$296,$B796,cbal!$D$280:$D$296)+1)</f>
        <v>0</v>
      </c>
      <c r="K796" s="1577">
        <v>0</v>
      </c>
      <c r="L796" s="1584">
        <v>-2.5000000000000001E-2</v>
      </c>
      <c r="M796" s="1584">
        <v>-2.5000000000000001E-2</v>
      </c>
      <c r="N796" s="1584">
        <v>-2.5000000000000001E-2</v>
      </c>
      <c r="O796" s="1584">
        <v>-2.5000000000000001E-2</v>
      </c>
      <c r="R796" s="91" t="b">
        <f t="shared" si="115"/>
        <v>0</v>
      </c>
      <c r="S796" s="21" t="b">
        <f t="shared" si="113"/>
        <v>0</v>
      </c>
      <c r="T796" s="97" t="b">
        <f>IF(C796=133.5,L796)</f>
        <v>0</v>
      </c>
    </row>
    <row r="797" spans="2:20">
      <c r="B797" s="33" t="s">
        <v>4050</v>
      </c>
      <c r="C797" s="433">
        <v>65</v>
      </c>
      <c r="D797" t="str">
        <f>VLOOKUP($C797,param!$A$4:$B$266,2)</f>
        <v>F&amp;S Materials Inventory As % of Production</v>
      </c>
      <c r="E797" s="430">
        <f>INDEX($K797:$O797,SUMIF(cbal!E$280:E$296,$B797,cbal!$D$280:$D$296)+1)</f>
        <v>0</v>
      </c>
      <c r="F797" s="430">
        <f>INDEX($K797:$O797,SUMIF(cbal!F$280:F$296,$B797,cbal!$D$280:$D$296)+1)</f>
        <v>0</v>
      </c>
      <c r="G797" s="430">
        <f>INDEX($K797:$O797,SUMIF(cbal!G$280:G$296,$B797,cbal!$D$280:$D$296)+1)</f>
        <v>0</v>
      </c>
      <c r="H797" s="430">
        <f>INDEX($K797:$O797,SUMIF(cbal!H$280:H$296,$B797,cbal!$D$280:$D$296)+1)</f>
        <v>0</v>
      </c>
      <c r="I797" s="430">
        <f>INDEX($K797:$O797,SUMIF(cbal!I$280:I$296,$B797,cbal!$D$280:$D$296)+1)</f>
        <v>0</v>
      </c>
      <c r="K797" s="1577">
        <v>0</v>
      </c>
      <c r="L797" s="1584">
        <v>-0.02</v>
      </c>
      <c r="M797" s="1584">
        <v>-0.02</v>
      </c>
      <c r="N797" s="1584">
        <v>-0.02</v>
      </c>
      <c r="O797" s="1584">
        <v>-0.02</v>
      </c>
      <c r="R797" s="91" t="b">
        <f t="shared" si="115"/>
        <v>0</v>
      </c>
      <c r="S797" s="21" t="b">
        <f t="shared" si="113"/>
        <v>0</v>
      </c>
      <c r="T797" s="97" t="b">
        <f>IF(C797=133.5,L797)</f>
        <v>0</v>
      </c>
    </row>
    <row r="798" spans="2:20">
      <c r="B798" s="33" t="s">
        <v>4050</v>
      </c>
      <c r="C798" s="433">
        <v>14</v>
      </c>
      <c r="D798" t="str">
        <f>VLOOKUP($C798,param!$A$4:$B$266,2)</f>
        <v>CSD Distribution Costs for Reg. 2</v>
      </c>
      <c r="E798" s="430">
        <f>INDEX($K798:$O798,SUMIF(cbal!E$280:E$296,$B798,cbal!$D$280:$D$296)+1)</f>
        <v>0</v>
      </c>
      <c r="F798" s="430">
        <f>INDEX($K798:$O798,SUMIF(cbal!F$280:F$296,$B798,cbal!$D$280:$D$296)+1)</f>
        <v>0</v>
      </c>
      <c r="G798" s="430">
        <f>INDEX($K798:$O798,SUMIF(cbal!G$280:G$296,$B798,cbal!$D$280:$D$296)+1)</f>
        <v>0</v>
      </c>
      <c r="H798" s="430">
        <f>INDEX($K798:$O798,SUMIF(cbal!H$280:H$296,$B798,cbal!$D$280:$D$296)+1)</f>
        <v>0</v>
      </c>
      <c r="I798" s="430">
        <f>INDEX($K798:$O798,SUMIF(cbal!I$280:I$296,$B798,cbal!$D$280:$D$296)+1)</f>
        <v>0</v>
      </c>
      <c r="K798" s="1577">
        <v>0</v>
      </c>
      <c r="L798" s="1584">
        <v>-0.03</v>
      </c>
      <c r="M798" s="1584">
        <v>-0.03</v>
      </c>
      <c r="N798" s="1584">
        <v>-0.03</v>
      </c>
      <c r="O798" s="1584">
        <v>-0.03</v>
      </c>
      <c r="R798" s="91" t="b">
        <f t="shared" ref="R798:R805" si="117">IF(AND(C798&gt;166,C798&lt;171.5),L798)</f>
        <v>0</v>
      </c>
      <c r="S798" s="21" t="b">
        <f t="shared" ref="S798:S805" si="118">IF(AND(C798&gt;166,C798&lt;171.5),M798)</f>
        <v>0</v>
      </c>
      <c r="T798" s="97" t="b">
        <f t="shared" ref="T798:T805" si="119">IF(C798=133.5,L798)</f>
        <v>0</v>
      </c>
    </row>
    <row r="799" spans="2:20">
      <c r="B799" s="33" t="s">
        <v>4050</v>
      </c>
      <c r="C799" s="433">
        <v>52</v>
      </c>
      <c r="D799" t="str">
        <f>VLOOKUP($C799,param!$A$4:$B$266,2)</f>
        <v>NCB Distribution Costs for Reg. 2</v>
      </c>
      <c r="E799" s="430">
        <f>INDEX($K799:$O799,SUMIF(cbal!E$280:E$296,$B799,cbal!$D$280:$D$296)+1)</f>
        <v>0</v>
      </c>
      <c r="F799" s="430">
        <f>INDEX($K799:$O799,SUMIF(cbal!F$280:F$296,$B799,cbal!$D$280:$D$296)+1)</f>
        <v>0</v>
      </c>
      <c r="G799" s="430">
        <f>INDEX($K799:$O799,SUMIF(cbal!G$280:G$296,$B799,cbal!$D$280:$D$296)+1)</f>
        <v>0</v>
      </c>
      <c r="H799" s="430">
        <f>INDEX($K799:$O799,SUMIF(cbal!H$280:H$296,$B799,cbal!$D$280:$D$296)+1)</f>
        <v>0</v>
      </c>
      <c r="I799" s="430">
        <f>INDEX($K799:$O799,SUMIF(cbal!I$280:I$296,$B799,cbal!$D$280:$D$296)+1)</f>
        <v>0</v>
      </c>
      <c r="K799" s="1577">
        <v>0</v>
      </c>
      <c r="L799" s="1584">
        <v>-0.03</v>
      </c>
      <c r="M799" s="1584">
        <v>-0.03</v>
      </c>
      <c r="N799" s="1584">
        <v>-0.03</v>
      </c>
      <c r="O799" s="1584">
        <v>-0.03</v>
      </c>
      <c r="R799" s="91" t="b">
        <f t="shared" si="117"/>
        <v>0</v>
      </c>
      <c r="S799" s="21" t="b">
        <f t="shared" si="118"/>
        <v>0</v>
      </c>
      <c r="T799" s="97" t="b">
        <f t="shared" si="119"/>
        <v>0</v>
      </c>
    </row>
    <row r="800" spans="2:20">
      <c r="B800" s="33" t="s">
        <v>4050</v>
      </c>
      <c r="C800" s="433">
        <v>33</v>
      </c>
      <c r="D800" t="str">
        <f>VLOOKUP($C800,param!$A$4:$B$266,2)</f>
        <v>Breakthrough Distribution Costs for Reg. 2</v>
      </c>
      <c r="E800" s="430">
        <f>INDEX($K800:$O800,SUMIF(cbal!E$280:E$296,$B800,cbal!$D$280:$D$296)+1)</f>
        <v>0</v>
      </c>
      <c r="F800" s="430">
        <f>INDEX($K800:$O800,SUMIF(cbal!F$280:F$296,$B800,cbal!$D$280:$D$296)+1)</f>
        <v>0</v>
      </c>
      <c r="G800" s="430">
        <f>INDEX($K800:$O800,SUMIF(cbal!G$280:G$296,$B800,cbal!$D$280:$D$296)+1)</f>
        <v>0</v>
      </c>
      <c r="H800" s="430">
        <f>INDEX($K800:$O800,SUMIF(cbal!H$280:H$296,$B800,cbal!$D$280:$D$296)+1)</f>
        <v>0</v>
      </c>
      <c r="I800" s="430">
        <f>INDEX($K800:$O800,SUMIF(cbal!I$280:I$296,$B800,cbal!$D$280:$D$296)+1)</f>
        <v>0</v>
      </c>
      <c r="K800" s="1577">
        <v>0</v>
      </c>
      <c r="L800" s="1584">
        <v>-0.03</v>
      </c>
      <c r="M800" s="1584">
        <v>-0.03</v>
      </c>
      <c r="N800" s="1584">
        <v>-0.03</v>
      </c>
      <c r="O800" s="1584">
        <v>-0.03</v>
      </c>
      <c r="R800" s="91" t="b">
        <f t="shared" si="117"/>
        <v>0</v>
      </c>
      <c r="S800" s="21" t="b">
        <f t="shared" si="118"/>
        <v>0</v>
      </c>
      <c r="T800" s="97" t="b">
        <f t="shared" si="119"/>
        <v>0</v>
      </c>
    </row>
    <row r="801" spans="2:20">
      <c r="B801" s="33" t="s">
        <v>4050</v>
      </c>
      <c r="C801" s="433">
        <v>71</v>
      </c>
      <c r="D801" t="str">
        <f>VLOOKUP($C801,param!$A$4:$B$266,2)</f>
        <v>F&amp;S Distribution Costs for Reg. 2</v>
      </c>
      <c r="E801" s="430">
        <f>INDEX($K801:$O801,SUMIF(cbal!E$280:E$296,$B801,cbal!$D$280:$D$296)+1)</f>
        <v>0</v>
      </c>
      <c r="F801" s="430">
        <f>INDEX($K801:$O801,SUMIF(cbal!F$280:F$296,$B801,cbal!$D$280:$D$296)+1)</f>
        <v>0</v>
      </c>
      <c r="G801" s="430">
        <f>INDEX($K801:$O801,SUMIF(cbal!G$280:G$296,$B801,cbal!$D$280:$D$296)+1)</f>
        <v>0</v>
      </c>
      <c r="H801" s="430">
        <f>INDEX($K801:$O801,SUMIF(cbal!H$280:H$296,$B801,cbal!$D$280:$D$296)+1)</f>
        <v>0</v>
      </c>
      <c r="I801" s="430">
        <f>INDEX($K801:$O801,SUMIF(cbal!I$280:I$296,$B801,cbal!$D$280:$D$296)+1)</f>
        <v>0</v>
      </c>
      <c r="K801" s="1577">
        <v>0</v>
      </c>
      <c r="L801" s="1584">
        <v>-0.03</v>
      </c>
      <c r="M801" s="1584">
        <v>-0.03</v>
      </c>
      <c r="N801" s="1584">
        <v>-0.03</v>
      </c>
      <c r="O801" s="1584">
        <v>-0.03</v>
      </c>
      <c r="R801" s="91" t="b">
        <f t="shared" si="117"/>
        <v>0</v>
      </c>
      <c r="S801" s="21" t="b">
        <f t="shared" si="118"/>
        <v>0</v>
      </c>
      <c r="T801" s="97" t="b">
        <f t="shared" si="119"/>
        <v>0</v>
      </c>
    </row>
    <row r="802" spans="2:20">
      <c r="B802" s="33" t="s">
        <v>4050</v>
      </c>
      <c r="C802" s="433">
        <v>76.099999999999994</v>
      </c>
      <c r="D802" t="str">
        <f>VLOOKUP($C802,param!$A$4:$B$266,2)</f>
        <v>F&amp;S Region B Marketing Spend Effectiveness</v>
      </c>
      <c r="E802" s="430">
        <f>INDEX($K802:$O802,SUMIF(cbal!E$280:E$296,$B802,cbal!$D$280:$D$296)+1)</f>
        <v>0</v>
      </c>
      <c r="F802" s="430">
        <f>INDEX($K802:$O802,SUMIF(cbal!F$280:F$296,$B802,cbal!$D$280:$D$296)+1)</f>
        <v>0</v>
      </c>
      <c r="G802" s="430">
        <f>INDEX($K802:$O802,SUMIF(cbal!G$280:G$296,$B802,cbal!$D$280:$D$296)+1)</f>
        <v>0</v>
      </c>
      <c r="H802" s="430">
        <f>INDEX($K802:$O802,SUMIF(cbal!H$280:H$296,$B802,cbal!$D$280:$D$296)+1)</f>
        <v>0</v>
      </c>
      <c r="I802" s="430">
        <f>INDEX($K802:$O802,SUMIF(cbal!I$280:I$296,$B802,cbal!$D$280:$D$296)+1)</f>
        <v>0</v>
      </c>
      <c r="K802" s="1577">
        <v>0</v>
      </c>
      <c r="L802" s="1584">
        <v>5.0000000000000001E-3</v>
      </c>
      <c r="M802" s="1584">
        <v>5.0000000000000001E-3</v>
      </c>
      <c r="N802" s="1584">
        <v>5.0000000000000001E-3</v>
      </c>
      <c r="O802" s="1584">
        <v>5.0000000000000001E-3</v>
      </c>
      <c r="R802" s="91" t="b">
        <f t="shared" si="117"/>
        <v>0</v>
      </c>
      <c r="S802" s="21" t="b">
        <f t="shared" si="118"/>
        <v>0</v>
      </c>
      <c r="T802" s="97" t="b">
        <f t="shared" si="119"/>
        <v>0</v>
      </c>
    </row>
    <row r="803" spans="2:20">
      <c r="B803" s="33" t="s">
        <v>4050</v>
      </c>
      <c r="C803" s="433">
        <v>43.1</v>
      </c>
      <c r="D803" t="str">
        <f>VLOOKUP($C803,param!$A$4:$B$266,2)</f>
        <v>NCB Region B Marketing Spend Effectiveness</v>
      </c>
      <c r="E803" s="430">
        <f>INDEX($K803:$O803,SUMIF(cbal!E$280:E$296,$B803,cbal!$D$280:$D$296)+1)</f>
        <v>0</v>
      </c>
      <c r="F803" s="430">
        <f>INDEX($K803:$O803,SUMIF(cbal!F$280:F$296,$B803,cbal!$D$280:$D$296)+1)</f>
        <v>0</v>
      </c>
      <c r="G803" s="430">
        <f>INDEX($K803:$O803,SUMIF(cbal!G$280:G$296,$B803,cbal!$D$280:$D$296)+1)</f>
        <v>0</v>
      </c>
      <c r="H803" s="430">
        <f>INDEX($K803:$O803,SUMIF(cbal!H$280:H$296,$B803,cbal!$D$280:$D$296)+1)</f>
        <v>0</v>
      </c>
      <c r="I803" s="430">
        <f>INDEX($K803:$O803,SUMIF(cbal!I$280:I$296,$B803,cbal!$D$280:$D$296)+1)</f>
        <v>0</v>
      </c>
      <c r="K803" s="1577">
        <v>0</v>
      </c>
      <c r="L803" s="1584">
        <v>5.0000000000000001E-3</v>
      </c>
      <c r="M803" s="1584">
        <v>5.0000000000000001E-3</v>
      </c>
      <c r="N803" s="1584">
        <v>5.0000000000000001E-3</v>
      </c>
      <c r="O803" s="1584">
        <v>5.0000000000000001E-3</v>
      </c>
      <c r="R803" s="91" t="b">
        <f t="shared" si="117"/>
        <v>0</v>
      </c>
      <c r="S803" s="21" t="b">
        <f t="shared" si="118"/>
        <v>0</v>
      </c>
      <c r="T803" s="97" t="b">
        <f t="shared" si="119"/>
        <v>0</v>
      </c>
    </row>
    <row r="804" spans="2:20">
      <c r="B804" s="33" t="s">
        <v>4050</v>
      </c>
      <c r="C804" s="433">
        <v>5.0999999999999996</v>
      </c>
      <c r="D804" t="str">
        <f>VLOOKUP($C804,param!$A$4:$B$266,2)</f>
        <v>CSD Region B Marketing Spend Effectiveness</v>
      </c>
      <c r="E804" s="430">
        <f>INDEX($K804:$O804,SUMIF(cbal!E$280:E$296,$B804,cbal!$D$280:$D$296)+1)</f>
        <v>0</v>
      </c>
      <c r="F804" s="430">
        <f>INDEX($K804:$O804,SUMIF(cbal!F$280:F$296,$B804,cbal!$D$280:$D$296)+1)</f>
        <v>0</v>
      </c>
      <c r="G804" s="430">
        <f>INDEX($K804:$O804,SUMIF(cbal!G$280:G$296,$B804,cbal!$D$280:$D$296)+1)</f>
        <v>0</v>
      </c>
      <c r="H804" s="430">
        <f>INDEX($K804:$O804,SUMIF(cbal!H$280:H$296,$B804,cbal!$D$280:$D$296)+1)</f>
        <v>0</v>
      </c>
      <c r="I804" s="430">
        <f>INDEX($K804:$O804,SUMIF(cbal!I$280:I$296,$B804,cbal!$D$280:$D$296)+1)</f>
        <v>0</v>
      </c>
      <c r="K804" s="1577">
        <v>0</v>
      </c>
      <c r="L804" s="1584">
        <v>5.0000000000000001E-3</v>
      </c>
      <c r="M804" s="1584">
        <v>5.0000000000000001E-3</v>
      </c>
      <c r="N804" s="1584">
        <v>5.0000000000000001E-3</v>
      </c>
      <c r="O804" s="1584">
        <v>5.0000000000000001E-3</v>
      </c>
      <c r="R804" s="91" t="b">
        <f t="shared" si="117"/>
        <v>0</v>
      </c>
      <c r="S804" s="21" t="b">
        <f t="shared" si="118"/>
        <v>0</v>
      </c>
      <c r="T804" s="97" t="b">
        <f t="shared" si="119"/>
        <v>0</v>
      </c>
    </row>
    <row r="805" spans="2:20">
      <c r="B805" s="33" t="s">
        <v>4050</v>
      </c>
      <c r="C805" s="433">
        <v>156.1</v>
      </c>
      <c r="D805" t="str">
        <f>VLOOKUP($C805,param!$A$4:$B$266,2)</f>
        <v>Credit Days - Region B</v>
      </c>
      <c r="E805" s="430">
        <f>INDEX($K805:$O805,SUMIF(cbal!E$280:E$296,$B805,cbal!$D$280:$D$296)+1)</f>
        <v>0</v>
      </c>
      <c r="F805" s="430">
        <f>INDEX($K805:$O805,SUMIF(cbal!F$280:F$296,$B805,cbal!$D$280:$D$296)+1)</f>
        <v>0</v>
      </c>
      <c r="G805" s="430">
        <f>INDEX($K805:$O805,SUMIF(cbal!G$280:G$296,$B805,cbal!$D$280:$D$296)+1)</f>
        <v>0</v>
      </c>
      <c r="H805" s="430">
        <f>INDEX($K805:$O805,SUMIF(cbal!H$280:H$296,$B805,cbal!$D$280:$D$296)+1)</f>
        <v>0</v>
      </c>
      <c r="I805" s="430">
        <f>INDEX($K805:$O805,SUMIF(cbal!I$280:I$296,$B805,cbal!$D$280:$D$296)+1)</f>
        <v>0</v>
      </c>
      <c r="K805" s="1577">
        <v>0</v>
      </c>
      <c r="L805" s="1584">
        <v>-0.1</v>
      </c>
      <c r="M805" s="1584">
        <v>-0.1</v>
      </c>
      <c r="N805" s="1584">
        <v>-0.1</v>
      </c>
      <c r="O805" s="1584">
        <v>-0.1</v>
      </c>
      <c r="R805" s="91" t="b">
        <f t="shared" si="117"/>
        <v>0</v>
      </c>
      <c r="S805" s="21" t="b">
        <f t="shared" si="118"/>
        <v>0</v>
      </c>
      <c r="T805" s="97" t="b">
        <f t="shared" si="119"/>
        <v>0</v>
      </c>
    </row>
    <row r="806" spans="2:20">
      <c r="B806" s="33" t="s">
        <v>4050</v>
      </c>
      <c r="C806" s="433">
        <v>191</v>
      </c>
      <c r="D806" t="str">
        <f>VLOOKUP($C806,param!$A$4:$B$266,2)</f>
        <v>Energy Usage Performance</v>
      </c>
      <c r="E806" s="430">
        <f>INDEX($K806:$O806,SUMIF(cbal!E$280:E$296,$B806,cbal!$D$280:$D$296)+1)</f>
        <v>0</v>
      </c>
      <c r="F806" s="430">
        <f>INDEX($K806:$O806,SUMIF(cbal!F$280:F$296,$B806,cbal!$D$280:$D$296)+1)</f>
        <v>0</v>
      </c>
      <c r="G806" s="430">
        <f>INDEX($K806:$O806,SUMIF(cbal!G$280:G$296,$B806,cbal!$D$280:$D$296)+1)</f>
        <v>0</v>
      </c>
      <c r="H806" s="430">
        <f>INDEX($K806:$O806,SUMIF(cbal!H$280:H$296,$B806,cbal!$D$280:$D$296)+1)</f>
        <v>0</v>
      </c>
      <c r="I806" s="430">
        <f>INDEX($K806:$O806,SUMIF(cbal!I$280:I$296,$B806,cbal!$D$280:$D$296)+1)</f>
        <v>0</v>
      </c>
      <c r="K806" s="1577">
        <v>0</v>
      </c>
      <c r="L806" s="1584">
        <v>0.06</v>
      </c>
      <c r="M806" s="1584">
        <v>0.06</v>
      </c>
      <c r="N806" s="1584">
        <v>0.06</v>
      </c>
      <c r="O806" s="1584">
        <v>0.06</v>
      </c>
      <c r="R806" s="91" t="b">
        <f t="shared" ref="R806:R834" si="120">IF(AND(C806&gt;166,C806&lt;171.5),L806)</f>
        <v>0</v>
      </c>
      <c r="S806" s="21" t="b">
        <f t="shared" ref="S806:S834" si="121">IF(AND(C806&gt;166,C806&lt;171.5),M806)</f>
        <v>0</v>
      </c>
      <c r="T806" s="97" t="b">
        <f t="shared" ref="T806:T811" si="122">IF(C806=133.5,L806)</f>
        <v>0</v>
      </c>
    </row>
    <row r="807" spans="2:20">
      <c r="B807" s="33" t="s">
        <v>4050</v>
      </c>
      <c r="C807" s="433">
        <v>192</v>
      </c>
      <c r="D807" t="str">
        <f>VLOOKUP($C807,param!$A$4:$B$266,2)</f>
        <v>Waste Production Performance</v>
      </c>
      <c r="E807" s="430">
        <f>INDEX($K807:$O807,SUMIF(cbal!E$280:E$296,$B807,cbal!$D$280:$D$296)+1)</f>
        <v>0</v>
      </c>
      <c r="F807" s="430">
        <f>INDEX($K807:$O807,SUMIF(cbal!F$280:F$296,$B807,cbal!$D$280:$D$296)+1)</f>
        <v>0</v>
      </c>
      <c r="G807" s="430">
        <f>INDEX($K807:$O807,SUMIF(cbal!G$280:G$296,$B807,cbal!$D$280:$D$296)+1)</f>
        <v>0</v>
      </c>
      <c r="H807" s="430">
        <f>INDEX($K807:$O807,SUMIF(cbal!H$280:H$296,$B807,cbal!$D$280:$D$296)+1)</f>
        <v>0</v>
      </c>
      <c r="I807" s="430">
        <f>INDEX($K807:$O807,SUMIF(cbal!I$280:I$296,$B807,cbal!$D$280:$D$296)+1)</f>
        <v>0</v>
      </c>
      <c r="K807" s="1577">
        <v>0</v>
      </c>
      <c r="L807" s="1584">
        <v>0.1</v>
      </c>
      <c r="M807" s="1584">
        <v>0.1</v>
      </c>
      <c r="N807" s="1584">
        <v>0.1</v>
      </c>
      <c r="O807" s="1584">
        <v>0.1</v>
      </c>
      <c r="R807" s="91" t="b">
        <f t="shared" si="120"/>
        <v>0</v>
      </c>
      <c r="S807" s="21" t="b">
        <f t="shared" si="121"/>
        <v>0</v>
      </c>
      <c r="T807" s="97" t="b">
        <f t="shared" si="122"/>
        <v>0</v>
      </c>
    </row>
    <row r="808" spans="2:20">
      <c r="B808" s="33" t="s">
        <v>4050</v>
      </c>
      <c r="C808" s="506">
        <v>197</v>
      </c>
      <c r="D808" t="str">
        <f>VLOOKUP($C808,param!$A$4:$B$266,2)</f>
        <v>Company Culture</v>
      </c>
      <c r="E808" s="448">
        <f>INDEX($K808:$O808,SUMIF(cbal!E$280:E$296,$B808,cbal!$D$280:$D$296)+1)</f>
        <v>0</v>
      </c>
      <c r="F808" s="448">
        <f>INDEX($K808:$O808,SUMIF(cbal!F$280:F$296,$B808,cbal!$D$280:$D$296)+1)</f>
        <v>0</v>
      </c>
      <c r="G808" s="448">
        <f>INDEX($K808:$O808,SUMIF(cbal!G$280:G$296,$B808,cbal!$D$280:$D$296)+1)</f>
        <v>0</v>
      </c>
      <c r="H808" s="448">
        <f>INDEX($K808:$O808,SUMIF(cbal!H$280:H$296,$B808,cbal!$D$280:$D$296)+1)</f>
        <v>0</v>
      </c>
      <c r="I808" s="448">
        <f>INDEX($K808:$O808,SUMIF(cbal!I$280:I$296,$B808,cbal!$D$280:$D$296)+1)</f>
        <v>0</v>
      </c>
      <c r="K808" s="1577">
        <v>0</v>
      </c>
      <c r="L808" s="1584">
        <v>0.01</v>
      </c>
      <c r="M808" s="1584">
        <v>0.02</v>
      </c>
      <c r="N808" s="1584">
        <v>0.02</v>
      </c>
      <c r="O808" s="1584">
        <v>0.02</v>
      </c>
      <c r="R808" s="91" t="b">
        <f t="shared" si="120"/>
        <v>0</v>
      </c>
      <c r="S808" s="21" t="b">
        <f t="shared" si="121"/>
        <v>0</v>
      </c>
      <c r="T808" s="97" t="b">
        <f t="shared" si="122"/>
        <v>0</v>
      </c>
    </row>
    <row r="809" spans="2:20">
      <c r="B809" s="33" t="s">
        <v>4050</v>
      </c>
      <c r="C809" s="433">
        <v>167</v>
      </c>
      <c r="D809" t="str">
        <f>VLOOKUP($C809,param!$A$4:$B$266,2)</f>
        <v>Special Program Expense</v>
      </c>
      <c r="E809" s="615">
        <f>INDEX($K809:$O809,SUMIF(cbal!E$280:E$296,$B809,cbal!$D$280:$D$296)+1)</f>
        <v>0</v>
      </c>
      <c r="F809" s="615">
        <f>INDEX($K809:$O809,SUMIF(cbal!F$280:F$296,$B809,cbal!$D$280:$D$296)+1)</f>
        <v>0</v>
      </c>
      <c r="G809" s="615">
        <f>INDEX($K809:$O809,SUMIF(cbal!G$280:G$296,$B809,cbal!$D$280:$D$296)+1)</f>
        <v>0</v>
      </c>
      <c r="H809" s="615">
        <f>INDEX($K809:$O809,SUMIF(cbal!H$280:H$296,$B809,cbal!$D$280:$D$296)+1)</f>
        <v>0</v>
      </c>
      <c r="I809" s="615">
        <f>INDEX($K809:$O809,SUMIF(cbal!I$280:I$296,$B809,cbal!$D$280:$D$296)+1)</f>
        <v>0</v>
      </c>
      <c r="K809" s="1577">
        <v>0</v>
      </c>
      <c r="L809" s="1580">
        <v>1800000</v>
      </c>
      <c r="M809" s="1585"/>
      <c r="N809" s="1585"/>
      <c r="O809" s="1585"/>
      <c r="R809" s="91">
        <f t="shared" si="120"/>
        <v>1800000</v>
      </c>
      <c r="S809" s="21">
        <f t="shared" si="121"/>
        <v>0</v>
      </c>
      <c r="T809" s="97" t="b">
        <f t="shared" si="122"/>
        <v>0</v>
      </c>
    </row>
    <row r="810" spans="2:20">
      <c r="B810" s="33" t="s">
        <v>4050</v>
      </c>
      <c r="C810" s="433">
        <v>133.5</v>
      </c>
      <c r="D810" t="str">
        <f>VLOOKUP($C810,param!$A$4:$B$266,2)</f>
        <v>MTU Initiatives Allocation</v>
      </c>
      <c r="E810" s="183">
        <f>INDEX($K810:$O810,SUMIF(cbal!E$280:E$296,$B810,cbal!$D$280:$D$296)+1)</f>
        <v>0</v>
      </c>
      <c r="F810" s="183">
        <f>INDEX($K810:$O810,SUMIF(cbal!F$280:F$296,$B810,cbal!$D$280:$D$296)+1)</f>
        <v>0</v>
      </c>
      <c r="G810" s="183">
        <f>INDEX($K810:$O810,SUMIF(cbal!G$280:G$296,$B810,cbal!$D$280:$D$296)+1)</f>
        <v>0</v>
      </c>
      <c r="H810" s="183">
        <f>INDEX($K810:$O810,SUMIF(cbal!H$280:H$296,$B810,cbal!$D$280:$D$296)+1)</f>
        <v>0</v>
      </c>
      <c r="I810" s="183">
        <f>INDEX($K810:$O810,SUMIF(cbal!I$280:I$296,$B810,cbal!$D$280:$D$296)+1)</f>
        <v>0</v>
      </c>
      <c r="K810" s="1577">
        <v>0</v>
      </c>
      <c r="L810" s="1587">
        <v>10</v>
      </c>
      <c r="M810" s="1587"/>
      <c r="N810" s="1587"/>
      <c r="O810" s="1587"/>
      <c r="R810" s="91" t="b">
        <f t="shared" si="120"/>
        <v>0</v>
      </c>
      <c r="S810" s="21" t="b">
        <f t="shared" si="121"/>
        <v>0</v>
      </c>
      <c r="T810" s="97">
        <f t="shared" si="122"/>
        <v>10</v>
      </c>
    </row>
    <row r="811" spans="2:20">
      <c r="B811" t="s">
        <v>4050</v>
      </c>
      <c r="C811" s="433">
        <v>202</v>
      </c>
      <c r="D811" t="str">
        <f>VLOOKUP($C811,param!$A$4:$B$266,2)</f>
        <v>Go-to-Market Strategy</v>
      </c>
      <c r="E811" s="183">
        <f>INDEX($K811:$O811,SUMIF(cbal!E$280:E$296,$B811,cbal!$D$280:$D$296)+1)</f>
        <v>0</v>
      </c>
      <c r="F811" s="183">
        <f>INDEX($K811:$O811,SUMIF(cbal!F$280:F$296,$B811,cbal!$D$280:$D$296)+1)</f>
        <v>0</v>
      </c>
      <c r="G811" s="183">
        <f>INDEX($K811:$O811,SUMIF(cbal!G$280:G$296,$B811,cbal!$D$280:$D$296)+1)</f>
        <v>0</v>
      </c>
      <c r="H811" s="183">
        <f>INDEX($K811:$O811,SUMIF(cbal!H$280:H$296,$B811,cbal!$D$280:$D$296)+1)</f>
        <v>0</v>
      </c>
      <c r="I811" s="183">
        <f>INDEX($K811:$O811,SUMIF(cbal!I$280:I$296,$B811,cbal!$D$280:$D$296)+1)</f>
        <v>0</v>
      </c>
      <c r="K811" s="1577">
        <v>0</v>
      </c>
      <c r="L811" s="1580">
        <f>L810</f>
        <v>10</v>
      </c>
      <c r="M811" s="1580">
        <f>L811</f>
        <v>10</v>
      </c>
      <c r="N811" s="1580">
        <f>M811</f>
        <v>10</v>
      </c>
      <c r="O811" s="1580">
        <f>N811</f>
        <v>10</v>
      </c>
      <c r="R811" s="91" t="b">
        <f t="shared" si="120"/>
        <v>0</v>
      </c>
      <c r="S811" s="21" t="b">
        <f t="shared" si="121"/>
        <v>0</v>
      </c>
      <c r="T811" s="97" t="b">
        <f t="shared" si="122"/>
        <v>0</v>
      </c>
    </row>
    <row r="812" spans="2:20">
      <c r="B812">
        <v>0</v>
      </c>
      <c r="C812" s="433">
        <v>0</v>
      </c>
      <c r="D812" s="33"/>
      <c r="E812" s="448"/>
      <c r="F812" s="448"/>
      <c r="G812" s="448"/>
      <c r="H812" s="448"/>
      <c r="I812" s="448"/>
      <c r="K812" s="1577"/>
      <c r="L812" s="1585"/>
      <c r="M812" s="1585"/>
      <c r="N812" s="1585"/>
      <c r="O812" s="1585"/>
      <c r="R812" s="91">
        <v>0</v>
      </c>
      <c r="S812" s="21">
        <v>0</v>
      </c>
      <c r="T812" s="97">
        <v>0</v>
      </c>
    </row>
    <row r="813" spans="2:20">
      <c r="B813" s="33" t="s">
        <v>4051</v>
      </c>
      <c r="C813" t="str">
        <f>VLOOKUP(B813,DataInitiativesGrid,2,0)</f>
        <v>Project Lean</v>
      </c>
      <c r="E813" s="448"/>
      <c r="F813" s="448"/>
      <c r="G813" s="448"/>
      <c r="H813" s="448"/>
      <c r="I813" s="448"/>
      <c r="K813" s="1577"/>
      <c r="L813" s="1585"/>
      <c r="M813" s="1585"/>
      <c r="N813" s="1585"/>
      <c r="O813" s="1585"/>
      <c r="R813" s="91">
        <v>0</v>
      </c>
      <c r="S813" s="21">
        <v>0</v>
      </c>
      <c r="T813" s="97">
        <v>0</v>
      </c>
    </row>
    <row r="814" spans="2:20">
      <c r="B814" s="33" t="s">
        <v>4051</v>
      </c>
      <c r="C814" s="433">
        <v>12</v>
      </c>
      <c r="D814" t="str">
        <f>VLOOKUP($C814,param!$A$4:$B$266,2)</f>
        <v>CSD Inventory Handling % of Closing Value</v>
      </c>
      <c r="E814" s="430">
        <f>INDEX($K814:$O814,SUMIF(cbal!E$280:E$296,$B814,cbal!$D$280:$D$296)+1)</f>
        <v>0</v>
      </c>
      <c r="F814" s="430">
        <f>INDEX($K814:$O814,SUMIF(cbal!F$280:F$296,$B814,cbal!$D$280:$D$296)+1)</f>
        <v>0</v>
      </c>
      <c r="G814" s="430">
        <f>INDEX($K814:$O814,SUMIF(cbal!G$280:G$296,$B814,cbal!$D$280:$D$296)+1)</f>
        <v>0</v>
      </c>
      <c r="H814" s="430">
        <f>INDEX($K814:$O814,SUMIF(cbal!H$280:H$296,$B814,cbal!$D$280:$D$296)+1)</f>
        <v>0</v>
      </c>
      <c r="I814" s="430">
        <f>INDEX($K814:$O814,SUMIF(cbal!I$280:I$296,$B814,cbal!$D$280:$D$296)+1)</f>
        <v>0</v>
      </c>
      <c r="K814" s="1577">
        <v>0</v>
      </c>
      <c r="L814" s="1584">
        <v>-0.03</v>
      </c>
      <c r="M814" s="1584">
        <v>-0.03</v>
      </c>
      <c r="N814" s="1584">
        <v>-0.03</v>
      </c>
      <c r="O814" s="1584">
        <v>-0.03</v>
      </c>
      <c r="R814" s="91" t="b">
        <f t="shared" si="120"/>
        <v>0</v>
      </c>
      <c r="S814" s="21" t="b">
        <f t="shared" si="121"/>
        <v>0</v>
      </c>
      <c r="T814" s="97" t="b">
        <f t="shared" si="114"/>
        <v>0</v>
      </c>
    </row>
    <row r="815" spans="2:20">
      <c r="B815" s="33" t="s">
        <v>4051</v>
      </c>
      <c r="C815" s="433">
        <v>46</v>
      </c>
      <c r="D815" t="str">
        <f>VLOOKUP($C815,param!$A$4:$B$266,2)</f>
        <v>NCB Materials Inventory As % of Production</v>
      </c>
      <c r="E815" s="430">
        <f>INDEX($K815:$O815,SUMIF(cbal!E$280:E$296,$B815,cbal!$D$280:$D$296)+1)</f>
        <v>0</v>
      </c>
      <c r="F815" s="430">
        <f>INDEX($K815:$O815,SUMIF(cbal!F$280:F$296,$B815,cbal!$D$280:$D$296)+1)</f>
        <v>0</v>
      </c>
      <c r="G815" s="430">
        <f>INDEX($K815:$O815,SUMIF(cbal!G$280:G$296,$B815,cbal!$D$280:$D$296)+1)</f>
        <v>0</v>
      </c>
      <c r="H815" s="430">
        <f>INDEX($K815:$O815,SUMIF(cbal!H$280:H$296,$B815,cbal!$D$280:$D$296)+1)</f>
        <v>0</v>
      </c>
      <c r="I815" s="430">
        <f>INDEX($K815:$O815,SUMIF(cbal!I$280:I$296,$B815,cbal!$D$280:$D$296)+1)</f>
        <v>0</v>
      </c>
      <c r="K815" s="1577">
        <v>0</v>
      </c>
      <c r="L815" s="1584">
        <v>-0.03</v>
      </c>
      <c r="M815" s="1584">
        <v>-0.03</v>
      </c>
      <c r="N815" s="1584">
        <v>-0.03</v>
      </c>
      <c r="O815" s="1584">
        <v>-0.03</v>
      </c>
      <c r="R815" s="91" t="b">
        <f t="shared" si="120"/>
        <v>0</v>
      </c>
      <c r="S815" s="21" t="b">
        <f t="shared" si="121"/>
        <v>0</v>
      </c>
      <c r="T815" s="97" t="b">
        <f t="shared" si="114"/>
        <v>0</v>
      </c>
    </row>
    <row r="816" spans="2:20">
      <c r="B816" s="33" t="s">
        <v>4051</v>
      </c>
      <c r="C816" s="433">
        <v>65</v>
      </c>
      <c r="D816" t="str">
        <f>VLOOKUP($C816,param!$A$4:$B$266,2)</f>
        <v>F&amp;S Materials Inventory As % of Production</v>
      </c>
      <c r="E816" s="430">
        <f>INDEX($K816:$O816,SUMIF(cbal!E$280:E$296,$B816,cbal!$D$280:$D$296)+1)</f>
        <v>0</v>
      </c>
      <c r="F816" s="430">
        <f>INDEX($K816:$O816,SUMIF(cbal!F$280:F$296,$B816,cbal!$D$280:$D$296)+1)</f>
        <v>0</v>
      </c>
      <c r="G816" s="430">
        <f>INDEX($K816:$O816,SUMIF(cbal!G$280:G$296,$B816,cbal!$D$280:$D$296)+1)</f>
        <v>0</v>
      </c>
      <c r="H816" s="430">
        <f>INDEX($K816:$O816,SUMIF(cbal!H$280:H$296,$B816,cbal!$D$280:$D$296)+1)</f>
        <v>0</v>
      </c>
      <c r="I816" s="430">
        <f>INDEX($K816:$O816,SUMIF(cbal!I$280:I$296,$B816,cbal!$D$280:$D$296)+1)</f>
        <v>0</v>
      </c>
      <c r="K816" s="1577">
        <v>0</v>
      </c>
      <c r="L816" s="1584">
        <v>-0.03</v>
      </c>
      <c r="M816" s="1584">
        <v>-0.03</v>
      </c>
      <c r="N816" s="1584">
        <v>-0.03</v>
      </c>
      <c r="O816" s="1584">
        <v>-0.03</v>
      </c>
      <c r="R816" s="91" t="b">
        <f t="shared" si="120"/>
        <v>0</v>
      </c>
      <c r="S816" s="21" t="b">
        <f t="shared" si="121"/>
        <v>0</v>
      </c>
      <c r="T816" s="97" t="b">
        <f t="shared" si="114"/>
        <v>0</v>
      </c>
    </row>
    <row r="817" spans="2:20">
      <c r="B817" s="33" t="s">
        <v>4051</v>
      </c>
      <c r="C817" s="433">
        <v>13</v>
      </c>
      <c r="D817" t="str">
        <f>VLOOKUP($C817,param!$A$4:$B$266,2)</f>
        <v>CSD Distribution Costs for Reg. 1</v>
      </c>
      <c r="E817" s="448">
        <f>INDEX($K817:$O817,SUMIF(cbal!E$280:E$296,$B817,cbal!$D$280:$D$296)+1)</f>
        <v>0</v>
      </c>
      <c r="F817" s="448">
        <f>INDEX($K817:$O817,SUMIF(cbal!F$280:F$296,$B817,cbal!$D$280:$D$296)+1)</f>
        <v>0</v>
      </c>
      <c r="G817" s="448">
        <f>INDEX($K817:$O817,SUMIF(cbal!G$280:G$296,$B817,cbal!$D$280:$D$296)+1)</f>
        <v>0</v>
      </c>
      <c r="H817" s="448">
        <f>INDEX($K817:$O817,SUMIF(cbal!H$280:H$296,$B817,cbal!$D$280:$D$296)+1)</f>
        <v>0</v>
      </c>
      <c r="I817" s="448">
        <f>INDEX($K817:$O817,SUMIF(cbal!I$280:I$296,$B817,cbal!$D$280:$D$296)+1)</f>
        <v>0</v>
      </c>
      <c r="K817" s="1577">
        <v>0</v>
      </c>
      <c r="L817" s="1585">
        <v>-0.02</v>
      </c>
      <c r="M817" s="1585">
        <v>-0.02</v>
      </c>
      <c r="N817" s="1585">
        <v>-0.02</v>
      </c>
      <c r="O817" s="1585">
        <v>-0.02</v>
      </c>
      <c r="R817" s="91" t="b">
        <f t="shared" si="120"/>
        <v>0</v>
      </c>
      <c r="S817" s="21" t="b">
        <f t="shared" si="121"/>
        <v>0</v>
      </c>
      <c r="T817" s="97" t="b">
        <f t="shared" si="114"/>
        <v>0</v>
      </c>
    </row>
    <row r="818" spans="2:20">
      <c r="B818" s="33" t="s">
        <v>4051</v>
      </c>
      <c r="C818" s="433">
        <v>14</v>
      </c>
      <c r="D818" t="str">
        <f>VLOOKUP($C818,param!$A$4:$B$266,2)</f>
        <v>CSD Distribution Costs for Reg. 2</v>
      </c>
      <c r="E818" s="448">
        <f>INDEX($K818:$O818,SUMIF(cbal!E$280:E$296,$B818,cbal!$D$280:$D$296)+1)</f>
        <v>0</v>
      </c>
      <c r="F818" s="448">
        <f>INDEX($K818:$O818,SUMIF(cbal!F$280:F$296,$B818,cbal!$D$280:$D$296)+1)</f>
        <v>0</v>
      </c>
      <c r="G818" s="448">
        <f>INDEX($K818:$O818,SUMIF(cbal!G$280:G$296,$B818,cbal!$D$280:$D$296)+1)</f>
        <v>0</v>
      </c>
      <c r="H818" s="448">
        <f>INDEX($K818:$O818,SUMIF(cbal!H$280:H$296,$B818,cbal!$D$280:$D$296)+1)</f>
        <v>0</v>
      </c>
      <c r="I818" s="448">
        <f>INDEX($K818:$O818,SUMIF(cbal!I$280:I$296,$B818,cbal!$D$280:$D$296)+1)</f>
        <v>0</v>
      </c>
      <c r="K818" s="1577">
        <v>0</v>
      </c>
      <c r="L818" s="1585">
        <v>-0.02</v>
      </c>
      <c r="M818" s="1585">
        <v>-0.02</v>
      </c>
      <c r="N818" s="1585">
        <v>-0.02</v>
      </c>
      <c r="O818" s="1585">
        <v>-0.02</v>
      </c>
      <c r="R818" s="91" t="b">
        <f t="shared" si="120"/>
        <v>0</v>
      </c>
      <c r="S818" s="21" t="b">
        <f t="shared" si="121"/>
        <v>0</v>
      </c>
      <c r="T818" s="97" t="b">
        <f t="shared" si="114"/>
        <v>0</v>
      </c>
    </row>
    <row r="819" spans="2:20">
      <c r="B819" s="33" t="s">
        <v>4051</v>
      </c>
      <c r="C819" s="506">
        <v>51</v>
      </c>
      <c r="D819" t="str">
        <f>VLOOKUP($C819,param!$A$4:$B$266,2)</f>
        <v>NCB Distribution Costs for Reg. 1</v>
      </c>
      <c r="E819" s="448">
        <f>INDEX($K819:$O819,SUMIF(cbal!E$280:E$296,$B819,cbal!$D$280:$D$296)+1)</f>
        <v>0</v>
      </c>
      <c r="F819" s="448">
        <f>INDEX($K819:$O819,SUMIF(cbal!F$280:F$296,$B819,cbal!$D$280:$D$296)+1)</f>
        <v>0</v>
      </c>
      <c r="G819" s="448">
        <f>INDEX($K819:$O819,SUMIF(cbal!G$280:G$296,$B819,cbal!$D$280:$D$296)+1)</f>
        <v>0</v>
      </c>
      <c r="H819" s="448">
        <f>INDEX($K819:$O819,SUMIF(cbal!H$280:H$296,$B819,cbal!$D$280:$D$296)+1)</f>
        <v>0</v>
      </c>
      <c r="I819" s="448">
        <f>INDEX($K819:$O819,SUMIF(cbal!I$280:I$296,$B819,cbal!$D$280:$D$296)+1)</f>
        <v>0</v>
      </c>
      <c r="K819" s="1577">
        <v>0</v>
      </c>
      <c r="L819" s="1585">
        <v>-0.02</v>
      </c>
      <c r="M819" s="1585">
        <v>-0.02</v>
      </c>
      <c r="N819" s="1585">
        <v>-0.02</v>
      </c>
      <c r="O819" s="1585">
        <v>-0.02</v>
      </c>
      <c r="R819" s="91" t="b">
        <f t="shared" si="120"/>
        <v>0</v>
      </c>
      <c r="S819" s="21" t="b">
        <f t="shared" si="121"/>
        <v>0</v>
      </c>
      <c r="T819" s="97" t="b">
        <f t="shared" si="114"/>
        <v>0</v>
      </c>
    </row>
    <row r="820" spans="2:20">
      <c r="B820" s="33" t="s">
        <v>4051</v>
      </c>
      <c r="C820" s="433">
        <v>52</v>
      </c>
      <c r="D820" s="606" t="str">
        <f>VLOOKUP($C820,param!$A$4:$B$266,2)</f>
        <v>NCB Distribution Costs for Reg. 2</v>
      </c>
      <c r="E820" s="448">
        <f>INDEX($K820:$O820,SUMIF(cbal!E$280:E$296,$B820,cbal!$D$280:$D$296)+1)</f>
        <v>0</v>
      </c>
      <c r="F820" s="448">
        <f>INDEX($K820:$O820,SUMIF(cbal!F$280:F$296,$B820,cbal!$D$280:$D$296)+1)</f>
        <v>0</v>
      </c>
      <c r="G820" s="448">
        <f>INDEX($K820:$O820,SUMIF(cbal!G$280:G$296,$B820,cbal!$D$280:$D$296)+1)</f>
        <v>0</v>
      </c>
      <c r="H820" s="448">
        <f>INDEX($K820:$O820,SUMIF(cbal!H$280:H$296,$B820,cbal!$D$280:$D$296)+1)</f>
        <v>0</v>
      </c>
      <c r="I820" s="448">
        <f>INDEX($K820:$O820,SUMIF(cbal!I$280:I$296,$B820,cbal!$D$280:$D$296)+1)</f>
        <v>0</v>
      </c>
      <c r="K820" s="1577">
        <v>0</v>
      </c>
      <c r="L820" s="1585">
        <v>-0.02</v>
      </c>
      <c r="M820" s="1585">
        <v>-0.02</v>
      </c>
      <c r="N820" s="1585">
        <v>-0.02</v>
      </c>
      <c r="O820" s="1585">
        <v>-0.02</v>
      </c>
      <c r="R820" s="91" t="b">
        <f t="shared" si="120"/>
        <v>0</v>
      </c>
      <c r="S820" s="21" t="b">
        <f t="shared" si="121"/>
        <v>0</v>
      </c>
      <c r="T820" s="97" t="b">
        <f t="shared" si="114"/>
        <v>0</v>
      </c>
    </row>
    <row r="821" spans="2:20">
      <c r="B821" s="33" t="s">
        <v>4051</v>
      </c>
      <c r="C821" s="433">
        <v>70</v>
      </c>
      <c r="D821" s="606" t="str">
        <f>VLOOKUP($C821,param!$A$4:$B$266,2)</f>
        <v>F&amp;S Distribution Costs for Reg. 1</v>
      </c>
      <c r="E821" s="448">
        <f>INDEX($K821:$O821,SUMIF(cbal!E$280:E$296,$B821,cbal!$D$280:$D$296)+1)</f>
        <v>0</v>
      </c>
      <c r="F821" s="448">
        <f>INDEX($K821:$O821,SUMIF(cbal!F$280:F$296,$B821,cbal!$D$280:$D$296)+1)</f>
        <v>0</v>
      </c>
      <c r="G821" s="448">
        <f>INDEX($K821:$O821,SUMIF(cbal!G$280:G$296,$B821,cbal!$D$280:$D$296)+1)</f>
        <v>0</v>
      </c>
      <c r="H821" s="448">
        <f>INDEX($K821:$O821,SUMIF(cbal!H$280:H$296,$B821,cbal!$D$280:$D$296)+1)</f>
        <v>0</v>
      </c>
      <c r="I821" s="448">
        <f>INDEX($K821:$O821,SUMIF(cbal!I$280:I$296,$B821,cbal!$D$280:$D$296)+1)</f>
        <v>0</v>
      </c>
      <c r="K821" s="1577">
        <v>0</v>
      </c>
      <c r="L821" s="1585">
        <v>-0.02</v>
      </c>
      <c r="M821" s="1585">
        <v>-0.02</v>
      </c>
      <c r="N821" s="1585">
        <v>-0.02</v>
      </c>
      <c r="O821" s="1585">
        <v>-0.02</v>
      </c>
      <c r="R821" s="91" t="b">
        <f t="shared" si="120"/>
        <v>0</v>
      </c>
      <c r="S821" s="21" t="b">
        <f t="shared" si="121"/>
        <v>0</v>
      </c>
      <c r="T821" s="97" t="b">
        <f t="shared" si="114"/>
        <v>0</v>
      </c>
    </row>
    <row r="822" spans="2:20">
      <c r="B822" s="33" t="s">
        <v>4051</v>
      </c>
      <c r="C822" s="433">
        <v>71</v>
      </c>
      <c r="D822" s="606" t="str">
        <f>VLOOKUP($C822,param!$A$4:$B$266,2)</f>
        <v>F&amp;S Distribution Costs for Reg. 2</v>
      </c>
      <c r="E822" s="448">
        <f>INDEX($K822:$O822,SUMIF(cbal!E$280:E$296,$B822,cbal!$D$280:$D$296)+1)</f>
        <v>0</v>
      </c>
      <c r="F822" s="448">
        <f>INDEX($K822:$O822,SUMIF(cbal!F$280:F$296,$B822,cbal!$D$280:$D$296)+1)</f>
        <v>0</v>
      </c>
      <c r="G822" s="448">
        <f>INDEX($K822:$O822,SUMIF(cbal!G$280:G$296,$B822,cbal!$D$280:$D$296)+1)</f>
        <v>0</v>
      </c>
      <c r="H822" s="448">
        <f>INDEX($K822:$O822,SUMIF(cbal!H$280:H$296,$B822,cbal!$D$280:$D$296)+1)</f>
        <v>0</v>
      </c>
      <c r="I822" s="448">
        <f>INDEX($K822:$O822,SUMIF(cbal!I$280:I$296,$B822,cbal!$D$280:$D$296)+1)</f>
        <v>0</v>
      </c>
      <c r="K822" s="1577">
        <v>0</v>
      </c>
      <c r="L822" s="1585">
        <v>-0.02</v>
      </c>
      <c r="M822" s="1585">
        <v>-0.02</v>
      </c>
      <c r="N822" s="1585">
        <v>-0.02</v>
      </c>
      <c r="O822" s="1585">
        <v>-0.02</v>
      </c>
      <c r="R822" s="91" t="b">
        <f t="shared" si="120"/>
        <v>0</v>
      </c>
      <c r="S822" s="21" t="b">
        <f t="shared" si="121"/>
        <v>0</v>
      </c>
      <c r="T822" s="97" t="b">
        <f t="shared" si="114"/>
        <v>0</v>
      </c>
    </row>
    <row r="823" spans="2:20">
      <c r="B823" s="33" t="s">
        <v>4051</v>
      </c>
      <c r="C823" s="433">
        <v>142</v>
      </c>
      <c r="D823" s="606" t="str">
        <f>VLOOKUP($C823,param!$A$4:$B$266,2)</f>
        <v>Plant Efficiency</v>
      </c>
      <c r="E823" s="448">
        <f>INDEX($K823:$O823,SUMIF(cbal!E$280:E$296,$B823,cbal!$D$280:$D$296)+1)</f>
        <v>0</v>
      </c>
      <c r="F823" s="448">
        <f>INDEX($K823:$O823,SUMIF(cbal!F$280:F$296,$B823,cbal!$D$280:$D$296)+1)</f>
        <v>0</v>
      </c>
      <c r="G823" s="448">
        <f>INDEX($K823:$O823,SUMIF(cbal!G$280:G$296,$B823,cbal!$D$280:$D$296)+1)</f>
        <v>0</v>
      </c>
      <c r="H823" s="448">
        <f>INDEX($K823:$O823,SUMIF(cbal!H$280:H$296,$B823,cbal!$D$280:$D$296)+1)</f>
        <v>0</v>
      </c>
      <c r="I823" s="448">
        <f>INDEX($K823:$O823,SUMIF(cbal!I$280:I$296,$B823,cbal!$D$280:$D$296)+1)</f>
        <v>0</v>
      </c>
      <c r="K823" s="1577">
        <v>0</v>
      </c>
      <c r="L823" s="1585">
        <v>0.03</v>
      </c>
      <c r="M823" s="1585">
        <v>0.03</v>
      </c>
      <c r="N823" s="1585">
        <v>0.03</v>
      </c>
      <c r="O823" s="1585">
        <v>0.03</v>
      </c>
      <c r="R823" s="91" t="b">
        <f t="shared" si="120"/>
        <v>0</v>
      </c>
      <c r="S823" s="21" t="b">
        <f t="shared" si="121"/>
        <v>0</v>
      </c>
      <c r="T823" s="97" t="b">
        <f t="shared" si="114"/>
        <v>0</v>
      </c>
    </row>
    <row r="824" spans="2:20">
      <c r="B824" s="33" t="s">
        <v>4051</v>
      </c>
      <c r="C824" s="433">
        <v>167</v>
      </c>
      <c r="D824" s="606" t="str">
        <f>VLOOKUP($C824,param!$A$4:$B$266,2)</f>
        <v>Special Program Expense</v>
      </c>
      <c r="E824" s="611">
        <f>INDEX($K824:$O824,SUMIF(cbal!E$280:E$296,$B824,cbal!$D$280:$D$296)+1)</f>
        <v>0</v>
      </c>
      <c r="F824" s="611">
        <f>INDEX($K824:$O824,SUMIF(cbal!F$280:F$296,$B824,cbal!$D$280:$D$296)+1)</f>
        <v>0</v>
      </c>
      <c r="G824" s="611">
        <f>INDEX($K824:$O824,SUMIF(cbal!G$280:G$296,$B824,cbal!$D$280:$D$296)+1)</f>
        <v>0</v>
      </c>
      <c r="H824" s="611">
        <f>INDEX($K824:$O824,SUMIF(cbal!H$280:H$296,$B824,cbal!$D$280:$D$296)+1)</f>
        <v>0</v>
      </c>
      <c r="I824" s="611">
        <f>INDEX($K824:$O824,SUMIF(cbal!I$280:I$296,$B824,cbal!$D$280:$D$296)+1)</f>
        <v>0</v>
      </c>
      <c r="K824" s="1577">
        <v>0</v>
      </c>
      <c r="L824" s="1587">
        <v>2300000</v>
      </c>
      <c r="M824" s="1585"/>
      <c r="N824" s="1585"/>
      <c r="O824" s="1585"/>
      <c r="R824" s="91">
        <f t="shared" si="120"/>
        <v>2300000</v>
      </c>
      <c r="S824" s="21">
        <f t="shared" si="121"/>
        <v>0</v>
      </c>
      <c r="T824" s="97" t="b">
        <f>IF(C824=133.5,L824)</f>
        <v>0</v>
      </c>
    </row>
    <row r="825" spans="2:20">
      <c r="B825" s="33" t="s">
        <v>4051</v>
      </c>
      <c r="C825" s="433">
        <v>133.5</v>
      </c>
      <c r="D825" t="str">
        <f>VLOOKUP($C825,param!$A$4:$B$266,2)</f>
        <v>MTU Initiatives Allocation</v>
      </c>
      <c r="E825" s="183">
        <f>INDEX($K825:$O825,SUMIF(cbal!E$280:E$296,$B825,cbal!$D$280:$D$296)+1)</f>
        <v>0</v>
      </c>
      <c r="F825" s="183">
        <f>INDEX($K825:$O825,SUMIF(cbal!F$280:F$296,$B825,cbal!$D$280:$D$296)+1)</f>
        <v>0</v>
      </c>
      <c r="G825" s="183">
        <f>INDEX($K825:$O825,SUMIF(cbal!G$280:G$296,$B825,cbal!$D$280:$D$296)+1)</f>
        <v>0</v>
      </c>
      <c r="H825" s="183">
        <f>INDEX($K825:$O825,SUMIF(cbal!H$280:H$296,$B825,cbal!$D$280:$D$296)+1)</f>
        <v>0</v>
      </c>
      <c r="I825" s="183">
        <f>INDEX($K825:$O825,SUMIF(cbal!I$280:I$296,$B825,cbal!$D$280:$D$296)+1)</f>
        <v>0</v>
      </c>
      <c r="K825" s="1577">
        <v>0</v>
      </c>
      <c r="L825" s="1587">
        <v>10</v>
      </c>
      <c r="M825" s="1587"/>
      <c r="N825" s="1587"/>
      <c r="O825" s="1587"/>
      <c r="R825" s="91" t="b">
        <f t="shared" si="120"/>
        <v>0</v>
      </c>
      <c r="S825" s="21" t="b">
        <f t="shared" si="121"/>
        <v>0</v>
      </c>
      <c r="T825" s="97">
        <f>IF(C825=133.5,L825)</f>
        <v>10</v>
      </c>
    </row>
    <row r="826" spans="2:20">
      <c r="B826" t="s">
        <v>4051</v>
      </c>
      <c r="C826" s="433">
        <v>203</v>
      </c>
      <c r="D826" t="str">
        <f>VLOOKUP($C826,param!$A$4:$B$266,2)</f>
        <v>Productivity Strategy</v>
      </c>
      <c r="E826" s="183">
        <f>INDEX($K826:$O826,SUMIF(cbal!E$280:E$296,$B826,cbal!$D$280:$D$296)+1)</f>
        <v>0</v>
      </c>
      <c r="F826" s="183">
        <f>INDEX($K826:$O826,SUMIF(cbal!F$280:F$296,$B826,cbal!$D$280:$D$296)+1)</f>
        <v>0</v>
      </c>
      <c r="G826" s="183">
        <f>INDEX($K826:$O826,SUMIF(cbal!G$280:G$296,$B826,cbal!$D$280:$D$296)+1)</f>
        <v>0</v>
      </c>
      <c r="H826" s="183">
        <f>INDEX($K826:$O826,SUMIF(cbal!H$280:H$296,$B826,cbal!$D$280:$D$296)+1)</f>
        <v>0</v>
      </c>
      <c r="I826" s="183">
        <f>INDEX($K826:$O826,SUMIF(cbal!I$280:I$296,$B826,cbal!$D$280:$D$296)+1)</f>
        <v>0</v>
      </c>
      <c r="K826" s="1577">
        <v>0</v>
      </c>
      <c r="L826" s="1580">
        <f>L825</f>
        <v>10</v>
      </c>
      <c r="M826" s="1580">
        <f>L826</f>
        <v>10</v>
      </c>
      <c r="N826" s="1580">
        <f>M826</f>
        <v>10</v>
      </c>
      <c r="O826" s="1580">
        <f>N826</f>
        <v>10</v>
      </c>
      <c r="R826" s="91" t="b">
        <f>IF(AND(C826&gt;166,C826&lt;171.5),L826)</f>
        <v>0</v>
      </c>
      <c r="S826" s="21" t="b">
        <f>IF(AND(C826&gt;166,C826&lt;171.5),M826)</f>
        <v>0</v>
      </c>
      <c r="T826" s="97" t="b">
        <f>IF(C826=133.5,L826)</f>
        <v>0</v>
      </c>
    </row>
    <row r="827" spans="2:20">
      <c r="B827">
        <v>0</v>
      </c>
      <c r="C827" s="433">
        <v>0</v>
      </c>
      <c r="E827" s="183"/>
      <c r="F827" s="183"/>
      <c r="G827" s="183"/>
      <c r="H827" s="183"/>
      <c r="I827" s="183"/>
      <c r="K827" s="1577"/>
      <c r="L827" s="1581"/>
      <c r="M827" s="1581"/>
      <c r="N827" s="1581"/>
      <c r="O827" s="1581"/>
      <c r="R827" s="91">
        <v>0</v>
      </c>
      <c r="S827" s="21">
        <v>0</v>
      </c>
      <c r="T827" s="97">
        <v>0</v>
      </c>
    </row>
    <row r="828" spans="2:20">
      <c r="B828" t="s">
        <v>4052</v>
      </c>
      <c r="C828" t="str">
        <f>VLOOKUP(B828,DataInitiativesGrid,2,0)</f>
        <v>Spill-Free Zone Program</v>
      </c>
      <c r="E828" s="183"/>
      <c r="F828" s="183"/>
      <c r="G828" s="183"/>
      <c r="H828" s="183"/>
      <c r="I828" s="183"/>
      <c r="K828" s="1577"/>
      <c r="L828" s="1581"/>
      <c r="M828" s="1581"/>
      <c r="N828" s="1581"/>
      <c r="O828" s="1581"/>
      <c r="R828" s="91">
        <v>0</v>
      </c>
      <c r="S828" s="21">
        <v>0</v>
      </c>
      <c r="T828" s="97">
        <v>0</v>
      </c>
    </row>
    <row r="829" spans="2:20">
      <c r="B829" t="s">
        <v>4052</v>
      </c>
      <c r="C829" s="433">
        <v>7</v>
      </c>
      <c r="D829" t="str">
        <f>VLOOKUP($C829,param!$A$4:$B$266,2)</f>
        <v>CSD Material Cost Per Unit</v>
      </c>
      <c r="E829" s="430">
        <f>INDEX($K829:$O829,SUMIF(cbal!E$280:E$296,$B829,cbal!$D$280:$D$296)+1)</f>
        <v>0</v>
      </c>
      <c r="F829" s="430">
        <f>INDEX($K829:$O829,SUMIF(cbal!F$280:F$296,$B829,cbal!$D$280:$D$296)+1)</f>
        <v>0</v>
      </c>
      <c r="G829" s="430">
        <f>INDEX($K829:$O829,SUMIF(cbal!G$280:G$296,$B829,cbal!$D$280:$D$296)+1)</f>
        <v>0</v>
      </c>
      <c r="H829" s="430">
        <f>INDEX($K829:$O829,SUMIF(cbal!H$280:H$296,$B829,cbal!$D$280:$D$296)+1)</f>
        <v>0</v>
      </c>
      <c r="I829" s="430">
        <f>INDEX($K829:$O829,SUMIF(cbal!I$280:I$296,$B829,cbal!$D$280:$D$296)+1)</f>
        <v>0</v>
      </c>
      <c r="K829" s="1577">
        <v>0</v>
      </c>
      <c r="L829" s="1584">
        <v>-0.05</v>
      </c>
      <c r="M829" s="1584">
        <v>-0.05</v>
      </c>
      <c r="N829" s="1584">
        <v>-0.05</v>
      </c>
      <c r="O829" s="1584">
        <v>-0.05</v>
      </c>
      <c r="R829" s="91" t="b">
        <f t="shared" si="120"/>
        <v>0</v>
      </c>
      <c r="S829" s="21" t="b">
        <f t="shared" si="121"/>
        <v>0</v>
      </c>
      <c r="T829" s="97" t="b">
        <f t="shared" si="114"/>
        <v>0</v>
      </c>
    </row>
    <row r="830" spans="2:20">
      <c r="B830" t="s">
        <v>4052</v>
      </c>
      <c r="C830" s="433">
        <v>45</v>
      </c>
      <c r="D830" t="str">
        <f>VLOOKUP($C830,param!$A$4:$B$266,2)</f>
        <v>NCB Material Cost Per Unit</v>
      </c>
      <c r="E830" s="430">
        <f>INDEX($K830:$O830,SUMIF(cbal!E$280:E$296,$B830,cbal!$D$280:$D$296)+1)</f>
        <v>0</v>
      </c>
      <c r="F830" s="430">
        <f>INDEX($K830:$O830,SUMIF(cbal!F$280:F$296,$B830,cbal!$D$280:$D$296)+1)</f>
        <v>0</v>
      </c>
      <c r="G830" s="430">
        <f>INDEX($K830:$O830,SUMIF(cbal!G$280:G$296,$B830,cbal!$D$280:$D$296)+1)</f>
        <v>0</v>
      </c>
      <c r="H830" s="430">
        <f>INDEX($K830:$O830,SUMIF(cbal!H$280:H$296,$B830,cbal!$D$280:$D$296)+1)</f>
        <v>0</v>
      </c>
      <c r="I830" s="430">
        <f>INDEX($K830:$O830,SUMIF(cbal!I$280:I$296,$B830,cbal!$D$280:$D$296)+1)</f>
        <v>0</v>
      </c>
      <c r="K830" s="1577">
        <v>0</v>
      </c>
      <c r="L830" s="1584">
        <v>-0.05</v>
      </c>
      <c r="M830" s="1584">
        <v>-0.05</v>
      </c>
      <c r="N830" s="1584">
        <v>-0.05</v>
      </c>
      <c r="O830" s="1584">
        <v>-0.05</v>
      </c>
      <c r="R830" s="91" t="b">
        <f t="shared" si="120"/>
        <v>0</v>
      </c>
      <c r="S830" s="21" t="b">
        <f t="shared" si="121"/>
        <v>0</v>
      </c>
      <c r="T830" s="97" t="b">
        <f t="shared" si="114"/>
        <v>0</v>
      </c>
    </row>
    <row r="831" spans="2:20">
      <c r="B831" t="s">
        <v>4052</v>
      </c>
      <c r="C831" s="433">
        <v>190</v>
      </c>
      <c r="D831" t="str">
        <f>VLOOKUP($C831,param!$A$4:$B$266,2)</f>
        <v>Water Usage Performance</v>
      </c>
      <c r="E831" s="430">
        <f>INDEX($K831:$O831,SUMIF(cbal!E$280:E$296,$B831,cbal!$D$280:$D$296)+1)</f>
        <v>0</v>
      </c>
      <c r="F831" s="430">
        <f>INDEX($K831:$O831,SUMIF(cbal!F$280:F$296,$B831,cbal!$D$280:$D$296)+1)</f>
        <v>0</v>
      </c>
      <c r="G831" s="430">
        <f>INDEX($K831:$O831,SUMIF(cbal!G$280:G$296,$B831,cbal!$D$280:$D$296)+1)</f>
        <v>0</v>
      </c>
      <c r="H831" s="430">
        <f>INDEX($K831:$O831,SUMIF(cbal!H$280:H$296,$B831,cbal!$D$280:$D$296)+1)</f>
        <v>0</v>
      </c>
      <c r="I831" s="430">
        <f>INDEX($K831:$O831,SUMIF(cbal!I$280:I$296,$B831,cbal!$D$280:$D$296)+1)</f>
        <v>0</v>
      </c>
      <c r="K831" s="1577">
        <v>0</v>
      </c>
      <c r="L831" s="1584">
        <v>0.1</v>
      </c>
      <c r="M831" s="1584">
        <v>0.1</v>
      </c>
      <c r="N831" s="1584">
        <v>0.1</v>
      </c>
      <c r="O831" s="1584">
        <v>0.1</v>
      </c>
      <c r="R831" s="91" t="b">
        <f t="shared" si="120"/>
        <v>0</v>
      </c>
      <c r="S831" s="21" t="b">
        <f t="shared" si="121"/>
        <v>0</v>
      </c>
      <c r="T831" s="97" t="b">
        <f t="shared" si="114"/>
        <v>0</v>
      </c>
    </row>
    <row r="832" spans="2:20">
      <c r="B832" t="s">
        <v>4052</v>
      </c>
      <c r="C832" s="433">
        <v>167</v>
      </c>
      <c r="D832" t="str">
        <f>VLOOKUP($C832,param!$A$4:$B$266,2)</f>
        <v>Special Program Expense</v>
      </c>
      <c r="E832" s="183">
        <f>INDEX($K832:$O832,SUMIF(cbal!E$280:E$296,$B832,cbal!$D$280:$D$296)+1)</f>
        <v>0</v>
      </c>
      <c r="F832" s="183">
        <f>INDEX($K832:$O832,SUMIF(cbal!F$280:F$296,$B832,cbal!$D$280:$D$296)+1)</f>
        <v>0</v>
      </c>
      <c r="G832" s="183">
        <f>INDEX($K832:$O832,SUMIF(cbal!G$280:G$296,$B832,cbal!$D$280:$D$296)+1)</f>
        <v>0</v>
      </c>
      <c r="H832" s="183">
        <f>INDEX($K832:$O832,SUMIF(cbal!H$280:H$296,$B832,cbal!$D$280:$D$296)+1)</f>
        <v>0</v>
      </c>
      <c r="I832" s="183">
        <f>INDEX($K832:$O832,SUMIF(cbal!I$280:I$296,$B832,cbal!$D$280:$D$296)+1)</f>
        <v>0</v>
      </c>
      <c r="K832" s="1577">
        <v>0</v>
      </c>
      <c r="L832" s="1582">
        <v>1500000</v>
      </c>
      <c r="M832" s="1581"/>
      <c r="N832" s="1581"/>
      <c r="O832" s="1581"/>
      <c r="R832" s="91">
        <f t="shared" si="120"/>
        <v>1500000</v>
      </c>
      <c r="S832" s="21">
        <f t="shared" si="121"/>
        <v>0</v>
      </c>
      <c r="T832" s="97" t="b">
        <f t="shared" si="114"/>
        <v>0</v>
      </c>
    </row>
    <row r="833" spans="2:20">
      <c r="B833" t="s">
        <v>4052</v>
      </c>
      <c r="C833" s="433">
        <v>133.5</v>
      </c>
      <c r="D833" t="str">
        <f>VLOOKUP($C833,param!$A$4:$B$266,2)</f>
        <v>MTU Initiatives Allocation</v>
      </c>
      <c r="E833" s="183">
        <f>INDEX($K833:$O833,SUMIF(cbal!E$280:E$296,$B833,cbal!$D$280:$D$296)+1)</f>
        <v>0</v>
      </c>
      <c r="F833" s="183">
        <f>INDEX($K833:$O833,SUMIF(cbal!F$280:F$296,$B833,cbal!$D$280:$D$296)+1)</f>
        <v>0</v>
      </c>
      <c r="G833" s="183">
        <f>INDEX($K833:$O833,SUMIF(cbal!G$280:G$296,$B833,cbal!$D$280:$D$296)+1)</f>
        <v>0</v>
      </c>
      <c r="H833" s="183">
        <f>INDEX($K833:$O833,SUMIF(cbal!H$280:H$296,$B833,cbal!$D$280:$D$296)+1)</f>
        <v>0</v>
      </c>
      <c r="I833" s="183">
        <f>INDEX($K833:$O833,SUMIF(cbal!I$280:I$296,$B833,cbal!$D$280:$D$296)+1)</f>
        <v>0</v>
      </c>
      <c r="K833" s="1577">
        <v>0</v>
      </c>
      <c r="L833" s="1587">
        <v>5</v>
      </c>
      <c r="M833" s="1587"/>
      <c r="N833" s="1587"/>
      <c r="O833" s="1587"/>
      <c r="R833" s="91" t="b">
        <f t="shared" si="120"/>
        <v>0</v>
      </c>
      <c r="S833" s="21" t="b">
        <f t="shared" si="121"/>
        <v>0</v>
      </c>
      <c r="T833" s="97">
        <f t="shared" si="114"/>
        <v>5</v>
      </c>
    </row>
    <row r="834" spans="2:20">
      <c r="B834" t="s">
        <v>4052</v>
      </c>
      <c r="C834" s="433">
        <v>203</v>
      </c>
      <c r="D834" t="str">
        <f>VLOOKUP($C834,param!$A$4:$B$266,2)</f>
        <v>Productivity Strategy</v>
      </c>
      <c r="E834" s="183">
        <f>INDEX($K834:$O834,SUMIF(cbal!E$280:E$296,$B834,cbal!$D$280:$D$296)+1)</f>
        <v>0</v>
      </c>
      <c r="F834" s="183">
        <f>INDEX($K834:$O834,SUMIF(cbal!F$280:F$296,$B834,cbal!$D$280:$D$296)+1)</f>
        <v>0</v>
      </c>
      <c r="G834" s="183">
        <f>INDEX($K834:$O834,SUMIF(cbal!G$280:G$296,$B834,cbal!$D$280:$D$296)+1)</f>
        <v>0</v>
      </c>
      <c r="H834" s="183">
        <f>INDEX($K834:$O834,SUMIF(cbal!H$280:H$296,$B834,cbal!$D$280:$D$296)+1)</f>
        <v>0</v>
      </c>
      <c r="I834" s="183">
        <f>INDEX($K834:$O834,SUMIF(cbal!I$280:I$296,$B834,cbal!$D$280:$D$296)+1)</f>
        <v>0</v>
      </c>
      <c r="K834" s="1577">
        <v>0</v>
      </c>
      <c r="L834" s="1580">
        <f>L833</f>
        <v>5</v>
      </c>
      <c r="M834" s="1580">
        <f>L834</f>
        <v>5</v>
      </c>
      <c r="N834" s="1580">
        <f>M834</f>
        <v>5</v>
      </c>
      <c r="O834" s="1580">
        <f>N834</f>
        <v>5</v>
      </c>
      <c r="R834" s="91" t="b">
        <f t="shared" si="120"/>
        <v>0</v>
      </c>
      <c r="S834" s="21" t="b">
        <f t="shared" si="121"/>
        <v>0</v>
      </c>
      <c r="T834" s="97" t="b">
        <f t="shared" si="114"/>
        <v>0</v>
      </c>
    </row>
    <row r="835" spans="2:20">
      <c r="B835">
        <v>0</v>
      </c>
      <c r="C835" s="433">
        <v>0</v>
      </c>
      <c r="E835" s="183"/>
      <c r="F835" s="183"/>
      <c r="G835" s="183"/>
      <c r="H835" s="183"/>
      <c r="I835" s="183"/>
      <c r="K835" s="1577"/>
      <c r="L835" s="1581"/>
      <c r="M835" s="1581"/>
      <c r="N835" s="1581"/>
      <c r="O835" s="1581"/>
      <c r="R835" s="91">
        <v>0</v>
      </c>
      <c r="S835" s="21">
        <v>0</v>
      </c>
      <c r="T835" s="97">
        <v>0</v>
      </c>
    </row>
    <row r="836" spans="2:20">
      <c r="B836" s="33" t="s">
        <v>4053</v>
      </c>
      <c r="C836" t="str">
        <f>VLOOKUP(B836,DataInitiativesGrid,2,0)</f>
        <v>Virtual Speak Program - Vetera</v>
      </c>
      <c r="D836" s="33"/>
      <c r="E836" s="448"/>
      <c r="F836" s="448"/>
      <c r="G836" s="448"/>
      <c r="H836" s="448"/>
      <c r="I836" s="448"/>
      <c r="K836" s="1577"/>
      <c r="L836" s="1585"/>
      <c r="M836" s="1585"/>
      <c r="N836" s="1585"/>
      <c r="O836" s="1585"/>
      <c r="R836" s="91">
        <v>0</v>
      </c>
      <c r="S836" s="21">
        <v>0</v>
      </c>
      <c r="T836" s="97">
        <v>0</v>
      </c>
    </row>
    <row r="837" spans="2:20">
      <c r="B837" s="33" t="s">
        <v>4053</v>
      </c>
      <c r="C837" s="433">
        <v>13</v>
      </c>
      <c r="D837" s="358" t="str">
        <f>VLOOKUP($C837,param!$A$4:$B$266,2)</f>
        <v>CSD Distribution Costs for Reg. 1</v>
      </c>
      <c r="E837" s="448">
        <f>INDEX($K837:$O837,SUMIF(cbal!E$280:E$296,$B837,cbal!$D$280:$D$296)+1)</f>
        <v>0</v>
      </c>
      <c r="F837" s="448">
        <f>INDEX($K837:$O837,SUMIF(cbal!F$280:F$296,$B837,cbal!$D$280:$D$296)+1)</f>
        <v>0</v>
      </c>
      <c r="G837" s="448">
        <f>INDEX($K837:$O837,SUMIF(cbal!G$280:G$296,$B837,cbal!$D$280:$D$296)+1)</f>
        <v>0</v>
      </c>
      <c r="H837" s="448">
        <f>INDEX($K837:$O837,SUMIF(cbal!H$280:H$296,$B837,cbal!$D$280:$D$296)+1)</f>
        <v>0</v>
      </c>
      <c r="I837" s="448">
        <f>INDEX($K837:$O837,SUMIF(cbal!I$280:I$296,$B837,cbal!$D$280:$D$296)+1)</f>
        <v>0</v>
      </c>
      <c r="K837" s="1577">
        <v>0</v>
      </c>
      <c r="L837" s="1584">
        <v>-0.04</v>
      </c>
      <c r="M837" s="1584">
        <v>-0.04</v>
      </c>
      <c r="N837" s="1584">
        <v>-0.04</v>
      </c>
      <c r="O837" s="1584">
        <v>-0.04</v>
      </c>
      <c r="R837" s="91" t="b">
        <f t="shared" ref="R837:R843" si="123">IF(AND(C837&gt;166,C837&lt;171.5),L837)</f>
        <v>0</v>
      </c>
      <c r="S837" s="21" t="b">
        <f t="shared" ref="S837:S843" si="124">IF(AND(C837&gt;166,C837&lt;171.5),M837)</f>
        <v>0</v>
      </c>
      <c r="T837" s="97" t="b">
        <f t="shared" ref="T837:T843" si="125">IF(C837=133.5,L837)</f>
        <v>0</v>
      </c>
    </row>
    <row r="838" spans="2:20">
      <c r="B838" s="33" t="s">
        <v>4053</v>
      </c>
      <c r="C838" s="433">
        <v>51</v>
      </c>
      <c r="D838" t="str">
        <f>VLOOKUP($C838,param!$A$4:$B$266,2)</f>
        <v>NCB Distribution Costs for Reg. 1</v>
      </c>
      <c r="E838" s="448">
        <f>INDEX($K838:$O838,SUMIF(cbal!E$280:E$296,$B838,cbal!$D$280:$D$296)+1)</f>
        <v>0</v>
      </c>
      <c r="F838" s="448">
        <f>INDEX($K838:$O838,SUMIF(cbal!F$280:F$296,$B838,cbal!$D$280:$D$296)+1)</f>
        <v>0</v>
      </c>
      <c r="G838" s="448">
        <f>INDEX($K838:$O838,SUMIF(cbal!G$280:G$296,$B838,cbal!$D$280:$D$296)+1)</f>
        <v>0</v>
      </c>
      <c r="H838" s="448">
        <f>INDEX($K838:$O838,SUMIF(cbal!H$280:H$296,$B838,cbal!$D$280:$D$296)+1)</f>
        <v>0</v>
      </c>
      <c r="I838" s="448">
        <f>INDEX($K838:$O838,SUMIF(cbal!I$280:I$296,$B838,cbal!$D$280:$D$296)+1)</f>
        <v>0</v>
      </c>
      <c r="K838" s="1577">
        <v>0</v>
      </c>
      <c r="L838" s="1584">
        <v>-0.04</v>
      </c>
      <c r="M838" s="1584">
        <v>-0.04</v>
      </c>
      <c r="N838" s="1584">
        <v>-0.04</v>
      </c>
      <c r="O838" s="1584">
        <v>-0.04</v>
      </c>
      <c r="R838" s="91" t="b">
        <f t="shared" si="123"/>
        <v>0</v>
      </c>
      <c r="S838" s="21" t="b">
        <f t="shared" si="124"/>
        <v>0</v>
      </c>
      <c r="T838" s="97" t="b">
        <f t="shared" si="125"/>
        <v>0</v>
      </c>
    </row>
    <row r="839" spans="2:20">
      <c r="B839" s="33" t="s">
        <v>4053</v>
      </c>
      <c r="C839" s="433">
        <v>70</v>
      </c>
      <c r="D839" t="str">
        <f>VLOOKUP($C839,param!$A$4:$B$266,2)</f>
        <v>F&amp;S Distribution Costs for Reg. 1</v>
      </c>
      <c r="E839" s="448">
        <f>INDEX($K839:$O839,SUMIF(cbal!E$280:E$296,$B839,cbal!$D$280:$D$296)+1)</f>
        <v>0</v>
      </c>
      <c r="F839" s="448">
        <f>INDEX($K839:$O839,SUMIF(cbal!F$280:F$296,$B839,cbal!$D$280:$D$296)+1)</f>
        <v>0</v>
      </c>
      <c r="G839" s="448">
        <f>INDEX($K839:$O839,SUMIF(cbal!G$280:G$296,$B839,cbal!$D$280:$D$296)+1)</f>
        <v>0</v>
      </c>
      <c r="H839" s="448">
        <f>INDEX($K839:$O839,SUMIF(cbal!H$280:H$296,$B839,cbal!$D$280:$D$296)+1)</f>
        <v>0</v>
      </c>
      <c r="I839" s="448">
        <f>INDEX($K839:$O839,SUMIF(cbal!I$280:I$296,$B839,cbal!$D$280:$D$296)+1)</f>
        <v>0</v>
      </c>
      <c r="K839" s="1577">
        <v>0</v>
      </c>
      <c r="L839" s="1584">
        <v>-0.04</v>
      </c>
      <c r="M839" s="1584">
        <v>-0.04</v>
      </c>
      <c r="N839" s="1584">
        <v>-0.04</v>
      </c>
      <c r="O839" s="1584">
        <v>-0.04</v>
      </c>
      <c r="R839" s="91" t="b">
        <f t="shared" si="123"/>
        <v>0</v>
      </c>
      <c r="S839" s="21" t="b">
        <f t="shared" si="124"/>
        <v>0</v>
      </c>
      <c r="T839" s="97" t="b">
        <f t="shared" si="125"/>
        <v>0</v>
      </c>
    </row>
    <row r="840" spans="2:20">
      <c r="B840" s="33" t="s">
        <v>4053</v>
      </c>
      <c r="C840" s="433">
        <v>32</v>
      </c>
      <c r="D840" t="str">
        <f>VLOOKUP($C840,param!$A$4:$B$266,2)</f>
        <v>Breakthrough Distribution Costs for Reg. 1</v>
      </c>
      <c r="E840" s="448">
        <f>INDEX($K840:$O840,SUMIF(cbal!E$280:E$296,$B840,cbal!$D$280:$D$296)+1)</f>
        <v>0</v>
      </c>
      <c r="F840" s="448">
        <f>INDEX($K840:$O840,SUMIF(cbal!F$280:F$296,$B840,cbal!$D$280:$D$296)+1)</f>
        <v>0</v>
      </c>
      <c r="G840" s="448">
        <f>INDEX($K840:$O840,SUMIF(cbal!G$280:G$296,$B840,cbal!$D$280:$D$296)+1)</f>
        <v>0</v>
      </c>
      <c r="H840" s="448">
        <f>INDEX($K840:$O840,SUMIF(cbal!H$280:H$296,$B840,cbal!$D$280:$D$296)+1)</f>
        <v>0</v>
      </c>
      <c r="I840" s="448">
        <f>INDEX($K840:$O840,SUMIF(cbal!I$280:I$296,$B840,cbal!$D$280:$D$296)+1)</f>
        <v>0</v>
      </c>
      <c r="K840" s="1577">
        <v>0</v>
      </c>
      <c r="L840" s="1584">
        <v>0.1</v>
      </c>
      <c r="M840" s="1584">
        <v>0.1</v>
      </c>
      <c r="N840" s="1584">
        <v>0.1</v>
      </c>
      <c r="O840" s="1584">
        <v>0.1</v>
      </c>
      <c r="R840" s="91" t="b">
        <f t="shared" si="123"/>
        <v>0</v>
      </c>
      <c r="S840" s="21" t="b">
        <f t="shared" si="124"/>
        <v>0</v>
      </c>
      <c r="T840" s="97" t="b">
        <f t="shared" si="125"/>
        <v>0</v>
      </c>
    </row>
    <row r="841" spans="2:20">
      <c r="B841" s="33" t="s">
        <v>4053</v>
      </c>
      <c r="C841" s="433">
        <v>44</v>
      </c>
      <c r="D841" t="str">
        <f>VLOOKUP($C841,param!$A$4:$B$266,2)</f>
        <v>NCB % FG Retained Units</v>
      </c>
      <c r="E841" s="448">
        <f>INDEX($K841:$O841,SUMIF(cbal!E$280:E$296,$B841,cbal!$D$280:$D$296)+1)</f>
        <v>0</v>
      </c>
      <c r="F841" s="448">
        <f>INDEX($K841:$O841,SUMIF(cbal!F$280:F$296,$B841,cbal!$D$280:$D$296)+1)</f>
        <v>0</v>
      </c>
      <c r="G841" s="448">
        <f>INDEX($K841:$O841,SUMIF(cbal!G$280:G$296,$B841,cbal!$D$280:$D$296)+1)</f>
        <v>0</v>
      </c>
      <c r="H841" s="448">
        <f>INDEX($K841:$O841,SUMIF(cbal!H$280:H$296,$B841,cbal!$D$280:$D$296)+1)</f>
        <v>0</v>
      </c>
      <c r="I841" s="448">
        <f>INDEX($K841:$O841,SUMIF(cbal!I$280:I$296,$B841,cbal!$D$280:$D$296)+1)</f>
        <v>0</v>
      </c>
      <c r="K841" s="1577">
        <v>0</v>
      </c>
      <c r="L841" s="1584">
        <v>0.05</v>
      </c>
      <c r="M841" s="1584">
        <v>0.05</v>
      </c>
      <c r="N841" s="1584">
        <v>0.05</v>
      </c>
      <c r="O841" s="1584">
        <v>0.05</v>
      </c>
      <c r="R841" s="91" t="b">
        <f t="shared" si="123"/>
        <v>0</v>
      </c>
      <c r="S841" s="21" t="b">
        <f t="shared" si="124"/>
        <v>0</v>
      </c>
      <c r="T841" s="97" t="b">
        <f t="shared" si="125"/>
        <v>0</v>
      </c>
    </row>
    <row r="842" spans="2:20">
      <c r="B842" s="33" t="s">
        <v>4053</v>
      </c>
      <c r="C842" s="433">
        <v>63</v>
      </c>
      <c r="D842" t="str">
        <f>VLOOKUP($C842,param!$A$4:$B$266,2)</f>
        <v>F&amp;S % FG Retained Units</v>
      </c>
      <c r="E842" s="448">
        <f>INDEX($K842:$O842,SUMIF(cbal!E$280:E$296,$B842,cbal!$D$280:$D$296)+1)</f>
        <v>0</v>
      </c>
      <c r="F842" s="448">
        <f>INDEX($K842:$O842,SUMIF(cbal!F$280:F$296,$B842,cbal!$D$280:$D$296)+1)</f>
        <v>0</v>
      </c>
      <c r="G842" s="448">
        <f>INDEX($K842:$O842,SUMIF(cbal!G$280:G$296,$B842,cbal!$D$280:$D$296)+1)</f>
        <v>0</v>
      </c>
      <c r="H842" s="448">
        <f>INDEX($K842:$O842,SUMIF(cbal!H$280:H$296,$B842,cbal!$D$280:$D$296)+1)</f>
        <v>0</v>
      </c>
      <c r="I842" s="448">
        <f>INDEX($K842:$O842,SUMIF(cbal!I$280:I$296,$B842,cbal!$D$280:$D$296)+1)</f>
        <v>0</v>
      </c>
      <c r="K842" s="1577">
        <v>0</v>
      </c>
      <c r="L842" s="1578">
        <v>0.01</v>
      </c>
      <c r="M842" s="1584">
        <v>0.01</v>
      </c>
      <c r="N842" s="1584">
        <v>0.01</v>
      </c>
      <c r="O842" s="1584">
        <v>0.01</v>
      </c>
      <c r="R842" s="91" t="b">
        <f t="shared" si="123"/>
        <v>0</v>
      </c>
      <c r="S842" s="21" t="b">
        <f t="shared" si="124"/>
        <v>0</v>
      </c>
      <c r="T842" s="97" t="b">
        <f t="shared" si="125"/>
        <v>0</v>
      </c>
    </row>
    <row r="843" spans="2:20">
      <c r="B843" s="33" t="s">
        <v>4053</v>
      </c>
      <c r="C843" s="433">
        <v>167</v>
      </c>
      <c r="D843" t="str">
        <f>VLOOKUP($C843,param!$A$4:$B$266,2)</f>
        <v>Special Program Expense</v>
      </c>
      <c r="E843" s="615">
        <f>INDEX($K843:$O843,SUMIF(cbal!E$280:E$296,$B843,cbal!$D$280:$D$296)+1)</f>
        <v>0</v>
      </c>
      <c r="F843" s="615">
        <f>INDEX($K843:$O843,SUMIF(cbal!F$280:F$296,$B843,cbal!$D$280:$D$296)+1)</f>
        <v>0</v>
      </c>
      <c r="G843" s="615">
        <f>INDEX($K843:$O843,SUMIF(cbal!G$280:G$296,$B843,cbal!$D$280:$D$296)+1)</f>
        <v>0</v>
      </c>
      <c r="H843" s="615">
        <f>INDEX($K843:$O843,SUMIF(cbal!H$280:H$296,$B843,cbal!$D$280:$D$296)+1)</f>
        <v>0</v>
      </c>
      <c r="I843" s="615">
        <f>INDEX($K843:$O843,SUMIF(cbal!I$280:I$296,$B843,cbal!$D$280:$D$296)+1)</f>
        <v>0</v>
      </c>
      <c r="K843" s="1577">
        <v>0</v>
      </c>
      <c r="L843" s="1580">
        <v>5000000</v>
      </c>
      <c r="M843" s="1585"/>
      <c r="N843" s="1585"/>
      <c r="O843" s="1585"/>
      <c r="R843" s="91">
        <f t="shared" si="123"/>
        <v>5000000</v>
      </c>
      <c r="S843" s="21">
        <f t="shared" si="124"/>
        <v>0</v>
      </c>
      <c r="T843" s="97" t="b">
        <f t="shared" si="125"/>
        <v>0</v>
      </c>
    </row>
    <row r="844" spans="2:20">
      <c r="B844" s="33" t="s">
        <v>4053</v>
      </c>
      <c r="C844" s="433">
        <v>133.5</v>
      </c>
      <c r="D844" t="str">
        <f>VLOOKUP($C844,param!$A$4:$B$266,2)</f>
        <v>MTU Initiatives Allocation</v>
      </c>
      <c r="E844" s="615">
        <f>INDEX($K844:$O844,SUMIF(cbal!E$280:E$296,$B844,cbal!$D$280:$D$296)+1)</f>
        <v>0</v>
      </c>
      <c r="F844" s="615">
        <f>INDEX($K844:$O844,SUMIF(cbal!F$280:F$296,$B844,cbal!$D$280:$D$296)+1)</f>
        <v>0</v>
      </c>
      <c r="G844" s="615">
        <f>INDEX($K844:$O844,SUMIF(cbal!G$280:G$296,$B844,cbal!$D$280:$D$296)+1)</f>
        <v>0</v>
      </c>
      <c r="H844" s="615">
        <f>INDEX($K844:$O844,SUMIF(cbal!H$280:H$296,$B844,cbal!$D$280:$D$296)+1)</f>
        <v>0</v>
      </c>
      <c r="I844" s="615">
        <f>INDEX($K844:$O844,SUMIF(cbal!I$280:I$296,$B844,cbal!$D$280:$D$296)+1)</f>
        <v>0</v>
      </c>
      <c r="K844" s="1577">
        <v>0</v>
      </c>
      <c r="L844" s="1587">
        <v>10</v>
      </c>
      <c r="M844" s="1587"/>
      <c r="N844" s="1587"/>
      <c r="O844" s="1587"/>
      <c r="R844" s="91" t="b">
        <f t="shared" ref="R844:R850" si="126">IF(AND(C844&gt;166,C844&lt;171.5),L844)</f>
        <v>0</v>
      </c>
      <c r="S844" s="21" t="b">
        <f t="shared" ref="S844:S850" si="127">IF(AND(C844&gt;166,C844&lt;171.5),M844)</f>
        <v>0</v>
      </c>
      <c r="T844" s="97">
        <f>IF(C844=133.5,L844)</f>
        <v>10</v>
      </c>
    </row>
    <row r="845" spans="2:20">
      <c r="B845" t="s">
        <v>4053</v>
      </c>
      <c r="C845" s="433">
        <v>203</v>
      </c>
      <c r="D845" t="str">
        <f>VLOOKUP($C845,param!$A$4:$B$266,2)</f>
        <v>Productivity Strategy</v>
      </c>
      <c r="E845" s="183">
        <f>INDEX($K845:$O845,SUMIF(cbal!E$280:E$296,$B845,cbal!$D$280:$D$296)+1)</f>
        <v>0</v>
      </c>
      <c r="F845" s="183">
        <f>INDEX($K845:$O845,SUMIF(cbal!F$280:F$296,$B845,cbal!$D$280:$D$296)+1)</f>
        <v>0</v>
      </c>
      <c r="G845" s="183">
        <f>INDEX($K845:$O845,SUMIF(cbal!G$280:G$296,$B845,cbal!$D$280:$D$296)+1)</f>
        <v>0</v>
      </c>
      <c r="H845" s="183">
        <f>INDEX($K845:$O845,SUMIF(cbal!H$280:H$296,$B845,cbal!$D$280:$D$296)+1)</f>
        <v>0</v>
      </c>
      <c r="I845" s="183">
        <f>INDEX($K845:$O845,SUMIF(cbal!I$280:I$296,$B845,cbal!$D$280:$D$296)+1)</f>
        <v>0</v>
      </c>
      <c r="K845" s="1577">
        <v>0</v>
      </c>
      <c r="L845" s="1580">
        <f>L844/2</f>
        <v>5</v>
      </c>
      <c r="M845" s="1580">
        <f t="shared" ref="M845:O846" si="128">L845</f>
        <v>5</v>
      </c>
      <c r="N845" s="1580">
        <f t="shared" si="128"/>
        <v>5</v>
      </c>
      <c r="O845" s="1580">
        <f t="shared" si="128"/>
        <v>5</v>
      </c>
      <c r="R845" s="91" t="b">
        <f>IF(AND(C845&gt;166,C845&lt;171.5),L845)</f>
        <v>0</v>
      </c>
      <c r="S845" s="21" t="b">
        <f>IF(AND(C845&gt;166,C845&lt;171.5),M845)</f>
        <v>0</v>
      </c>
      <c r="T845" s="97" t="b">
        <f>IF(C845=133.5,L845)</f>
        <v>0</v>
      </c>
    </row>
    <row r="846" spans="2:20">
      <c r="B846" t="s">
        <v>4053</v>
      </c>
      <c r="C846" s="433">
        <v>202</v>
      </c>
      <c r="D846" t="str">
        <f>VLOOKUP($C846,param!$A$4:$B$266,2)</f>
        <v>Go-to-Market Strategy</v>
      </c>
      <c r="E846" s="183">
        <f>INDEX($K846:$O846,SUMIF(cbal!E$280:E$296,$B846,cbal!$D$280:$D$296)+1)</f>
        <v>0</v>
      </c>
      <c r="F846" s="183">
        <f>INDEX($K846:$O846,SUMIF(cbal!F$280:F$296,$B846,cbal!$D$280:$D$296)+1)</f>
        <v>0</v>
      </c>
      <c r="G846" s="183">
        <f>INDEX($K846:$O846,SUMIF(cbal!G$280:G$296,$B846,cbal!$D$280:$D$296)+1)</f>
        <v>0</v>
      </c>
      <c r="H846" s="183">
        <f>INDEX($K846:$O846,SUMIF(cbal!H$280:H$296,$B846,cbal!$D$280:$D$296)+1)</f>
        <v>0</v>
      </c>
      <c r="I846" s="183">
        <f>INDEX($K846:$O846,SUMIF(cbal!I$280:I$296,$B846,cbal!$D$280:$D$296)+1)</f>
        <v>0</v>
      </c>
      <c r="K846" s="1577">
        <v>0</v>
      </c>
      <c r="L846" s="1580">
        <f>L844-L845</f>
        <v>5</v>
      </c>
      <c r="M846" s="1580">
        <f t="shared" si="128"/>
        <v>5</v>
      </c>
      <c r="N846" s="1580">
        <f t="shared" si="128"/>
        <v>5</v>
      </c>
      <c r="O846" s="1580">
        <f t="shared" si="128"/>
        <v>5</v>
      </c>
      <c r="R846" s="91" t="b">
        <f t="shared" si="126"/>
        <v>0</v>
      </c>
      <c r="S846" s="21" t="b">
        <f t="shared" si="127"/>
        <v>0</v>
      </c>
      <c r="T846" s="97" t="b">
        <f>IF(C846=133.5,L846)</f>
        <v>0</v>
      </c>
    </row>
    <row r="847" spans="2:20">
      <c r="B847">
        <v>0</v>
      </c>
      <c r="C847" s="433">
        <v>0</v>
      </c>
      <c r="E847" s="615"/>
      <c r="F847" s="615"/>
      <c r="G847" s="615"/>
      <c r="H847" s="615"/>
      <c r="I847" s="615"/>
      <c r="K847" s="1577"/>
      <c r="L847" s="1580"/>
      <c r="M847" s="1585"/>
      <c r="N847" s="1585"/>
      <c r="O847" s="1585"/>
      <c r="R847" s="91">
        <v>0</v>
      </c>
      <c r="S847" s="21">
        <v>0</v>
      </c>
      <c r="T847" s="97">
        <v>0</v>
      </c>
    </row>
    <row r="848" spans="2:20">
      <c r="B848" s="33" t="s">
        <v>4054</v>
      </c>
      <c r="C848" t="str">
        <f>VLOOKUP(B848,DataInitiativesGrid,2,0)</f>
        <v>Virtual Speak Program - Escendia</v>
      </c>
      <c r="D848" s="33"/>
      <c r="E848" s="448"/>
      <c r="F848" s="448"/>
      <c r="G848" s="448"/>
      <c r="H848" s="448"/>
      <c r="I848" s="448"/>
      <c r="K848" s="1577"/>
      <c r="L848" s="1585"/>
      <c r="M848" s="1585"/>
      <c r="N848" s="1585"/>
      <c r="O848" s="1585"/>
      <c r="R848" s="91">
        <v>0</v>
      </c>
      <c r="S848" s="21">
        <v>0</v>
      </c>
      <c r="T848" s="97">
        <v>0</v>
      </c>
    </row>
    <row r="849" spans="2:20">
      <c r="B849" s="33" t="s">
        <v>4054</v>
      </c>
      <c r="C849" s="433">
        <v>14</v>
      </c>
      <c r="D849" t="str">
        <f>VLOOKUP($C849,param!$A$4:$B$266,2)</f>
        <v>CSD Distribution Costs for Reg. 2</v>
      </c>
      <c r="E849" s="448">
        <f>INDEX($K849:$O849,SUMIF(cbal!E$280:E$296,$B849,cbal!$D$280:$D$296)+1)</f>
        <v>0</v>
      </c>
      <c r="F849" s="448">
        <f>INDEX($K849:$O849,SUMIF(cbal!F$280:F$296,$B849,cbal!$D$280:$D$296)+1)</f>
        <v>0</v>
      </c>
      <c r="G849" s="448">
        <f>INDEX($K849:$O849,SUMIF(cbal!G$280:G$296,$B849,cbal!$D$280:$D$296)+1)</f>
        <v>0</v>
      </c>
      <c r="H849" s="448">
        <f>INDEX($K849:$O849,SUMIF(cbal!H$280:H$296,$B849,cbal!$D$280:$D$296)+1)</f>
        <v>0</v>
      </c>
      <c r="I849" s="448">
        <f>INDEX($K849:$O849,SUMIF(cbal!I$280:I$296,$B849,cbal!$D$280:$D$296)+1)</f>
        <v>0</v>
      </c>
      <c r="K849" s="1577">
        <v>0</v>
      </c>
      <c r="L849" s="1584">
        <v>-0.04</v>
      </c>
      <c r="M849" s="1584">
        <v>-0.04</v>
      </c>
      <c r="N849" s="1584">
        <v>-0.04</v>
      </c>
      <c r="O849" s="1584">
        <v>-0.04</v>
      </c>
      <c r="R849" s="91" t="b">
        <f t="shared" si="126"/>
        <v>0</v>
      </c>
      <c r="S849" s="21" t="b">
        <f t="shared" si="127"/>
        <v>0</v>
      </c>
      <c r="T849" s="97" t="b">
        <f t="shared" si="114"/>
        <v>0</v>
      </c>
    </row>
    <row r="850" spans="2:20">
      <c r="B850" s="33" t="s">
        <v>4054</v>
      </c>
      <c r="C850" s="433">
        <v>52</v>
      </c>
      <c r="D850" t="str">
        <f>VLOOKUP($C850,param!$A$4:$B$266,2)</f>
        <v>NCB Distribution Costs for Reg. 2</v>
      </c>
      <c r="E850" s="448">
        <f>INDEX($K850:$O850,SUMIF(cbal!E$280:E$296,$B850,cbal!$D$280:$D$296)+1)</f>
        <v>0</v>
      </c>
      <c r="F850" s="448">
        <f>INDEX($K850:$O850,SUMIF(cbal!F$280:F$296,$B850,cbal!$D$280:$D$296)+1)</f>
        <v>0</v>
      </c>
      <c r="G850" s="448">
        <f>INDEX($K850:$O850,SUMIF(cbal!G$280:G$296,$B850,cbal!$D$280:$D$296)+1)</f>
        <v>0</v>
      </c>
      <c r="H850" s="448">
        <f>INDEX($K850:$O850,SUMIF(cbal!H$280:H$296,$B850,cbal!$D$280:$D$296)+1)</f>
        <v>0</v>
      </c>
      <c r="I850" s="448">
        <f>INDEX($K850:$O850,SUMIF(cbal!I$280:I$296,$B850,cbal!$D$280:$D$296)+1)</f>
        <v>0</v>
      </c>
      <c r="K850" s="1577">
        <v>0</v>
      </c>
      <c r="L850" s="1584">
        <v>-0.04</v>
      </c>
      <c r="M850" s="1584">
        <v>-0.04</v>
      </c>
      <c r="N850" s="1584">
        <v>-0.04</v>
      </c>
      <c r="O850" s="1584">
        <v>-0.04</v>
      </c>
      <c r="R850" s="91" t="b">
        <f t="shared" si="126"/>
        <v>0</v>
      </c>
      <c r="S850" s="21" t="b">
        <f t="shared" si="127"/>
        <v>0</v>
      </c>
      <c r="T850" s="97" t="b">
        <f t="shared" si="114"/>
        <v>0</v>
      </c>
    </row>
    <row r="851" spans="2:20">
      <c r="B851" s="33" t="s">
        <v>4054</v>
      </c>
      <c r="C851" s="433">
        <v>71</v>
      </c>
      <c r="D851" t="str">
        <f>VLOOKUP($C851,param!$A$4:$B$266,2)</f>
        <v>F&amp;S Distribution Costs for Reg. 2</v>
      </c>
      <c r="E851" s="448">
        <f>INDEX($K851:$O851,SUMIF(cbal!E$280:E$296,$B851,cbal!$D$280:$D$296)+1)</f>
        <v>0</v>
      </c>
      <c r="F851" s="448">
        <f>INDEX($K851:$O851,SUMIF(cbal!F$280:F$296,$B851,cbal!$D$280:$D$296)+1)</f>
        <v>0</v>
      </c>
      <c r="G851" s="448">
        <f>INDEX($K851:$O851,SUMIF(cbal!G$280:G$296,$B851,cbal!$D$280:$D$296)+1)</f>
        <v>0</v>
      </c>
      <c r="H851" s="448">
        <f>INDEX($K851:$O851,SUMIF(cbal!H$280:H$296,$B851,cbal!$D$280:$D$296)+1)</f>
        <v>0</v>
      </c>
      <c r="I851" s="448">
        <f>INDEX($K851:$O851,SUMIF(cbal!I$280:I$296,$B851,cbal!$D$280:$D$296)+1)</f>
        <v>0</v>
      </c>
      <c r="K851" s="1577">
        <v>0</v>
      </c>
      <c r="L851" s="1584">
        <v>-0.04</v>
      </c>
      <c r="M851" s="1584">
        <v>-0.04</v>
      </c>
      <c r="N851" s="1584">
        <v>-0.04</v>
      </c>
      <c r="O851" s="1584">
        <v>-0.04</v>
      </c>
      <c r="R851" s="91" t="b">
        <f t="shared" ref="R851:R869" si="129">IF(AND(C851&gt;166,C851&lt;171.5),L851)</f>
        <v>0</v>
      </c>
      <c r="S851" s="21" t="b">
        <f t="shared" ref="S851:S869" si="130">IF(AND(C851&gt;166,C851&lt;171.5),M851)</f>
        <v>0</v>
      </c>
      <c r="T851" s="97" t="b">
        <f t="shared" si="114"/>
        <v>0</v>
      </c>
    </row>
    <row r="852" spans="2:20">
      <c r="B852" s="33" t="s">
        <v>4054</v>
      </c>
      <c r="C852" s="433">
        <v>33</v>
      </c>
      <c r="D852" t="str">
        <f>VLOOKUP($C852,param!$A$4:$B$266,2)</f>
        <v>Breakthrough Distribution Costs for Reg. 2</v>
      </c>
      <c r="E852" s="448">
        <f>INDEX($K852:$O852,SUMIF(cbal!E$280:E$296,$B852,cbal!$D$280:$D$296)+1)</f>
        <v>0</v>
      </c>
      <c r="F852" s="448">
        <f>INDEX($K852:$O852,SUMIF(cbal!F$280:F$296,$B852,cbal!$D$280:$D$296)+1)</f>
        <v>0</v>
      </c>
      <c r="G852" s="448">
        <f>INDEX($K852:$O852,SUMIF(cbal!G$280:G$296,$B852,cbal!$D$280:$D$296)+1)</f>
        <v>0</v>
      </c>
      <c r="H852" s="448">
        <f>INDEX($K852:$O852,SUMIF(cbal!H$280:H$296,$B852,cbal!$D$280:$D$296)+1)</f>
        <v>0</v>
      </c>
      <c r="I852" s="448">
        <f>INDEX($K852:$O852,SUMIF(cbal!I$280:I$296,$B852,cbal!$D$280:$D$296)+1)</f>
        <v>0</v>
      </c>
      <c r="K852" s="1577">
        <v>0</v>
      </c>
      <c r="L852" s="1584">
        <v>0.1</v>
      </c>
      <c r="M852" s="1584">
        <v>0.1</v>
      </c>
      <c r="N852" s="1584">
        <v>0.1</v>
      </c>
      <c r="O852" s="1584">
        <v>0.1</v>
      </c>
      <c r="R852" s="91" t="b">
        <f t="shared" si="129"/>
        <v>0</v>
      </c>
      <c r="S852" s="21" t="b">
        <f t="shared" si="130"/>
        <v>0</v>
      </c>
      <c r="T852" s="97" t="b">
        <f t="shared" si="114"/>
        <v>0</v>
      </c>
    </row>
    <row r="853" spans="2:20">
      <c r="B853" s="33" t="s">
        <v>4054</v>
      </c>
      <c r="C853" s="433">
        <v>44</v>
      </c>
      <c r="D853" t="str">
        <f>VLOOKUP($C853,param!$A$4:$B$266,2)</f>
        <v>NCB % FG Retained Units</v>
      </c>
      <c r="E853" s="448">
        <f>INDEX($K853:$O853,SUMIF(cbal!E$280:E$296,$B853,cbal!$D$280:$D$296)+1)</f>
        <v>0</v>
      </c>
      <c r="F853" s="448">
        <f>INDEX($K853:$O853,SUMIF(cbal!F$280:F$296,$B853,cbal!$D$280:$D$296)+1)</f>
        <v>0</v>
      </c>
      <c r="G853" s="448">
        <f>INDEX($K853:$O853,SUMIF(cbal!G$280:G$296,$B853,cbal!$D$280:$D$296)+1)</f>
        <v>0</v>
      </c>
      <c r="H853" s="448">
        <f>INDEX($K853:$O853,SUMIF(cbal!H$280:H$296,$B853,cbal!$D$280:$D$296)+1)</f>
        <v>0</v>
      </c>
      <c r="I853" s="448">
        <f>INDEX($K853:$O853,SUMIF(cbal!I$280:I$296,$B853,cbal!$D$280:$D$296)+1)</f>
        <v>0</v>
      </c>
      <c r="K853" s="1577">
        <v>0</v>
      </c>
      <c r="L853" s="1584">
        <v>0.05</v>
      </c>
      <c r="M853" s="1584">
        <v>0.05</v>
      </c>
      <c r="N853" s="1584">
        <v>0.05</v>
      </c>
      <c r="O853" s="1584">
        <v>0.05</v>
      </c>
      <c r="R853" s="91" t="b">
        <f t="shared" si="129"/>
        <v>0</v>
      </c>
      <c r="S853" s="21" t="b">
        <f t="shared" si="130"/>
        <v>0</v>
      </c>
      <c r="T853" s="97" t="b">
        <f t="shared" si="114"/>
        <v>0</v>
      </c>
    </row>
    <row r="854" spans="2:20">
      <c r="B854" s="33" t="s">
        <v>4054</v>
      </c>
      <c r="C854" s="433">
        <v>63</v>
      </c>
      <c r="D854" t="str">
        <f>VLOOKUP($C854,param!$A$4:$B$266,2)</f>
        <v>F&amp;S % FG Retained Units</v>
      </c>
      <c r="E854" s="448">
        <f>INDEX($K854:$O854,SUMIF(cbal!E$280:E$296,$B854,cbal!$D$280:$D$296)+1)</f>
        <v>0</v>
      </c>
      <c r="F854" s="448">
        <f>INDEX($K854:$O854,SUMIF(cbal!F$280:F$296,$B854,cbal!$D$280:$D$296)+1)</f>
        <v>0</v>
      </c>
      <c r="G854" s="448">
        <f>INDEX($K854:$O854,SUMIF(cbal!G$280:G$296,$B854,cbal!$D$280:$D$296)+1)</f>
        <v>0</v>
      </c>
      <c r="H854" s="448">
        <f>INDEX($K854:$O854,SUMIF(cbal!H$280:H$296,$B854,cbal!$D$280:$D$296)+1)</f>
        <v>0</v>
      </c>
      <c r="I854" s="448">
        <f>INDEX($K854:$O854,SUMIF(cbal!I$280:I$296,$B854,cbal!$D$280:$D$296)+1)</f>
        <v>0</v>
      </c>
      <c r="K854" s="1577">
        <v>0</v>
      </c>
      <c r="L854" s="1578">
        <v>0.01</v>
      </c>
      <c r="M854" s="1584">
        <v>0.01</v>
      </c>
      <c r="N854" s="1584">
        <v>0.01</v>
      </c>
      <c r="O854" s="1584">
        <v>0.01</v>
      </c>
      <c r="R854" s="91" t="b">
        <f t="shared" si="129"/>
        <v>0</v>
      </c>
      <c r="S854" s="21" t="b">
        <f t="shared" si="130"/>
        <v>0</v>
      </c>
      <c r="T854" s="97" t="b">
        <f t="shared" si="114"/>
        <v>0</v>
      </c>
    </row>
    <row r="855" spans="2:20">
      <c r="B855" s="33" t="s">
        <v>4054</v>
      </c>
      <c r="C855" s="433">
        <v>167</v>
      </c>
      <c r="D855" t="str">
        <f>VLOOKUP($C855,param!$A$4:$B$266,2)</f>
        <v>Special Program Expense</v>
      </c>
      <c r="E855" s="615">
        <f>INDEX($K855:$O855,SUMIF(cbal!E$280:E$296,$B855,cbal!$D$280:$D$296)+1)</f>
        <v>0</v>
      </c>
      <c r="F855" s="615">
        <f>INDEX($K855:$O855,SUMIF(cbal!F$280:F$296,$B855,cbal!$D$280:$D$296)+1)</f>
        <v>0</v>
      </c>
      <c r="G855" s="615">
        <f>INDEX($K855:$O855,SUMIF(cbal!G$280:G$296,$B855,cbal!$D$280:$D$296)+1)</f>
        <v>0</v>
      </c>
      <c r="H855" s="615">
        <f>INDEX($K855:$O855,SUMIF(cbal!H$280:H$296,$B855,cbal!$D$280:$D$296)+1)</f>
        <v>0</v>
      </c>
      <c r="I855" s="615">
        <f>INDEX($K855:$O855,SUMIF(cbal!I$280:I$296,$B855,cbal!$D$280:$D$296)+1)</f>
        <v>0</v>
      </c>
      <c r="K855" s="1577">
        <v>0</v>
      </c>
      <c r="L855" s="1580">
        <v>5000000</v>
      </c>
      <c r="M855" s="1585"/>
      <c r="N855" s="1585"/>
      <c r="O855" s="1585"/>
      <c r="R855" s="91">
        <f t="shared" si="129"/>
        <v>5000000</v>
      </c>
      <c r="S855" s="21">
        <f t="shared" si="130"/>
        <v>0</v>
      </c>
      <c r="T855" s="97" t="b">
        <f t="shared" si="114"/>
        <v>0</v>
      </c>
    </row>
    <row r="856" spans="2:20">
      <c r="B856" s="33" t="s">
        <v>4054</v>
      </c>
      <c r="C856" s="433">
        <v>133.5</v>
      </c>
      <c r="D856" t="str">
        <f>VLOOKUP($C856,param!$A$4:$B$266,2)</f>
        <v>MTU Initiatives Allocation</v>
      </c>
      <c r="E856" s="615">
        <f>INDEX($K856:$O856,SUMIF(cbal!E$280:E$296,$B856,cbal!$D$280:$D$296)+1)</f>
        <v>0</v>
      </c>
      <c r="F856" s="615">
        <f>INDEX($K856:$O856,SUMIF(cbal!F$280:F$296,$B856,cbal!$D$280:$D$296)+1)</f>
        <v>0</v>
      </c>
      <c r="G856" s="615">
        <f>INDEX($K856:$O856,SUMIF(cbal!G$280:G$296,$B856,cbal!$D$280:$D$296)+1)</f>
        <v>0</v>
      </c>
      <c r="H856" s="615">
        <f>INDEX($K856:$O856,SUMIF(cbal!H$280:H$296,$B856,cbal!$D$280:$D$296)+1)</f>
        <v>0</v>
      </c>
      <c r="I856" s="615">
        <f>INDEX($K856:$O856,SUMIF(cbal!I$280:I$296,$B856,cbal!$D$280:$D$296)+1)</f>
        <v>0</v>
      </c>
      <c r="K856" s="1577">
        <v>0</v>
      </c>
      <c r="L856" s="1587">
        <v>10</v>
      </c>
      <c r="M856" s="1587"/>
      <c r="N856" s="1587"/>
      <c r="O856" s="1587"/>
      <c r="R856" s="91" t="b">
        <f>IF(AND(C856&gt;166,C856&lt;171.5),L856)</f>
        <v>0</v>
      </c>
      <c r="S856" s="21" t="b">
        <f>IF(AND(C856&gt;166,C856&lt;171.5),M856)</f>
        <v>0</v>
      </c>
      <c r="T856" s="97">
        <f>IF(C856=133.5,L856)</f>
        <v>10</v>
      </c>
    </row>
    <row r="857" spans="2:20">
      <c r="B857" t="s">
        <v>4054</v>
      </c>
      <c r="C857" s="433">
        <v>203</v>
      </c>
      <c r="D857" t="str">
        <f>VLOOKUP($C857,param!$A$4:$B$266,2)</f>
        <v>Productivity Strategy</v>
      </c>
      <c r="E857" s="183">
        <f>INDEX($K857:$O857,SUMIF(cbal!E$280:E$296,$B857,cbal!$D$280:$D$296)+1)</f>
        <v>0</v>
      </c>
      <c r="F857" s="183">
        <f>INDEX($K857:$O857,SUMIF(cbal!F$280:F$296,$B857,cbal!$D$280:$D$296)+1)</f>
        <v>0</v>
      </c>
      <c r="G857" s="183">
        <f>INDEX($K857:$O857,SUMIF(cbal!G$280:G$296,$B857,cbal!$D$280:$D$296)+1)</f>
        <v>0</v>
      </c>
      <c r="H857" s="183">
        <f>INDEX($K857:$O857,SUMIF(cbal!H$280:H$296,$B857,cbal!$D$280:$D$296)+1)</f>
        <v>0</v>
      </c>
      <c r="I857" s="183">
        <f>INDEX($K857:$O857,SUMIF(cbal!I$280:I$296,$B857,cbal!$D$280:$D$296)+1)</f>
        <v>0</v>
      </c>
      <c r="K857" s="1577">
        <v>0</v>
      </c>
      <c r="L857" s="1580">
        <f>L856/2</f>
        <v>5</v>
      </c>
      <c r="M857" s="1580">
        <f t="shared" ref="M857:O858" si="131">L857</f>
        <v>5</v>
      </c>
      <c r="N857" s="1580">
        <f t="shared" si="131"/>
        <v>5</v>
      </c>
      <c r="O857" s="1580">
        <f t="shared" si="131"/>
        <v>5</v>
      </c>
      <c r="R857" s="91" t="b">
        <f>IF(AND(C857&gt;166,C857&lt;171.5),L857)</f>
        <v>0</v>
      </c>
      <c r="S857" s="21" t="b">
        <f>IF(AND(C857&gt;166,C857&lt;171.5),M857)</f>
        <v>0</v>
      </c>
      <c r="T857" s="97" t="b">
        <f>IF(C857=133.5,L857)</f>
        <v>0</v>
      </c>
    </row>
    <row r="858" spans="2:20">
      <c r="B858" t="s">
        <v>4054</v>
      </c>
      <c r="C858" s="433">
        <v>202</v>
      </c>
      <c r="D858" t="str">
        <f>VLOOKUP($C858,param!$A$4:$B$266,2)</f>
        <v>Go-to-Market Strategy</v>
      </c>
      <c r="E858" s="183">
        <f>INDEX($K858:$O858,SUMIF(cbal!E$280:E$296,$B858,cbal!$D$280:$D$296)+1)</f>
        <v>0</v>
      </c>
      <c r="F858" s="183">
        <f>INDEX($K858:$O858,SUMIF(cbal!F$280:F$296,$B858,cbal!$D$280:$D$296)+1)</f>
        <v>0</v>
      </c>
      <c r="G858" s="183">
        <f>INDEX($K858:$O858,SUMIF(cbal!G$280:G$296,$B858,cbal!$D$280:$D$296)+1)</f>
        <v>0</v>
      </c>
      <c r="H858" s="183">
        <f>INDEX($K858:$O858,SUMIF(cbal!H$280:H$296,$B858,cbal!$D$280:$D$296)+1)</f>
        <v>0</v>
      </c>
      <c r="I858" s="183">
        <f>INDEX($K858:$O858,SUMIF(cbal!I$280:I$296,$B858,cbal!$D$280:$D$296)+1)</f>
        <v>0</v>
      </c>
      <c r="K858" s="1577">
        <v>0</v>
      </c>
      <c r="L858" s="1580">
        <f>L856-L857</f>
        <v>5</v>
      </c>
      <c r="M858" s="1580">
        <f t="shared" si="131"/>
        <v>5</v>
      </c>
      <c r="N858" s="1580">
        <f t="shared" si="131"/>
        <v>5</v>
      </c>
      <c r="O858" s="1580">
        <f t="shared" si="131"/>
        <v>5</v>
      </c>
      <c r="R858" s="91" t="b">
        <f>IF(AND(C858&gt;166,C858&lt;171.5),L858)</f>
        <v>0</v>
      </c>
      <c r="S858" s="21" t="b">
        <f>IF(AND(C858&gt;166,C858&lt;171.5),M858)</f>
        <v>0</v>
      </c>
      <c r="T858" s="97" t="b">
        <f>IF(C858=133.5,L858)</f>
        <v>0</v>
      </c>
    </row>
    <row r="859" spans="2:20">
      <c r="B859">
        <v>0</v>
      </c>
      <c r="C859" s="433">
        <v>0</v>
      </c>
      <c r="E859" s="615"/>
      <c r="F859" s="615"/>
      <c r="G859" s="615"/>
      <c r="H859" s="615"/>
      <c r="I859" s="615"/>
      <c r="K859" s="1577"/>
      <c r="L859" s="1580"/>
      <c r="M859" s="1585"/>
      <c r="N859" s="1585"/>
      <c r="O859" s="1585"/>
      <c r="R859" s="91">
        <v>0</v>
      </c>
      <c r="S859" s="21">
        <v>0</v>
      </c>
      <c r="T859" s="97">
        <v>0</v>
      </c>
    </row>
    <row r="860" spans="2:20">
      <c r="B860" t="s">
        <v>4055</v>
      </c>
      <c r="C860" t="str">
        <f>VLOOKUP(B860,DataInitiativesGrid,2,0)</f>
        <v>Smart Box Delivery System</v>
      </c>
      <c r="E860" s="615"/>
      <c r="F860" s="615"/>
      <c r="G860" s="615"/>
      <c r="H860" s="615"/>
      <c r="I860" s="615"/>
      <c r="K860" s="1577"/>
      <c r="L860" s="1580"/>
      <c r="M860" s="1585"/>
      <c r="N860" s="1585"/>
      <c r="O860" s="1585"/>
      <c r="R860" s="91">
        <v>0</v>
      </c>
      <c r="S860" s="21">
        <v>0</v>
      </c>
      <c r="T860" s="97">
        <v>0</v>
      </c>
    </row>
    <row r="861" spans="2:20">
      <c r="B861" t="s">
        <v>4055</v>
      </c>
      <c r="C861" s="433">
        <v>14</v>
      </c>
      <c r="D861" t="str">
        <f>VLOOKUP($C861,param!$A$4:$B$266,2)</f>
        <v>CSD Distribution Costs for Reg. 2</v>
      </c>
      <c r="E861" s="183">
        <f>INDEX($K861:$O861,SUMIF(cbal!E$280:E$296,$B861,cbal!$D$280:$D$296)+1)</f>
        <v>0</v>
      </c>
      <c r="F861" s="183">
        <f>INDEX($K861:$O861,SUMIF(cbal!F$280:F$296,$B861,cbal!$D$280:$D$296)+1)</f>
        <v>0</v>
      </c>
      <c r="G861" s="183">
        <f>INDEX($K861:$O861,SUMIF(cbal!G$280:G$296,$B861,cbal!$D$280:$D$296)+1)</f>
        <v>0</v>
      </c>
      <c r="H861" s="183">
        <f>INDEX($K861:$O861,SUMIF(cbal!H$280:H$296,$B861,cbal!$D$280:$D$296)+1)</f>
        <v>0</v>
      </c>
      <c r="I861" s="183">
        <f>INDEX($K861:$O861,SUMIF(cbal!I$280:I$296,$B861,cbal!$D$280:$D$296)+1)</f>
        <v>0</v>
      </c>
      <c r="K861" s="1577">
        <v>0</v>
      </c>
      <c r="L861" s="1579">
        <v>-0.03</v>
      </c>
      <c r="M861" s="1579">
        <v>-0.03</v>
      </c>
      <c r="N861" s="1579">
        <v>-0.03</v>
      </c>
      <c r="O861" s="1579">
        <v>-0.03</v>
      </c>
      <c r="R861" s="91" t="b">
        <f t="shared" si="129"/>
        <v>0</v>
      </c>
      <c r="S861" s="21" t="b">
        <f t="shared" si="130"/>
        <v>0</v>
      </c>
      <c r="T861" s="97" t="b">
        <f t="shared" ref="T861:T869" si="132">IF(C861=133.5,L861)</f>
        <v>0</v>
      </c>
    </row>
    <row r="862" spans="2:20">
      <c r="B862" t="s">
        <v>4055</v>
      </c>
      <c r="C862" s="433">
        <v>52</v>
      </c>
      <c r="D862" t="str">
        <f>VLOOKUP($C862,param!$A$4:$B$266,2)</f>
        <v>NCB Distribution Costs for Reg. 2</v>
      </c>
      <c r="E862" s="183">
        <f>INDEX($K862:$O862,SUMIF(cbal!E$280:E$296,$B862,cbal!$D$280:$D$296)+1)</f>
        <v>0</v>
      </c>
      <c r="F862" s="183">
        <f>INDEX($K862:$O862,SUMIF(cbal!F$280:F$296,$B862,cbal!$D$280:$D$296)+1)</f>
        <v>0</v>
      </c>
      <c r="G862" s="183">
        <f>INDEX($K862:$O862,SUMIF(cbal!G$280:G$296,$B862,cbal!$D$280:$D$296)+1)</f>
        <v>0</v>
      </c>
      <c r="H862" s="183">
        <f>INDEX($K862:$O862,SUMIF(cbal!H$280:H$296,$B862,cbal!$D$280:$D$296)+1)</f>
        <v>0</v>
      </c>
      <c r="I862" s="183">
        <f>INDEX($K862:$O862,SUMIF(cbal!I$280:I$296,$B862,cbal!$D$280:$D$296)+1)</f>
        <v>0</v>
      </c>
      <c r="K862" s="1577">
        <v>0</v>
      </c>
      <c r="L862" s="1579">
        <v>-0.03</v>
      </c>
      <c r="M862" s="1579">
        <v>-0.03</v>
      </c>
      <c r="N862" s="1579">
        <v>-0.03</v>
      </c>
      <c r="O862" s="1579">
        <v>-0.03</v>
      </c>
      <c r="R862" s="91" t="b">
        <f t="shared" si="129"/>
        <v>0</v>
      </c>
      <c r="S862" s="21" t="b">
        <f t="shared" si="130"/>
        <v>0</v>
      </c>
      <c r="T862" s="97" t="b">
        <f t="shared" si="132"/>
        <v>0</v>
      </c>
    </row>
    <row r="863" spans="2:20">
      <c r="B863" t="s">
        <v>4055</v>
      </c>
      <c r="C863" s="433">
        <v>71</v>
      </c>
      <c r="D863" t="str">
        <f>VLOOKUP($C863,param!$A$4:$B$266,2)</f>
        <v>F&amp;S Distribution Costs for Reg. 2</v>
      </c>
      <c r="E863" s="183">
        <f>INDEX($K863:$O863,SUMIF(cbal!E$280:E$296,$B863,cbal!$D$280:$D$296)+1)</f>
        <v>0</v>
      </c>
      <c r="F863" s="183">
        <f>INDEX($K863:$O863,SUMIF(cbal!F$280:F$296,$B863,cbal!$D$280:$D$296)+1)</f>
        <v>0</v>
      </c>
      <c r="G863" s="183">
        <f>INDEX($K863:$O863,SUMIF(cbal!G$280:G$296,$B863,cbal!$D$280:$D$296)+1)</f>
        <v>0</v>
      </c>
      <c r="H863" s="183">
        <f>INDEX($K863:$O863,SUMIF(cbal!H$280:H$296,$B863,cbal!$D$280:$D$296)+1)</f>
        <v>0</v>
      </c>
      <c r="I863" s="183">
        <f>INDEX($K863:$O863,SUMIF(cbal!I$280:I$296,$B863,cbal!$D$280:$D$296)+1)</f>
        <v>0</v>
      </c>
      <c r="K863" s="1577">
        <v>0</v>
      </c>
      <c r="L863" s="1579">
        <v>-0.03</v>
      </c>
      <c r="M863" s="1579">
        <v>-0.03</v>
      </c>
      <c r="N863" s="1579">
        <v>-0.03</v>
      </c>
      <c r="O863" s="1579">
        <v>-0.03</v>
      </c>
      <c r="R863" s="91" t="b">
        <f t="shared" si="129"/>
        <v>0</v>
      </c>
      <c r="S863" s="21" t="b">
        <f t="shared" si="130"/>
        <v>0</v>
      </c>
      <c r="T863" s="97" t="b">
        <f t="shared" si="132"/>
        <v>0</v>
      </c>
    </row>
    <row r="864" spans="2:20">
      <c r="B864" t="s">
        <v>4055</v>
      </c>
      <c r="C864" s="433">
        <v>13</v>
      </c>
      <c r="D864" t="str">
        <f>VLOOKUP($C864,param!$A$4:$B$266,2)</f>
        <v>CSD Distribution Costs for Reg. 1</v>
      </c>
      <c r="E864" s="183">
        <f>INDEX($K864:$O864,SUMIF(cbal!E$280:E$296,$B864,cbal!$D$280:$D$296)+1)</f>
        <v>0</v>
      </c>
      <c r="F864" s="183">
        <f>INDEX($K864:$O864,SUMIF(cbal!F$280:F$296,$B864,cbal!$D$280:$D$296)+1)</f>
        <v>0</v>
      </c>
      <c r="G864" s="183">
        <f>INDEX($K864:$O864,SUMIF(cbal!G$280:G$296,$B864,cbal!$D$280:$D$296)+1)</f>
        <v>0</v>
      </c>
      <c r="H864" s="183">
        <f>INDEX($K864:$O864,SUMIF(cbal!H$280:H$296,$B864,cbal!$D$280:$D$296)+1)</f>
        <v>0</v>
      </c>
      <c r="I864" s="183">
        <f>INDEX($K864:$O864,SUMIF(cbal!I$280:I$296,$B864,cbal!$D$280:$D$296)+1)</f>
        <v>0</v>
      </c>
      <c r="K864" s="1577">
        <v>0</v>
      </c>
      <c r="L864" s="1579">
        <v>-0.03</v>
      </c>
      <c r="M864" s="1579">
        <v>-0.03</v>
      </c>
      <c r="N864" s="1579">
        <v>-0.03</v>
      </c>
      <c r="O864" s="1579">
        <v>-0.03</v>
      </c>
      <c r="R864" s="91" t="b">
        <f t="shared" si="129"/>
        <v>0</v>
      </c>
      <c r="S864" s="21" t="b">
        <f t="shared" si="130"/>
        <v>0</v>
      </c>
      <c r="T864" s="97" t="b">
        <f t="shared" si="132"/>
        <v>0</v>
      </c>
    </row>
    <row r="865" spans="2:20">
      <c r="B865" t="s">
        <v>4055</v>
      </c>
      <c r="C865" s="433">
        <v>51</v>
      </c>
      <c r="D865" t="str">
        <f>VLOOKUP($C865,param!$A$4:$B$266,2)</f>
        <v>NCB Distribution Costs for Reg. 1</v>
      </c>
      <c r="E865" s="183">
        <f>INDEX($K865:$O865,SUMIF(cbal!E$280:E$296,$B865,cbal!$D$280:$D$296)+1)</f>
        <v>0</v>
      </c>
      <c r="F865" s="183">
        <f>INDEX($K865:$O865,SUMIF(cbal!F$280:F$296,$B865,cbal!$D$280:$D$296)+1)</f>
        <v>0</v>
      </c>
      <c r="G865" s="183">
        <f>INDEX($K865:$O865,SUMIF(cbal!G$280:G$296,$B865,cbal!$D$280:$D$296)+1)</f>
        <v>0</v>
      </c>
      <c r="H865" s="183">
        <f>INDEX($K865:$O865,SUMIF(cbal!H$280:H$296,$B865,cbal!$D$280:$D$296)+1)</f>
        <v>0</v>
      </c>
      <c r="I865" s="183">
        <f>INDEX($K865:$O865,SUMIF(cbal!I$280:I$296,$B865,cbal!$D$280:$D$296)+1)</f>
        <v>0</v>
      </c>
      <c r="K865" s="1577">
        <v>0</v>
      </c>
      <c r="L865" s="1579">
        <v>-0.03</v>
      </c>
      <c r="M865" s="1579">
        <v>-0.03</v>
      </c>
      <c r="N865" s="1579">
        <v>-0.03</v>
      </c>
      <c r="O865" s="1579">
        <v>-0.03</v>
      </c>
      <c r="R865" s="91" t="b">
        <f t="shared" si="129"/>
        <v>0</v>
      </c>
      <c r="S865" s="21" t="b">
        <f t="shared" si="130"/>
        <v>0</v>
      </c>
      <c r="T865" s="97" t="b">
        <f t="shared" si="132"/>
        <v>0</v>
      </c>
    </row>
    <row r="866" spans="2:20">
      <c r="B866" t="s">
        <v>4055</v>
      </c>
      <c r="C866" s="433">
        <v>70</v>
      </c>
      <c r="D866" t="str">
        <f>VLOOKUP($C866,param!$A$4:$B$266,2)</f>
        <v>F&amp;S Distribution Costs for Reg. 1</v>
      </c>
      <c r="E866" s="183">
        <f>INDEX($K866:$O866,SUMIF(cbal!E$280:E$296,$B866,cbal!$D$280:$D$296)+1)</f>
        <v>0</v>
      </c>
      <c r="F866" s="183">
        <f>INDEX($K866:$O866,SUMIF(cbal!F$280:F$296,$B866,cbal!$D$280:$D$296)+1)</f>
        <v>0</v>
      </c>
      <c r="G866" s="183">
        <f>INDEX($K866:$O866,SUMIF(cbal!G$280:G$296,$B866,cbal!$D$280:$D$296)+1)</f>
        <v>0</v>
      </c>
      <c r="H866" s="183">
        <f>INDEX($K866:$O866,SUMIF(cbal!H$280:H$296,$B866,cbal!$D$280:$D$296)+1)</f>
        <v>0</v>
      </c>
      <c r="I866" s="183">
        <f>INDEX($K866:$O866,SUMIF(cbal!I$280:I$296,$B866,cbal!$D$280:$D$296)+1)</f>
        <v>0</v>
      </c>
      <c r="K866" s="1577">
        <v>0</v>
      </c>
      <c r="L866" s="1579">
        <v>-0.03</v>
      </c>
      <c r="M866" s="1579">
        <v>-0.03</v>
      </c>
      <c r="N866" s="1579">
        <v>-0.03</v>
      </c>
      <c r="O866" s="1579">
        <v>-0.03</v>
      </c>
      <c r="R866" s="91" t="b">
        <f t="shared" si="129"/>
        <v>0</v>
      </c>
      <c r="S866" s="21" t="b">
        <f t="shared" si="130"/>
        <v>0</v>
      </c>
      <c r="T866" s="97" t="b">
        <f t="shared" si="132"/>
        <v>0</v>
      </c>
    </row>
    <row r="867" spans="2:20">
      <c r="B867" t="s">
        <v>4055</v>
      </c>
      <c r="C867" s="506">
        <v>8</v>
      </c>
      <c r="D867" t="str">
        <f>VLOOKUP($C867,param!$A$4:$B$266,2)</f>
        <v>CSD Materials Inventory As % of Production</v>
      </c>
      <c r="E867" s="448">
        <f>INDEX($K867:$O867,SUMIF(cbal!E$280:E$296,$B867,cbal!$D$280:$D$296)+1)</f>
        <v>0</v>
      </c>
      <c r="F867" s="448">
        <f>INDEX($K867:$O867,SUMIF(cbal!F$280:F$296,$B867,cbal!$D$280:$D$296)+1)</f>
        <v>0</v>
      </c>
      <c r="G867" s="448">
        <f>INDEX($K867:$O867,SUMIF(cbal!G$280:G$296,$B867,cbal!$D$280:$D$296)+1)</f>
        <v>0</v>
      </c>
      <c r="H867" s="448">
        <f>INDEX($K867:$O867,SUMIF(cbal!H$280:H$296,$B867,cbal!$D$280:$D$296)+1)</f>
        <v>0</v>
      </c>
      <c r="I867" s="448">
        <f>INDEX($K867:$O867,SUMIF(cbal!I$280:I$296,$B867,cbal!$D$280:$D$296)+1)</f>
        <v>0</v>
      </c>
      <c r="K867" s="1577">
        <v>0</v>
      </c>
      <c r="L867" s="1585">
        <v>-0.05</v>
      </c>
      <c r="M867" s="1585">
        <v>-0.05</v>
      </c>
      <c r="N867" s="1585">
        <v>-0.05</v>
      </c>
      <c r="O867" s="1585">
        <v>-0.05</v>
      </c>
      <c r="R867" s="91" t="b">
        <f t="shared" si="129"/>
        <v>0</v>
      </c>
      <c r="S867" s="21" t="b">
        <f t="shared" si="130"/>
        <v>0</v>
      </c>
      <c r="T867" s="97" t="b">
        <f t="shared" si="132"/>
        <v>0</v>
      </c>
    </row>
    <row r="868" spans="2:20">
      <c r="B868" t="s">
        <v>4055</v>
      </c>
      <c r="C868" s="506">
        <v>46</v>
      </c>
      <c r="D868" t="str">
        <f>VLOOKUP($C868,param!$A$4:$B$266,2)</f>
        <v>NCB Materials Inventory As % of Production</v>
      </c>
      <c r="E868" s="448">
        <f>INDEX($K868:$O868,SUMIF(cbal!E$280:E$296,$B868,cbal!$D$280:$D$296)+1)</f>
        <v>0</v>
      </c>
      <c r="F868" s="448">
        <f>INDEX($K868:$O868,SUMIF(cbal!F$280:F$296,$B868,cbal!$D$280:$D$296)+1)</f>
        <v>0</v>
      </c>
      <c r="G868" s="448">
        <f>INDEX($K868:$O868,SUMIF(cbal!G$280:G$296,$B868,cbal!$D$280:$D$296)+1)</f>
        <v>0</v>
      </c>
      <c r="H868" s="448">
        <f>INDEX($K868:$O868,SUMIF(cbal!H$280:H$296,$B868,cbal!$D$280:$D$296)+1)</f>
        <v>0</v>
      </c>
      <c r="I868" s="448">
        <f>INDEX($K868:$O868,SUMIF(cbal!I$280:I$296,$B868,cbal!$D$280:$D$296)+1)</f>
        <v>0</v>
      </c>
      <c r="K868" s="1577">
        <v>0</v>
      </c>
      <c r="L868" s="1585">
        <v>-0.05</v>
      </c>
      <c r="M868" s="1585">
        <v>-0.05</v>
      </c>
      <c r="N868" s="1585">
        <v>-0.05</v>
      </c>
      <c r="O868" s="1585">
        <v>-0.05</v>
      </c>
      <c r="R868" s="91" t="b">
        <f t="shared" si="129"/>
        <v>0</v>
      </c>
      <c r="S868" s="21" t="b">
        <f t="shared" si="130"/>
        <v>0</v>
      </c>
      <c r="T868" s="97" t="b">
        <f t="shared" si="132"/>
        <v>0</v>
      </c>
    </row>
    <row r="869" spans="2:20">
      <c r="B869" t="s">
        <v>4055</v>
      </c>
      <c r="C869" s="506">
        <v>65</v>
      </c>
      <c r="D869" t="str">
        <f>VLOOKUP($C869,param!$A$4:$B$266,2)</f>
        <v>F&amp;S Materials Inventory As % of Production</v>
      </c>
      <c r="E869" s="448">
        <f>INDEX($K869:$O869,SUMIF(cbal!E$280:E$296,$B869,cbal!$D$280:$D$296)+1)</f>
        <v>0</v>
      </c>
      <c r="F869" s="448">
        <f>INDEX($K869:$O869,SUMIF(cbal!F$280:F$296,$B869,cbal!$D$280:$D$296)+1)</f>
        <v>0</v>
      </c>
      <c r="G869" s="448">
        <f>INDEX($K869:$O869,SUMIF(cbal!G$280:G$296,$B869,cbal!$D$280:$D$296)+1)</f>
        <v>0</v>
      </c>
      <c r="H869" s="448">
        <f>INDEX($K869:$O869,SUMIF(cbal!H$280:H$296,$B869,cbal!$D$280:$D$296)+1)</f>
        <v>0</v>
      </c>
      <c r="I869" s="448">
        <f>INDEX($K869:$O869,SUMIF(cbal!I$280:I$296,$B869,cbal!$D$280:$D$296)+1)</f>
        <v>0</v>
      </c>
      <c r="K869" s="1577">
        <v>0</v>
      </c>
      <c r="L869" s="1585">
        <v>-0.05</v>
      </c>
      <c r="M869" s="1585">
        <v>-0.05</v>
      </c>
      <c r="N869" s="1585">
        <v>-0.05</v>
      </c>
      <c r="O869" s="1585">
        <v>-0.05</v>
      </c>
      <c r="R869" s="91" t="b">
        <f t="shared" si="129"/>
        <v>0</v>
      </c>
      <c r="S869" s="21" t="b">
        <f t="shared" si="130"/>
        <v>0</v>
      </c>
      <c r="T869" s="97" t="b">
        <f t="shared" si="132"/>
        <v>0</v>
      </c>
    </row>
    <row r="870" spans="2:20">
      <c r="B870" t="s">
        <v>4055</v>
      </c>
      <c r="C870" s="433">
        <v>167</v>
      </c>
      <c r="D870" t="str">
        <f>VLOOKUP($C870,param!$A$4:$B$266,2)</f>
        <v>Special Program Expense</v>
      </c>
      <c r="E870" s="615">
        <f>INDEX($K870:$O870,SUMIF(cbal!E$280:E$296,$B870,cbal!$D$280:$D$296)+1)</f>
        <v>0</v>
      </c>
      <c r="F870" s="615">
        <f>INDEX($K870:$O870,SUMIF(cbal!F$280:F$296,$B870,cbal!$D$280:$D$296)+1)</f>
        <v>0</v>
      </c>
      <c r="G870" s="615">
        <f>INDEX($K870:$O870,SUMIF(cbal!G$280:G$296,$B870,cbal!$D$280:$D$296)+1)</f>
        <v>0</v>
      </c>
      <c r="H870" s="615">
        <f>INDEX($K870:$O870,SUMIF(cbal!H$280:H$296,$B870,cbal!$D$280:$D$296)+1)</f>
        <v>0</v>
      </c>
      <c r="I870" s="615">
        <f>INDEX($K870:$O870,SUMIF(cbal!I$280:I$296,$B870,cbal!$D$280:$D$296)+1)</f>
        <v>0</v>
      </c>
      <c r="K870" s="1577">
        <v>0</v>
      </c>
      <c r="L870" s="1580">
        <v>5000000</v>
      </c>
      <c r="M870" s="1580">
        <v>500000</v>
      </c>
      <c r="N870" s="1580">
        <v>500000</v>
      </c>
      <c r="O870" s="1580">
        <v>500000</v>
      </c>
      <c r="R870" s="91">
        <f>IF(AND(C870&gt;166,C870&lt;171.5),L870)</f>
        <v>5000000</v>
      </c>
      <c r="S870" s="21">
        <f>IF(AND(C870&gt;166,C870&lt;171.5),M870)</f>
        <v>500000</v>
      </c>
      <c r="T870" s="97" t="b">
        <f>IF(C870=133.5,L870)</f>
        <v>0</v>
      </c>
    </row>
    <row r="871" spans="2:20">
      <c r="B871" t="s">
        <v>4055</v>
      </c>
      <c r="C871" s="433">
        <v>133.5</v>
      </c>
      <c r="D871" t="str">
        <f>VLOOKUP($C871,param!$A$4:$B$266,2)</f>
        <v>MTU Initiatives Allocation</v>
      </c>
      <c r="E871" s="615">
        <f>INDEX($K871:$O871,SUMIF(cbal!E$280:E$296,$B871,cbal!$D$280:$D$296)+1)</f>
        <v>0</v>
      </c>
      <c r="F871" s="615">
        <f>INDEX($K871:$O871,SUMIF(cbal!F$280:F$296,$B871,cbal!$D$280:$D$296)+1)</f>
        <v>0</v>
      </c>
      <c r="G871" s="615">
        <f>INDEX($K871:$O871,SUMIF(cbal!G$280:G$296,$B871,cbal!$D$280:$D$296)+1)</f>
        <v>0</v>
      </c>
      <c r="H871" s="615">
        <f>INDEX($K871:$O871,SUMIF(cbal!H$280:H$296,$B871,cbal!$D$280:$D$296)+1)</f>
        <v>0</v>
      </c>
      <c r="I871" s="615">
        <f>INDEX($K871:$O871,SUMIF(cbal!I$280:I$296,$B871,cbal!$D$280:$D$296)+1)</f>
        <v>0</v>
      </c>
      <c r="K871" s="1577">
        <v>0</v>
      </c>
      <c r="L871" s="1587">
        <v>5</v>
      </c>
      <c r="M871" s="1587"/>
      <c r="N871" s="1587"/>
      <c r="O871" s="1587"/>
      <c r="R871" s="91" t="b">
        <f>IF(AND(C871&gt;166,C871&lt;171.5),L871)</f>
        <v>0</v>
      </c>
      <c r="S871" s="21" t="b">
        <f>IF(AND(C871&gt;166,C871&lt;171.5),M871)</f>
        <v>0</v>
      </c>
      <c r="T871" s="97">
        <f>IF(C871=133.5,L871)</f>
        <v>5</v>
      </c>
    </row>
    <row r="872" spans="2:20">
      <c r="B872" t="s">
        <v>4055</v>
      </c>
      <c r="C872" s="433">
        <v>203</v>
      </c>
      <c r="D872" t="str">
        <f>VLOOKUP($C872,param!$A$4:$B$266,2)</f>
        <v>Productivity Strategy</v>
      </c>
      <c r="E872" s="183">
        <f>INDEX($K872:$O872,SUMIF(cbal!E$280:E$296,$B872,cbal!$D$280:$D$296)+1)</f>
        <v>0</v>
      </c>
      <c r="F872" s="183">
        <f>INDEX($K872:$O872,SUMIF(cbal!F$280:F$296,$B872,cbal!$D$280:$D$296)+1)</f>
        <v>0</v>
      </c>
      <c r="G872" s="183">
        <f>INDEX($K872:$O872,SUMIF(cbal!G$280:G$296,$B872,cbal!$D$280:$D$296)+1)</f>
        <v>0</v>
      </c>
      <c r="H872" s="183">
        <f>INDEX($K872:$O872,SUMIF(cbal!H$280:H$296,$B872,cbal!$D$280:$D$296)+1)</f>
        <v>0</v>
      </c>
      <c r="I872" s="183">
        <f>INDEX($K872:$O872,SUMIF(cbal!I$280:I$296,$B872,cbal!$D$280:$D$296)+1)</f>
        <v>0</v>
      </c>
      <c r="K872" s="1577">
        <v>0</v>
      </c>
      <c r="L872" s="1580">
        <f>L871</f>
        <v>5</v>
      </c>
      <c r="M872" s="1580">
        <f>L872</f>
        <v>5</v>
      </c>
      <c r="N872" s="1580">
        <f>M872</f>
        <v>5</v>
      </c>
      <c r="O872" s="1580">
        <f>N872</f>
        <v>5</v>
      </c>
      <c r="R872" s="91" t="b">
        <f t="shared" ref="R872" si="133">IF(AND(C872&gt;166,C872&lt;171.5),L872)</f>
        <v>0</v>
      </c>
      <c r="S872" s="21" t="b">
        <f t="shared" ref="S872" si="134">IF(AND(C872&gt;166,C872&lt;171.5),M872)</f>
        <v>0</v>
      </c>
      <c r="T872" s="97" t="b">
        <f t="shared" ref="T872" si="135">IF(C872=133.5,L872)</f>
        <v>0</v>
      </c>
    </row>
    <row r="873" spans="2:20">
      <c r="B873">
        <v>0</v>
      </c>
      <c r="C873" s="433">
        <v>0</v>
      </c>
      <c r="E873" s="183"/>
      <c r="F873" s="183"/>
      <c r="G873" s="183"/>
      <c r="H873" s="183"/>
      <c r="I873" s="183"/>
      <c r="K873" s="1577"/>
      <c r="L873" s="1583"/>
      <c r="M873" s="1581"/>
      <c r="N873" s="1581"/>
      <c r="O873" s="1581"/>
      <c r="R873" s="91">
        <v>0</v>
      </c>
      <c r="S873" s="21">
        <v>0</v>
      </c>
      <c r="T873" s="97">
        <v>0</v>
      </c>
    </row>
    <row r="874" spans="2:20">
      <c r="B874">
        <v>0</v>
      </c>
      <c r="C874" s="433">
        <v>0</v>
      </c>
      <c r="E874" s="183"/>
      <c r="F874" s="183"/>
      <c r="G874" s="183"/>
      <c r="H874" s="183"/>
      <c r="I874" s="183"/>
      <c r="K874" s="1577"/>
      <c r="L874" s="1580"/>
      <c r="M874" s="1580"/>
      <c r="N874" s="1580"/>
      <c r="O874" s="1580"/>
      <c r="R874" s="91">
        <v>0</v>
      </c>
      <c r="S874" s="21">
        <v>0</v>
      </c>
      <c r="T874" s="97">
        <v>0</v>
      </c>
    </row>
    <row r="875" spans="2:20">
      <c r="B875" s="905" t="s">
        <v>4060</v>
      </c>
      <c r="C875" t="str">
        <f>VLOOKUP(B875,DataInitiativesGrid,2,0)</f>
        <v>Understanding Large Format Retailers Evolution</v>
      </c>
      <c r="E875" s="183">
        <f>INDEX($K875:$O875,SUMIF(cbal!E$280:E$296,$B875,cbal!$D$280:$D$296)+1)</f>
        <v>0</v>
      </c>
      <c r="F875" s="183">
        <f>INDEX($K875:$O875,SUMIF(cbal!F$280:F$296,$B875,cbal!$D$280:$D$296)+1)</f>
        <v>0</v>
      </c>
      <c r="G875" s="183">
        <f>INDEX($K875:$O875,SUMIF(cbal!G$280:G$296,$B875,cbal!$D$280:$D$296)+1)</f>
        <v>0</v>
      </c>
      <c r="H875" s="183">
        <f>INDEX($K875:$O875,SUMIF(cbal!H$280:H$296,$B875,cbal!$D$280:$D$296)+1)</f>
        <v>0</v>
      </c>
      <c r="I875" s="183">
        <f>INDEX($K875:$O875,SUMIF(cbal!I$280:I$296,$B875,cbal!$D$280:$D$296)+1)</f>
        <v>0</v>
      </c>
      <c r="K875" s="1577"/>
      <c r="L875" s="1580"/>
      <c r="M875" s="1580"/>
      <c r="N875" s="1580"/>
      <c r="O875" s="1580"/>
      <c r="R875" s="91">
        <v>0</v>
      </c>
      <c r="S875" s="21">
        <v>0</v>
      </c>
      <c r="T875" s="97">
        <v>0</v>
      </c>
    </row>
    <row r="876" spans="2:20">
      <c r="B876" s="905" t="s">
        <v>4060</v>
      </c>
      <c r="C876" s="433">
        <v>14</v>
      </c>
      <c r="D876" t="str">
        <f>VLOOKUP($C876,param!$A$4:$B$266,2)</f>
        <v>CSD Distribution Costs for Reg. 2</v>
      </c>
      <c r="E876" s="183">
        <f>INDEX($K876:$O876,SUMIF(cbal!E$280:E$296,$B876,cbal!$D$280:$D$296)+1)</f>
        <v>0</v>
      </c>
      <c r="F876" s="183">
        <f>INDEX($K876:$O876,SUMIF(cbal!F$280:F$296,$B876,cbal!$D$280:$D$296)+1)</f>
        <v>0</v>
      </c>
      <c r="G876" s="183">
        <f>INDEX($K876:$O876,SUMIF(cbal!G$280:G$296,$B876,cbal!$D$280:$D$296)+1)</f>
        <v>0</v>
      </c>
      <c r="H876" s="183">
        <f>INDEX($K876:$O876,SUMIF(cbal!H$280:H$296,$B876,cbal!$D$280:$D$296)+1)</f>
        <v>0</v>
      </c>
      <c r="I876" s="183">
        <f>INDEX($K876:$O876,SUMIF(cbal!I$280:I$296,$B876,cbal!$D$280:$D$296)+1)</f>
        <v>0</v>
      </c>
      <c r="K876" s="1577">
        <v>0</v>
      </c>
      <c r="L876" s="1579">
        <v>-0.01</v>
      </c>
      <c r="M876" s="1579">
        <v>-0.01</v>
      </c>
      <c r="N876" s="1579">
        <v>-0.01</v>
      </c>
      <c r="O876" s="1579">
        <v>-0.01</v>
      </c>
      <c r="R876" s="91" t="b">
        <f t="shared" ref="R876:R890" si="136">IF(AND(C876&gt;166,C876&lt;171.5),L876)</f>
        <v>0</v>
      </c>
      <c r="S876" s="21" t="b">
        <f t="shared" ref="S876:S890" si="137">IF(AND(C876&gt;166,C876&lt;171.5),M876)</f>
        <v>0</v>
      </c>
      <c r="T876" s="97" t="b">
        <f t="shared" ref="T876:T890" si="138">IF(C876=133.5,L876)</f>
        <v>0</v>
      </c>
    </row>
    <row r="877" spans="2:20">
      <c r="B877" s="905" t="s">
        <v>4060</v>
      </c>
      <c r="C877" s="433">
        <v>52</v>
      </c>
      <c r="D877" t="str">
        <f>VLOOKUP($C877,param!$A$4:$B$266,2)</f>
        <v>NCB Distribution Costs for Reg. 2</v>
      </c>
      <c r="E877" s="183">
        <f>INDEX($K877:$O877,SUMIF(cbal!E$280:E$296,$B877,cbal!$D$280:$D$296)+1)</f>
        <v>0</v>
      </c>
      <c r="F877" s="183">
        <f>INDEX($K877:$O877,SUMIF(cbal!F$280:F$296,$B877,cbal!$D$280:$D$296)+1)</f>
        <v>0</v>
      </c>
      <c r="G877" s="183">
        <f>INDEX($K877:$O877,SUMIF(cbal!G$280:G$296,$B877,cbal!$D$280:$D$296)+1)</f>
        <v>0</v>
      </c>
      <c r="H877" s="183">
        <f>INDEX($K877:$O877,SUMIF(cbal!H$280:H$296,$B877,cbal!$D$280:$D$296)+1)</f>
        <v>0</v>
      </c>
      <c r="I877" s="183">
        <f>INDEX($K877:$O877,SUMIF(cbal!I$280:I$296,$B877,cbal!$D$280:$D$296)+1)</f>
        <v>0</v>
      </c>
      <c r="K877" s="1577">
        <v>0</v>
      </c>
      <c r="L877" s="1579">
        <v>-0.01</v>
      </c>
      <c r="M877" s="1579">
        <v>-0.01</v>
      </c>
      <c r="N877" s="1579">
        <v>-0.01</v>
      </c>
      <c r="O877" s="1579">
        <v>-0.01</v>
      </c>
      <c r="R877" s="91" t="b">
        <f t="shared" si="136"/>
        <v>0</v>
      </c>
      <c r="S877" s="21" t="b">
        <f t="shared" si="137"/>
        <v>0</v>
      </c>
      <c r="T877" s="97" t="b">
        <f t="shared" si="138"/>
        <v>0</v>
      </c>
    </row>
    <row r="878" spans="2:20">
      <c r="B878" s="905" t="s">
        <v>4060</v>
      </c>
      <c r="C878" s="433">
        <v>71</v>
      </c>
      <c r="D878" t="str">
        <f>VLOOKUP($C878,param!$A$4:$B$266,2)</f>
        <v>F&amp;S Distribution Costs for Reg. 2</v>
      </c>
      <c r="E878" s="183">
        <f>INDEX($K878:$O878,SUMIF(cbal!E$280:E$296,$B878,cbal!$D$280:$D$296)+1)</f>
        <v>0</v>
      </c>
      <c r="F878" s="183">
        <f>INDEX($K878:$O878,SUMIF(cbal!F$280:F$296,$B878,cbal!$D$280:$D$296)+1)</f>
        <v>0</v>
      </c>
      <c r="G878" s="183">
        <f>INDEX($K878:$O878,SUMIF(cbal!G$280:G$296,$B878,cbal!$D$280:$D$296)+1)</f>
        <v>0</v>
      </c>
      <c r="H878" s="183">
        <f>INDEX($K878:$O878,SUMIF(cbal!H$280:H$296,$B878,cbal!$D$280:$D$296)+1)</f>
        <v>0</v>
      </c>
      <c r="I878" s="183">
        <f>INDEX($K878:$O878,SUMIF(cbal!I$280:I$296,$B878,cbal!$D$280:$D$296)+1)</f>
        <v>0</v>
      </c>
      <c r="K878" s="1577">
        <v>0</v>
      </c>
      <c r="L878" s="1579">
        <v>-0.01</v>
      </c>
      <c r="M878" s="1579">
        <v>-0.01</v>
      </c>
      <c r="N878" s="1579">
        <v>-0.01</v>
      </c>
      <c r="O878" s="1579">
        <v>-0.01</v>
      </c>
      <c r="R878" s="91" t="b">
        <f t="shared" si="136"/>
        <v>0</v>
      </c>
      <c r="S878" s="21" t="b">
        <f t="shared" si="137"/>
        <v>0</v>
      </c>
      <c r="T878" s="97" t="b">
        <f t="shared" si="138"/>
        <v>0</v>
      </c>
    </row>
    <row r="879" spans="2:20">
      <c r="B879" s="905" t="s">
        <v>4060</v>
      </c>
      <c r="C879" s="433">
        <v>13</v>
      </c>
      <c r="D879" t="str">
        <f>VLOOKUP($C879,param!$A$4:$B$266,2)</f>
        <v>CSD Distribution Costs for Reg. 1</v>
      </c>
      <c r="E879" s="183">
        <f>INDEX($K879:$O879,SUMIF(cbal!E$280:E$296,$B879,cbal!$D$280:$D$296)+1)</f>
        <v>0</v>
      </c>
      <c r="F879" s="183">
        <f>INDEX($K879:$O879,SUMIF(cbal!F$280:F$296,$B879,cbal!$D$280:$D$296)+1)</f>
        <v>0</v>
      </c>
      <c r="G879" s="183">
        <f>INDEX($K879:$O879,SUMIF(cbal!G$280:G$296,$B879,cbal!$D$280:$D$296)+1)</f>
        <v>0</v>
      </c>
      <c r="H879" s="183">
        <f>INDEX($K879:$O879,SUMIF(cbal!H$280:H$296,$B879,cbal!$D$280:$D$296)+1)</f>
        <v>0</v>
      </c>
      <c r="I879" s="183">
        <f>INDEX($K879:$O879,SUMIF(cbal!I$280:I$296,$B879,cbal!$D$280:$D$296)+1)</f>
        <v>0</v>
      </c>
      <c r="K879" s="1577">
        <v>0</v>
      </c>
      <c r="L879" s="1579">
        <v>-0.02</v>
      </c>
      <c r="M879" s="1579">
        <v>-0.02</v>
      </c>
      <c r="N879" s="1579">
        <v>-0.02</v>
      </c>
      <c r="O879" s="1579">
        <v>-0.02</v>
      </c>
      <c r="R879" s="91" t="b">
        <f t="shared" si="136"/>
        <v>0</v>
      </c>
      <c r="S879" s="21" t="b">
        <f t="shared" si="137"/>
        <v>0</v>
      </c>
      <c r="T879" s="97" t="b">
        <f t="shared" si="138"/>
        <v>0</v>
      </c>
    </row>
    <row r="880" spans="2:20">
      <c r="B880" s="905" t="s">
        <v>4060</v>
      </c>
      <c r="C880" s="433">
        <v>51</v>
      </c>
      <c r="D880" t="str">
        <f>VLOOKUP($C880,param!$A$4:$B$266,2)</f>
        <v>NCB Distribution Costs for Reg. 1</v>
      </c>
      <c r="E880" s="183">
        <f>INDEX($K880:$O880,SUMIF(cbal!E$280:E$296,$B880,cbal!$D$280:$D$296)+1)</f>
        <v>0</v>
      </c>
      <c r="F880" s="183">
        <f>INDEX($K880:$O880,SUMIF(cbal!F$280:F$296,$B880,cbal!$D$280:$D$296)+1)</f>
        <v>0</v>
      </c>
      <c r="G880" s="183">
        <f>INDEX($K880:$O880,SUMIF(cbal!G$280:G$296,$B880,cbal!$D$280:$D$296)+1)</f>
        <v>0</v>
      </c>
      <c r="H880" s="183">
        <f>INDEX($K880:$O880,SUMIF(cbal!H$280:H$296,$B880,cbal!$D$280:$D$296)+1)</f>
        <v>0</v>
      </c>
      <c r="I880" s="183">
        <f>INDEX($K880:$O880,SUMIF(cbal!I$280:I$296,$B880,cbal!$D$280:$D$296)+1)</f>
        <v>0</v>
      </c>
      <c r="K880" s="1577">
        <v>0</v>
      </c>
      <c r="L880" s="1579">
        <v>-0.02</v>
      </c>
      <c r="M880" s="1579">
        <v>-0.02</v>
      </c>
      <c r="N880" s="1579">
        <v>-0.02</v>
      </c>
      <c r="O880" s="1579">
        <v>-0.02</v>
      </c>
      <c r="R880" s="91" t="b">
        <f t="shared" si="136"/>
        <v>0</v>
      </c>
      <c r="S880" s="21" t="b">
        <f t="shared" si="137"/>
        <v>0</v>
      </c>
      <c r="T880" s="97" t="b">
        <f t="shared" si="138"/>
        <v>0</v>
      </c>
    </row>
    <row r="881" spans="2:20">
      <c r="B881" s="905" t="s">
        <v>4060</v>
      </c>
      <c r="C881" s="433">
        <v>70</v>
      </c>
      <c r="D881" t="str">
        <f>VLOOKUP($C881,param!$A$4:$B$266,2)</f>
        <v>F&amp;S Distribution Costs for Reg. 1</v>
      </c>
      <c r="E881" s="183">
        <f>INDEX($K881:$O881,SUMIF(cbal!E$280:E$296,$B881,cbal!$D$280:$D$296)+1)</f>
        <v>0</v>
      </c>
      <c r="F881" s="183">
        <f>INDEX($K881:$O881,SUMIF(cbal!F$280:F$296,$B881,cbal!$D$280:$D$296)+1)</f>
        <v>0</v>
      </c>
      <c r="G881" s="183">
        <f>INDEX($K881:$O881,SUMIF(cbal!G$280:G$296,$B881,cbal!$D$280:$D$296)+1)</f>
        <v>0</v>
      </c>
      <c r="H881" s="183">
        <f>INDEX($K881:$O881,SUMIF(cbal!H$280:H$296,$B881,cbal!$D$280:$D$296)+1)</f>
        <v>0</v>
      </c>
      <c r="I881" s="183">
        <f>INDEX($K881:$O881,SUMIF(cbal!I$280:I$296,$B881,cbal!$D$280:$D$296)+1)</f>
        <v>0</v>
      </c>
      <c r="K881" s="1577">
        <v>0</v>
      </c>
      <c r="L881" s="1579">
        <v>-0.02</v>
      </c>
      <c r="M881" s="1579">
        <v>-0.02</v>
      </c>
      <c r="N881" s="1579">
        <v>-0.02</v>
      </c>
      <c r="O881" s="1579">
        <v>-0.02</v>
      </c>
      <c r="R881" s="91" t="b">
        <f t="shared" si="136"/>
        <v>0</v>
      </c>
      <c r="S881" s="21" t="b">
        <f t="shared" si="137"/>
        <v>0</v>
      </c>
      <c r="T881" s="97" t="b">
        <f t="shared" si="138"/>
        <v>0</v>
      </c>
    </row>
    <row r="882" spans="2:20">
      <c r="B882" s="905" t="s">
        <v>4060</v>
      </c>
      <c r="C882" s="433">
        <v>109.1</v>
      </c>
      <c r="D882" t="str">
        <f>VLOOKUP($C882,param!$A$4:$B$266,2)</f>
        <v>Lower Region Sales Force Effectiveness</v>
      </c>
      <c r="E882" s="183">
        <f>INDEX($K882:$O882,SUMIF(cbal!E$280:E$296,$B882,cbal!$D$280:$D$296)+1)</f>
        <v>0</v>
      </c>
      <c r="F882" s="183">
        <f>INDEX($K882:$O882,SUMIF(cbal!F$280:F$296,$B882,cbal!$D$280:$D$296)+1)</f>
        <v>0</v>
      </c>
      <c r="G882" s="183">
        <f>INDEX($K882:$O882,SUMIF(cbal!G$280:G$296,$B882,cbal!$D$280:$D$296)+1)</f>
        <v>0</v>
      </c>
      <c r="H882" s="183">
        <f>INDEX($K882:$O882,SUMIF(cbal!H$280:H$296,$B882,cbal!$D$280:$D$296)+1)</f>
        <v>0</v>
      </c>
      <c r="I882" s="183">
        <f>INDEX($K882:$O882,SUMIF(cbal!I$280:I$296,$B882,cbal!$D$280:$D$296)+1)</f>
        <v>0</v>
      </c>
      <c r="K882" s="1577">
        <v>0</v>
      </c>
      <c r="L882" s="1579">
        <v>0.01</v>
      </c>
      <c r="M882" s="1579">
        <v>0.01</v>
      </c>
      <c r="N882" s="1579">
        <v>0.01</v>
      </c>
      <c r="O882" s="1579">
        <v>0.01</v>
      </c>
      <c r="R882" s="91" t="b">
        <f t="shared" si="136"/>
        <v>0</v>
      </c>
      <c r="S882" s="21" t="b">
        <f t="shared" si="137"/>
        <v>0</v>
      </c>
      <c r="T882" s="97" t="b">
        <f t="shared" si="138"/>
        <v>0</v>
      </c>
    </row>
    <row r="883" spans="2:20">
      <c r="B883" s="905" t="s">
        <v>4060</v>
      </c>
      <c r="C883" s="433">
        <v>117.1</v>
      </c>
      <c r="D883" t="str">
        <f>VLOOKUP($C883,param!$A$4:$B$266,2)</f>
        <v>Upper Region Sales Force Effectiveness</v>
      </c>
      <c r="E883" s="183">
        <f>INDEX($K883:$O883,SUMIF(cbal!E$280:E$296,$B883,cbal!$D$280:$D$296)+1)</f>
        <v>0</v>
      </c>
      <c r="F883" s="183">
        <f>INDEX($K883:$O883,SUMIF(cbal!F$280:F$296,$B883,cbal!$D$280:$D$296)+1)</f>
        <v>0</v>
      </c>
      <c r="G883" s="183">
        <f>INDEX($K883:$O883,SUMIF(cbal!G$280:G$296,$B883,cbal!$D$280:$D$296)+1)</f>
        <v>0</v>
      </c>
      <c r="H883" s="183">
        <f>INDEX($K883:$O883,SUMIF(cbal!H$280:H$296,$B883,cbal!$D$280:$D$296)+1)</f>
        <v>0</v>
      </c>
      <c r="I883" s="183">
        <f>INDEX($K883:$O883,SUMIF(cbal!I$280:I$296,$B883,cbal!$D$280:$D$296)+1)</f>
        <v>0</v>
      </c>
      <c r="K883" s="1577">
        <v>0</v>
      </c>
      <c r="L883" s="1579">
        <v>0.01</v>
      </c>
      <c r="M883" s="1579">
        <v>0.01</v>
      </c>
      <c r="N883" s="1579">
        <v>0.01</v>
      </c>
      <c r="O883" s="1579">
        <v>0.01</v>
      </c>
      <c r="R883" s="91" t="b">
        <f t="shared" si="136"/>
        <v>0</v>
      </c>
      <c r="S883" s="21" t="b">
        <f t="shared" si="137"/>
        <v>0</v>
      </c>
      <c r="T883" s="97" t="b">
        <f t="shared" si="138"/>
        <v>0</v>
      </c>
    </row>
    <row r="884" spans="2:20">
      <c r="B884" s="905" t="s">
        <v>4060</v>
      </c>
      <c r="C884" s="433">
        <v>167</v>
      </c>
      <c r="D884" t="str">
        <f>VLOOKUP($C884,param!$A$4:$B$266,2)</f>
        <v>Special Program Expense</v>
      </c>
      <c r="E884" s="183">
        <f>INDEX($K884:$O884,SUMIF(cbal!E$280:E$296,$B884,cbal!$D$280:$D$296)+1)</f>
        <v>0</v>
      </c>
      <c r="F884" s="183">
        <f>INDEX($K884:$O884,SUMIF(cbal!F$280:F$296,$B884,cbal!$D$280:$D$296)+1)</f>
        <v>0</v>
      </c>
      <c r="G884" s="183">
        <f>INDEX($K884:$O884,SUMIF(cbal!G$280:G$296,$B884,cbal!$D$280:$D$296)+1)</f>
        <v>0</v>
      </c>
      <c r="H884" s="183">
        <f>INDEX($K884:$O884,SUMIF(cbal!H$280:H$296,$B884,cbal!$D$280:$D$296)+1)</f>
        <v>0</v>
      </c>
      <c r="I884" s="183">
        <f>INDEX($K884:$O884,SUMIF(cbal!I$280:I$296,$B884,cbal!$D$280:$D$296)+1)</f>
        <v>0</v>
      </c>
      <c r="K884" s="1577">
        <v>0</v>
      </c>
      <c r="L884" s="1592">
        <v>1000000</v>
      </c>
      <c r="M884" s="1580"/>
      <c r="N884" s="1580"/>
      <c r="O884" s="1580"/>
      <c r="R884" s="91">
        <f t="shared" si="136"/>
        <v>1000000</v>
      </c>
      <c r="S884" s="21">
        <f t="shared" si="137"/>
        <v>0</v>
      </c>
      <c r="T884" s="97" t="b">
        <f t="shared" si="138"/>
        <v>0</v>
      </c>
    </row>
    <row r="885" spans="2:20">
      <c r="B885" s="905" t="s">
        <v>4060</v>
      </c>
      <c r="C885" s="433">
        <v>133.5</v>
      </c>
      <c r="D885" t="str">
        <f>VLOOKUP($C885,param!$A$4:$B$266,2)</f>
        <v>MTU Initiatives Allocation</v>
      </c>
      <c r="E885" s="183">
        <f>INDEX($K885:$O885,SUMIF(cbal!E$280:E$296,$B885,cbal!$D$280:$D$296)+1)</f>
        <v>0</v>
      </c>
      <c r="F885" s="183">
        <f>INDEX($K885:$O885,SUMIF(cbal!F$280:F$296,$B885,cbal!$D$280:$D$296)+1)</f>
        <v>0</v>
      </c>
      <c r="G885" s="183">
        <f>INDEX($K885:$O885,SUMIF(cbal!G$280:G$296,$B885,cbal!$D$280:$D$296)+1)</f>
        <v>0</v>
      </c>
      <c r="H885" s="183">
        <f>INDEX($K885:$O885,SUMIF(cbal!H$280:H$296,$B885,cbal!$D$280:$D$296)+1)</f>
        <v>0</v>
      </c>
      <c r="I885" s="183">
        <f>INDEX($K885:$O885,SUMIF(cbal!I$280:I$296,$B885,cbal!$D$280:$D$296)+1)</f>
        <v>0</v>
      </c>
      <c r="K885" s="1577">
        <v>0</v>
      </c>
      <c r="L885" s="1593">
        <v>7</v>
      </c>
      <c r="M885" s="1580"/>
      <c r="N885" s="1580"/>
      <c r="O885" s="1580"/>
      <c r="R885" s="91" t="b">
        <f t="shared" si="136"/>
        <v>0</v>
      </c>
      <c r="S885" s="21" t="b">
        <f t="shared" si="137"/>
        <v>0</v>
      </c>
      <c r="T885" s="97">
        <f t="shared" si="138"/>
        <v>7</v>
      </c>
    </row>
    <row r="886" spans="2:20">
      <c r="B886" s="905" t="s">
        <v>4060</v>
      </c>
      <c r="C886" s="433">
        <v>202</v>
      </c>
      <c r="D886" t="str">
        <f>VLOOKUP($C886,param!$A$4:$B$266,2)</f>
        <v>Go-to-Market Strategy</v>
      </c>
      <c r="E886" s="183">
        <f>INDEX($K886:$O886,SUMIF(cbal!E$280:E$296,$B886,cbal!$D$280:$D$296)+1)</f>
        <v>0</v>
      </c>
      <c r="F886" s="183">
        <f>INDEX($K886:$O886,SUMIF(cbal!F$280:F$296,$B886,cbal!$D$280:$D$296)+1)</f>
        <v>0</v>
      </c>
      <c r="G886" s="183">
        <f>INDEX($K886:$O886,SUMIF(cbal!G$280:G$296,$B886,cbal!$D$280:$D$296)+1)</f>
        <v>0</v>
      </c>
      <c r="H886" s="183">
        <f>INDEX($K886:$O886,SUMIF(cbal!H$280:H$296,$B886,cbal!$D$280:$D$296)+1)</f>
        <v>0</v>
      </c>
      <c r="I886" s="183">
        <f>INDEX($K886:$O886,SUMIF(cbal!I$280:I$296,$B886,cbal!$D$280:$D$296)+1)</f>
        <v>0</v>
      </c>
      <c r="K886" s="1577">
        <v>0</v>
      </c>
      <c r="L886" s="1593">
        <v>7</v>
      </c>
      <c r="M886" s="1593">
        <v>7</v>
      </c>
      <c r="N886" s="1593">
        <v>7</v>
      </c>
      <c r="O886" s="1593">
        <v>7</v>
      </c>
      <c r="R886" s="91" t="b">
        <f t="shared" si="136"/>
        <v>0</v>
      </c>
      <c r="S886" s="21" t="b">
        <f t="shared" si="137"/>
        <v>0</v>
      </c>
      <c r="T886" s="97" t="b">
        <f t="shared" si="138"/>
        <v>0</v>
      </c>
    </row>
    <row r="887" spans="2:20">
      <c r="B887">
        <v>0</v>
      </c>
      <c r="C887" s="433">
        <v>0</v>
      </c>
      <c r="E887" s="183"/>
      <c r="F887" s="183"/>
      <c r="G887" s="183"/>
      <c r="H887" s="183"/>
      <c r="I887" s="183"/>
      <c r="K887" s="1577"/>
      <c r="L887" s="1580"/>
      <c r="M887" s="1580"/>
      <c r="N887" s="1580"/>
      <c r="O887" s="1580"/>
      <c r="R887" s="91">
        <v>0</v>
      </c>
      <c r="S887" s="21">
        <v>0</v>
      </c>
      <c r="T887" s="97">
        <v>0</v>
      </c>
    </row>
    <row r="888" spans="2:20">
      <c r="B888" s="905" t="s">
        <v>4061</v>
      </c>
      <c r="C888" t="str">
        <f>VLOOKUP(B888,DataInitiativesGrid,2,0)</f>
        <v>Multi-Segmentation Vetera</v>
      </c>
      <c r="E888" s="183">
        <f>INDEX($K888:$O888,SUMIF(cbal!E$280:E$296,$B888,cbal!$D$280:$D$296)+1)</f>
        <v>0</v>
      </c>
      <c r="F888" s="183">
        <f>INDEX($K888:$O888,SUMIF(cbal!F$280:F$296,$B888,cbal!$D$280:$D$296)+1)</f>
        <v>0</v>
      </c>
      <c r="G888" s="183">
        <f>INDEX($K888:$O888,SUMIF(cbal!G$280:G$296,$B888,cbal!$D$280:$D$296)+1)</f>
        <v>0</v>
      </c>
      <c r="H888" s="183">
        <f>INDEX($K888:$O888,SUMIF(cbal!H$280:H$296,$B888,cbal!$D$280:$D$296)+1)</f>
        <v>0</v>
      </c>
      <c r="I888" s="183">
        <f>INDEX($K888:$O888,SUMIF(cbal!I$280:I$296,$B888,cbal!$D$280:$D$296)+1)</f>
        <v>0</v>
      </c>
      <c r="K888" s="1577"/>
      <c r="L888" s="1580"/>
      <c r="M888" s="1580"/>
      <c r="N888" s="1580"/>
      <c r="O888" s="1580"/>
      <c r="R888" s="91">
        <v>0</v>
      </c>
      <c r="S888" s="21">
        <v>0</v>
      </c>
      <c r="T888" s="97">
        <v>0</v>
      </c>
    </row>
    <row r="889" spans="2:20">
      <c r="B889" s="905" t="s">
        <v>4061</v>
      </c>
      <c r="C889" s="433">
        <v>172</v>
      </c>
      <c r="D889" t="str">
        <f>VLOOKUP($C889,param!$A$4:$B$266,2)</f>
        <v>Region 1 Special Program Success CSD</v>
      </c>
      <c r="E889" s="183">
        <f>INDEX($K889:$O889,SUMIF(cbal!E$280:E$296,$B889,cbal!$D$280:$D$296)+1)</f>
        <v>0</v>
      </c>
      <c r="F889" s="183">
        <f>INDEX($K889:$O889,SUMIF(cbal!F$280:F$296,$B889,cbal!$D$280:$D$296)+1)</f>
        <v>0</v>
      </c>
      <c r="G889" s="183">
        <f>INDEX($K889:$O889,SUMIF(cbal!G$280:G$296,$B889,cbal!$D$280:$D$296)+1)</f>
        <v>0</v>
      </c>
      <c r="H889" s="183">
        <f>INDEX($K889:$O889,SUMIF(cbal!H$280:H$296,$B889,cbal!$D$280:$D$296)+1)</f>
        <v>0</v>
      </c>
      <c r="I889" s="183">
        <f>INDEX($K889:$O889,SUMIF(cbal!I$280:I$296,$B889,cbal!$D$280:$D$296)+1)</f>
        <v>0</v>
      </c>
      <c r="K889" s="1577">
        <v>0</v>
      </c>
      <c r="L889" s="1579">
        <v>0.02</v>
      </c>
      <c r="M889" s="1579">
        <v>0.02</v>
      </c>
      <c r="N889" s="1579">
        <v>0.02</v>
      </c>
      <c r="O889" s="1579">
        <v>0.02</v>
      </c>
      <c r="R889" s="91" t="b">
        <f t="shared" si="136"/>
        <v>0</v>
      </c>
      <c r="S889" s="21" t="b">
        <f t="shared" si="137"/>
        <v>0</v>
      </c>
      <c r="T889" s="97" t="b">
        <f t="shared" si="138"/>
        <v>0</v>
      </c>
    </row>
    <row r="890" spans="2:20">
      <c r="B890" s="905" t="s">
        <v>4061</v>
      </c>
      <c r="C890" s="433">
        <v>174</v>
      </c>
      <c r="D890" t="str">
        <f>VLOOKUP($C890,param!$A$4:$B$266,2)</f>
        <v>Region 1 Special Program Success NCB</v>
      </c>
      <c r="E890" s="183">
        <f>INDEX($K890:$O890,SUMIF(cbal!E$280:E$296,$B890,cbal!$D$280:$D$296)+1)</f>
        <v>0</v>
      </c>
      <c r="F890" s="183">
        <f>INDEX($K890:$O890,SUMIF(cbal!F$280:F$296,$B890,cbal!$D$280:$D$296)+1)</f>
        <v>0</v>
      </c>
      <c r="G890" s="183">
        <f>INDEX($K890:$O890,SUMIF(cbal!G$280:G$296,$B890,cbal!$D$280:$D$296)+1)</f>
        <v>0</v>
      </c>
      <c r="H890" s="183">
        <f>INDEX($K890:$O890,SUMIF(cbal!H$280:H$296,$B890,cbal!$D$280:$D$296)+1)</f>
        <v>0</v>
      </c>
      <c r="I890" s="183">
        <f>INDEX($K890:$O890,SUMIF(cbal!I$280:I$296,$B890,cbal!$D$280:$D$296)+1)</f>
        <v>0</v>
      </c>
      <c r="K890" s="1577">
        <v>0</v>
      </c>
      <c r="L890" s="1579">
        <v>0.02</v>
      </c>
      <c r="M890" s="1579">
        <v>0.02</v>
      </c>
      <c r="N890" s="1579">
        <v>0.02</v>
      </c>
      <c r="O890" s="1579">
        <v>0.02</v>
      </c>
      <c r="R890" s="91" t="b">
        <f t="shared" si="136"/>
        <v>0</v>
      </c>
      <c r="S890" s="21" t="b">
        <f t="shared" si="137"/>
        <v>0</v>
      </c>
      <c r="T890" s="97" t="b">
        <f t="shared" si="138"/>
        <v>0</v>
      </c>
    </row>
    <row r="891" spans="2:20">
      <c r="B891" s="905" t="s">
        <v>4061</v>
      </c>
      <c r="C891" s="433">
        <v>175</v>
      </c>
      <c r="D891" t="str">
        <f>VLOOKUP($C891,param!$A$4:$B$266,2)</f>
        <v>Region 1 Special Program Success F&amp;S</v>
      </c>
      <c r="E891" s="183">
        <f>INDEX($K891:$O891,SUMIF(cbal!E$280:E$296,$B891,cbal!$D$280:$D$296)+1)</f>
        <v>0</v>
      </c>
      <c r="F891" s="183">
        <f>INDEX($K891:$O891,SUMIF(cbal!F$280:F$296,$B891,cbal!$D$280:$D$296)+1)</f>
        <v>0</v>
      </c>
      <c r="G891" s="183">
        <f>INDEX($K891:$O891,SUMIF(cbal!G$280:G$296,$B891,cbal!$D$280:$D$296)+1)</f>
        <v>0</v>
      </c>
      <c r="H891" s="183">
        <f>INDEX($K891:$O891,SUMIF(cbal!H$280:H$296,$B891,cbal!$D$280:$D$296)+1)</f>
        <v>0</v>
      </c>
      <c r="I891" s="183">
        <f>INDEX($K891:$O891,SUMIF(cbal!I$280:I$296,$B891,cbal!$D$280:$D$296)+1)</f>
        <v>0</v>
      </c>
      <c r="K891" s="1577">
        <v>0</v>
      </c>
      <c r="L891" s="1579">
        <v>0.02</v>
      </c>
      <c r="M891" s="1579">
        <v>0.02</v>
      </c>
      <c r="N891" s="1579">
        <v>0.02</v>
      </c>
      <c r="O891" s="1579">
        <v>0.02</v>
      </c>
      <c r="R891" s="91" t="b">
        <f t="shared" ref="R891:R954" si="139">IF(AND(C891&gt;166,C891&lt;171.5),L891)</f>
        <v>0</v>
      </c>
      <c r="S891" s="21" t="b">
        <f t="shared" ref="S891:S954" si="140">IF(AND(C891&gt;166,C891&lt;171.5),M891)</f>
        <v>0</v>
      </c>
      <c r="T891" s="97" t="b">
        <f t="shared" ref="T891:T954" si="141">IF(C891=133.5,L891)</f>
        <v>0</v>
      </c>
    </row>
    <row r="892" spans="2:20">
      <c r="B892" s="905" t="s">
        <v>4061</v>
      </c>
      <c r="C892" s="433">
        <v>167</v>
      </c>
      <c r="D892" t="str">
        <f>VLOOKUP($C892,param!$A$4:$B$266,2)</f>
        <v>Special Program Expense</v>
      </c>
      <c r="E892" s="183">
        <f>INDEX($K892:$O892,SUMIF(cbal!E$280:E$296,$B892,cbal!$D$280:$D$296)+1)</f>
        <v>0</v>
      </c>
      <c r="F892" s="183">
        <f>INDEX($K892:$O892,SUMIF(cbal!F$280:F$296,$B892,cbal!$D$280:$D$296)+1)</f>
        <v>0</v>
      </c>
      <c r="G892" s="183">
        <f>INDEX($K892:$O892,SUMIF(cbal!G$280:G$296,$B892,cbal!$D$280:$D$296)+1)</f>
        <v>0</v>
      </c>
      <c r="H892" s="183">
        <f>INDEX($K892:$O892,SUMIF(cbal!H$280:H$296,$B892,cbal!$D$280:$D$296)+1)</f>
        <v>0</v>
      </c>
      <c r="I892" s="183">
        <f>INDEX($K892:$O892,SUMIF(cbal!I$280:I$296,$B892,cbal!$D$280:$D$296)+1)</f>
        <v>0</v>
      </c>
      <c r="K892" s="1577">
        <v>0</v>
      </c>
      <c r="L892" s="1592">
        <v>1500000</v>
      </c>
      <c r="M892" s="1579"/>
      <c r="N892" s="1579"/>
      <c r="O892" s="1579"/>
      <c r="R892" s="91">
        <f t="shared" si="139"/>
        <v>1500000</v>
      </c>
      <c r="S892" s="21">
        <f t="shared" si="140"/>
        <v>0</v>
      </c>
      <c r="T892" s="97" t="b">
        <f t="shared" si="141"/>
        <v>0</v>
      </c>
    </row>
    <row r="893" spans="2:20">
      <c r="B893" s="905" t="s">
        <v>4061</v>
      </c>
      <c r="C893" s="433">
        <v>133.5</v>
      </c>
      <c r="D893" t="str">
        <f>VLOOKUP($C893,param!$A$4:$B$266,2)</f>
        <v>MTU Initiatives Allocation</v>
      </c>
      <c r="E893" s="183">
        <f>INDEX($K893:$O893,SUMIF(cbal!E$280:E$296,$B893,cbal!$D$280:$D$296)+1)</f>
        <v>0</v>
      </c>
      <c r="F893" s="183">
        <f>INDEX($K893:$O893,SUMIF(cbal!F$280:F$296,$B893,cbal!$D$280:$D$296)+1)</f>
        <v>0</v>
      </c>
      <c r="G893" s="183">
        <f>INDEX($K893:$O893,SUMIF(cbal!G$280:G$296,$B893,cbal!$D$280:$D$296)+1)</f>
        <v>0</v>
      </c>
      <c r="H893" s="183">
        <f>INDEX($K893:$O893,SUMIF(cbal!H$280:H$296,$B893,cbal!$D$280:$D$296)+1)</f>
        <v>0</v>
      </c>
      <c r="I893" s="183">
        <f>INDEX($K893:$O893,SUMIF(cbal!I$280:I$296,$B893,cbal!$D$280:$D$296)+1)</f>
        <v>0</v>
      </c>
      <c r="K893" s="1577">
        <v>0</v>
      </c>
      <c r="L893" s="1593">
        <v>10</v>
      </c>
      <c r="M893" s="1579"/>
      <c r="N893" s="1579"/>
      <c r="O893" s="1579"/>
      <c r="R893" s="91" t="b">
        <f t="shared" si="139"/>
        <v>0</v>
      </c>
      <c r="S893" s="21" t="b">
        <f t="shared" si="140"/>
        <v>0</v>
      </c>
      <c r="T893" s="97">
        <f t="shared" si="141"/>
        <v>10</v>
      </c>
    </row>
    <row r="894" spans="2:20">
      <c r="B894" s="905" t="s">
        <v>4061</v>
      </c>
      <c r="C894" s="433">
        <v>202</v>
      </c>
      <c r="D894" t="str">
        <f>VLOOKUP($C894,param!$A$4:$B$266,2)</f>
        <v>Go-to-Market Strategy</v>
      </c>
      <c r="E894" s="183">
        <f>INDEX($K894:$O894,SUMIF(cbal!E$280:E$296,$B894,cbal!$D$280:$D$296)+1)</f>
        <v>0</v>
      </c>
      <c r="F894" s="183">
        <f>INDEX($K894:$O894,SUMIF(cbal!F$280:F$296,$B894,cbal!$D$280:$D$296)+1)</f>
        <v>0</v>
      </c>
      <c r="G894" s="183">
        <f>INDEX($K894:$O894,SUMIF(cbal!G$280:G$296,$B894,cbal!$D$280:$D$296)+1)</f>
        <v>0</v>
      </c>
      <c r="H894" s="183">
        <f>INDEX($K894:$O894,SUMIF(cbal!H$280:H$296,$B894,cbal!$D$280:$D$296)+1)</f>
        <v>0</v>
      </c>
      <c r="I894" s="183">
        <f>INDEX($K894:$O894,SUMIF(cbal!I$280:I$296,$B894,cbal!$D$280:$D$296)+1)</f>
        <v>0</v>
      </c>
      <c r="K894" s="1577">
        <v>0</v>
      </c>
      <c r="L894" s="1593">
        <v>10</v>
      </c>
      <c r="M894" s="1593">
        <v>10</v>
      </c>
      <c r="N894" s="1593">
        <v>10</v>
      </c>
      <c r="O894" s="1593">
        <v>10</v>
      </c>
      <c r="R894" s="91" t="b">
        <f t="shared" si="139"/>
        <v>0</v>
      </c>
      <c r="S894" s="21" t="b">
        <f t="shared" si="140"/>
        <v>0</v>
      </c>
      <c r="T894" s="97" t="b">
        <f t="shared" si="141"/>
        <v>0</v>
      </c>
    </row>
    <row r="895" spans="2:20">
      <c r="B895">
        <v>0</v>
      </c>
      <c r="C895" s="433">
        <v>0</v>
      </c>
      <c r="E895" s="183"/>
      <c r="F895" s="183"/>
      <c r="G895" s="183"/>
      <c r="H895" s="183"/>
      <c r="I895" s="183"/>
      <c r="K895" s="1577"/>
      <c r="L895" s="1580"/>
      <c r="M895" s="1580"/>
      <c r="N895" s="1580"/>
      <c r="O895" s="1580"/>
      <c r="R895" s="91">
        <v>0</v>
      </c>
      <c r="S895" s="21">
        <v>0</v>
      </c>
      <c r="T895" s="97">
        <v>0</v>
      </c>
    </row>
    <row r="896" spans="2:20">
      <c r="B896" s="905" t="s">
        <v>4062</v>
      </c>
      <c r="C896" t="str">
        <f>VLOOKUP(B896,DataInitiativesGrid,2,0)</f>
        <v>Multi-Segmentation Escendia</v>
      </c>
      <c r="E896" s="183">
        <f>INDEX($K896:$O896,SUMIF(cbal!E$280:E$296,$B896,cbal!$D$280:$D$296)+1)</f>
        <v>0</v>
      </c>
      <c r="F896" s="183">
        <f>INDEX($K896:$O896,SUMIF(cbal!F$280:F$296,$B896,cbal!$D$280:$D$296)+1)</f>
        <v>0</v>
      </c>
      <c r="G896" s="183">
        <f>INDEX($K896:$O896,SUMIF(cbal!G$280:G$296,$B896,cbal!$D$280:$D$296)+1)</f>
        <v>0</v>
      </c>
      <c r="H896" s="183">
        <f>INDEX($K896:$O896,SUMIF(cbal!H$280:H$296,$B896,cbal!$D$280:$D$296)+1)</f>
        <v>0</v>
      </c>
      <c r="I896" s="183">
        <f>INDEX($K896:$O896,SUMIF(cbal!I$280:I$296,$B896,cbal!$D$280:$D$296)+1)</f>
        <v>0</v>
      </c>
      <c r="K896" s="1577"/>
      <c r="L896" s="1580"/>
      <c r="M896" s="1580"/>
      <c r="N896" s="1580"/>
      <c r="O896" s="1580"/>
      <c r="R896" s="91">
        <v>0</v>
      </c>
      <c r="S896" s="21">
        <v>0</v>
      </c>
      <c r="T896" s="97">
        <v>0</v>
      </c>
    </row>
    <row r="897" spans="2:20">
      <c r="B897" s="905" t="s">
        <v>4062</v>
      </c>
      <c r="C897" s="433">
        <v>176</v>
      </c>
      <c r="D897" t="str">
        <f>VLOOKUP($C897,param!$A$4:$B$266,2)</f>
        <v>Region 2 Special Program Success CSD</v>
      </c>
      <c r="E897" s="183">
        <f>INDEX($K897:$O897,SUMIF(cbal!E$280:E$296,$B897,cbal!$D$280:$D$296)+1)</f>
        <v>0</v>
      </c>
      <c r="F897" s="183">
        <f>INDEX($K897:$O897,SUMIF(cbal!F$280:F$296,$B897,cbal!$D$280:$D$296)+1)</f>
        <v>0</v>
      </c>
      <c r="G897" s="183">
        <f>INDEX($K897:$O897,SUMIF(cbal!G$280:G$296,$B897,cbal!$D$280:$D$296)+1)</f>
        <v>0</v>
      </c>
      <c r="H897" s="183">
        <f>INDEX($K897:$O897,SUMIF(cbal!H$280:H$296,$B897,cbal!$D$280:$D$296)+1)</f>
        <v>0</v>
      </c>
      <c r="I897" s="183">
        <f>INDEX($K897:$O897,SUMIF(cbal!I$280:I$296,$B897,cbal!$D$280:$D$296)+1)</f>
        <v>0</v>
      </c>
      <c r="K897" s="1577">
        <v>0</v>
      </c>
      <c r="L897" s="1579">
        <v>0.02</v>
      </c>
      <c r="M897" s="1579">
        <v>0.02</v>
      </c>
      <c r="N897" s="1579">
        <v>0.02</v>
      </c>
      <c r="O897" s="1579">
        <v>0.02</v>
      </c>
      <c r="R897" s="91" t="b">
        <f t="shared" si="139"/>
        <v>0</v>
      </c>
      <c r="S897" s="21" t="b">
        <f t="shared" si="140"/>
        <v>0</v>
      </c>
      <c r="T897" s="97" t="b">
        <f t="shared" si="141"/>
        <v>0</v>
      </c>
    </row>
    <row r="898" spans="2:20">
      <c r="B898" s="905" t="s">
        <v>4062</v>
      </c>
      <c r="C898" s="433">
        <v>178</v>
      </c>
      <c r="D898" t="str">
        <f>VLOOKUP($C898,param!$A$4:$B$266,2)</f>
        <v>Region 2 Special Program Success NCB</v>
      </c>
      <c r="E898" s="183">
        <f>INDEX($K898:$O898,SUMIF(cbal!E$280:E$296,$B898,cbal!$D$280:$D$296)+1)</f>
        <v>0</v>
      </c>
      <c r="F898" s="183">
        <f>INDEX($K898:$O898,SUMIF(cbal!F$280:F$296,$B898,cbal!$D$280:$D$296)+1)</f>
        <v>0</v>
      </c>
      <c r="G898" s="183">
        <f>INDEX($K898:$O898,SUMIF(cbal!G$280:G$296,$B898,cbal!$D$280:$D$296)+1)</f>
        <v>0</v>
      </c>
      <c r="H898" s="183">
        <f>INDEX($K898:$O898,SUMIF(cbal!H$280:H$296,$B898,cbal!$D$280:$D$296)+1)</f>
        <v>0</v>
      </c>
      <c r="I898" s="183">
        <f>INDEX($K898:$O898,SUMIF(cbal!I$280:I$296,$B898,cbal!$D$280:$D$296)+1)</f>
        <v>0</v>
      </c>
      <c r="K898" s="1577">
        <v>0</v>
      </c>
      <c r="L898" s="1579">
        <v>0.02</v>
      </c>
      <c r="M898" s="1579">
        <v>0.02</v>
      </c>
      <c r="N898" s="1579">
        <v>0.02</v>
      </c>
      <c r="O898" s="1579">
        <v>0.02</v>
      </c>
      <c r="R898" s="91" t="b">
        <f t="shared" si="139"/>
        <v>0</v>
      </c>
      <c r="S898" s="21" t="b">
        <f t="shared" si="140"/>
        <v>0</v>
      </c>
      <c r="T898" s="97" t="b">
        <f t="shared" si="141"/>
        <v>0</v>
      </c>
    </row>
    <row r="899" spans="2:20">
      <c r="B899" s="905" t="s">
        <v>4062</v>
      </c>
      <c r="C899" s="433">
        <v>179</v>
      </c>
      <c r="D899" t="str">
        <f>VLOOKUP($C899,param!$A$4:$B$266,2)</f>
        <v>Region 2 Special Program Success F&amp;S</v>
      </c>
      <c r="E899" s="183">
        <f>INDEX($K899:$O899,SUMIF(cbal!E$280:E$296,$B899,cbal!$D$280:$D$296)+1)</f>
        <v>0</v>
      </c>
      <c r="F899" s="183">
        <f>INDEX($K899:$O899,SUMIF(cbal!F$280:F$296,$B899,cbal!$D$280:$D$296)+1)</f>
        <v>0</v>
      </c>
      <c r="G899" s="183">
        <f>INDEX($K899:$O899,SUMIF(cbal!G$280:G$296,$B899,cbal!$D$280:$D$296)+1)</f>
        <v>0</v>
      </c>
      <c r="H899" s="183">
        <f>INDEX($K899:$O899,SUMIF(cbal!H$280:H$296,$B899,cbal!$D$280:$D$296)+1)</f>
        <v>0</v>
      </c>
      <c r="I899" s="183">
        <f>INDEX($K899:$O899,SUMIF(cbal!I$280:I$296,$B899,cbal!$D$280:$D$296)+1)</f>
        <v>0</v>
      </c>
      <c r="K899" s="1577">
        <v>0</v>
      </c>
      <c r="L899" s="1579">
        <v>0.02</v>
      </c>
      <c r="M899" s="1579">
        <v>0.02</v>
      </c>
      <c r="N899" s="1579">
        <v>0.02</v>
      </c>
      <c r="O899" s="1579">
        <v>0.02</v>
      </c>
      <c r="R899" s="91" t="b">
        <f t="shared" si="139"/>
        <v>0</v>
      </c>
      <c r="S899" s="21" t="b">
        <f t="shared" si="140"/>
        <v>0</v>
      </c>
      <c r="T899" s="97" t="b">
        <f t="shared" si="141"/>
        <v>0</v>
      </c>
    </row>
    <row r="900" spans="2:20">
      <c r="B900" s="905" t="s">
        <v>4062</v>
      </c>
      <c r="C900" s="433">
        <v>167</v>
      </c>
      <c r="D900" t="str">
        <f>VLOOKUP($C900,param!$A$4:$B$266,2)</f>
        <v>Special Program Expense</v>
      </c>
      <c r="E900" s="183">
        <f>INDEX($K900:$O900,SUMIF(cbal!E$280:E$296,$B900,cbal!$D$280:$D$296)+1)</f>
        <v>0</v>
      </c>
      <c r="F900" s="183">
        <f>INDEX($K900:$O900,SUMIF(cbal!F$280:F$296,$B900,cbal!$D$280:$D$296)+1)</f>
        <v>0</v>
      </c>
      <c r="G900" s="183">
        <f>INDEX($K900:$O900,SUMIF(cbal!G$280:G$296,$B900,cbal!$D$280:$D$296)+1)</f>
        <v>0</v>
      </c>
      <c r="H900" s="183">
        <f>INDEX($K900:$O900,SUMIF(cbal!H$280:H$296,$B900,cbal!$D$280:$D$296)+1)</f>
        <v>0</v>
      </c>
      <c r="I900" s="183">
        <f>INDEX($K900:$O900,SUMIF(cbal!I$280:I$296,$B900,cbal!$D$280:$D$296)+1)</f>
        <v>0</v>
      </c>
      <c r="K900" s="1577">
        <v>0</v>
      </c>
      <c r="L900" s="1592">
        <v>1500000</v>
      </c>
      <c r="M900" s="1579"/>
      <c r="N900" s="1579"/>
      <c r="O900" s="1579"/>
      <c r="R900" s="91">
        <f t="shared" si="139"/>
        <v>1500000</v>
      </c>
      <c r="S900" s="21">
        <f t="shared" si="140"/>
        <v>0</v>
      </c>
      <c r="T900" s="97" t="b">
        <f t="shared" si="141"/>
        <v>0</v>
      </c>
    </row>
    <row r="901" spans="2:20">
      <c r="B901" s="905" t="s">
        <v>4062</v>
      </c>
      <c r="C901" s="433">
        <v>133.5</v>
      </c>
      <c r="D901" t="str">
        <f>VLOOKUP($C901,param!$A$4:$B$266,2)</f>
        <v>MTU Initiatives Allocation</v>
      </c>
      <c r="E901" s="183">
        <f>INDEX($K901:$O901,SUMIF(cbal!E$280:E$296,$B901,cbal!$D$280:$D$296)+1)</f>
        <v>0</v>
      </c>
      <c r="F901" s="183">
        <f>INDEX($K901:$O901,SUMIF(cbal!F$280:F$296,$B901,cbal!$D$280:$D$296)+1)</f>
        <v>0</v>
      </c>
      <c r="G901" s="183">
        <f>INDEX($K901:$O901,SUMIF(cbal!G$280:G$296,$B901,cbal!$D$280:$D$296)+1)</f>
        <v>0</v>
      </c>
      <c r="H901" s="183">
        <f>INDEX($K901:$O901,SUMIF(cbal!H$280:H$296,$B901,cbal!$D$280:$D$296)+1)</f>
        <v>0</v>
      </c>
      <c r="I901" s="183">
        <f>INDEX($K901:$O901,SUMIF(cbal!I$280:I$296,$B901,cbal!$D$280:$D$296)+1)</f>
        <v>0</v>
      </c>
      <c r="K901" s="1577">
        <v>0</v>
      </c>
      <c r="L901" s="1593">
        <v>10</v>
      </c>
      <c r="M901" s="1579"/>
      <c r="N901" s="1579"/>
      <c r="O901" s="1579"/>
      <c r="R901" s="91" t="b">
        <f t="shared" si="139"/>
        <v>0</v>
      </c>
      <c r="S901" s="21" t="b">
        <f t="shared" si="140"/>
        <v>0</v>
      </c>
      <c r="T901" s="97">
        <f t="shared" si="141"/>
        <v>10</v>
      </c>
    </row>
    <row r="902" spans="2:20">
      <c r="B902" s="905" t="s">
        <v>4062</v>
      </c>
      <c r="C902" s="433">
        <v>202</v>
      </c>
      <c r="D902" t="str">
        <f>VLOOKUP($C902,param!$A$4:$B$266,2)</f>
        <v>Go-to-Market Strategy</v>
      </c>
      <c r="E902" s="183">
        <f>INDEX($K902:$O902,SUMIF(cbal!E$280:E$296,$B902,cbal!$D$280:$D$296)+1)</f>
        <v>0</v>
      </c>
      <c r="F902" s="183">
        <f>INDEX($K902:$O902,SUMIF(cbal!F$280:F$296,$B902,cbal!$D$280:$D$296)+1)</f>
        <v>0</v>
      </c>
      <c r="G902" s="183">
        <f>INDEX($K902:$O902,SUMIF(cbal!G$280:G$296,$B902,cbal!$D$280:$D$296)+1)</f>
        <v>0</v>
      </c>
      <c r="H902" s="183">
        <f>INDEX($K902:$O902,SUMIF(cbal!H$280:H$296,$B902,cbal!$D$280:$D$296)+1)</f>
        <v>0</v>
      </c>
      <c r="I902" s="183">
        <f>INDEX($K902:$O902,SUMIF(cbal!I$280:I$296,$B902,cbal!$D$280:$D$296)+1)</f>
        <v>0</v>
      </c>
      <c r="K902" s="1577">
        <v>0</v>
      </c>
      <c r="L902" s="1593">
        <v>10</v>
      </c>
      <c r="M902" s="1593">
        <v>10</v>
      </c>
      <c r="N902" s="1593">
        <v>10</v>
      </c>
      <c r="O902" s="1593">
        <v>10</v>
      </c>
      <c r="R902" s="91" t="b">
        <f t="shared" si="139"/>
        <v>0</v>
      </c>
      <c r="S902" s="21" t="b">
        <f t="shared" si="140"/>
        <v>0</v>
      </c>
      <c r="T902" s="97" t="b">
        <f t="shared" si="141"/>
        <v>0</v>
      </c>
    </row>
    <row r="903" spans="2:20">
      <c r="B903">
        <v>0</v>
      </c>
      <c r="C903" s="433">
        <v>0</v>
      </c>
      <c r="E903" s="183"/>
      <c r="F903" s="183"/>
      <c r="G903" s="183"/>
      <c r="H903" s="183"/>
      <c r="I903" s="183"/>
      <c r="K903" s="1577"/>
      <c r="L903" s="1580"/>
      <c r="M903" s="1580"/>
      <c r="N903" s="1580"/>
      <c r="O903" s="1580"/>
      <c r="R903" s="91">
        <v>0</v>
      </c>
      <c r="S903" s="21">
        <v>0</v>
      </c>
      <c r="T903" s="97">
        <v>0</v>
      </c>
    </row>
    <row r="904" spans="2:20">
      <c r="B904" s="905" t="s">
        <v>4059</v>
      </c>
      <c r="C904" t="str">
        <f>VLOOKUP(B904,DataInitiativesGrid,2,0)</f>
        <v>Global Bottling Network Extension</v>
      </c>
      <c r="E904" s="183">
        <f>INDEX($K904:$O904,SUMIF(cbal!E$280:E$296,$B904,cbal!$D$280:$D$296)+1)</f>
        <v>0</v>
      </c>
      <c r="F904" s="183">
        <f>INDEX($K904:$O904,SUMIF(cbal!F$280:F$296,$B904,cbal!$D$280:$D$296)+1)</f>
        <v>0</v>
      </c>
      <c r="G904" s="183">
        <f>INDEX($K904:$O904,SUMIF(cbal!G$280:G$296,$B904,cbal!$D$280:$D$296)+1)</f>
        <v>0</v>
      </c>
      <c r="H904" s="183">
        <f>INDEX($K904:$O904,SUMIF(cbal!H$280:H$296,$B904,cbal!$D$280:$D$296)+1)</f>
        <v>0</v>
      </c>
      <c r="I904" s="183">
        <f>INDEX($K904:$O904,SUMIF(cbal!I$280:I$296,$B904,cbal!$D$280:$D$296)+1)</f>
        <v>0</v>
      </c>
      <c r="K904" s="1577"/>
      <c r="L904" s="1580"/>
      <c r="M904" s="1580"/>
      <c r="N904" s="1580"/>
      <c r="O904" s="1580"/>
      <c r="R904" s="91">
        <v>0</v>
      </c>
      <c r="S904" s="21">
        <v>0</v>
      </c>
      <c r="T904" s="97">
        <v>0</v>
      </c>
    </row>
    <row r="905" spans="2:20">
      <c r="B905" s="905" t="s">
        <v>4059</v>
      </c>
      <c r="C905" s="433">
        <v>14</v>
      </c>
      <c r="D905" t="str">
        <f>VLOOKUP($C905,param!$A$4:$B$266,2)</f>
        <v>CSD Distribution Costs for Reg. 2</v>
      </c>
      <c r="E905" s="183">
        <f>INDEX($K905:$O905,SUMIF(cbal!E$280:E$296,$B905,cbal!$D$280:$D$296)+1)</f>
        <v>0</v>
      </c>
      <c r="F905" s="183">
        <f>INDEX($K905:$O905,SUMIF(cbal!F$280:F$296,$B905,cbal!$D$280:$D$296)+1)</f>
        <v>0</v>
      </c>
      <c r="G905" s="183">
        <f>INDEX($K905:$O905,SUMIF(cbal!G$280:G$296,$B905,cbal!$D$280:$D$296)+1)</f>
        <v>0</v>
      </c>
      <c r="H905" s="183">
        <f>INDEX($K905:$O905,SUMIF(cbal!H$280:H$296,$B905,cbal!$D$280:$D$296)+1)</f>
        <v>0</v>
      </c>
      <c r="I905" s="183">
        <f>INDEX($K905:$O905,SUMIF(cbal!I$280:I$296,$B905,cbal!$D$280:$D$296)+1)</f>
        <v>0</v>
      </c>
      <c r="K905" s="1577">
        <v>0</v>
      </c>
      <c r="L905" s="1585">
        <v>-0.03</v>
      </c>
      <c r="M905" s="1585">
        <v>-0.03</v>
      </c>
      <c r="N905" s="1585">
        <v>-0.03</v>
      </c>
      <c r="O905" s="1585">
        <v>-0.03</v>
      </c>
      <c r="R905" s="91" t="b">
        <f t="shared" si="139"/>
        <v>0</v>
      </c>
      <c r="S905" s="21" t="b">
        <f t="shared" si="140"/>
        <v>0</v>
      </c>
      <c r="T905" s="97" t="b">
        <f t="shared" si="141"/>
        <v>0</v>
      </c>
    </row>
    <row r="906" spans="2:20">
      <c r="B906" s="905" t="s">
        <v>4059</v>
      </c>
      <c r="C906" s="433">
        <v>52</v>
      </c>
      <c r="D906" t="str">
        <f>VLOOKUP($C906,param!$A$4:$B$266,2)</f>
        <v>NCB Distribution Costs for Reg. 2</v>
      </c>
      <c r="E906" s="183">
        <f>INDEX($K906:$O906,SUMIF(cbal!E$280:E$296,$B906,cbal!$D$280:$D$296)+1)</f>
        <v>0</v>
      </c>
      <c r="F906" s="183">
        <f>INDEX($K906:$O906,SUMIF(cbal!F$280:F$296,$B906,cbal!$D$280:$D$296)+1)</f>
        <v>0</v>
      </c>
      <c r="G906" s="183">
        <f>INDEX($K906:$O906,SUMIF(cbal!G$280:G$296,$B906,cbal!$D$280:$D$296)+1)</f>
        <v>0</v>
      </c>
      <c r="H906" s="183">
        <f>INDEX($K906:$O906,SUMIF(cbal!H$280:H$296,$B906,cbal!$D$280:$D$296)+1)</f>
        <v>0</v>
      </c>
      <c r="I906" s="183">
        <f>INDEX($K906:$O906,SUMIF(cbal!I$280:I$296,$B906,cbal!$D$280:$D$296)+1)</f>
        <v>0</v>
      </c>
      <c r="K906" s="1577">
        <v>0</v>
      </c>
      <c r="L906" s="1585">
        <v>-0.03</v>
      </c>
      <c r="M906" s="1585">
        <v>-0.03</v>
      </c>
      <c r="N906" s="1585">
        <v>-0.03</v>
      </c>
      <c r="O906" s="1585">
        <v>-0.03</v>
      </c>
      <c r="R906" s="91" t="b">
        <f t="shared" si="139"/>
        <v>0</v>
      </c>
      <c r="S906" s="21" t="b">
        <f t="shared" si="140"/>
        <v>0</v>
      </c>
      <c r="T906" s="97" t="b">
        <f t="shared" si="141"/>
        <v>0</v>
      </c>
    </row>
    <row r="907" spans="2:20">
      <c r="B907" s="905" t="s">
        <v>4059</v>
      </c>
      <c r="C907" s="433">
        <v>71</v>
      </c>
      <c r="D907" t="str">
        <f>VLOOKUP($C907,param!$A$4:$B$266,2)</f>
        <v>F&amp;S Distribution Costs for Reg. 2</v>
      </c>
      <c r="E907" s="183">
        <f>INDEX($K907:$O907,SUMIF(cbal!E$280:E$296,$B907,cbal!$D$280:$D$296)+1)</f>
        <v>0</v>
      </c>
      <c r="F907" s="183">
        <f>INDEX($K907:$O907,SUMIF(cbal!F$280:F$296,$B907,cbal!$D$280:$D$296)+1)</f>
        <v>0</v>
      </c>
      <c r="G907" s="183">
        <f>INDEX($K907:$O907,SUMIF(cbal!G$280:G$296,$B907,cbal!$D$280:$D$296)+1)</f>
        <v>0</v>
      </c>
      <c r="H907" s="183">
        <f>INDEX($K907:$O907,SUMIF(cbal!H$280:H$296,$B907,cbal!$D$280:$D$296)+1)</f>
        <v>0</v>
      </c>
      <c r="I907" s="183">
        <f>INDEX($K907:$O907,SUMIF(cbal!I$280:I$296,$B907,cbal!$D$280:$D$296)+1)</f>
        <v>0</v>
      </c>
      <c r="K907" s="1577">
        <v>0</v>
      </c>
      <c r="L907" s="1585">
        <v>-0.03</v>
      </c>
      <c r="M907" s="1585">
        <v>-0.03</v>
      </c>
      <c r="N907" s="1585">
        <v>-0.03</v>
      </c>
      <c r="O907" s="1585">
        <v>-0.03</v>
      </c>
      <c r="R907" s="91" t="b">
        <f t="shared" si="139"/>
        <v>0</v>
      </c>
      <c r="S907" s="21" t="b">
        <f t="shared" si="140"/>
        <v>0</v>
      </c>
      <c r="T907" s="97" t="b">
        <f t="shared" si="141"/>
        <v>0</v>
      </c>
    </row>
    <row r="908" spans="2:20">
      <c r="B908" s="905" t="s">
        <v>4059</v>
      </c>
      <c r="C908" s="433">
        <v>9</v>
      </c>
      <c r="D908" t="str">
        <f>VLOOKUP($C908,param!$A$4:$B$266,2)</f>
        <v>CSD Labor Hours Req. Per Unit</v>
      </c>
      <c r="E908" s="183">
        <f>INDEX($K908:$O908,SUMIF(cbal!E$280:E$296,$B908,cbal!$D$280:$D$296)+1)</f>
        <v>0</v>
      </c>
      <c r="F908" s="183">
        <f>INDEX($K908:$O908,SUMIF(cbal!F$280:F$296,$B908,cbal!$D$280:$D$296)+1)</f>
        <v>0</v>
      </c>
      <c r="G908" s="183">
        <f>INDEX($K908:$O908,SUMIF(cbal!G$280:G$296,$B908,cbal!$D$280:$D$296)+1)</f>
        <v>0</v>
      </c>
      <c r="H908" s="183">
        <f>INDEX($K908:$O908,SUMIF(cbal!H$280:H$296,$B908,cbal!$D$280:$D$296)+1)</f>
        <v>0</v>
      </c>
      <c r="I908" s="183">
        <f>INDEX($K908:$O908,SUMIF(cbal!I$280:I$296,$B908,cbal!$D$280:$D$296)+1)</f>
        <v>0</v>
      </c>
      <c r="K908" s="1577">
        <v>0</v>
      </c>
      <c r="L908" s="1585">
        <v>-0.03</v>
      </c>
      <c r="M908" s="1585">
        <v>-0.03</v>
      </c>
      <c r="N908" s="1585">
        <v>-0.03</v>
      </c>
      <c r="O908" s="1585">
        <v>-0.03</v>
      </c>
      <c r="R908" s="91" t="b">
        <f t="shared" si="139"/>
        <v>0</v>
      </c>
      <c r="S908" s="21" t="b">
        <f t="shared" si="140"/>
        <v>0</v>
      </c>
      <c r="T908" s="97" t="b">
        <f t="shared" si="141"/>
        <v>0</v>
      </c>
    </row>
    <row r="909" spans="2:20">
      <c r="B909" s="905" t="s">
        <v>4059</v>
      </c>
      <c r="C909" s="433">
        <v>47</v>
      </c>
      <c r="D909" t="str">
        <f>VLOOKUP($C909,param!$A$4:$B$266,2)</f>
        <v>NCB Labor Hours Req. Per Unit</v>
      </c>
      <c r="E909" s="183">
        <f>INDEX($K909:$O909,SUMIF(cbal!E$280:E$296,$B909,cbal!$D$280:$D$296)+1)</f>
        <v>0</v>
      </c>
      <c r="F909" s="183">
        <f>INDEX($K909:$O909,SUMIF(cbal!F$280:F$296,$B909,cbal!$D$280:$D$296)+1)</f>
        <v>0</v>
      </c>
      <c r="G909" s="183">
        <f>INDEX($K909:$O909,SUMIF(cbal!G$280:G$296,$B909,cbal!$D$280:$D$296)+1)</f>
        <v>0</v>
      </c>
      <c r="H909" s="183">
        <f>INDEX($K909:$O909,SUMIF(cbal!H$280:H$296,$B909,cbal!$D$280:$D$296)+1)</f>
        <v>0</v>
      </c>
      <c r="I909" s="183">
        <f>INDEX($K909:$O909,SUMIF(cbal!I$280:I$296,$B909,cbal!$D$280:$D$296)+1)</f>
        <v>0</v>
      </c>
      <c r="K909" s="1577">
        <v>0</v>
      </c>
      <c r="L909" s="1585">
        <v>-0.03</v>
      </c>
      <c r="M909" s="1585">
        <v>-0.03</v>
      </c>
      <c r="N909" s="1585">
        <v>-0.03</v>
      </c>
      <c r="O909" s="1585">
        <v>-0.03</v>
      </c>
      <c r="R909" s="91" t="b">
        <f t="shared" si="139"/>
        <v>0</v>
      </c>
      <c r="S909" s="21" t="b">
        <f t="shared" si="140"/>
        <v>0</v>
      </c>
      <c r="T909" s="97" t="b">
        <f t="shared" si="141"/>
        <v>0</v>
      </c>
    </row>
    <row r="910" spans="2:20">
      <c r="B910" s="905" t="s">
        <v>4059</v>
      </c>
      <c r="C910" s="433">
        <v>66</v>
      </c>
      <c r="D910" t="str">
        <f>VLOOKUP($C910,param!$A$4:$B$266,2)</f>
        <v>F&amp;S Labor Hours Req. Per Unit</v>
      </c>
      <c r="E910" s="183">
        <f>INDEX($K910:$O910,SUMIF(cbal!E$280:E$296,$B910,cbal!$D$280:$D$296)+1)</f>
        <v>0</v>
      </c>
      <c r="F910" s="183">
        <f>INDEX($K910:$O910,SUMIF(cbal!F$280:F$296,$B910,cbal!$D$280:$D$296)+1)</f>
        <v>0</v>
      </c>
      <c r="G910" s="183">
        <f>INDEX($K910:$O910,SUMIF(cbal!G$280:G$296,$B910,cbal!$D$280:$D$296)+1)</f>
        <v>0</v>
      </c>
      <c r="H910" s="183">
        <f>INDEX($K910:$O910,SUMIF(cbal!H$280:H$296,$B910,cbal!$D$280:$D$296)+1)</f>
        <v>0</v>
      </c>
      <c r="I910" s="183">
        <f>INDEX($K910:$O910,SUMIF(cbal!I$280:I$296,$B910,cbal!$D$280:$D$296)+1)</f>
        <v>0</v>
      </c>
      <c r="K910" s="1577"/>
      <c r="L910" s="1585">
        <v>-0.03</v>
      </c>
      <c r="M910" s="1585">
        <v>-0.03</v>
      </c>
      <c r="N910" s="1585">
        <v>-0.03</v>
      </c>
      <c r="O910" s="1585">
        <v>-0.03</v>
      </c>
      <c r="R910" s="91" t="b">
        <f t="shared" si="139"/>
        <v>0</v>
      </c>
      <c r="S910" s="21" t="b">
        <f t="shared" si="140"/>
        <v>0</v>
      </c>
      <c r="T910" s="97" t="b">
        <f t="shared" si="141"/>
        <v>0</v>
      </c>
    </row>
    <row r="911" spans="2:20">
      <c r="B911" s="905" t="s">
        <v>4059</v>
      </c>
      <c r="C911" s="433">
        <v>167</v>
      </c>
      <c r="D911" t="str">
        <f>VLOOKUP($C911,param!$A$4:$B$266,2)</f>
        <v>Special Program Expense</v>
      </c>
      <c r="E911" s="183">
        <f>INDEX($K911:$O911,SUMIF(cbal!E$280:E$296,$B911,cbal!$D$280:$D$296)+1)</f>
        <v>0</v>
      </c>
      <c r="F911" s="183">
        <f>INDEX($K911:$O911,SUMIF(cbal!F$280:F$296,$B911,cbal!$D$280:$D$296)+1)</f>
        <v>0</v>
      </c>
      <c r="G911" s="183">
        <f>INDEX($K911:$O911,SUMIF(cbal!G$280:G$296,$B911,cbal!$D$280:$D$296)+1)</f>
        <v>0</v>
      </c>
      <c r="H911" s="183">
        <f>INDEX($K911:$O911,SUMIF(cbal!H$280:H$296,$B911,cbal!$D$280:$D$296)+1)</f>
        <v>0</v>
      </c>
      <c r="I911" s="183">
        <f>INDEX($K911:$O911,SUMIF(cbal!I$280:I$296,$B911,cbal!$D$280:$D$296)+1)</f>
        <v>0</v>
      </c>
      <c r="K911" s="1577"/>
      <c r="L911" s="1592">
        <v>10000000</v>
      </c>
      <c r="M911" s="1585"/>
      <c r="N911" s="1585"/>
      <c r="O911" s="1585"/>
      <c r="R911" s="91">
        <f t="shared" si="139"/>
        <v>10000000</v>
      </c>
      <c r="S911" s="21">
        <f t="shared" si="140"/>
        <v>0</v>
      </c>
      <c r="T911" s="97" t="b">
        <f t="shared" si="141"/>
        <v>0</v>
      </c>
    </row>
    <row r="912" spans="2:20">
      <c r="B912" s="905" t="s">
        <v>4059</v>
      </c>
      <c r="C912" s="433">
        <v>133.5</v>
      </c>
      <c r="D912" t="str">
        <f>VLOOKUP($C912,param!$A$4:$B$266,2)</f>
        <v>MTU Initiatives Allocation</v>
      </c>
      <c r="E912" s="183">
        <f>INDEX($K912:$O912,SUMIF(cbal!E$280:E$296,$B912,cbal!$D$280:$D$296)+1)</f>
        <v>0</v>
      </c>
      <c r="F912" s="183">
        <f>INDEX($K912:$O912,SUMIF(cbal!F$280:F$296,$B912,cbal!$D$280:$D$296)+1)</f>
        <v>0</v>
      </c>
      <c r="G912" s="183">
        <f>INDEX($K912:$O912,SUMIF(cbal!G$280:G$296,$B912,cbal!$D$280:$D$296)+1)</f>
        <v>0</v>
      </c>
      <c r="H912" s="183">
        <f>INDEX($K912:$O912,SUMIF(cbal!H$280:H$296,$B912,cbal!$D$280:$D$296)+1)</f>
        <v>0</v>
      </c>
      <c r="I912" s="183">
        <f>INDEX($K912:$O912,SUMIF(cbal!I$280:I$296,$B912,cbal!$D$280:$D$296)+1)</f>
        <v>0</v>
      </c>
      <c r="K912" s="1577"/>
      <c r="L912" s="1593">
        <v>8</v>
      </c>
      <c r="M912" s="1585"/>
      <c r="N912" s="1585"/>
      <c r="O912" s="1585"/>
      <c r="R912" s="91" t="b">
        <f t="shared" si="139"/>
        <v>0</v>
      </c>
      <c r="S912" s="21" t="b">
        <f t="shared" si="140"/>
        <v>0</v>
      </c>
      <c r="T912" s="97">
        <f t="shared" si="141"/>
        <v>8</v>
      </c>
    </row>
    <row r="913" spans="2:20">
      <c r="B913" s="905" t="s">
        <v>4059</v>
      </c>
      <c r="C913" s="433">
        <v>202</v>
      </c>
      <c r="D913" t="str">
        <f>VLOOKUP($C913,param!$A$4:$B$266,2)</f>
        <v>Go-to-Market Strategy</v>
      </c>
      <c r="E913" s="183">
        <f>INDEX($K913:$O913,SUMIF(cbal!E$280:E$296,$B913,cbal!$D$280:$D$296)+1)</f>
        <v>0</v>
      </c>
      <c r="F913" s="183">
        <f>INDEX($K913:$O913,SUMIF(cbal!F$280:F$296,$B913,cbal!$D$280:$D$296)+1)</f>
        <v>0</v>
      </c>
      <c r="G913" s="183">
        <f>INDEX($K913:$O913,SUMIF(cbal!G$280:G$296,$B913,cbal!$D$280:$D$296)+1)</f>
        <v>0</v>
      </c>
      <c r="H913" s="183">
        <f>INDEX($K913:$O913,SUMIF(cbal!H$280:H$296,$B913,cbal!$D$280:$D$296)+1)</f>
        <v>0</v>
      </c>
      <c r="I913" s="183">
        <f>INDEX($K913:$O913,SUMIF(cbal!I$280:I$296,$B913,cbal!$D$280:$D$296)+1)</f>
        <v>0</v>
      </c>
      <c r="K913" s="1577">
        <v>0</v>
      </c>
      <c r="L913" s="1593">
        <v>8</v>
      </c>
      <c r="M913" s="1593">
        <v>8</v>
      </c>
      <c r="N913" s="1593">
        <v>8</v>
      </c>
      <c r="O913" s="1593">
        <v>8</v>
      </c>
      <c r="R913" s="91" t="b">
        <f t="shared" si="139"/>
        <v>0</v>
      </c>
      <c r="S913" s="21" t="b">
        <f t="shared" si="140"/>
        <v>0</v>
      </c>
      <c r="T913" s="97" t="b">
        <f t="shared" si="141"/>
        <v>0</v>
      </c>
    </row>
    <row r="914" spans="2:20">
      <c r="B914">
        <v>0</v>
      </c>
      <c r="C914" s="433">
        <v>0</v>
      </c>
      <c r="E914" s="183"/>
      <c r="F914" s="183"/>
      <c r="G914" s="183"/>
      <c r="H914" s="183"/>
      <c r="I914" s="183"/>
      <c r="K914" s="1577"/>
      <c r="L914" s="1585"/>
      <c r="M914" s="1585"/>
      <c r="N914" s="1585"/>
      <c r="O914" s="1585"/>
      <c r="R914" s="91">
        <v>0</v>
      </c>
      <c r="S914" s="21">
        <v>0</v>
      </c>
      <c r="T914" s="97">
        <v>0</v>
      </c>
    </row>
    <row r="915" spans="2:20">
      <c r="B915" s="905" t="s">
        <v>4064</v>
      </c>
      <c r="C915" t="str">
        <f>VLOOKUP(B915,DataInitiativesGrid,2,0)</f>
        <v>Best Ads Global Share</v>
      </c>
      <c r="E915" s="183">
        <f>INDEX($K915:$O915,SUMIF(cbal!E$280:E$296,$B915,cbal!$D$280:$D$296)+1)</f>
        <v>0</v>
      </c>
      <c r="F915" s="183">
        <f>INDEX($K915:$O915,SUMIF(cbal!F$280:F$296,$B915,cbal!$D$280:$D$296)+1)</f>
        <v>0</v>
      </c>
      <c r="G915" s="183">
        <f>INDEX($K915:$O915,SUMIF(cbal!G$280:G$296,$B915,cbal!$D$280:$D$296)+1)</f>
        <v>0</v>
      </c>
      <c r="H915" s="183">
        <f>INDEX($K915:$O915,SUMIF(cbal!H$280:H$296,$B915,cbal!$D$280:$D$296)+1)</f>
        <v>0</v>
      </c>
      <c r="I915" s="183">
        <f>INDEX($K915:$O915,SUMIF(cbal!I$280:I$296,$B915,cbal!$D$280:$D$296)+1)</f>
        <v>0</v>
      </c>
      <c r="K915" s="1577"/>
      <c r="L915" s="1585"/>
      <c r="M915" s="1585"/>
      <c r="N915" s="1585"/>
      <c r="O915" s="1585"/>
      <c r="R915" s="91">
        <v>0</v>
      </c>
      <c r="S915" s="21">
        <v>0</v>
      </c>
      <c r="T915" s="97">
        <v>0</v>
      </c>
    </row>
    <row r="916" spans="2:20">
      <c r="B916" s="905" t="s">
        <v>4064</v>
      </c>
      <c r="C916" s="433">
        <v>5.0999999999999996</v>
      </c>
      <c r="D916" t="str">
        <f>VLOOKUP($C916,param!$A$4:$B$266,2)</f>
        <v>CSD Region B Marketing Spend Effectiveness</v>
      </c>
      <c r="E916" s="183">
        <f>INDEX($K916:$O916,SUMIF(cbal!E$280:E$296,$B916,cbal!$D$280:$D$296)+1)</f>
        <v>0</v>
      </c>
      <c r="F916" s="183">
        <f>INDEX($K916:$O916,SUMIF(cbal!F$280:F$296,$B916,cbal!$D$280:$D$296)+1)</f>
        <v>0</v>
      </c>
      <c r="G916" s="183">
        <f>INDEX($K916:$O916,SUMIF(cbal!G$280:G$296,$B916,cbal!$D$280:$D$296)+1)</f>
        <v>0</v>
      </c>
      <c r="H916" s="183">
        <f>INDEX($K916:$O916,SUMIF(cbal!H$280:H$296,$B916,cbal!$D$280:$D$296)+1)</f>
        <v>0</v>
      </c>
      <c r="I916" s="183">
        <f>INDEX($K916:$O916,SUMIF(cbal!I$280:I$296,$B916,cbal!$D$280:$D$296)+1)</f>
        <v>0</v>
      </c>
      <c r="K916" s="1577"/>
      <c r="L916" s="1584">
        <v>5.0000000000000001E-3</v>
      </c>
      <c r="M916" s="1584">
        <v>5.0000000000000001E-3</v>
      </c>
      <c r="N916" s="1584">
        <v>5.0000000000000001E-3</v>
      </c>
      <c r="O916" s="1584">
        <v>5.0000000000000001E-3</v>
      </c>
      <c r="R916" s="91" t="b">
        <f t="shared" si="139"/>
        <v>0</v>
      </c>
      <c r="S916" s="21" t="b">
        <f t="shared" si="140"/>
        <v>0</v>
      </c>
      <c r="T916" s="97" t="b">
        <f t="shared" si="141"/>
        <v>0</v>
      </c>
    </row>
    <row r="917" spans="2:20">
      <c r="B917" s="905" t="s">
        <v>4064</v>
      </c>
      <c r="C917" s="433">
        <v>43.1</v>
      </c>
      <c r="D917" t="str">
        <f>VLOOKUP($C917,param!$A$4:$B$266,2)</f>
        <v>NCB Region B Marketing Spend Effectiveness</v>
      </c>
      <c r="E917" s="183">
        <f>INDEX($K917:$O917,SUMIF(cbal!E$280:E$296,$B917,cbal!$D$280:$D$296)+1)</f>
        <v>0</v>
      </c>
      <c r="F917" s="183">
        <f>INDEX($K917:$O917,SUMIF(cbal!F$280:F$296,$B917,cbal!$D$280:$D$296)+1)</f>
        <v>0</v>
      </c>
      <c r="G917" s="183">
        <f>INDEX($K917:$O917,SUMIF(cbal!G$280:G$296,$B917,cbal!$D$280:$D$296)+1)</f>
        <v>0</v>
      </c>
      <c r="H917" s="183">
        <f>INDEX($K917:$O917,SUMIF(cbal!H$280:H$296,$B917,cbal!$D$280:$D$296)+1)</f>
        <v>0</v>
      </c>
      <c r="I917" s="183">
        <f>INDEX($K917:$O917,SUMIF(cbal!I$280:I$296,$B917,cbal!$D$280:$D$296)+1)</f>
        <v>0</v>
      </c>
      <c r="K917" s="1577"/>
      <c r="L917" s="1584">
        <v>5.0000000000000001E-3</v>
      </c>
      <c r="M917" s="1584">
        <v>5.0000000000000001E-3</v>
      </c>
      <c r="N917" s="1584">
        <v>5.0000000000000001E-3</v>
      </c>
      <c r="O917" s="1584">
        <v>5.0000000000000001E-3</v>
      </c>
      <c r="R917" s="91" t="b">
        <f t="shared" si="139"/>
        <v>0</v>
      </c>
      <c r="S917" s="21" t="b">
        <f t="shared" si="140"/>
        <v>0</v>
      </c>
      <c r="T917" s="97" t="b">
        <f t="shared" si="141"/>
        <v>0</v>
      </c>
    </row>
    <row r="918" spans="2:20">
      <c r="B918" s="905" t="s">
        <v>4064</v>
      </c>
      <c r="C918" s="433">
        <v>76.099999999999994</v>
      </c>
      <c r="D918" t="str">
        <f>VLOOKUP($C918,param!$A$4:$B$266,2)</f>
        <v>F&amp;S Region B Marketing Spend Effectiveness</v>
      </c>
      <c r="E918" s="183">
        <f>INDEX($K918:$O918,SUMIF(cbal!E$280:E$296,$B918,cbal!$D$280:$D$296)+1)</f>
        <v>0</v>
      </c>
      <c r="F918" s="183">
        <f>INDEX($K918:$O918,SUMIF(cbal!F$280:F$296,$B918,cbal!$D$280:$D$296)+1)</f>
        <v>0</v>
      </c>
      <c r="G918" s="183">
        <f>INDEX($K918:$O918,SUMIF(cbal!G$280:G$296,$B918,cbal!$D$280:$D$296)+1)</f>
        <v>0</v>
      </c>
      <c r="H918" s="183">
        <f>INDEX($K918:$O918,SUMIF(cbal!H$280:H$296,$B918,cbal!$D$280:$D$296)+1)</f>
        <v>0</v>
      </c>
      <c r="I918" s="183">
        <f>INDEX($K918:$O918,SUMIF(cbal!I$280:I$296,$B918,cbal!$D$280:$D$296)+1)</f>
        <v>0</v>
      </c>
      <c r="K918" s="1577"/>
      <c r="L918" s="1584">
        <v>5.0000000000000001E-3</v>
      </c>
      <c r="M918" s="1584">
        <v>5.0000000000000001E-3</v>
      </c>
      <c r="N918" s="1584">
        <v>5.0000000000000001E-3</v>
      </c>
      <c r="O918" s="1584">
        <v>5.0000000000000001E-3</v>
      </c>
      <c r="R918" s="91" t="b">
        <f t="shared" si="139"/>
        <v>0</v>
      </c>
      <c r="S918" s="21" t="b">
        <f t="shared" si="140"/>
        <v>0</v>
      </c>
      <c r="T918" s="97" t="b">
        <f t="shared" si="141"/>
        <v>0</v>
      </c>
    </row>
    <row r="919" spans="2:20">
      <c r="B919" s="905" t="s">
        <v>4064</v>
      </c>
      <c r="C919" s="433">
        <v>197</v>
      </c>
      <c r="D919" t="str">
        <f>VLOOKUP($C919,param!$A$4:$B$266,2)</f>
        <v>Company Culture</v>
      </c>
      <c r="E919" s="183">
        <f>INDEX($K919:$O919,SUMIF(cbal!E$280:E$296,$B919,cbal!$D$280:$D$296)+1)</f>
        <v>0</v>
      </c>
      <c r="F919" s="183">
        <f>INDEX($K919:$O919,SUMIF(cbal!F$280:F$296,$B919,cbal!$D$280:$D$296)+1)</f>
        <v>0</v>
      </c>
      <c r="G919" s="183">
        <f>INDEX($K919:$O919,SUMIF(cbal!G$280:G$296,$B919,cbal!$D$280:$D$296)+1)</f>
        <v>0</v>
      </c>
      <c r="H919" s="183">
        <f>INDEX($K919:$O919,SUMIF(cbal!H$280:H$296,$B919,cbal!$D$280:$D$296)+1)</f>
        <v>0</v>
      </c>
      <c r="I919" s="183">
        <f>INDEX($K919:$O919,SUMIF(cbal!I$280:I$296,$B919,cbal!$D$280:$D$296)+1)</f>
        <v>0</v>
      </c>
      <c r="K919" s="1577"/>
      <c r="L919" s="1584">
        <v>5.0000000000000001E-3</v>
      </c>
      <c r="M919" s="1584">
        <v>5.0000000000000001E-3</v>
      </c>
      <c r="N919" s="1584">
        <v>5.0000000000000001E-3</v>
      </c>
      <c r="O919" s="1584">
        <v>5.0000000000000001E-3</v>
      </c>
      <c r="R919" s="91" t="b">
        <f t="shared" si="139"/>
        <v>0</v>
      </c>
      <c r="S919" s="21" t="b">
        <f t="shared" si="140"/>
        <v>0</v>
      </c>
      <c r="T919" s="97" t="b">
        <f t="shared" si="141"/>
        <v>0</v>
      </c>
    </row>
    <row r="920" spans="2:20">
      <c r="B920" s="905" t="s">
        <v>4064</v>
      </c>
      <c r="C920" s="433">
        <v>167</v>
      </c>
      <c r="D920" t="str">
        <f>VLOOKUP($C920,param!$A$4:$B$266,2)</f>
        <v>Special Program Expense</v>
      </c>
      <c r="E920" s="183">
        <f>INDEX($K920:$O920,SUMIF(cbal!E$280:E$296,$B920,cbal!$D$280:$D$296)+1)</f>
        <v>0</v>
      </c>
      <c r="F920" s="183">
        <f>INDEX($K920:$O920,SUMIF(cbal!F$280:F$296,$B920,cbal!$D$280:$D$296)+1)</f>
        <v>0</v>
      </c>
      <c r="G920" s="183">
        <f>INDEX($K920:$O920,SUMIF(cbal!G$280:G$296,$B920,cbal!$D$280:$D$296)+1)</f>
        <v>0</v>
      </c>
      <c r="H920" s="183">
        <f>INDEX($K920:$O920,SUMIF(cbal!H$280:H$296,$B920,cbal!$D$280:$D$296)+1)</f>
        <v>0</v>
      </c>
      <c r="I920" s="183">
        <f>INDEX($K920:$O920,SUMIF(cbal!I$280:I$296,$B920,cbal!$D$280:$D$296)+1)</f>
        <v>0</v>
      </c>
      <c r="K920" s="1577"/>
      <c r="L920" s="1592">
        <v>500000</v>
      </c>
      <c r="M920" s="1584"/>
      <c r="N920" s="1584"/>
      <c r="O920" s="1584"/>
      <c r="R920" s="91">
        <f t="shared" si="139"/>
        <v>500000</v>
      </c>
      <c r="S920" s="21">
        <f t="shared" si="140"/>
        <v>0</v>
      </c>
      <c r="T920" s="97" t="b">
        <f t="shared" si="141"/>
        <v>0</v>
      </c>
    </row>
    <row r="921" spans="2:20">
      <c r="B921" s="905" t="s">
        <v>4064</v>
      </c>
      <c r="C921" s="433">
        <v>133.5</v>
      </c>
      <c r="D921" t="str">
        <f>VLOOKUP($C921,param!$A$4:$B$266,2)</f>
        <v>MTU Initiatives Allocation</v>
      </c>
      <c r="E921" s="183">
        <f>INDEX($K921:$O921,SUMIF(cbal!E$280:E$296,$B921,cbal!$D$280:$D$296)+1)</f>
        <v>0</v>
      </c>
      <c r="F921" s="183">
        <f>INDEX($K921:$O921,SUMIF(cbal!F$280:F$296,$B921,cbal!$D$280:$D$296)+1)</f>
        <v>0</v>
      </c>
      <c r="G921" s="183">
        <f>INDEX($K921:$O921,SUMIF(cbal!G$280:G$296,$B921,cbal!$D$280:$D$296)+1)</f>
        <v>0</v>
      </c>
      <c r="H921" s="183">
        <f>INDEX($K921:$O921,SUMIF(cbal!H$280:H$296,$B921,cbal!$D$280:$D$296)+1)</f>
        <v>0</v>
      </c>
      <c r="I921" s="183">
        <f>INDEX($K921:$O921,SUMIF(cbal!I$280:I$296,$B921,cbal!$D$280:$D$296)+1)</f>
        <v>0</v>
      </c>
      <c r="K921" s="1577"/>
      <c r="L921" s="1593">
        <v>5</v>
      </c>
      <c r="M921" s="1584"/>
      <c r="N921" s="1584"/>
      <c r="O921" s="1584"/>
      <c r="R921" s="91" t="b">
        <f t="shared" si="139"/>
        <v>0</v>
      </c>
      <c r="S921" s="21" t="b">
        <f t="shared" si="140"/>
        <v>0</v>
      </c>
      <c r="T921" s="97">
        <f t="shared" si="141"/>
        <v>5</v>
      </c>
    </row>
    <row r="922" spans="2:20">
      <c r="B922" s="905" t="s">
        <v>4064</v>
      </c>
      <c r="C922" s="433">
        <v>201</v>
      </c>
      <c r="D922" t="str">
        <f>VLOOKUP($C922,param!$A$4:$B$266,2)</f>
        <v>Brands Strategy</v>
      </c>
      <c r="E922" s="183">
        <f>INDEX($K922:$O922,SUMIF(cbal!E$280:E$296,$B922,cbal!$D$280:$D$296)+1)</f>
        <v>0</v>
      </c>
      <c r="F922" s="183">
        <f>INDEX($K922:$O922,SUMIF(cbal!F$280:F$296,$B922,cbal!$D$280:$D$296)+1)</f>
        <v>0</v>
      </c>
      <c r="G922" s="183">
        <f>INDEX($K922:$O922,SUMIF(cbal!G$280:G$296,$B922,cbal!$D$280:$D$296)+1)</f>
        <v>0</v>
      </c>
      <c r="H922" s="183">
        <f>INDEX($K922:$O922,SUMIF(cbal!H$280:H$296,$B922,cbal!$D$280:$D$296)+1)</f>
        <v>0</v>
      </c>
      <c r="I922" s="183">
        <f>INDEX($K922:$O922,SUMIF(cbal!I$280:I$296,$B922,cbal!$D$280:$D$296)+1)</f>
        <v>0</v>
      </c>
      <c r="K922" s="1577"/>
      <c r="L922" s="1593">
        <v>5</v>
      </c>
      <c r="M922" s="1593">
        <v>5</v>
      </c>
      <c r="N922" s="1593">
        <v>5</v>
      </c>
      <c r="O922" s="1593">
        <v>5</v>
      </c>
      <c r="R922" s="91" t="b">
        <f t="shared" si="139"/>
        <v>0</v>
      </c>
      <c r="S922" s="21" t="b">
        <f t="shared" si="140"/>
        <v>0</v>
      </c>
      <c r="T922" s="97" t="b">
        <f t="shared" si="141"/>
        <v>0</v>
      </c>
    </row>
    <row r="923" spans="2:20">
      <c r="B923">
        <v>0</v>
      </c>
      <c r="C923" s="433">
        <v>0</v>
      </c>
      <c r="E923" s="183"/>
      <c r="F923" s="183"/>
      <c r="G923" s="183"/>
      <c r="H923" s="183"/>
      <c r="I923" s="183"/>
      <c r="K923" s="1577"/>
      <c r="L923" s="1585"/>
      <c r="M923" s="1585"/>
      <c r="N923" s="1585"/>
      <c r="O923" s="1585"/>
      <c r="R923" s="91">
        <v>0</v>
      </c>
      <c r="S923" s="21">
        <v>0</v>
      </c>
      <c r="T923" s="97">
        <v>0</v>
      </c>
    </row>
    <row r="924" spans="2:20">
      <c r="B924" s="905" t="s">
        <v>4065</v>
      </c>
      <c r="C924" t="str">
        <f>VLOOKUP(B924,DataInitiativesGrid,2,0)</f>
        <v>Digital Vivia</v>
      </c>
      <c r="E924" s="183">
        <f>INDEX($K924:$O924,SUMIF(cbal!E$280:E$296,$B924,cbal!$D$280:$D$296)+1)</f>
        <v>0</v>
      </c>
      <c r="F924" s="183">
        <f>INDEX($K924:$O924,SUMIF(cbal!F$280:F$296,$B924,cbal!$D$280:$D$296)+1)</f>
        <v>0</v>
      </c>
      <c r="G924" s="183">
        <f>INDEX($K924:$O924,SUMIF(cbal!G$280:G$296,$B924,cbal!$D$280:$D$296)+1)</f>
        <v>0</v>
      </c>
      <c r="H924" s="183">
        <f>INDEX($K924:$O924,SUMIF(cbal!H$280:H$296,$B924,cbal!$D$280:$D$296)+1)</f>
        <v>0</v>
      </c>
      <c r="I924" s="183">
        <f>INDEX($K924:$O924,SUMIF(cbal!I$280:I$296,$B924,cbal!$D$280:$D$296)+1)</f>
        <v>0</v>
      </c>
      <c r="K924" s="1577"/>
      <c r="L924" s="1585"/>
      <c r="M924" s="1585"/>
      <c r="N924" s="1585"/>
      <c r="O924" s="1585"/>
      <c r="R924" s="91">
        <v>0</v>
      </c>
      <c r="S924" s="21">
        <v>0</v>
      </c>
      <c r="T924" s="97">
        <v>0</v>
      </c>
    </row>
    <row r="925" spans="2:20">
      <c r="B925" s="905" t="s">
        <v>4065</v>
      </c>
      <c r="C925" s="433">
        <v>5.0999999999999996</v>
      </c>
      <c r="D925" t="str">
        <f>VLOOKUP($C925,param!$A$4:$B$266,2)</f>
        <v>CSD Region B Marketing Spend Effectiveness</v>
      </c>
      <c r="E925" s="183">
        <f>INDEX($K925:$O925,SUMIF(cbal!E$280:E$296,$B925,cbal!$D$280:$D$296)+1)</f>
        <v>0</v>
      </c>
      <c r="F925" s="183">
        <f>INDEX($K925:$O925,SUMIF(cbal!F$280:F$296,$B925,cbal!$D$280:$D$296)+1)</f>
        <v>0</v>
      </c>
      <c r="G925" s="183">
        <f>INDEX($K925:$O925,SUMIF(cbal!G$280:G$296,$B925,cbal!$D$280:$D$296)+1)</f>
        <v>0</v>
      </c>
      <c r="H925" s="183">
        <f>INDEX($K925:$O925,SUMIF(cbal!H$280:H$296,$B925,cbal!$D$280:$D$296)+1)</f>
        <v>0</v>
      </c>
      <c r="I925" s="183">
        <f>INDEX($K925:$O925,SUMIF(cbal!I$280:I$296,$B925,cbal!$D$280:$D$296)+1)</f>
        <v>0</v>
      </c>
      <c r="K925" s="1577"/>
      <c r="L925" s="1584">
        <v>5.0000000000000001E-3</v>
      </c>
      <c r="M925" s="1584">
        <v>5.0000000000000001E-3</v>
      </c>
      <c r="N925" s="1584">
        <v>5.0000000000000001E-3</v>
      </c>
      <c r="O925" s="1584">
        <v>5.0000000000000001E-3</v>
      </c>
      <c r="R925" s="91" t="b">
        <f t="shared" si="139"/>
        <v>0</v>
      </c>
      <c r="S925" s="21" t="b">
        <f t="shared" si="140"/>
        <v>0</v>
      </c>
      <c r="T925" s="97" t="b">
        <f t="shared" si="141"/>
        <v>0</v>
      </c>
    </row>
    <row r="926" spans="2:20">
      <c r="B926" s="905" t="s">
        <v>4065</v>
      </c>
      <c r="C926" s="433">
        <v>43.1</v>
      </c>
      <c r="D926" t="str">
        <f>VLOOKUP($C926,param!$A$4:$B$266,2)</f>
        <v>NCB Region B Marketing Spend Effectiveness</v>
      </c>
      <c r="E926" s="183">
        <f>INDEX($K926:$O926,SUMIF(cbal!E$280:E$296,$B926,cbal!$D$280:$D$296)+1)</f>
        <v>0</v>
      </c>
      <c r="F926" s="183">
        <f>INDEX($K926:$O926,SUMIF(cbal!F$280:F$296,$B926,cbal!$D$280:$D$296)+1)</f>
        <v>0</v>
      </c>
      <c r="G926" s="183">
        <f>INDEX($K926:$O926,SUMIF(cbal!G$280:G$296,$B926,cbal!$D$280:$D$296)+1)</f>
        <v>0</v>
      </c>
      <c r="H926" s="183">
        <f>INDEX($K926:$O926,SUMIF(cbal!H$280:H$296,$B926,cbal!$D$280:$D$296)+1)</f>
        <v>0</v>
      </c>
      <c r="I926" s="183">
        <f>INDEX($K926:$O926,SUMIF(cbal!I$280:I$296,$B926,cbal!$D$280:$D$296)+1)</f>
        <v>0</v>
      </c>
      <c r="K926" s="1577"/>
      <c r="L926" s="1584">
        <v>5.0000000000000001E-3</v>
      </c>
      <c r="M926" s="1584">
        <v>5.0000000000000001E-3</v>
      </c>
      <c r="N926" s="1584">
        <v>5.0000000000000001E-3</v>
      </c>
      <c r="O926" s="1584">
        <v>5.0000000000000001E-3</v>
      </c>
      <c r="R926" s="91" t="b">
        <f t="shared" si="139"/>
        <v>0</v>
      </c>
      <c r="S926" s="21" t="b">
        <f t="shared" si="140"/>
        <v>0</v>
      </c>
      <c r="T926" s="97" t="b">
        <f t="shared" si="141"/>
        <v>0</v>
      </c>
    </row>
    <row r="927" spans="2:20">
      <c r="B927" s="905" t="s">
        <v>4065</v>
      </c>
      <c r="C927" s="433">
        <v>76.099999999999994</v>
      </c>
      <c r="D927" t="str">
        <f>VLOOKUP($C927,param!$A$4:$B$266,2)</f>
        <v>F&amp;S Region B Marketing Spend Effectiveness</v>
      </c>
      <c r="E927" s="183">
        <f>INDEX($K927:$O927,SUMIF(cbal!E$280:E$296,$B927,cbal!$D$280:$D$296)+1)</f>
        <v>0</v>
      </c>
      <c r="F927" s="183">
        <f>INDEX($K927:$O927,SUMIF(cbal!F$280:F$296,$B927,cbal!$D$280:$D$296)+1)</f>
        <v>0</v>
      </c>
      <c r="G927" s="183">
        <f>INDEX($K927:$O927,SUMIF(cbal!G$280:G$296,$B927,cbal!$D$280:$D$296)+1)</f>
        <v>0</v>
      </c>
      <c r="H927" s="183">
        <f>INDEX($K927:$O927,SUMIF(cbal!H$280:H$296,$B927,cbal!$D$280:$D$296)+1)</f>
        <v>0</v>
      </c>
      <c r="I927" s="183">
        <f>INDEX($K927:$O927,SUMIF(cbal!I$280:I$296,$B927,cbal!$D$280:$D$296)+1)</f>
        <v>0</v>
      </c>
      <c r="K927" s="1577"/>
      <c r="L927" s="1584">
        <v>5.0000000000000001E-3</v>
      </c>
      <c r="M927" s="1584">
        <v>5.0000000000000001E-3</v>
      </c>
      <c r="N927" s="1584">
        <v>5.0000000000000001E-3</v>
      </c>
      <c r="O927" s="1584">
        <v>5.0000000000000001E-3</v>
      </c>
      <c r="R927" s="91" t="b">
        <f t="shared" si="139"/>
        <v>0</v>
      </c>
      <c r="S927" s="21" t="b">
        <f t="shared" si="140"/>
        <v>0</v>
      </c>
      <c r="T927" s="97" t="b">
        <f t="shared" si="141"/>
        <v>0</v>
      </c>
    </row>
    <row r="928" spans="2:20">
      <c r="B928" s="905" t="s">
        <v>4065</v>
      </c>
      <c r="C928" s="433">
        <v>5</v>
      </c>
      <c r="D928" t="str">
        <f>VLOOKUP($C928,param!$A$4:$B$266,2)</f>
        <v>CSD Region A Marketing Spend Effectiveness</v>
      </c>
      <c r="E928" s="183">
        <f>INDEX($K928:$O928,SUMIF(cbal!E$280:E$296,$B928,cbal!$D$280:$D$296)+1)</f>
        <v>0</v>
      </c>
      <c r="F928" s="183">
        <f>INDEX($K928:$O928,SUMIF(cbal!F$280:F$296,$B928,cbal!$D$280:$D$296)+1)</f>
        <v>0</v>
      </c>
      <c r="G928" s="183">
        <f>INDEX($K928:$O928,SUMIF(cbal!G$280:G$296,$B928,cbal!$D$280:$D$296)+1)</f>
        <v>0</v>
      </c>
      <c r="H928" s="183">
        <f>INDEX($K928:$O928,SUMIF(cbal!H$280:H$296,$B928,cbal!$D$280:$D$296)+1)</f>
        <v>0</v>
      </c>
      <c r="I928" s="183">
        <f>INDEX($K928:$O928,SUMIF(cbal!I$280:I$296,$B928,cbal!$D$280:$D$296)+1)</f>
        <v>0</v>
      </c>
      <c r="K928" s="1577"/>
      <c r="L928" s="1584">
        <v>5.0000000000000001E-3</v>
      </c>
      <c r="M928" s="1584">
        <v>5.0000000000000001E-3</v>
      </c>
      <c r="N928" s="1584">
        <v>5.0000000000000001E-3</v>
      </c>
      <c r="O928" s="1584">
        <v>5.0000000000000001E-3</v>
      </c>
      <c r="R928" s="91" t="b">
        <f t="shared" si="139"/>
        <v>0</v>
      </c>
      <c r="S928" s="21" t="b">
        <f t="shared" si="140"/>
        <v>0</v>
      </c>
      <c r="T928" s="97" t="b">
        <f t="shared" si="141"/>
        <v>0</v>
      </c>
    </row>
    <row r="929" spans="2:20">
      <c r="B929" s="905" t="s">
        <v>4065</v>
      </c>
      <c r="C929" s="433">
        <v>43</v>
      </c>
      <c r="D929" t="str">
        <f>VLOOKUP($C929,param!$A$4:$B$266,2)</f>
        <v>NCB Region A Marketing Spend Effectiveness</v>
      </c>
      <c r="E929" s="183">
        <f>INDEX($K929:$O929,SUMIF(cbal!E$280:E$296,$B929,cbal!$D$280:$D$296)+1)</f>
        <v>0</v>
      </c>
      <c r="F929" s="183">
        <f>INDEX($K929:$O929,SUMIF(cbal!F$280:F$296,$B929,cbal!$D$280:$D$296)+1)</f>
        <v>0</v>
      </c>
      <c r="G929" s="183">
        <f>INDEX($K929:$O929,SUMIF(cbal!G$280:G$296,$B929,cbal!$D$280:$D$296)+1)</f>
        <v>0</v>
      </c>
      <c r="H929" s="183">
        <f>INDEX($K929:$O929,SUMIF(cbal!H$280:H$296,$B929,cbal!$D$280:$D$296)+1)</f>
        <v>0</v>
      </c>
      <c r="I929" s="183">
        <f>INDEX($K929:$O929,SUMIF(cbal!I$280:I$296,$B929,cbal!$D$280:$D$296)+1)</f>
        <v>0</v>
      </c>
      <c r="K929" s="1577"/>
      <c r="L929" s="1584">
        <v>5.0000000000000001E-3</v>
      </c>
      <c r="M929" s="1584">
        <v>5.0000000000000001E-3</v>
      </c>
      <c r="N929" s="1584">
        <v>5.0000000000000001E-3</v>
      </c>
      <c r="O929" s="1584">
        <v>5.0000000000000001E-3</v>
      </c>
      <c r="R929" s="91" t="b">
        <f t="shared" si="139"/>
        <v>0</v>
      </c>
      <c r="S929" s="21" t="b">
        <f t="shared" si="140"/>
        <v>0</v>
      </c>
      <c r="T929" s="97" t="b">
        <f t="shared" si="141"/>
        <v>0</v>
      </c>
    </row>
    <row r="930" spans="2:20">
      <c r="B930" s="905" t="s">
        <v>4065</v>
      </c>
      <c r="C930" s="433">
        <v>76</v>
      </c>
      <c r="D930" t="str">
        <f>VLOOKUP($C930,param!$A$4:$B$266,2)</f>
        <v>F&amp;S Region A Marketing Spend Effectiveness</v>
      </c>
      <c r="E930" s="183">
        <f>INDEX($K930:$O930,SUMIF(cbal!E$280:E$296,$B930,cbal!$D$280:$D$296)+1)</f>
        <v>0</v>
      </c>
      <c r="F930" s="183">
        <f>INDEX($K930:$O930,SUMIF(cbal!F$280:F$296,$B930,cbal!$D$280:$D$296)+1)</f>
        <v>0</v>
      </c>
      <c r="G930" s="183">
        <f>INDEX($K930:$O930,SUMIF(cbal!G$280:G$296,$B930,cbal!$D$280:$D$296)+1)</f>
        <v>0</v>
      </c>
      <c r="H930" s="183">
        <f>INDEX($K930:$O930,SUMIF(cbal!H$280:H$296,$B930,cbal!$D$280:$D$296)+1)</f>
        <v>0</v>
      </c>
      <c r="I930" s="183">
        <f>INDEX($K930:$O930,SUMIF(cbal!I$280:I$296,$B930,cbal!$D$280:$D$296)+1)</f>
        <v>0</v>
      </c>
      <c r="K930" s="1577"/>
      <c r="L930" s="1584">
        <v>5.0000000000000001E-3</v>
      </c>
      <c r="M930" s="1584">
        <v>5.0000000000000001E-3</v>
      </c>
      <c r="N930" s="1584">
        <v>5.0000000000000001E-3</v>
      </c>
      <c r="O930" s="1584">
        <v>5.0000000000000001E-3</v>
      </c>
      <c r="R930" s="91" t="b">
        <f t="shared" si="139"/>
        <v>0</v>
      </c>
      <c r="S930" s="21" t="b">
        <f t="shared" si="140"/>
        <v>0</v>
      </c>
      <c r="T930" s="97" t="b">
        <f t="shared" si="141"/>
        <v>0</v>
      </c>
    </row>
    <row r="931" spans="2:20">
      <c r="B931" s="905" t="s">
        <v>4065</v>
      </c>
      <c r="C931" s="433">
        <v>172</v>
      </c>
      <c r="D931" t="str">
        <f>VLOOKUP($C931,param!$A$4:$B$266,2)</f>
        <v>Region 1 Special Program Success CSD</v>
      </c>
      <c r="E931" s="183">
        <f>INDEX($K931:$O931,SUMIF(cbal!E$280:E$296,$B931,cbal!$D$280:$D$296)+1)</f>
        <v>0</v>
      </c>
      <c r="F931" s="183">
        <f>INDEX($K931:$O931,SUMIF(cbal!F$280:F$296,$B931,cbal!$D$280:$D$296)+1)</f>
        <v>0</v>
      </c>
      <c r="G931" s="183">
        <f>INDEX($K931:$O931,SUMIF(cbal!G$280:G$296,$B931,cbal!$D$280:$D$296)+1)</f>
        <v>0</v>
      </c>
      <c r="H931" s="183">
        <f>INDEX($K931:$O931,SUMIF(cbal!H$280:H$296,$B931,cbal!$D$280:$D$296)+1)</f>
        <v>0</v>
      </c>
      <c r="I931" s="183">
        <f>INDEX($K931:$O931,SUMIF(cbal!I$280:I$296,$B931,cbal!$D$280:$D$296)+1)</f>
        <v>0</v>
      </c>
      <c r="K931" s="1577"/>
      <c r="L931" s="1585">
        <v>0.01</v>
      </c>
      <c r="M931" s="1585">
        <v>0.01</v>
      </c>
      <c r="N931" s="1585">
        <v>0.01</v>
      </c>
      <c r="O931" s="1585">
        <v>0.01</v>
      </c>
      <c r="R931" s="91" t="b">
        <f t="shared" si="139"/>
        <v>0</v>
      </c>
      <c r="S931" s="21" t="b">
        <f t="shared" si="140"/>
        <v>0</v>
      </c>
      <c r="T931" s="97" t="b">
        <f t="shared" si="141"/>
        <v>0</v>
      </c>
    </row>
    <row r="932" spans="2:20">
      <c r="B932" s="905" t="s">
        <v>4065</v>
      </c>
      <c r="C932" s="433">
        <v>174</v>
      </c>
      <c r="D932" t="str">
        <f>VLOOKUP($C932,param!$A$4:$B$266,2)</f>
        <v>Region 1 Special Program Success NCB</v>
      </c>
      <c r="E932" s="183">
        <f>INDEX($K932:$O932,SUMIF(cbal!E$280:E$296,$B932,cbal!$D$280:$D$296)+1)</f>
        <v>0</v>
      </c>
      <c r="F932" s="183">
        <f>INDEX($K932:$O932,SUMIF(cbal!F$280:F$296,$B932,cbal!$D$280:$D$296)+1)</f>
        <v>0</v>
      </c>
      <c r="G932" s="183">
        <f>INDEX($K932:$O932,SUMIF(cbal!G$280:G$296,$B932,cbal!$D$280:$D$296)+1)</f>
        <v>0</v>
      </c>
      <c r="H932" s="183">
        <f>INDEX($K932:$O932,SUMIF(cbal!H$280:H$296,$B932,cbal!$D$280:$D$296)+1)</f>
        <v>0</v>
      </c>
      <c r="I932" s="183">
        <f>INDEX($K932:$O932,SUMIF(cbal!I$280:I$296,$B932,cbal!$D$280:$D$296)+1)</f>
        <v>0</v>
      </c>
      <c r="K932" s="1577"/>
      <c r="L932" s="1585">
        <v>0.01</v>
      </c>
      <c r="M932" s="1585">
        <v>0.01</v>
      </c>
      <c r="N932" s="1585">
        <v>0.01</v>
      </c>
      <c r="O932" s="1585">
        <v>0.01</v>
      </c>
      <c r="R932" s="91" t="b">
        <f t="shared" si="139"/>
        <v>0</v>
      </c>
      <c r="S932" s="21" t="b">
        <f t="shared" si="140"/>
        <v>0</v>
      </c>
      <c r="T932" s="97" t="b">
        <f t="shared" si="141"/>
        <v>0</v>
      </c>
    </row>
    <row r="933" spans="2:20">
      <c r="B933" s="905" t="s">
        <v>4065</v>
      </c>
      <c r="C933" s="433">
        <v>175</v>
      </c>
      <c r="D933" t="str">
        <f>VLOOKUP($C933,param!$A$4:$B$266,2)</f>
        <v>Region 1 Special Program Success F&amp;S</v>
      </c>
      <c r="E933" s="183">
        <f>INDEX($K933:$O933,SUMIF(cbal!E$280:E$296,$B933,cbal!$D$280:$D$296)+1)</f>
        <v>0</v>
      </c>
      <c r="F933" s="183">
        <f>INDEX($K933:$O933,SUMIF(cbal!F$280:F$296,$B933,cbal!$D$280:$D$296)+1)</f>
        <v>0</v>
      </c>
      <c r="G933" s="183">
        <f>INDEX($K933:$O933,SUMIF(cbal!G$280:G$296,$B933,cbal!$D$280:$D$296)+1)</f>
        <v>0</v>
      </c>
      <c r="H933" s="183">
        <f>INDEX($K933:$O933,SUMIF(cbal!H$280:H$296,$B933,cbal!$D$280:$D$296)+1)</f>
        <v>0</v>
      </c>
      <c r="I933" s="183">
        <f>INDEX($K933:$O933,SUMIF(cbal!I$280:I$296,$B933,cbal!$D$280:$D$296)+1)</f>
        <v>0</v>
      </c>
      <c r="K933" s="1577"/>
      <c r="L933" s="1585">
        <v>0.01</v>
      </c>
      <c r="M933" s="1585">
        <v>0.01</v>
      </c>
      <c r="N933" s="1585">
        <v>0.01</v>
      </c>
      <c r="O933" s="1585">
        <v>0.01</v>
      </c>
      <c r="R933" s="91" t="b">
        <f t="shared" si="139"/>
        <v>0</v>
      </c>
      <c r="S933" s="21" t="b">
        <f t="shared" si="140"/>
        <v>0</v>
      </c>
      <c r="T933" s="97" t="b">
        <f t="shared" si="141"/>
        <v>0</v>
      </c>
    </row>
    <row r="934" spans="2:20">
      <c r="B934" s="905" t="s">
        <v>4065</v>
      </c>
      <c r="C934" s="433">
        <v>176</v>
      </c>
      <c r="D934" t="str">
        <f>VLOOKUP($C934,param!$A$4:$B$266,2)</f>
        <v>Region 2 Special Program Success CSD</v>
      </c>
      <c r="E934" s="183">
        <f>INDEX($K934:$O934,SUMIF(cbal!E$280:E$296,$B934,cbal!$D$280:$D$296)+1)</f>
        <v>0</v>
      </c>
      <c r="F934" s="183">
        <f>INDEX($K934:$O934,SUMIF(cbal!F$280:F$296,$B934,cbal!$D$280:$D$296)+1)</f>
        <v>0</v>
      </c>
      <c r="G934" s="183">
        <f>INDEX($K934:$O934,SUMIF(cbal!G$280:G$296,$B934,cbal!$D$280:$D$296)+1)</f>
        <v>0</v>
      </c>
      <c r="H934" s="183">
        <f>INDEX($K934:$O934,SUMIF(cbal!H$280:H$296,$B934,cbal!$D$280:$D$296)+1)</f>
        <v>0</v>
      </c>
      <c r="I934" s="183">
        <f>INDEX($K934:$O934,SUMIF(cbal!I$280:I$296,$B934,cbal!$D$280:$D$296)+1)</f>
        <v>0</v>
      </c>
      <c r="K934" s="1577"/>
      <c r="L934" s="1585">
        <v>0.01</v>
      </c>
      <c r="M934" s="1585">
        <v>0.01</v>
      </c>
      <c r="N934" s="1585">
        <v>0.01</v>
      </c>
      <c r="O934" s="1585">
        <v>0.01</v>
      </c>
      <c r="R934" s="91" t="b">
        <f t="shared" si="139"/>
        <v>0</v>
      </c>
      <c r="S934" s="21" t="b">
        <f t="shared" si="140"/>
        <v>0</v>
      </c>
      <c r="T934" s="97" t="b">
        <f t="shared" si="141"/>
        <v>0</v>
      </c>
    </row>
    <row r="935" spans="2:20">
      <c r="B935" s="905" t="s">
        <v>4065</v>
      </c>
      <c r="C935" s="433">
        <v>178</v>
      </c>
      <c r="D935" t="str">
        <f>VLOOKUP($C935,param!$A$4:$B$266,2)</f>
        <v>Region 2 Special Program Success NCB</v>
      </c>
      <c r="E935" s="183">
        <f>INDEX($K935:$O935,SUMIF(cbal!E$280:E$296,$B935,cbal!$D$280:$D$296)+1)</f>
        <v>0</v>
      </c>
      <c r="F935" s="183">
        <f>INDEX($K935:$O935,SUMIF(cbal!F$280:F$296,$B935,cbal!$D$280:$D$296)+1)</f>
        <v>0</v>
      </c>
      <c r="G935" s="183">
        <f>INDEX($K935:$O935,SUMIF(cbal!G$280:G$296,$B935,cbal!$D$280:$D$296)+1)</f>
        <v>0</v>
      </c>
      <c r="H935" s="183">
        <f>INDEX($K935:$O935,SUMIF(cbal!H$280:H$296,$B935,cbal!$D$280:$D$296)+1)</f>
        <v>0</v>
      </c>
      <c r="I935" s="183">
        <f>INDEX($K935:$O935,SUMIF(cbal!I$280:I$296,$B935,cbal!$D$280:$D$296)+1)</f>
        <v>0</v>
      </c>
      <c r="K935" s="1577"/>
      <c r="L935" s="1585">
        <v>0.01</v>
      </c>
      <c r="M935" s="1585">
        <v>0.01</v>
      </c>
      <c r="N935" s="1585">
        <v>0.01</v>
      </c>
      <c r="O935" s="1585">
        <v>0.01</v>
      </c>
      <c r="R935" s="91" t="b">
        <f t="shared" si="139"/>
        <v>0</v>
      </c>
      <c r="S935" s="21" t="b">
        <f t="shared" si="140"/>
        <v>0</v>
      </c>
      <c r="T935" s="97" t="b">
        <f t="shared" si="141"/>
        <v>0</v>
      </c>
    </row>
    <row r="936" spans="2:20">
      <c r="B936" s="905" t="s">
        <v>4065</v>
      </c>
      <c r="C936" s="433">
        <v>179</v>
      </c>
      <c r="D936" t="str">
        <f>VLOOKUP($C936,param!$A$4:$B$266,2)</f>
        <v>Region 2 Special Program Success F&amp;S</v>
      </c>
      <c r="E936" s="183">
        <f>INDEX($K936:$O936,SUMIF(cbal!E$280:E$296,$B936,cbal!$D$280:$D$296)+1)</f>
        <v>0</v>
      </c>
      <c r="F936" s="183">
        <f>INDEX($K936:$O936,SUMIF(cbal!F$280:F$296,$B936,cbal!$D$280:$D$296)+1)</f>
        <v>0</v>
      </c>
      <c r="G936" s="183">
        <f>INDEX($K936:$O936,SUMIF(cbal!G$280:G$296,$B936,cbal!$D$280:$D$296)+1)</f>
        <v>0</v>
      </c>
      <c r="H936" s="183">
        <f>INDEX($K936:$O936,SUMIF(cbal!H$280:H$296,$B936,cbal!$D$280:$D$296)+1)</f>
        <v>0</v>
      </c>
      <c r="I936" s="183">
        <f>INDEX($K936:$O936,SUMIF(cbal!I$280:I$296,$B936,cbal!$D$280:$D$296)+1)</f>
        <v>0</v>
      </c>
      <c r="K936" s="1577"/>
      <c r="L936" s="1585">
        <v>0.01</v>
      </c>
      <c r="M936" s="1585">
        <v>0.01</v>
      </c>
      <c r="N936" s="1585">
        <v>0.01</v>
      </c>
      <c r="O936" s="1585">
        <v>0.01</v>
      </c>
      <c r="R936" s="91" t="b">
        <f t="shared" si="139"/>
        <v>0</v>
      </c>
      <c r="S936" s="21" t="b">
        <f t="shared" si="140"/>
        <v>0</v>
      </c>
      <c r="T936" s="97" t="b">
        <f t="shared" si="141"/>
        <v>0</v>
      </c>
    </row>
    <row r="937" spans="2:20">
      <c r="B937" s="905" t="s">
        <v>4065</v>
      </c>
      <c r="C937" s="433">
        <v>167</v>
      </c>
      <c r="D937" t="str">
        <f>VLOOKUP($C937,param!$A$4:$B$266,2)</f>
        <v>Special Program Expense</v>
      </c>
      <c r="E937" s="183">
        <f>INDEX($K937:$O937,SUMIF(cbal!E$280:E$296,$B937,cbal!$D$280:$D$296)+1)</f>
        <v>0</v>
      </c>
      <c r="F937" s="183">
        <f>INDEX($K937:$O937,SUMIF(cbal!F$280:F$296,$B937,cbal!$D$280:$D$296)+1)</f>
        <v>0</v>
      </c>
      <c r="G937" s="183">
        <f>INDEX($K937:$O937,SUMIF(cbal!G$280:G$296,$B937,cbal!$D$280:$D$296)+1)</f>
        <v>0</v>
      </c>
      <c r="H937" s="183">
        <f>INDEX($K937:$O937,SUMIF(cbal!H$280:H$296,$B937,cbal!$D$280:$D$296)+1)</f>
        <v>0</v>
      </c>
      <c r="I937" s="183">
        <f>INDEX($K937:$O937,SUMIF(cbal!I$280:I$296,$B937,cbal!$D$280:$D$296)+1)</f>
        <v>0</v>
      </c>
      <c r="K937" s="1577"/>
      <c r="L937" s="1592">
        <v>1500000</v>
      </c>
      <c r="M937" s="1592">
        <v>500000</v>
      </c>
      <c r="N937" s="1592">
        <v>500000</v>
      </c>
      <c r="O937" s="1592">
        <v>500000</v>
      </c>
      <c r="R937" s="91">
        <f t="shared" si="139"/>
        <v>1500000</v>
      </c>
      <c r="S937" s="21">
        <f t="shared" si="140"/>
        <v>500000</v>
      </c>
      <c r="T937" s="97" t="b">
        <f t="shared" si="141"/>
        <v>0</v>
      </c>
    </row>
    <row r="938" spans="2:20">
      <c r="B938" s="905" t="s">
        <v>4065</v>
      </c>
      <c r="C938" s="433">
        <v>133.5</v>
      </c>
      <c r="D938" t="str">
        <f>VLOOKUP($C938,param!$A$4:$B$266,2)</f>
        <v>MTU Initiatives Allocation</v>
      </c>
      <c r="E938" s="183">
        <f>INDEX($K938:$O938,SUMIF(cbal!E$280:E$296,$B938,cbal!$D$280:$D$296)+1)</f>
        <v>0</v>
      </c>
      <c r="F938" s="183">
        <f>INDEX($K938:$O938,SUMIF(cbal!F$280:F$296,$B938,cbal!$D$280:$D$296)+1)</f>
        <v>0</v>
      </c>
      <c r="G938" s="183">
        <f>INDEX($K938:$O938,SUMIF(cbal!G$280:G$296,$B938,cbal!$D$280:$D$296)+1)</f>
        <v>0</v>
      </c>
      <c r="H938" s="183">
        <f>INDEX($K938:$O938,SUMIF(cbal!H$280:H$296,$B938,cbal!$D$280:$D$296)+1)</f>
        <v>0</v>
      </c>
      <c r="I938" s="183">
        <f>INDEX($K938:$O938,SUMIF(cbal!I$280:I$296,$B938,cbal!$D$280:$D$296)+1)</f>
        <v>0</v>
      </c>
      <c r="K938" s="1577"/>
      <c r="L938" s="1593">
        <v>5</v>
      </c>
      <c r="M938" s="1585"/>
      <c r="N938" s="1585"/>
      <c r="O938" s="1585"/>
      <c r="R938" s="91" t="b">
        <f t="shared" si="139"/>
        <v>0</v>
      </c>
      <c r="S938" s="21" t="b">
        <f t="shared" si="140"/>
        <v>0</v>
      </c>
      <c r="T938" s="97">
        <f t="shared" si="141"/>
        <v>5</v>
      </c>
    </row>
    <row r="939" spans="2:20">
      <c r="B939" s="905" t="s">
        <v>4065</v>
      </c>
      <c r="C939" s="433">
        <v>201</v>
      </c>
      <c r="D939" t="str">
        <f>VLOOKUP($C939,param!$A$4:$B$266,2)</f>
        <v>Brands Strategy</v>
      </c>
      <c r="E939" s="183">
        <f>INDEX($K939:$O939,SUMIF(cbal!E$280:E$296,$B939,cbal!$D$280:$D$296)+1)</f>
        <v>0</v>
      </c>
      <c r="F939" s="183">
        <f>INDEX($K939:$O939,SUMIF(cbal!F$280:F$296,$B939,cbal!$D$280:$D$296)+1)</f>
        <v>0</v>
      </c>
      <c r="G939" s="183">
        <f>INDEX($K939:$O939,SUMIF(cbal!G$280:G$296,$B939,cbal!$D$280:$D$296)+1)</f>
        <v>0</v>
      </c>
      <c r="H939" s="183">
        <f>INDEX($K939:$O939,SUMIF(cbal!H$280:H$296,$B939,cbal!$D$280:$D$296)+1)</f>
        <v>0</v>
      </c>
      <c r="I939" s="183">
        <f>INDEX($K939:$O939,SUMIF(cbal!I$280:I$296,$B939,cbal!$D$280:$D$296)+1)</f>
        <v>0</v>
      </c>
      <c r="K939" s="1577"/>
      <c r="L939" s="1593">
        <v>5</v>
      </c>
      <c r="M939" s="1593">
        <v>5</v>
      </c>
      <c r="N939" s="1593">
        <v>5</v>
      </c>
      <c r="O939" s="1593">
        <v>5</v>
      </c>
      <c r="R939" s="91" t="b">
        <f t="shared" si="139"/>
        <v>0</v>
      </c>
      <c r="S939" s="21" t="b">
        <f t="shared" si="140"/>
        <v>0</v>
      </c>
      <c r="T939" s="97" t="b">
        <f t="shared" si="141"/>
        <v>0</v>
      </c>
    </row>
    <row r="940" spans="2:20">
      <c r="B940">
        <v>0</v>
      </c>
      <c r="C940" s="433">
        <v>0</v>
      </c>
      <c r="E940" s="183"/>
      <c r="F940" s="183"/>
      <c r="G940" s="183"/>
      <c r="H940" s="183"/>
      <c r="I940" s="183"/>
      <c r="K940" s="1577"/>
      <c r="L940" s="1585"/>
      <c r="M940" s="1585"/>
      <c r="N940" s="1585"/>
      <c r="O940" s="1585"/>
      <c r="R940" s="91">
        <v>0</v>
      </c>
      <c r="S940" s="21">
        <v>0</v>
      </c>
      <c r="T940" s="97">
        <v>0</v>
      </c>
    </row>
    <row r="941" spans="2:20">
      <c r="B941" s="905" t="s">
        <v>4066</v>
      </c>
      <c r="C941" t="str">
        <f>VLOOKUP(B941,DataInitiativesGrid,2,0)</f>
        <v>Viva La Vivia</v>
      </c>
      <c r="E941" s="183">
        <f>INDEX($K941:$O941,SUMIF(cbal!E$280:E$296,$B941,cbal!$D$280:$D$296)+1)</f>
        <v>0</v>
      </c>
      <c r="F941" s="183">
        <f>INDEX($K941:$O941,SUMIF(cbal!F$280:F$296,$B941,cbal!$D$280:$D$296)+1)</f>
        <v>0</v>
      </c>
      <c r="G941" s="183">
        <f>INDEX($K941:$O941,SUMIF(cbal!G$280:G$296,$B941,cbal!$D$280:$D$296)+1)</f>
        <v>0</v>
      </c>
      <c r="H941" s="183">
        <f>INDEX($K941:$O941,SUMIF(cbal!H$280:H$296,$B941,cbal!$D$280:$D$296)+1)</f>
        <v>0</v>
      </c>
      <c r="I941" s="183">
        <f>INDEX($K941:$O941,SUMIF(cbal!I$280:I$296,$B941,cbal!$D$280:$D$296)+1)</f>
        <v>0</v>
      </c>
      <c r="K941" s="1577"/>
      <c r="L941" s="1585"/>
      <c r="M941" s="1585"/>
      <c r="N941" s="1585"/>
      <c r="O941" s="1585"/>
      <c r="R941" s="91">
        <v>0</v>
      </c>
      <c r="S941" s="21">
        <v>0</v>
      </c>
      <c r="T941" s="97">
        <v>0</v>
      </c>
    </row>
    <row r="942" spans="2:20">
      <c r="B942" s="905" t="s">
        <v>4066</v>
      </c>
      <c r="C942" s="433">
        <v>5.0999999999999996</v>
      </c>
      <c r="D942" t="str">
        <f>VLOOKUP($C942,param!$A$4:$B$266,2)</f>
        <v>CSD Region B Marketing Spend Effectiveness</v>
      </c>
      <c r="E942" s="183">
        <f>INDEX($K942:$O942,SUMIF(cbal!E$280:E$296,$B942,cbal!$D$280:$D$296)+1)</f>
        <v>0</v>
      </c>
      <c r="F942" s="183">
        <f>INDEX($K942:$O942,SUMIF(cbal!F$280:F$296,$B942,cbal!$D$280:$D$296)+1)</f>
        <v>0</v>
      </c>
      <c r="G942" s="183">
        <f>INDEX($K942:$O942,SUMIF(cbal!G$280:G$296,$B942,cbal!$D$280:$D$296)+1)</f>
        <v>0</v>
      </c>
      <c r="H942" s="183">
        <f>INDEX($K942:$O942,SUMIF(cbal!H$280:H$296,$B942,cbal!$D$280:$D$296)+1)</f>
        <v>0</v>
      </c>
      <c r="I942" s="183">
        <f>INDEX($K942:$O942,SUMIF(cbal!I$280:I$296,$B942,cbal!$D$280:$D$296)+1)</f>
        <v>0</v>
      </c>
      <c r="K942" s="1577"/>
      <c r="L942" s="1584">
        <v>1.4999999999999999E-2</v>
      </c>
      <c r="M942" s="1584">
        <v>1.4999999999999999E-2</v>
      </c>
      <c r="N942" s="1584">
        <v>1.4999999999999999E-2</v>
      </c>
      <c r="O942" s="1584">
        <v>1.4999999999999999E-2</v>
      </c>
      <c r="R942" s="91" t="b">
        <f t="shared" si="139"/>
        <v>0</v>
      </c>
      <c r="S942" s="21" t="b">
        <f t="shared" si="140"/>
        <v>0</v>
      </c>
      <c r="T942" s="97" t="b">
        <f t="shared" si="141"/>
        <v>0</v>
      </c>
    </row>
    <row r="943" spans="2:20">
      <c r="B943" s="905" t="s">
        <v>4066</v>
      </c>
      <c r="C943" s="433">
        <v>43.1</v>
      </c>
      <c r="D943" t="str">
        <f>VLOOKUP($C943,param!$A$4:$B$266,2)</f>
        <v>NCB Region B Marketing Spend Effectiveness</v>
      </c>
      <c r="E943" s="183">
        <f>INDEX($K943:$O943,SUMIF(cbal!E$280:E$296,$B943,cbal!$D$280:$D$296)+1)</f>
        <v>0</v>
      </c>
      <c r="F943" s="183">
        <f>INDEX($K943:$O943,SUMIF(cbal!F$280:F$296,$B943,cbal!$D$280:$D$296)+1)</f>
        <v>0</v>
      </c>
      <c r="G943" s="183">
        <f>INDEX($K943:$O943,SUMIF(cbal!G$280:G$296,$B943,cbal!$D$280:$D$296)+1)</f>
        <v>0</v>
      </c>
      <c r="H943" s="183">
        <f>INDEX($K943:$O943,SUMIF(cbal!H$280:H$296,$B943,cbal!$D$280:$D$296)+1)</f>
        <v>0</v>
      </c>
      <c r="I943" s="183">
        <f>INDEX($K943:$O943,SUMIF(cbal!I$280:I$296,$B943,cbal!$D$280:$D$296)+1)</f>
        <v>0</v>
      </c>
      <c r="K943" s="1577"/>
      <c r="L943" s="1584">
        <v>1.4999999999999999E-2</v>
      </c>
      <c r="M943" s="1584">
        <v>1.4999999999999999E-2</v>
      </c>
      <c r="N943" s="1584">
        <v>1.4999999999999999E-2</v>
      </c>
      <c r="O943" s="1584">
        <v>1.4999999999999999E-2</v>
      </c>
      <c r="R943" s="91" t="b">
        <f t="shared" si="139"/>
        <v>0</v>
      </c>
      <c r="S943" s="21" t="b">
        <f t="shared" si="140"/>
        <v>0</v>
      </c>
      <c r="T943" s="97" t="b">
        <f t="shared" si="141"/>
        <v>0</v>
      </c>
    </row>
    <row r="944" spans="2:20">
      <c r="B944" s="905" t="s">
        <v>4066</v>
      </c>
      <c r="C944" s="433">
        <v>76.099999999999994</v>
      </c>
      <c r="D944" t="str">
        <f>VLOOKUP($C944,param!$A$4:$B$266,2)</f>
        <v>F&amp;S Region B Marketing Spend Effectiveness</v>
      </c>
      <c r="E944" s="183">
        <f>INDEX($K944:$O944,SUMIF(cbal!E$280:E$296,$B944,cbal!$D$280:$D$296)+1)</f>
        <v>0</v>
      </c>
      <c r="F944" s="183">
        <f>INDEX($K944:$O944,SUMIF(cbal!F$280:F$296,$B944,cbal!$D$280:$D$296)+1)</f>
        <v>0</v>
      </c>
      <c r="G944" s="183">
        <f>INDEX($K944:$O944,SUMIF(cbal!G$280:G$296,$B944,cbal!$D$280:$D$296)+1)</f>
        <v>0</v>
      </c>
      <c r="H944" s="183">
        <f>INDEX($K944:$O944,SUMIF(cbal!H$280:H$296,$B944,cbal!$D$280:$D$296)+1)</f>
        <v>0</v>
      </c>
      <c r="I944" s="183">
        <f>INDEX($K944:$O944,SUMIF(cbal!I$280:I$296,$B944,cbal!$D$280:$D$296)+1)</f>
        <v>0</v>
      </c>
      <c r="K944" s="1577"/>
      <c r="L944" s="1584">
        <v>1.4999999999999999E-2</v>
      </c>
      <c r="M944" s="1584">
        <v>1.4999999999999999E-2</v>
      </c>
      <c r="N944" s="1584">
        <v>1.4999999999999999E-2</v>
      </c>
      <c r="O944" s="1584">
        <v>1.4999999999999999E-2</v>
      </c>
      <c r="R944" s="91" t="b">
        <f t="shared" si="139"/>
        <v>0</v>
      </c>
      <c r="S944" s="21" t="b">
        <f t="shared" si="140"/>
        <v>0</v>
      </c>
      <c r="T944" s="97" t="b">
        <f t="shared" si="141"/>
        <v>0</v>
      </c>
    </row>
    <row r="945" spans="2:20">
      <c r="B945" s="905" t="s">
        <v>4066</v>
      </c>
      <c r="C945" s="433">
        <v>5</v>
      </c>
      <c r="D945" t="str">
        <f>VLOOKUP($C945,param!$A$4:$B$266,2)</f>
        <v>CSD Region A Marketing Spend Effectiveness</v>
      </c>
      <c r="E945" s="183">
        <f>INDEX($K945:$O945,SUMIF(cbal!E$280:E$296,$B945,cbal!$D$280:$D$296)+1)</f>
        <v>0</v>
      </c>
      <c r="F945" s="183">
        <f>INDEX($K945:$O945,SUMIF(cbal!F$280:F$296,$B945,cbal!$D$280:$D$296)+1)</f>
        <v>0</v>
      </c>
      <c r="G945" s="183">
        <f>INDEX($K945:$O945,SUMIF(cbal!G$280:G$296,$B945,cbal!$D$280:$D$296)+1)</f>
        <v>0</v>
      </c>
      <c r="H945" s="183">
        <f>INDEX($K945:$O945,SUMIF(cbal!H$280:H$296,$B945,cbal!$D$280:$D$296)+1)</f>
        <v>0</v>
      </c>
      <c r="I945" s="183">
        <f>INDEX($K945:$O945,SUMIF(cbal!I$280:I$296,$B945,cbal!$D$280:$D$296)+1)</f>
        <v>0</v>
      </c>
      <c r="K945" s="1577"/>
      <c r="L945" s="1584">
        <v>5.0000000000000001E-3</v>
      </c>
      <c r="M945" s="1584">
        <v>5.0000000000000001E-3</v>
      </c>
      <c r="N945" s="1584">
        <v>5.0000000000000001E-3</v>
      </c>
      <c r="O945" s="1584">
        <v>5.0000000000000001E-3</v>
      </c>
      <c r="R945" s="91" t="b">
        <f t="shared" si="139"/>
        <v>0</v>
      </c>
      <c r="S945" s="21" t="b">
        <f t="shared" si="140"/>
        <v>0</v>
      </c>
      <c r="T945" s="97" t="b">
        <f t="shared" si="141"/>
        <v>0</v>
      </c>
    </row>
    <row r="946" spans="2:20">
      <c r="B946" s="905" t="s">
        <v>4066</v>
      </c>
      <c r="C946" s="433">
        <v>43</v>
      </c>
      <c r="D946" t="str">
        <f>VLOOKUP($C946,param!$A$4:$B$266,2)</f>
        <v>NCB Region A Marketing Spend Effectiveness</v>
      </c>
      <c r="E946" s="183">
        <f>INDEX($K946:$O946,SUMIF(cbal!E$280:E$296,$B946,cbal!$D$280:$D$296)+1)</f>
        <v>0</v>
      </c>
      <c r="F946" s="183">
        <f>INDEX($K946:$O946,SUMIF(cbal!F$280:F$296,$B946,cbal!$D$280:$D$296)+1)</f>
        <v>0</v>
      </c>
      <c r="G946" s="183">
        <f>INDEX($K946:$O946,SUMIF(cbal!G$280:G$296,$B946,cbal!$D$280:$D$296)+1)</f>
        <v>0</v>
      </c>
      <c r="H946" s="183">
        <f>INDEX($K946:$O946,SUMIF(cbal!H$280:H$296,$B946,cbal!$D$280:$D$296)+1)</f>
        <v>0</v>
      </c>
      <c r="I946" s="183">
        <f>INDEX($K946:$O946,SUMIF(cbal!I$280:I$296,$B946,cbal!$D$280:$D$296)+1)</f>
        <v>0</v>
      </c>
      <c r="K946" s="1577"/>
      <c r="L946" s="1584">
        <v>5.0000000000000001E-3</v>
      </c>
      <c r="M946" s="1584">
        <v>5.0000000000000001E-3</v>
      </c>
      <c r="N946" s="1584">
        <v>5.0000000000000001E-3</v>
      </c>
      <c r="O946" s="1584">
        <v>5.0000000000000001E-3</v>
      </c>
      <c r="R946" s="91" t="b">
        <f t="shared" si="139"/>
        <v>0</v>
      </c>
      <c r="S946" s="21" t="b">
        <f t="shared" si="140"/>
        <v>0</v>
      </c>
      <c r="T946" s="97" t="b">
        <f t="shared" si="141"/>
        <v>0</v>
      </c>
    </row>
    <row r="947" spans="2:20">
      <c r="B947" s="905" t="s">
        <v>4066</v>
      </c>
      <c r="C947" s="433">
        <v>76</v>
      </c>
      <c r="D947" t="str">
        <f>VLOOKUP($C947,param!$A$4:$B$266,2)</f>
        <v>F&amp;S Region A Marketing Spend Effectiveness</v>
      </c>
      <c r="E947" s="183">
        <f>INDEX($K947:$O947,SUMIF(cbal!E$280:E$296,$B947,cbal!$D$280:$D$296)+1)</f>
        <v>0</v>
      </c>
      <c r="F947" s="183">
        <f>INDEX($K947:$O947,SUMIF(cbal!F$280:F$296,$B947,cbal!$D$280:$D$296)+1)</f>
        <v>0</v>
      </c>
      <c r="G947" s="183">
        <f>INDEX($K947:$O947,SUMIF(cbal!G$280:G$296,$B947,cbal!$D$280:$D$296)+1)</f>
        <v>0</v>
      </c>
      <c r="H947" s="183">
        <f>INDEX($K947:$O947,SUMIF(cbal!H$280:H$296,$B947,cbal!$D$280:$D$296)+1)</f>
        <v>0</v>
      </c>
      <c r="I947" s="183">
        <f>INDEX($K947:$O947,SUMIF(cbal!I$280:I$296,$B947,cbal!$D$280:$D$296)+1)</f>
        <v>0</v>
      </c>
      <c r="K947" s="1577"/>
      <c r="L947" s="1584">
        <v>5.0000000000000001E-3</v>
      </c>
      <c r="M947" s="1584">
        <v>5.0000000000000001E-3</v>
      </c>
      <c r="N947" s="1584">
        <v>5.0000000000000001E-3</v>
      </c>
      <c r="O947" s="1584">
        <v>5.0000000000000001E-3</v>
      </c>
      <c r="R947" s="91" t="b">
        <f t="shared" si="139"/>
        <v>0</v>
      </c>
      <c r="S947" s="21" t="b">
        <f t="shared" si="140"/>
        <v>0</v>
      </c>
      <c r="T947" s="97" t="b">
        <f t="shared" si="141"/>
        <v>0</v>
      </c>
    </row>
    <row r="948" spans="2:20">
      <c r="B948" s="905" t="s">
        <v>4066</v>
      </c>
      <c r="C948" s="433">
        <v>198</v>
      </c>
      <c r="D948" t="str">
        <f>VLOOKUP($C948,param!$A$4:$B$266,2)</f>
        <v>Community</v>
      </c>
      <c r="E948" s="183">
        <f>INDEX($K948:$O948,SUMIF(cbal!E$280:E$296,$B948,cbal!$D$280:$D$296)+1)</f>
        <v>0</v>
      </c>
      <c r="F948" s="183">
        <f>INDEX($K948:$O948,SUMIF(cbal!F$280:F$296,$B948,cbal!$D$280:$D$296)+1)</f>
        <v>0</v>
      </c>
      <c r="G948" s="183">
        <f>INDEX($K948:$O948,SUMIF(cbal!G$280:G$296,$B948,cbal!$D$280:$D$296)+1)</f>
        <v>0</v>
      </c>
      <c r="H948" s="183">
        <f>INDEX($K948:$O948,SUMIF(cbal!H$280:H$296,$B948,cbal!$D$280:$D$296)+1)</f>
        <v>0</v>
      </c>
      <c r="I948" s="183">
        <f>INDEX($K948:$O948,SUMIF(cbal!I$280:I$296,$B948,cbal!$D$280:$D$296)+1)</f>
        <v>0</v>
      </c>
      <c r="K948" s="1577"/>
      <c r="L948" s="1585">
        <v>0.01</v>
      </c>
      <c r="M948" s="1585">
        <v>0.01</v>
      </c>
      <c r="N948" s="1585">
        <v>0.01</v>
      </c>
      <c r="O948" s="1585">
        <v>0.01</v>
      </c>
      <c r="R948" s="91" t="b">
        <f t="shared" si="139"/>
        <v>0</v>
      </c>
      <c r="S948" s="21" t="b">
        <f t="shared" si="140"/>
        <v>0</v>
      </c>
      <c r="T948" s="97" t="b">
        <f t="shared" si="141"/>
        <v>0</v>
      </c>
    </row>
    <row r="949" spans="2:20">
      <c r="B949" s="905" t="s">
        <v>4066</v>
      </c>
      <c r="C949" s="433">
        <v>167</v>
      </c>
      <c r="D949" t="str">
        <f>VLOOKUP($C949,param!$A$4:$B$266,2)</f>
        <v>Special Program Expense</v>
      </c>
      <c r="E949" s="183">
        <f>INDEX($K949:$O949,SUMIF(cbal!E$280:E$296,$B949,cbal!$D$280:$D$296)+1)</f>
        <v>0</v>
      </c>
      <c r="F949" s="183">
        <f>INDEX($K949:$O949,SUMIF(cbal!F$280:F$296,$B949,cbal!$D$280:$D$296)+1)</f>
        <v>0</v>
      </c>
      <c r="G949" s="183">
        <f>INDEX($K949:$O949,SUMIF(cbal!G$280:G$296,$B949,cbal!$D$280:$D$296)+1)</f>
        <v>0</v>
      </c>
      <c r="H949" s="183">
        <f>INDEX($K949:$O949,SUMIF(cbal!H$280:H$296,$B949,cbal!$D$280:$D$296)+1)</f>
        <v>0</v>
      </c>
      <c r="I949" s="183">
        <f>INDEX($K949:$O949,SUMIF(cbal!I$280:I$296,$B949,cbal!$D$280:$D$296)+1)</f>
        <v>0</v>
      </c>
      <c r="K949" s="1577"/>
      <c r="L949" s="1592">
        <v>3000000</v>
      </c>
      <c r="M949" s="1592"/>
      <c r="N949" s="1592"/>
      <c r="O949" s="1592"/>
      <c r="R949" s="91">
        <f t="shared" si="139"/>
        <v>3000000</v>
      </c>
      <c r="S949" s="21">
        <f t="shared" si="140"/>
        <v>0</v>
      </c>
      <c r="T949" s="97" t="b">
        <f t="shared" si="141"/>
        <v>0</v>
      </c>
    </row>
    <row r="950" spans="2:20">
      <c r="B950" s="905" t="s">
        <v>4066</v>
      </c>
      <c r="C950" s="433">
        <v>133.5</v>
      </c>
      <c r="D950" t="str">
        <f>VLOOKUP($C950,param!$A$4:$B$266,2)</f>
        <v>MTU Initiatives Allocation</v>
      </c>
      <c r="E950" s="183">
        <f>INDEX($K950:$O950,SUMIF(cbal!E$280:E$296,$B950,cbal!$D$280:$D$296)+1)</f>
        <v>0</v>
      </c>
      <c r="F950" s="183">
        <f>INDEX($K950:$O950,SUMIF(cbal!F$280:F$296,$B950,cbal!$D$280:$D$296)+1)</f>
        <v>0</v>
      </c>
      <c r="G950" s="183">
        <f>INDEX($K950:$O950,SUMIF(cbal!G$280:G$296,$B950,cbal!$D$280:$D$296)+1)</f>
        <v>0</v>
      </c>
      <c r="H950" s="183">
        <f>INDEX($K950:$O950,SUMIF(cbal!H$280:H$296,$B950,cbal!$D$280:$D$296)+1)</f>
        <v>0</v>
      </c>
      <c r="I950" s="183">
        <f>INDEX($K950:$O950,SUMIF(cbal!I$280:I$296,$B950,cbal!$D$280:$D$296)+1)</f>
        <v>0</v>
      </c>
      <c r="K950" s="1577"/>
      <c r="L950" s="1593">
        <v>10</v>
      </c>
      <c r="M950" s="1585"/>
      <c r="N950" s="1585"/>
      <c r="O950" s="1585"/>
      <c r="R950" s="91" t="b">
        <f t="shared" si="139"/>
        <v>0</v>
      </c>
      <c r="S950" s="21" t="b">
        <f t="shared" si="140"/>
        <v>0</v>
      </c>
      <c r="T950" s="97">
        <f t="shared" si="141"/>
        <v>10</v>
      </c>
    </row>
    <row r="951" spans="2:20">
      <c r="B951" s="905" t="s">
        <v>4066</v>
      </c>
      <c r="C951" s="433">
        <v>201</v>
      </c>
      <c r="D951" t="str">
        <f>VLOOKUP($C951,param!$A$4:$B$266,2)</f>
        <v>Brands Strategy</v>
      </c>
      <c r="E951" s="183">
        <f>INDEX($K951:$O951,SUMIF(cbal!E$280:E$296,$B951,cbal!$D$280:$D$296)+1)</f>
        <v>0</v>
      </c>
      <c r="F951" s="183">
        <f>INDEX($K951:$O951,SUMIF(cbal!F$280:F$296,$B951,cbal!$D$280:$D$296)+1)</f>
        <v>0</v>
      </c>
      <c r="G951" s="183">
        <f>INDEX($K951:$O951,SUMIF(cbal!G$280:G$296,$B951,cbal!$D$280:$D$296)+1)</f>
        <v>0</v>
      </c>
      <c r="H951" s="183">
        <f>INDEX($K951:$O951,SUMIF(cbal!H$280:H$296,$B951,cbal!$D$280:$D$296)+1)</f>
        <v>0</v>
      </c>
      <c r="I951" s="183">
        <f>INDEX($K951:$O951,SUMIF(cbal!I$280:I$296,$B951,cbal!$D$280:$D$296)+1)</f>
        <v>0</v>
      </c>
      <c r="K951" s="1577"/>
      <c r="L951" s="1593">
        <v>10</v>
      </c>
      <c r="M951" s="1593">
        <v>10</v>
      </c>
      <c r="N951" s="1593">
        <v>10</v>
      </c>
      <c r="O951" s="1593">
        <v>10</v>
      </c>
      <c r="R951" s="91" t="b">
        <f t="shared" si="139"/>
        <v>0</v>
      </c>
      <c r="S951" s="21" t="b">
        <f t="shared" si="140"/>
        <v>0</v>
      </c>
      <c r="T951" s="97" t="b">
        <f t="shared" si="141"/>
        <v>0</v>
      </c>
    </row>
    <row r="952" spans="2:20">
      <c r="B952">
        <v>0</v>
      </c>
      <c r="C952" s="433">
        <v>0</v>
      </c>
      <c r="E952" s="183"/>
      <c r="F952" s="183"/>
      <c r="G952" s="183"/>
      <c r="H952" s="183"/>
      <c r="I952" s="183"/>
      <c r="K952" s="1577"/>
      <c r="L952" s="1585"/>
      <c r="M952" s="1585"/>
      <c r="N952" s="1585"/>
      <c r="O952" s="1585"/>
      <c r="R952" s="91">
        <v>0</v>
      </c>
      <c r="S952" s="21">
        <v>0</v>
      </c>
      <c r="T952" s="97">
        <v>0</v>
      </c>
    </row>
    <row r="953" spans="2:20">
      <c r="B953" s="905" t="s">
        <v>4067</v>
      </c>
      <c r="C953" t="str">
        <f>VLOOKUP(B953,DataInitiativesGrid,2,0)</f>
        <v>Vivia Times</v>
      </c>
      <c r="E953" s="183">
        <f>INDEX($K953:$O953,SUMIF(cbal!E$280:E$296,$B953,cbal!$D$280:$D$296)+1)</f>
        <v>0</v>
      </c>
      <c r="F953" s="183">
        <f>INDEX($K953:$O953,SUMIF(cbal!F$280:F$296,$B953,cbal!$D$280:$D$296)+1)</f>
        <v>0</v>
      </c>
      <c r="G953" s="183">
        <f>INDEX($K953:$O953,SUMIF(cbal!G$280:G$296,$B953,cbal!$D$280:$D$296)+1)</f>
        <v>0</v>
      </c>
      <c r="H953" s="183">
        <f>INDEX($K953:$O953,SUMIF(cbal!H$280:H$296,$B953,cbal!$D$280:$D$296)+1)</f>
        <v>0</v>
      </c>
      <c r="I953" s="183">
        <f>INDEX($K953:$O953,SUMIF(cbal!I$280:I$296,$B953,cbal!$D$280:$D$296)+1)</f>
        <v>0</v>
      </c>
      <c r="K953" s="1577"/>
      <c r="L953" s="1585"/>
      <c r="M953" s="1585"/>
      <c r="N953" s="1585"/>
      <c r="O953" s="1585"/>
      <c r="R953" s="91">
        <v>0</v>
      </c>
      <c r="S953" s="21">
        <v>0</v>
      </c>
      <c r="T953" s="97">
        <v>0</v>
      </c>
    </row>
    <row r="954" spans="2:20">
      <c r="B954" s="905" t="s">
        <v>4067</v>
      </c>
      <c r="C954" s="433">
        <v>5</v>
      </c>
      <c r="D954" t="str">
        <f>VLOOKUP($C954,param!$A$4:$B$266,2)</f>
        <v>CSD Region A Marketing Spend Effectiveness</v>
      </c>
      <c r="E954" s="183">
        <f>INDEX($K954:$O954,SUMIF(cbal!E$280:E$296,$B954,cbal!$D$280:$D$296)+1)</f>
        <v>0</v>
      </c>
      <c r="F954" s="183">
        <f>INDEX($K954:$O954,SUMIF(cbal!F$280:F$296,$B954,cbal!$D$280:$D$296)+1)</f>
        <v>0</v>
      </c>
      <c r="G954" s="183">
        <f>INDEX($K954:$O954,SUMIF(cbal!G$280:G$296,$B954,cbal!$D$280:$D$296)+1)</f>
        <v>0</v>
      </c>
      <c r="H954" s="183">
        <f>INDEX($K954:$O954,SUMIF(cbal!H$280:H$296,$B954,cbal!$D$280:$D$296)+1)</f>
        <v>0</v>
      </c>
      <c r="I954" s="183">
        <f>INDEX($K954:$O954,SUMIF(cbal!I$280:I$296,$B954,cbal!$D$280:$D$296)+1)</f>
        <v>0</v>
      </c>
      <c r="K954" s="1577"/>
      <c r="L954" s="1584">
        <v>1.4999999999999999E-2</v>
      </c>
      <c r="M954" s="1584">
        <v>1.4999999999999999E-2</v>
      </c>
      <c r="N954" s="1584">
        <v>1.4999999999999999E-2</v>
      </c>
      <c r="O954" s="1584">
        <v>1.4999999999999999E-2</v>
      </c>
      <c r="R954" s="91" t="b">
        <f t="shared" si="139"/>
        <v>0</v>
      </c>
      <c r="S954" s="21" t="b">
        <f t="shared" si="140"/>
        <v>0</v>
      </c>
      <c r="T954" s="97" t="b">
        <f t="shared" si="141"/>
        <v>0</v>
      </c>
    </row>
    <row r="955" spans="2:20">
      <c r="B955" s="905" t="s">
        <v>4067</v>
      </c>
      <c r="C955" s="433">
        <v>43</v>
      </c>
      <c r="D955" t="str">
        <f>VLOOKUP($C955,param!$A$4:$B$266,2)</f>
        <v>NCB Region A Marketing Spend Effectiveness</v>
      </c>
      <c r="E955" s="183">
        <f>INDEX($K955:$O955,SUMIF(cbal!E$280:E$296,$B955,cbal!$D$280:$D$296)+1)</f>
        <v>0</v>
      </c>
      <c r="F955" s="183">
        <f>INDEX($K955:$O955,SUMIF(cbal!F$280:F$296,$B955,cbal!$D$280:$D$296)+1)</f>
        <v>0</v>
      </c>
      <c r="G955" s="183">
        <f>INDEX($K955:$O955,SUMIF(cbal!G$280:G$296,$B955,cbal!$D$280:$D$296)+1)</f>
        <v>0</v>
      </c>
      <c r="H955" s="183">
        <f>INDEX($K955:$O955,SUMIF(cbal!H$280:H$296,$B955,cbal!$D$280:$D$296)+1)</f>
        <v>0</v>
      </c>
      <c r="I955" s="183">
        <f>INDEX($K955:$O955,SUMIF(cbal!I$280:I$296,$B955,cbal!$D$280:$D$296)+1)</f>
        <v>0</v>
      </c>
      <c r="K955" s="1577"/>
      <c r="L955" s="1584">
        <v>1.4999999999999999E-2</v>
      </c>
      <c r="M955" s="1584">
        <v>1.4999999999999999E-2</v>
      </c>
      <c r="N955" s="1584">
        <v>1.4999999999999999E-2</v>
      </c>
      <c r="O955" s="1584">
        <v>1.4999999999999999E-2</v>
      </c>
      <c r="R955" s="91" t="b">
        <f t="shared" ref="R955:R1018" si="142">IF(AND(C955&gt;166,C955&lt;171.5),L955)</f>
        <v>0</v>
      </c>
      <c r="S955" s="21" t="b">
        <f t="shared" ref="S955:S1018" si="143">IF(AND(C955&gt;166,C955&lt;171.5),M955)</f>
        <v>0</v>
      </c>
      <c r="T955" s="97" t="b">
        <f t="shared" ref="T955:T1018" si="144">IF(C955=133.5,L955)</f>
        <v>0</v>
      </c>
    </row>
    <row r="956" spans="2:20">
      <c r="B956" s="905" t="s">
        <v>4067</v>
      </c>
      <c r="C956" s="433">
        <v>76</v>
      </c>
      <c r="D956" t="str">
        <f>VLOOKUP($C956,param!$A$4:$B$266,2)</f>
        <v>F&amp;S Region A Marketing Spend Effectiveness</v>
      </c>
      <c r="E956" s="183">
        <f>INDEX($K956:$O956,SUMIF(cbal!E$280:E$296,$B956,cbal!$D$280:$D$296)+1)</f>
        <v>0</v>
      </c>
      <c r="F956" s="183">
        <f>INDEX($K956:$O956,SUMIF(cbal!F$280:F$296,$B956,cbal!$D$280:$D$296)+1)</f>
        <v>0</v>
      </c>
      <c r="G956" s="183">
        <f>INDEX($K956:$O956,SUMIF(cbal!G$280:G$296,$B956,cbal!$D$280:$D$296)+1)</f>
        <v>0</v>
      </c>
      <c r="H956" s="183">
        <f>INDEX($K956:$O956,SUMIF(cbal!H$280:H$296,$B956,cbal!$D$280:$D$296)+1)</f>
        <v>0</v>
      </c>
      <c r="I956" s="183">
        <f>INDEX($K956:$O956,SUMIF(cbal!I$280:I$296,$B956,cbal!$D$280:$D$296)+1)</f>
        <v>0</v>
      </c>
      <c r="K956" s="1577"/>
      <c r="L956" s="1584">
        <v>1.4999999999999999E-2</v>
      </c>
      <c r="M956" s="1584">
        <v>1.4999999999999999E-2</v>
      </c>
      <c r="N956" s="1584">
        <v>1.4999999999999999E-2</v>
      </c>
      <c r="O956" s="1584">
        <v>1.4999999999999999E-2</v>
      </c>
      <c r="R956" s="91" t="b">
        <f t="shared" si="142"/>
        <v>0</v>
      </c>
      <c r="S956" s="21" t="b">
        <f t="shared" si="143"/>
        <v>0</v>
      </c>
      <c r="T956" s="97" t="b">
        <f t="shared" si="144"/>
        <v>0</v>
      </c>
    </row>
    <row r="957" spans="2:20">
      <c r="B957" s="905" t="s">
        <v>4067</v>
      </c>
      <c r="C957" s="433">
        <v>167</v>
      </c>
      <c r="D957" t="str">
        <f>VLOOKUP($C957,param!$A$4:$B$266,2)</f>
        <v>Special Program Expense</v>
      </c>
      <c r="E957" s="183">
        <f>INDEX($K957:$O957,SUMIF(cbal!E$280:E$296,$B957,cbal!$D$280:$D$296)+1)</f>
        <v>0</v>
      </c>
      <c r="F957" s="183">
        <f>INDEX($K957:$O957,SUMIF(cbal!F$280:F$296,$B957,cbal!$D$280:$D$296)+1)</f>
        <v>0</v>
      </c>
      <c r="G957" s="183">
        <f>INDEX($K957:$O957,SUMIF(cbal!G$280:G$296,$B957,cbal!$D$280:$D$296)+1)</f>
        <v>0</v>
      </c>
      <c r="H957" s="183">
        <f>INDEX($K957:$O957,SUMIF(cbal!H$280:H$296,$B957,cbal!$D$280:$D$296)+1)</f>
        <v>0</v>
      </c>
      <c r="I957" s="183">
        <f>INDEX($K957:$O957,SUMIF(cbal!I$280:I$296,$B957,cbal!$D$280:$D$296)+1)</f>
        <v>0</v>
      </c>
      <c r="K957" s="1577"/>
      <c r="L957" s="1592">
        <v>2000000</v>
      </c>
      <c r="M957" s="1592">
        <v>750000</v>
      </c>
      <c r="N957" s="1592">
        <v>750000</v>
      </c>
      <c r="O957" s="1592">
        <v>750000</v>
      </c>
      <c r="R957" s="91">
        <f t="shared" si="142"/>
        <v>2000000</v>
      </c>
      <c r="S957" s="21">
        <f t="shared" si="143"/>
        <v>750000</v>
      </c>
      <c r="T957" s="97" t="b">
        <f t="shared" si="144"/>
        <v>0</v>
      </c>
    </row>
    <row r="958" spans="2:20">
      <c r="B958" s="905" t="s">
        <v>4067</v>
      </c>
      <c r="C958" s="433">
        <v>133.5</v>
      </c>
      <c r="D958" t="str">
        <f>VLOOKUP($C958,param!$A$4:$B$266,2)</f>
        <v>MTU Initiatives Allocation</v>
      </c>
      <c r="E958" s="183">
        <f>INDEX($K958:$O958,SUMIF(cbal!E$280:E$296,$B958,cbal!$D$280:$D$296)+1)</f>
        <v>0</v>
      </c>
      <c r="F958" s="183">
        <f>INDEX($K958:$O958,SUMIF(cbal!F$280:F$296,$B958,cbal!$D$280:$D$296)+1)</f>
        <v>0</v>
      </c>
      <c r="G958" s="183">
        <f>INDEX($K958:$O958,SUMIF(cbal!G$280:G$296,$B958,cbal!$D$280:$D$296)+1)</f>
        <v>0</v>
      </c>
      <c r="H958" s="183">
        <f>INDEX($K958:$O958,SUMIF(cbal!H$280:H$296,$B958,cbal!$D$280:$D$296)+1)</f>
        <v>0</v>
      </c>
      <c r="I958" s="183">
        <f>INDEX($K958:$O958,SUMIF(cbal!I$280:I$296,$B958,cbal!$D$280:$D$296)+1)</f>
        <v>0</v>
      </c>
      <c r="K958" s="1577"/>
      <c r="L958" s="1593">
        <v>5</v>
      </c>
      <c r="M958" s="1585"/>
      <c r="N958" s="1585"/>
      <c r="O958" s="1585"/>
      <c r="R958" s="91" t="b">
        <f t="shared" si="142"/>
        <v>0</v>
      </c>
      <c r="S958" s="21" t="b">
        <f t="shared" si="143"/>
        <v>0</v>
      </c>
      <c r="T958" s="97">
        <f t="shared" si="144"/>
        <v>5</v>
      </c>
    </row>
    <row r="959" spans="2:20">
      <c r="B959" s="905" t="s">
        <v>4067</v>
      </c>
      <c r="C959" s="433">
        <v>201</v>
      </c>
      <c r="D959" t="str">
        <f>VLOOKUP($C959,param!$A$4:$B$266,2)</f>
        <v>Brands Strategy</v>
      </c>
      <c r="E959" s="183">
        <f>INDEX($K959:$O959,SUMIF(cbal!E$280:E$296,$B959,cbal!$D$280:$D$296)+1)</f>
        <v>0</v>
      </c>
      <c r="F959" s="183">
        <f>INDEX($K959:$O959,SUMIF(cbal!F$280:F$296,$B959,cbal!$D$280:$D$296)+1)</f>
        <v>0</v>
      </c>
      <c r="G959" s="183">
        <f>INDEX($K959:$O959,SUMIF(cbal!G$280:G$296,$B959,cbal!$D$280:$D$296)+1)</f>
        <v>0</v>
      </c>
      <c r="H959" s="183">
        <f>INDEX($K959:$O959,SUMIF(cbal!H$280:H$296,$B959,cbal!$D$280:$D$296)+1)</f>
        <v>0</v>
      </c>
      <c r="I959" s="183">
        <f>INDEX($K959:$O959,SUMIF(cbal!I$280:I$296,$B959,cbal!$D$280:$D$296)+1)</f>
        <v>0</v>
      </c>
      <c r="K959" s="1577"/>
      <c r="L959" s="1593">
        <v>5</v>
      </c>
      <c r="M959" s="1593">
        <v>5</v>
      </c>
      <c r="N959" s="1593">
        <v>5</v>
      </c>
      <c r="O959" s="1593">
        <v>5</v>
      </c>
      <c r="R959" s="91" t="b">
        <f t="shared" si="142"/>
        <v>0</v>
      </c>
      <c r="S959" s="21" t="b">
        <f t="shared" si="143"/>
        <v>0</v>
      </c>
      <c r="T959" s="97" t="b">
        <f t="shared" si="144"/>
        <v>0</v>
      </c>
    </row>
    <row r="960" spans="2:20">
      <c r="B960">
        <v>0</v>
      </c>
      <c r="C960" s="433">
        <v>0</v>
      </c>
      <c r="E960" s="183"/>
      <c r="F960" s="183"/>
      <c r="G960" s="183"/>
      <c r="H960" s="183"/>
      <c r="I960" s="183"/>
      <c r="K960" s="1577"/>
      <c r="L960" s="1585"/>
      <c r="M960" s="1585"/>
      <c r="N960" s="1585"/>
      <c r="O960" s="1585"/>
      <c r="R960" s="91">
        <v>0</v>
      </c>
      <c r="S960" s="21">
        <v>0</v>
      </c>
      <c r="T960" s="97">
        <v>0</v>
      </c>
    </row>
    <row r="961" spans="2:20">
      <c r="B961" s="905" t="s">
        <v>4068</v>
      </c>
      <c r="C961" t="str">
        <f>VLOOKUP(B961,DataInitiativesGrid,2,0)</f>
        <v>Vivia Friends</v>
      </c>
      <c r="E961" s="183">
        <f>INDEX($K961:$O961,SUMIF(cbal!E$280:E$296,$B961,cbal!$D$280:$D$296)+1)</f>
        <v>0</v>
      </c>
      <c r="F961" s="183">
        <f>INDEX($K961:$O961,SUMIF(cbal!F$280:F$296,$B961,cbal!$D$280:$D$296)+1)</f>
        <v>0</v>
      </c>
      <c r="G961" s="183">
        <f>INDEX($K961:$O961,SUMIF(cbal!G$280:G$296,$B961,cbal!$D$280:$D$296)+1)</f>
        <v>0</v>
      </c>
      <c r="H961" s="183">
        <f>INDEX($K961:$O961,SUMIF(cbal!H$280:H$296,$B961,cbal!$D$280:$D$296)+1)</f>
        <v>0</v>
      </c>
      <c r="I961" s="183">
        <f>INDEX($K961:$O961,SUMIF(cbal!I$280:I$296,$B961,cbal!$D$280:$D$296)+1)</f>
        <v>0</v>
      </c>
      <c r="K961" s="1577"/>
      <c r="L961" s="1585"/>
      <c r="M961" s="1585"/>
      <c r="N961" s="1585"/>
      <c r="O961" s="1585"/>
      <c r="R961" s="91">
        <v>0</v>
      </c>
      <c r="S961" s="21">
        <v>0</v>
      </c>
      <c r="T961" s="97">
        <v>0</v>
      </c>
    </row>
    <row r="962" spans="2:20">
      <c r="B962" s="905" t="s">
        <v>4068</v>
      </c>
      <c r="C962" s="433">
        <v>5</v>
      </c>
      <c r="D962" t="str">
        <f>VLOOKUP($C962,param!$A$4:$B$266,2)</f>
        <v>CSD Region A Marketing Spend Effectiveness</v>
      </c>
      <c r="E962" s="183">
        <f>INDEX($K962:$O962,SUMIF(cbal!E$280:E$296,$B962,cbal!$D$280:$D$296)+1)</f>
        <v>0</v>
      </c>
      <c r="F962" s="183">
        <f>INDEX($K962:$O962,SUMIF(cbal!F$280:F$296,$B962,cbal!$D$280:$D$296)+1)</f>
        <v>0</v>
      </c>
      <c r="G962" s="183">
        <f>INDEX($K962:$O962,SUMIF(cbal!G$280:G$296,$B962,cbal!$D$280:$D$296)+1)</f>
        <v>0</v>
      </c>
      <c r="H962" s="183">
        <f>INDEX($K962:$O962,SUMIF(cbal!H$280:H$296,$B962,cbal!$D$280:$D$296)+1)</f>
        <v>0</v>
      </c>
      <c r="I962" s="183">
        <f>INDEX($K962:$O962,SUMIF(cbal!I$280:I$296,$B962,cbal!$D$280:$D$296)+1)</f>
        <v>0</v>
      </c>
      <c r="K962" s="1577"/>
      <c r="L962" s="1584">
        <v>1.4999999999999999E-2</v>
      </c>
      <c r="M962" s="1584">
        <v>1.4999999999999999E-2</v>
      </c>
      <c r="N962" s="1584">
        <v>1.4999999999999999E-2</v>
      </c>
      <c r="O962" s="1584">
        <v>1.4999999999999999E-2</v>
      </c>
      <c r="R962" s="91" t="b">
        <f t="shared" si="142"/>
        <v>0</v>
      </c>
      <c r="S962" s="21" t="b">
        <f t="shared" si="143"/>
        <v>0</v>
      </c>
      <c r="T962" s="97" t="b">
        <f t="shared" si="144"/>
        <v>0</v>
      </c>
    </row>
    <row r="963" spans="2:20">
      <c r="B963" s="905" t="s">
        <v>4068</v>
      </c>
      <c r="C963" s="433">
        <v>43</v>
      </c>
      <c r="D963" t="str">
        <f>VLOOKUP($C963,param!$A$4:$B$266,2)</f>
        <v>NCB Region A Marketing Spend Effectiveness</v>
      </c>
      <c r="E963" s="183">
        <f>INDEX($K963:$O963,SUMIF(cbal!E$280:E$296,$B963,cbal!$D$280:$D$296)+1)</f>
        <v>0</v>
      </c>
      <c r="F963" s="183">
        <f>INDEX($K963:$O963,SUMIF(cbal!F$280:F$296,$B963,cbal!$D$280:$D$296)+1)</f>
        <v>0</v>
      </c>
      <c r="G963" s="183">
        <f>INDEX($K963:$O963,SUMIF(cbal!G$280:G$296,$B963,cbal!$D$280:$D$296)+1)</f>
        <v>0</v>
      </c>
      <c r="H963" s="183">
        <f>INDEX($K963:$O963,SUMIF(cbal!H$280:H$296,$B963,cbal!$D$280:$D$296)+1)</f>
        <v>0</v>
      </c>
      <c r="I963" s="183">
        <f>INDEX($K963:$O963,SUMIF(cbal!I$280:I$296,$B963,cbal!$D$280:$D$296)+1)</f>
        <v>0</v>
      </c>
      <c r="K963" s="1577"/>
      <c r="L963" s="1584">
        <v>1.4999999999999999E-2</v>
      </c>
      <c r="M963" s="1584">
        <v>1.4999999999999999E-2</v>
      </c>
      <c r="N963" s="1584">
        <v>1.4999999999999999E-2</v>
      </c>
      <c r="O963" s="1584">
        <v>1.4999999999999999E-2</v>
      </c>
      <c r="R963" s="91" t="b">
        <f t="shared" si="142"/>
        <v>0</v>
      </c>
      <c r="S963" s="21" t="b">
        <f t="shared" si="143"/>
        <v>0</v>
      </c>
      <c r="T963" s="97" t="b">
        <f t="shared" si="144"/>
        <v>0</v>
      </c>
    </row>
    <row r="964" spans="2:20">
      <c r="B964" s="905" t="s">
        <v>4068</v>
      </c>
      <c r="C964" s="433">
        <v>76</v>
      </c>
      <c r="D964" t="str">
        <f>VLOOKUP($C964,param!$A$4:$B$266,2)</f>
        <v>F&amp;S Region A Marketing Spend Effectiveness</v>
      </c>
      <c r="E964" s="183">
        <f>INDEX($K964:$O964,SUMIF(cbal!E$280:E$296,$B964,cbal!$D$280:$D$296)+1)</f>
        <v>0</v>
      </c>
      <c r="F964" s="183">
        <f>INDEX($K964:$O964,SUMIF(cbal!F$280:F$296,$B964,cbal!$D$280:$D$296)+1)</f>
        <v>0</v>
      </c>
      <c r="G964" s="183">
        <f>INDEX($K964:$O964,SUMIF(cbal!G$280:G$296,$B964,cbal!$D$280:$D$296)+1)</f>
        <v>0</v>
      </c>
      <c r="H964" s="183">
        <f>INDEX($K964:$O964,SUMIF(cbal!H$280:H$296,$B964,cbal!$D$280:$D$296)+1)</f>
        <v>0</v>
      </c>
      <c r="I964" s="183">
        <f>INDEX($K964:$O964,SUMIF(cbal!I$280:I$296,$B964,cbal!$D$280:$D$296)+1)</f>
        <v>0</v>
      </c>
      <c r="K964" s="1577"/>
      <c r="L964" s="1584">
        <v>1.4999999999999999E-2</v>
      </c>
      <c r="M964" s="1584">
        <v>1.4999999999999999E-2</v>
      </c>
      <c r="N964" s="1584">
        <v>1.4999999999999999E-2</v>
      </c>
      <c r="O964" s="1584">
        <v>1.4999999999999999E-2</v>
      </c>
      <c r="R964" s="91" t="b">
        <f t="shared" si="142"/>
        <v>0</v>
      </c>
      <c r="S964" s="21" t="b">
        <f t="shared" si="143"/>
        <v>0</v>
      </c>
      <c r="T964" s="97" t="b">
        <f t="shared" si="144"/>
        <v>0</v>
      </c>
    </row>
    <row r="965" spans="2:20">
      <c r="B965" s="905" t="s">
        <v>4068</v>
      </c>
      <c r="C965" s="433">
        <v>172</v>
      </c>
      <c r="D965" t="str">
        <f>VLOOKUP($C965,param!$A$4:$B$266,2)</f>
        <v>Region 1 Special Program Success CSD</v>
      </c>
      <c r="E965" s="183">
        <f>INDEX($K965:$O965,SUMIF(cbal!E$280:E$296,$B965,cbal!$D$280:$D$296)+1)</f>
        <v>0</v>
      </c>
      <c r="F965" s="183">
        <f>INDEX($K965:$O965,SUMIF(cbal!F$280:F$296,$B965,cbal!$D$280:$D$296)+1)</f>
        <v>0</v>
      </c>
      <c r="G965" s="183">
        <f>INDEX($K965:$O965,SUMIF(cbal!G$280:G$296,$B965,cbal!$D$280:$D$296)+1)</f>
        <v>0</v>
      </c>
      <c r="H965" s="183">
        <f>INDEX($K965:$O965,SUMIF(cbal!H$280:H$296,$B965,cbal!$D$280:$D$296)+1)</f>
        <v>0</v>
      </c>
      <c r="I965" s="183">
        <f>INDEX($K965:$O965,SUMIF(cbal!I$280:I$296,$B965,cbal!$D$280:$D$296)+1)</f>
        <v>0</v>
      </c>
      <c r="K965" s="1577"/>
      <c r="L965" s="1585">
        <v>0.01</v>
      </c>
      <c r="M965" s="1585">
        <v>0.01</v>
      </c>
      <c r="N965" s="1585">
        <v>0.01</v>
      </c>
      <c r="O965" s="1585">
        <v>0.01</v>
      </c>
      <c r="R965" s="91" t="b">
        <f t="shared" si="142"/>
        <v>0</v>
      </c>
      <c r="S965" s="21" t="b">
        <f t="shared" si="143"/>
        <v>0</v>
      </c>
      <c r="T965" s="97" t="b">
        <f t="shared" si="144"/>
        <v>0</v>
      </c>
    </row>
    <row r="966" spans="2:20">
      <c r="B966" s="905" t="s">
        <v>4068</v>
      </c>
      <c r="C966" s="433">
        <v>174</v>
      </c>
      <c r="D966" t="str">
        <f>VLOOKUP($C966,param!$A$4:$B$266,2)</f>
        <v>Region 1 Special Program Success NCB</v>
      </c>
      <c r="E966" s="183">
        <f>INDEX($K966:$O966,SUMIF(cbal!E$280:E$296,$B966,cbal!$D$280:$D$296)+1)</f>
        <v>0</v>
      </c>
      <c r="F966" s="183">
        <f>INDEX($K966:$O966,SUMIF(cbal!F$280:F$296,$B966,cbal!$D$280:$D$296)+1)</f>
        <v>0</v>
      </c>
      <c r="G966" s="183">
        <f>INDEX($K966:$O966,SUMIF(cbal!G$280:G$296,$B966,cbal!$D$280:$D$296)+1)</f>
        <v>0</v>
      </c>
      <c r="H966" s="183">
        <f>INDEX($K966:$O966,SUMIF(cbal!H$280:H$296,$B966,cbal!$D$280:$D$296)+1)</f>
        <v>0</v>
      </c>
      <c r="I966" s="183">
        <f>INDEX($K966:$O966,SUMIF(cbal!I$280:I$296,$B966,cbal!$D$280:$D$296)+1)</f>
        <v>0</v>
      </c>
      <c r="K966" s="1577"/>
      <c r="L966" s="1585">
        <v>0.01</v>
      </c>
      <c r="M966" s="1585">
        <v>0.01</v>
      </c>
      <c r="N966" s="1585">
        <v>0.01</v>
      </c>
      <c r="O966" s="1585">
        <v>0.01</v>
      </c>
      <c r="R966" s="91" t="b">
        <f t="shared" si="142"/>
        <v>0</v>
      </c>
      <c r="S966" s="21" t="b">
        <f t="shared" si="143"/>
        <v>0</v>
      </c>
      <c r="T966" s="97" t="b">
        <f t="shared" si="144"/>
        <v>0</v>
      </c>
    </row>
    <row r="967" spans="2:20">
      <c r="B967" s="905" t="s">
        <v>4068</v>
      </c>
      <c r="C967" s="433">
        <v>175</v>
      </c>
      <c r="D967" t="str">
        <f>VLOOKUP($C967,param!$A$4:$B$266,2)</f>
        <v>Region 1 Special Program Success F&amp;S</v>
      </c>
      <c r="E967" s="183">
        <f>INDEX($K967:$O967,SUMIF(cbal!E$280:E$296,$B967,cbal!$D$280:$D$296)+1)</f>
        <v>0</v>
      </c>
      <c r="F967" s="183">
        <f>INDEX($K967:$O967,SUMIF(cbal!F$280:F$296,$B967,cbal!$D$280:$D$296)+1)</f>
        <v>0</v>
      </c>
      <c r="G967" s="183">
        <f>INDEX($K967:$O967,SUMIF(cbal!G$280:G$296,$B967,cbal!$D$280:$D$296)+1)</f>
        <v>0</v>
      </c>
      <c r="H967" s="183">
        <f>INDEX($K967:$O967,SUMIF(cbal!H$280:H$296,$B967,cbal!$D$280:$D$296)+1)</f>
        <v>0</v>
      </c>
      <c r="I967" s="183">
        <f>INDEX($K967:$O967,SUMIF(cbal!I$280:I$296,$B967,cbal!$D$280:$D$296)+1)</f>
        <v>0</v>
      </c>
      <c r="K967" s="1577"/>
      <c r="L967" s="1585">
        <v>0.01</v>
      </c>
      <c r="M967" s="1585">
        <v>0.01</v>
      </c>
      <c r="N967" s="1585">
        <v>0.01</v>
      </c>
      <c r="O967" s="1585">
        <v>0.01</v>
      </c>
      <c r="R967" s="91" t="b">
        <f t="shared" si="142"/>
        <v>0</v>
      </c>
      <c r="S967" s="21" t="b">
        <f t="shared" si="143"/>
        <v>0</v>
      </c>
      <c r="T967" s="97" t="b">
        <f t="shared" si="144"/>
        <v>0</v>
      </c>
    </row>
    <row r="968" spans="2:20">
      <c r="B968" s="905" t="s">
        <v>4068</v>
      </c>
      <c r="C968" s="433">
        <v>198</v>
      </c>
      <c r="D968" t="str">
        <f>VLOOKUP($C968,param!$A$4:$B$266,2)</f>
        <v>Community</v>
      </c>
      <c r="E968" s="183">
        <f>INDEX($K968:$O968,SUMIF(cbal!E$280:E$296,$B968,cbal!$D$280:$D$296)+1)</f>
        <v>0</v>
      </c>
      <c r="F968" s="183">
        <f>INDEX($K968:$O968,SUMIF(cbal!F$280:F$296,$B968,cbal!$D$280:$D$296)+1)</f>
        <v>0</v>
      </c>
      <c r="G968" s="183">
        <f>INDEX($K968:$O968,SUMIF(cbal!G$280:G$296,$B968,cbal!$D$280:$D$296)+1)</f>
        <v>0</v>
      </c>
      <c r="H968" s="183">
        <f>INDEX($K968:$O968,SUMIF(cbal!H$280:H$296,$B968,cbal!$D$280:$D$296)+1)</f>
        <v>0</v>
      </c>
      <c r="I968" s="183">
        <f>INDEX($K968:$O968,SUMIF(cbal!I$280:I$296,$B968,cbal!$D$280:$D$296)+1)</f>
        <v>0</v>
      </c>
      <c r="K968" s="1577"/>
      <c r="L968" s="1585">
        <v>0.01</v>
      </c>
      <c r="M968" s="1585">
        <v>0.01</v>
      </c>
      <c r="N968" s="1585">
        <v>0.01</v>
      </c>
      <c r="O968" s="1585">
        <v>0.01</v>
      </c>
      <c r="R968" s="91" t="b">
        <f t="shared" si="142"/>
        <v>0</v>
      </c>
      <c r="S968" s="21" t="b">
        <f t="shared" si="143"/>
        <v>0</v>
      </c>
      <c r="T968" s="97" t="b">
        <f t="shared" si="144"/>
        <v>0</v>
      </c>
    </row>
    <row r="969" spans="2:20">
      <c r="B969" s="905" t="s">
        <v>4068</v>
      </c>
      <c r="C969" s="433">
        <v>167</v>
      </c>
      <c r="D969" t="str">
        <f>VLOOKUP($C969,param!$A$4:$B$266,2)</f>
        <v>Special Program Expense</v>
      </c>
      <c r="E969" s="183">
        <f>INDEX($K969:$O969,SUMIF(cbal!E$280:E$296,$B969,cbal!$D$280:$D$296)+1)</f>
        <v>0</v>
      </c>
      <c r="F969" s="183">
        <f>INDEX($K969:$O969,SUMIF(cbal!F$280:F$296,$B969,cbal!$D$280:$D$296)+1)</f>
        <v>0</v>
      </c>
      <c r="G969" s="183">
        <f>INDEX($K969:$O969,SUMIF(cbal!G$280:G$296,$B969,cbal!$D$280:$D$296)+1)</f>
        <v>0</v>
      </c>
      <c r="H969" s="183">
        <f>INDEX($K969:$O969,SUMIF(cbal!H$280:H$296,$B969,cbal!$D$280:$D$296)+1)</f>
        <v>0</v>
      </c>
      <c r="I969" s="183">
        <f>INDEX($K969:$O969,SUMIF(cbal!I$280:I$296,$B969,cbal!$D$280:$D$296)+1)</f>
        <v>0</v>
      </c>
      <c r="K969" s="1577"/>
      <c r="L969" s="1592">
        <v>500000</v>
      </c>
      <c r="M969" s="1585"/>
      <c r="N969" s="1585"/>
      <c r="O969" s="1585"/>
      <c r="R969" s="91">
        <f t="shared" si="142"/>
        <v>500000</v>
      </c>
      <c r="S969" s="21">
        <f t="shared" si="143"/>
        <v>0</v>
      </c>
      <c r="T969" s="97" t="b">
        <f t="shared" si="144"/>
        <v>0</v>
      </c>
    </row>
    <row r="970" spans="2:20">
      <c r="B970" s="905" t="s">
        <v>4068</v>
      </c>
      <c r="C970" s="433">
        <v>133.5</v>
      </c>
      <c r="D970" t="str">
        <f>VLOOKUP($C970,param!$A$4:$B$266,2)</f>
        <v>MTU Initiatives Allocation</v>
      </c>
      <c r="E970" s="183">
        <f>INDEX($K970:$O970,SUMIF(cbal!E$280:E$296,$B970,cbal!$D$280:$D$296)+1)</f>
        <v>0</v>
      </c>
      <c r="F970" s="183">
        <f>INDEX($K970:$O970,SUMIF(cbal!F$280:F$296,$B970,cbal!$D$280:$D$296)+1)</f>
        <v>0</v>
      </c>
      <c r="G970" s="183">
        <f>INDEX($K970:$O970,SUMIF(cbal!G$280:G$296,$B970,cbal!$D$280:$D$296)+1)</f>
        <v>0</v>
      </c>
      <c r="H970" s="183">
        <f>INDEX($K970:$O970,SUMIF(cbal!H$280:H$296,$B970,cbal!$D$280:$D$296)+1)</f>
        <v>0</v>
      </c>
      <c r="I970" s="183">
        <f>INDEX($K970:$O970,SUMIF(cbal!I$280:I$296,$B970,cbal!$D$280:$D$296)+1)</f>
        <v>0</v>
      </c>
      <c r="K970" s="1577"/>
      <c r="L970" s="1593">
        <v>5</v>
      </c>
      <c r="M970" s="1585"/>
      <c r="N970" s="1585"/>
      <c r="O970" s="1585"/>
      <c r="R970" s="91" t="b">
        <f t="shared" si="142"/>
        <v>0</v>
      </c>
      <c r="S970" s="21" t="b">
        <f t="shared" si="143"/>
        <v>0</v>
      </c>
      <c r="T970" s="97">
        <f t="shared" si="144"/>
        <v>5</v>
      </c>
    </row>
    <row r="971" spans="2:20">
      <c r="B971" s="905" t="s">
        <v>4068</v>
      </c>
      <c r="C971" s="433">
        <v>201</v>
      </c>
      <c r="D971" t="str">
        <f>VLOOKUP($C971,param!$A$4:$B$266,2)</f>
        <v>Brands Strategy</v>
      </c>
      <c r="E971" s="183">
        <f>INDEX($K971:$O971,SUMIF(cbal!E$280:E$296,$B971,cbal!$D$280:$D$296)+1)</f>
        <v>0</v>
      </c>
      <c r="F971" s="183">
        <f>INDEX($K971:$O971,SUMIF(cbal!F$280:F$296,$B971,cbal!$D$280:$D$296)+1)</f>
        <v>0</v>
      </c>
      <c r="G971" s="183">
        <f>INDEX($K971:$O971,SUMIF(cbal!G$280:G$296,$B971,cbal!$D$280:$D$296)+1)</f>
        <v>0</v>
      </c>
      <c r="H971" s="183">
        <f>INDEX($K971:$O971,SUMIF(cbal!H$280:H$296,$B971,cbal!$D$280:$D$296)+1)</f>
        <v>0</v>
      </c>
      <c r="I971" s="183">
        <f>INDEX($K971:$O971,SUMIF(cbal!I$280:I$296,$B971,cbal!$D$280:$D$296)+1)</f>
        <v>0</v>
      </c>
      <c r="K971" s="1577"/>
      <c r="L971" s="1593">
        <v>5</v>
      </c>
      <c r="M971" s="1593">
        <v>5</v>
      </c>
      <c r="N971" s="1593">
        <v>5</v>
      </c>
      <c r="O971" s="1593">
        <v>5</v>
      </c>
      <c r="R971" s="91" t="b">
        <f t="shared" si="142"/>
        <v>0</v>
      </c>
      <c r="S971" s="21" t="b">
        <f t="shared" si="143"/>
        <v>0</v>
      </c>
      <c r="T971" s="97" t="b">
        <f t="shared" si="144"/>
        <v>0</v>
      </c>
    </row>
    <row r="972" spans="2:20">
      <c r="B972">
        <v>0</v>
      </c>
      <c r="C972" s="433">
        <v>0</v>
      </c>
      <c r="E972" s="183"/>
      <c r="F972" s="183"/>
      <c r="G972" s="183"/>
      <c r="H972" s="183"/>
      <c r="I972" s="183"/>
      <c r="K972" s="1577"/>
      <c r="L972" s="1585"/>
      <c r="M972" s="1585"/>
      <c r="N972" s="1585"/>
      <c r="O972" s="1585"/>
      <c r="R972" s="91">
        <v>0</v>
      </c>
      <c r="S972" s="21">
        <v>0</v>
      </c>
      <c r="T972" s="97">
        <v>0</v>
      </c>
    </row>
    <row r="973" spans="2:20">
      <c r="B973" s="905" t="s">
        <v>4069</v>
      </c>
      <c r="C973" t="str">
        <f>VLOOKUP(B973,DataInitiativesGrid,2,0)</f>
        <v>SportsStar Campaign</v>
      </c>
      <c r="E973" s="183">
        <f>INDEX($K973:$O973,SUMIF(cbal!E$280:E$296,$B973,cbal!$D$280:$D$296)+1)</f>
        <v>0</v>
      </c>
      <c r="F973" s="183">
        <f>INDEX($K973:$O973,SUMIF(cbal!F$280:F$296,$B973,cbal!$D$280:$D$296)+1)</f>
        <v>0</v>
      </c>
      <c r="G973" s="183">
        <f>INDEX($K973:$O973,SUMIF(cbal!G$280:G$296,$B973,cbal!$D$280:$D$296)+1)</f>
        <v>0</v>
      </c>
      <c r="H973" s="183">
        <f>INDEX($K973:$O973,SUMIF(cbal!H$280:H$296,$B973,cbal!$D$280:$D$296)+1)</f>
        <v>0</v>
      </c>
      <c r="I973" s="183">
        <f>INDEX($K973:$O973,SUMIF(cbal!I$280:I$296,$B973,cbal!$D$280:$D$296)+1)</f>
        <v>0</v>
      </c>
      <c r="K973" s="1577"/>
      <c r="L973" s="1585"/>
      <c r="M973" s="1585"/>
      <c r="N973" s="1585"/>
      <c r="O973" s="1585"/>
      <c r="R973" s="91">
        <v>0</v>
      </c>
      <c r="S973" s="21">
        <v>0</v>
      </c>
      <c r="T973" s="97">
        <v>0</v>
      </c>
    </row>
    <row r="974" spans="2:20">
      <c r="B974" s="905" t="s">
        <v>4069</v>
      </c>
      <c r="C974" s="433">
        <v>43</v>
      </c>
      <c r="D974" t="str">
        <f>VLOOKUP($C974,param!$A$4:$B$266,2)</f>
        <v>NCB Region A Marketing Spend Effectiveness</v>
      </c>
      <c r="E974" s="183">
        <f>INDEX($K974:$O974,SUMIF(cbal!E$280:E$296,$B974,cbal!$D$280:$D$296)+1)</f>
        <v>0</v>
      </c>
      <c r="F974" s="183">
        <f>INDEX($K974:$O974,SUMIF(cbal!F$280:F$296,$B974,cbal!$D$280:$D$296)+1)</f>
        <v>0</v>
      </c>
      <c r="G974" s="183">
        <f>INDEX($K974:$O974,SUMIF(cbal!G$280:G$296,$B974,cbal!$D$280:$D$296)+1)</f>
        <v>0</v>
      </c>
      <c r="H974" s="183">
        <f>INDEX($K974:$O974,SUMIF(cbal!H$280:H$296,$B974,cbal!$D$280:$D$296)+1)</f>
        <v>0</v>
      </c>
      <c r="I974" s="183">
        <f>INDEX($K974:$O974,SUMIF(cbal!I$280:I$296,$B974,cbal!$D$280:$D$296)+1)</f>
        <v>0</v>
      </c>
      <c r="K974" s="1577"/>
      <c r="L974" s="1584">
        <v>1.4999999999999999E-2</v>
      </c>
      <c r="M974" s="1584">
        <v>1.4999999999999999E-2</v>
      </c>
      <c r="N974" s="1584">
        <v>1.4999999999999999E-2</v>
      </c>
      <c r="O974" s="1584">
        <v>1.4999999999999999E-2</v>
      </c>
      <c r="R974" s="91" t="b">
        <f t="shared" si="142"/>
        <v>0</v>
      </c>
      <c r="S974" s="21" t="b">
        <f t="shared" si="143"/>
        <v>0</v>
      </c>
      <c r="T974" s="97" t="b">
        <f t="shared" si="144"/>
        <v>0</v>
      </c>
    </row>
    <row r="975" spans="2:20">
      <c r="B975" s="905" t="s">
        <v>4069</v>
      </c>
      <c r="C975" s="433">
        <v>43.1</v>
      </c>
      <c r="D975" t="str">
        <f>VLOOKUP($C975,param!$A$4:$B$266,2)</f>
        <v>NCB Region B Marketing Spend Effectiveness</v>
      </c>
      <c r="E975" s="183">
        <f>INDEX($K975:$O975,SUMIF(cbal!E$280:E$296,$B975,cbal!$D$280:$D$296)+1)</f>
        <v>0</v>
      </c>
      <c r="F975" s="183">
        <f>INDEX($K975:$O975,SUMIF(cbal!F$280:F$296,$B975,cbal!$D$280:$D$296)+1)</f>
        <v>0</v>
      </c>
      <c r="G975" s="183">
        <f>INDEX($K975:$O975,SUMIF(cbal!G$280:G$296,$B975,cbal!$D$280:$D$296)+1)</f>
        <v>0</v>
      </c>
      <c r="H975" s="183">
        <f>INDEX($K975:$O975,SUMIF(cbal!H$280:H$296,$B975,cbal!$D$280:$D$296)+1)</f>
        <v>0</v>
      </c>
      <c r="I975" s="183">
        <f>INDEX($K975:$O975,SUMIF(cbal!I$280:I$296,$B975,cbal!$D$280:$D$296)+1)</f>
        <v>0</v>
      </c>
      <c r="K975" s="1577"/>
      <c r="L975" s="1584">
        <v>1.4999999999999999E-2</v>
      </c>
      <c r="M975" s="1584">
        <v>1.4999999999999999E-2</v>
      </c>
      <c r="N975" s="1584">
        <v>1.4999999999999999E-2</v>
      </c>
      <c r="O975" s="1584">
        <v>1.4999999999999999E-2</v>
      </c>
      <c r="R975" s="91" t="b">
        <f t="shared" si="142"/>
        <v>0</v>
      </c>
      <c r="S975" s="21" t="b">
        <f t="shared" si="143"/>
        <v>0</v>
      </c>
      <c r="T975" s="97" t="b">
        <f t="shared" si="144"/>
        <v>0</v>
      </c>
    </row>
    <row r="976" spans="2:20">
      <c r="B976" s="905" t="s">
        <v>4069</v>
      </c>
      <c r="C976" s="433">
        <v>167</v>
      </c>
      <c r="D976" t="str">
        <f>VLOOKUP($C976,param!$A$4:$B$266,2)</f>
        <v>Special Program Expense</v>
      </c>
      <c r="E976" s="183">
        <f>INDEX($K976:$O976,SUMIF(cbal!E$280:E$296,$B976,cbal!$D$280:$D$296)+1)</f>
        <v>0</v>
      </c>
      <c r="F976" s="183">
        <f>INDEX($K976:$O976,SUMIF(cbal!F$280:F$296,$B976,cbal!$D$280:$D$296)+1)</f>
        <v>0</v>
      </c>
      <c r="G976" s="183">
        <f>INDEX($K976:$O976,SUMIF(cbal!G$280:G$296,$B976,cbal!$D$280:$D$296)+1)</f>
        <v>0</v>
      </c>
      <c r="H976" s="183">
        <f>INDEX($K976:$O976,SUMIF(cbal!H$280:H$296,$B976,cbal!$D$280:$D$296)+1)</f>
        <v>0</v>
      </c>
      <c r="I976" s="183">
        <f>INDEX($K976:$O976,SUMIF(cbal!I$280:I$296,$B976,cbal!$D$280:$D$296)+1)</f>
        <v>0</v>
      </c>
      <c r="K976" s="1577"/>
      <c r="L976" s="1592">
        <v>5000000</v>
      </c>
      <c r="M976" s="1592">
        <v>500000</v>
      </c>
      <c r="N976" s="1592">
        <v>500000</v>
      </c>
      <c r="O976" s="1592">
        <v>500000</v>
      </c>
      <c r="P976">
        <v>500000</v>
      </c>
      <c r="R976" s="91">
        <f t="shared" si="142"/>
        <v>5000000</v>
      </c>
      <c r="S976" s="21">
        <f t="shared" si="143"/>
        <v>500000</v>
      </c>
      <c r="T976" s="97" t="b">
        <f t="shared" si="144"/>
        <v>0</v>
      </c>
    </row>
    <row r="977" spans="2:20">
      <c r="B977" s="905" t="s">
        <v>4069</v>
      </c>
      <c r="C977" s="433">
        <v>133.5</v>
      </c>
      <c r="D977" t="str">
        <f>VLOOKUP($C977,param!$A$4:$B$266,2)</f>
        <v>MTU Initiatives Allocation</v>
      </c>
      <c r="E977" s="183">
        <f>INDEX($K977:$O977,SUMIF(cbal!E$280:E$296,$B977,cbal!$D$280:$D$296)+1)</f>
        <v>0</v>
      </c>
      <c r="F977" s="183">
        <f>INDEX($K977:$O977,SUMIF(cbal!F$280:F$296,$B977,cbal!$D$280:$D$296)+1)</f>
        <v>0</v>
      </c>
      <c r="G977" s="183">
        <f>INDEX($K977:$O977,SUMIF(cbal!G$280:G$296,$B977,cbal!$D$280:$D$296)+1)</f>
        <v>0</v>
      </c>
      <c r="H977" s="183">
        <f>INDEX($K977:$O977,SUMIF(cbal!H$280:H$296,$B977,cbal!$D$280:$D$296)+1)</f>
        <v>0</v>
      </c>
      <c r="I977" s="183">
        <f>INDEX($K977:$O977,SUMIF(cbal!I$280:I$296,$B977,cbal!$D$280:$D$296)+1)</f>
        <v>0</v>
      </c>
      <c r="K977" s="1577"/>
      <c r="L977" s="1593">
        <v>5</v>
      </c>
      <c r="M977" s="1585"/>
      <c r="N977" s="1585"/>
      <c r="O977" s="1585"/>
      <c r="R977" s="91" t="b">
        <f t="shared" si="142"/>
        <v>0</v>
      </c>
      <c r="S977" s="21" t="b">
        <f t="shared" si="143"/>
        <v>0</v>
      </c>
      <c r="T977" s="97">
        <f t="shared" si="144"/>
        <v>5</v>
      </c>
    </row>
    <row r="978" spans="2:20">
      <c r="B978" s="905" t="s">
        <v>4069</v>
      </c>
      <c r="C978" s="433">
        <v>201</v>
      </c>
      <c r="D978" t="str">
        <f>VLOOKUP($C978,param!$A$4:$B$266,2)</f>
        <v>Brands Strategy</v>
      </c>
      <c r="E978" s="183">
        <f>INDEX($K978:$O978,SUMIF(cbal!E$280:E$296,$B978,cbal!$D$280:$D$296)+1)</f>
        <v>0</v>
      </c>
      <c r="F978" s="183">
        <f>INDEX($K978:$O978,SUMIF(cbal!F$280:F$296,$B978,cbal!$D$280:$D$296)+1)</f>
        <v>0</v>
      </c>
      <c r="G978" s="183">
        <f>INDEX($K978:$O978,SUMIF(cbal!G$280:G$296,$B978,cbal!$D$280:$D$296)+1)</f>
        <v>0</v>
      </c>
      <c r="H978" s="183">
        <f>INDEX($K978:$O978,SUMIF(cbal!H$280:H$296,$B978,cbal!$D$280:$D$296)+1)</f>
        <v>0</v>
      </c>
      <c r="I978" s="183">
        <f>INDEX($K978:$O978,SUMIF(cbal!I$280:I$296,$B978,cbal!$D$280:$D$296)+1)</f>
        <v>0</v>
      </c>
      <c r="K978" s="1577"/>
      <c r="L978" s="1593">
        <v>5</v>
      </c>
      <c r="M978" s="1593">
        <v>5</v>
      </c>
      <c r="N978" s="1593">
        <v>5</v>
      </c>
      <c r="O978" s="1593">
        <v>5</v>
      </c>
      <c r="R978" s="91" t="b">
        <f t="shared" si="142"/>
        <v>0</v>
      </c>
      <c r="S978" s="21" t="b">
        <f t="shared" si="143"/>
        <v>0</v>
      </c>
      <c r="T978" s="97" t="b">
        <f t="shared" si="144"/>
        <v>0</v>
      </c>
    </row>
    <row r="979" spans="2:20">
      <c r="B979">
        <v>0</v>
      </c>
      <c r="C979" s="433">
        <v>0</v>
      </c>
      <c r="E979" s="183"/>
      <c r="F979" s="183"/>
      <c r="G979" s="183"/>
      <c r="H979" s="183"/>
      <c r="I979" s="183"/>
      <c r="K979" s="1577"/>
      <c r="L979" s="1585"/>
      <c r="M979" s="1585"/>
      <c r="N979" s="1585"/>
      <c r="O979" s="1585"/>
      <c r="R979" s="91">
        <v>0</v>
      </c>
      <c r="S979" s="21">
        <v>0</v>
      </c>
      <c r="T979" s="97">
        <v>0</v>
      </c>
    </row>
    <row r="980" spans="2:20">
      <c r="B980" s="905" t="s">
        <v>4070</v>
      </c>
      <c r="C980" t="str">
        <f>VLOOKUP(B980,DataInitiativesGrid,2,0)</f>
        <v>Viva La Vivia Festival</v>
      </c>
      <c r="E980" s="183">
        <f>INDEX($K980:$O980,SUMIF(cbal!E$280:E$296,$B980,cbal!$D$280:$D$296)+1)</f>
        <v>0</v>
      </c>
      <c r="F980" s="183">
        <f>INDEX($K980:$O980,SUMIF(cbal!F$280:F$296,$B980,cbal!$D$280:$D$296)+1)</f>
        <v>0</v>
      </c>
      <c r="G980" s="183">
        <f>INDEX($K980:$O980,SUMIF(cbal!G$280:G$296,$B980,cbal!$D$280:$D$296)+1)</f>
        <v>0</v>
      </c>
      <c r="H980" s="183">
        <f>INDEX($K980:$O980,SUMIF(cbal!H$280:H$296,$B980,cbal!$D$280:$D$296)+1)</f>
        <v>0</v>
      </c>
      <c r="I980" s="183">
        <f>INDEX($K980:$O980,SUMIF(cbal!I$280:I$296,$B980,cbal!$D$280:$D$296)+1)</f>
        <v>0</v>
      </c>
      <c r="K980" s="1577"/>
      <c r="L980" s="1585"/>
      <c r="M980" s="1585"/>
      <c r="N980" s="1585"/>
      <c r="O980" s="1585"/>
      <c r="R980" s="91">
        <v>0</v>
      </c>
      <c r="S980" s="21">
        <v>0</v>
      </c>
      <c r="T980" s="97">
        <v>0</v>
      </c>
    </row>
    <row r="981" spans="2:20">
      <c r="B981" s="905" t="s">
        <v>4070</v>
      </c>
      <c r="C981" s="433">
        <v>5</v>
      </c>
      <c r="D981" t="str">
        <f>VLOOKUP($C981,param!$A$4:$B$266,2)</f>
        <v>CSD Region A Marketing Spend Effectiveness</v>
      </c>
      <c r="E981" s="183">
        <f>INDEX($K981:$O981,SUMIF(cbal!E$280:E$296,$B981,cbal!$D$280:$D$296)+1)</f>
        <v>0</v>
      </c>
      <c r="F981" s="183">
        <f>INDEX($K981:$O981,SUMIF(cbal!F$280:F$296,$B981,cbal!$D$280:$D$296)+1)</f>
        <v>0</v>
      </c>
      <c r="G981" s="183">
        <f>INDEX($K981:$O981,SUMIF(cbal!G$280:G$296,$B981,cbal!$D$280:$D$296)+1)</f>
        <v>0</v>
      </c>
      <c r="H981" s="183">
        <f>INDEX($K981:$O981,SUMIF(cbal!H$280:H$296,$B981,cbal!$D$280:$D$296)+1)</f>
        <v>0</v>
      </c>
      <c r="I981" s="183">
        <f>INDEX($K981:$O981,SUMIF(cbal!I$280:I$296,$B981,cbal!$D$280:$D$296)+1)</f>
        <v>0</v>
      </c>
      <c r="K981" s="1577"/>
      <c r="L981" s="1585">
        <v>0.04</v>
      </c>
      <c r="M981" s="1585">
        <v>0.04</v>
      </c>
      <c r="N981" s="1585">
        <v>0.04</v>
      </c>
      <c r="O981" s="1585">
        <v>0.04</v>
      </c>
      <c r="R981" s="91" t="b">
        <f t="shared" si="142"/>
        <v>0</v>
      </c>
      <c r="S981" s="21" t="b">
        <f t="shared" si="143"/>
        <v>0</v>
      </c>
      <c r="T981" s="97" t="b">
        <f t="shared" si="144"/>
        <v>0</v>
      </c>
    </row>
    <row r="982" spans="2:20">
      <c r="B982" s="905" t="s">
        <v>4070</v>
      </c>
      <c r="C982" s="433">
        <v>43</v>
      </c>
      <c r="D982" t="str">
        <f>VLOOKUP($C982,param!$A$4:$B$266,2)</f>
        <v>NCB Region A Marketing Spend Effectiveness</v>
      </c>
      <c r="E982" s="183">
        <f>INDEX($K982:$O982,SUMIF(cbal!E$280:E$296,$B982,cbal!$D$280:$D$296)+1)</f>
        <v>0</v>
      </c>
      <c r="F982" s="183">
        <f>INDEX($K982:$O982,SUMIF(cbal!F$280:F$296,$B982,cbal!$D$280:$D$296)+1)</f>
        <v>0</v>
      </c>
      <c r="G982" s="183">
        <f>INDEX($K982:$O982,SUMIF(cbal!G$280:G$296,$B982,cbal!$D$280:$D$296)+1)</f>
        <v>0</v>
      </c>
      <c r="H982" s="183">
        <f>INDEX($K982:$O982,SUMIF(cbal!H$280:H$296,$B982,cbal!$D$280:$D$296)+1)</f>
        <v>0</v>
      </c>
      <c r="I982" s="183">
        <f>INDEX($K982:$O982,SUMIF(cbal!I$280:I$296,$B982,cbal!$D$280:$D$296)+1)</f>
        <v>0</v>
      </c>
      <c r="K982" s="1577"/>
      <c r="L982" s="1585">
        <v>0.04</v>
      </c>
      <c r="M982" s="1585">
        <v>0.04</v>
      </c>
      <c r="N982" s="1585">
        <v>0.04</v>
      </c>
      <c r="O982" s="1585">
        <v>0.04</v>
      </c>
      <c r="R982" s="91" t="b">
        <f t="shared" si="142"/>
        <v>0</v>
      </c>
      <c r="S982" s="21" t="b">
        <f t="shared" si="143"/>
        <v>0</v>
      </c>
      <c r="T982" s="97" t="b">
        <f t="shared" si="144"/>
        <v>0</v>
      </c>
    </row>
    <row r="983" spans="2:20">
      <c r="B983" s="905" t="s">
        <v>4070</v>
      </c>
      <c r="C983" s="433">
        <v>76</v>
      </c>
      <c r="D983" t="str">
        <f>VLOOKUP($C983,param!$A$4:$B$266,2)</f>
        <v>F&amp;S Region A Marketing Spend Effectiveness</v>
      </c>
      <c r="E983" s="183">
        <f>INDEX($K983:$O983,SUMIF(cbal!E$280:E$296,$B983,cbal!$D$280:$D$296)+1)</f>
        <v>0</v>
      </c>
      <c r="F983" s="183">
        <f>INDEX($K983:$O983,SUMIF(cbal!F$280:F$296,$B983,cbal!$D$280:$D$296)+1)</f>
        <v>0</v>
      </c>
      <c r="G983" s="183">
        <f>INDEX($K983:$O983,SUMIF(cbal!G$280:G$296,$B983,cbal!$D$280:$D$296)+1)</f>
        <v>0</v>
      </c>
      <c r="H983" s="183">
        <f>INDEX($K983:$O983,SUMIF(cbal!H$280:H$296,$B983,cbal!$D$280:$D$296)+1)</f>
        <v>0</v>
      </c>
      <c r="I983" s="183">
        <f>INDEX($K983:$O983,SUMIF(cbal!I$280:I$296,$B983,cbal!$D$280:$D$296)+1)</f>
        <v>0</v>
      </c>
      <c r="K983" s="1577"/>
      <c r="L983" s="1585">
        <v>0.04</v>
      </c>
      <c r="M983" s="1585">
        <v>0.04</v>
      </c>
      <c r="N983" s="1585">
        <v>0.04</v>
      </c>
      <c r="O983" s="1585">
        <v>0.04</v>
      </c>
      <c r="R983" s="91" t="b">
        <f t="shared" si="142"/>
        <v>0</v>
      </c>
      <c r="S983" s="21" t="b">
        <f t="shared" si="143"/>
        <v>0</v>
      </c>
      <c r="T983" s="97" t="b">
        <f t="shared" si="144"/>
        <v>0</v>
      </c>
    </row>
    <row r="984" spans="2:20">
      <c r="B984" s="905" t="s">
        <v>4070</v>
      </c>
      <c r="C984" s="433">
        <v>198</v>
      </c>
      <c r="D984" t="str">
        <f>VLOOKUP($C984,param!$A$4:$B$266,2)</f>
        <v>Community</v>
      </c>
      <c r="E984" s="183">
        <f>INDEX($K984:$O984,SUMIF(cbal!E$280:E$296,$B984,cbal!$D$280:$D$296)+1)</f>
        <v>0</v>
      </c>
      <c r="F984" s="183">
        <f>INDEX($K984:$O984,SUMIF(cbal!F$280:F$296,$B984,cbal!$D$280:$D$296)+1)</f>
        <v>0</v>
      </c>
      <c r="G984" s="183">
        <f>INDEX($K984:$O984,SUMIF(cbal!G$280:G$296,$B984,cbal!$D$280:$D$296)+1)</f>
        <v>0</v>
      </c>
      <c r="H984" s="183">
        <f>INDEX($K984:$O984,SUMIF(cbal!H$280:H$296,$B984,cbal!$D$280:$D$296)+1)</f>
        <v>0</v>
      </c>
      <c r="I984" s="183">
        <f>INDEX($K984:$O984,SUMIF(cbal!I$280:I$296,$B984,cbal!$D$280:$D$296)+1)</f>
        <v>0</v>
      </c>
      <c r="K984" s="1577"/>
      <c r="L984" s="1585">
        <v>0.01</v>
      </c>
      <c r="M984" s="1585">
        <v>0.01</v>
      </c>
      <c r="N984" s="1585">
        <v>0.01</v>
      </c>
      <c r="O984" s="1585">
        <v>0.01</v>
      </c>
      <c r="R984" s="91" t="b">
        <f t="shared" si="142"/>
        <v>0</v>
      </c>
      <c r="S984" s="21" t="b">
        <f t="shared" si="143"/>
        <v>0</v>
      </c>
      <c r="T984" s="97" t="b">
        <f t="shared" si="144"/>
        <v>0</v>
      </c>
    </row>
    <row r="985" spans="2:20">
      <c r="B985" s="905" t="s">
        <v>4070</v>
      </c>
      <c r="C985" s="433">
        <v>167</v>
      </c>
      <c r="D985" t="str">
        <f>VLOOKUP($C985,param!$A$4:$B$266,2)</f>
        <v>Special Program Expense</v>
      </c>
      <c r="E985" s="183">
        <f>INDEX($K985:$O985,SUMIF(cbal!E$280:E$296,$B985,cbal!$D$280:$D$296)+1)</f>
        <v>0</v>
      </c>
      <c r="F985" s="183">
        <f>INDEX($K985:$O985,SUMIF(cbal!F$280:F$296,$B985,cbal!$D$280:$D$296)+1)</f>
        <v>0</v>
      </c>
      <c r="G985" s="183">
        <f>INDEX($K985:$O985,SUMIF(cbal!G$280:G$296,$B985,cbal!$D$280:$D$296)+1)</f>
        <v>0</v>
      </c>
      <c r="H985" s="183">
        <f>INDEX($K985:$O985,SUMIF(cbal!H$280:H$296,$B985,cbal!$D$280:$D$296)+1)</f>
        <v>0</v>
      </c>
      <c r="I985" s="183">
        <f>INDEX($K985:$O985,SUMIF(cbal!I$280:I$296,$B985,cbal!$D$280:$D$296)+1)</f>
        <v>0</v>
      </c>
      <c r="K985" s="1577"/>
      <c r="L985" s="1592">
        <v>6000000</v>
      </c>
      <c r="M985" s="1592">
        <v>1000000</v>
      </c>
      <c r="N985" s="1592">
        <v>1000000</v>
      </c>
      <c r="O985" s="1592">
        <v>1000000</v>
      </c>
      <c r="R985" s="91">
        <f t="shared" si="142"/>
        <v>6000000</v>
      </c>
      <c r="S985" s="21">
        <f t="shared" si="143"/>
        <v>1000000</v>
      </c>
      <c r="T985" s="97" t="b">
        <f t="shared" si="144"/>
        <v>0</v>
      </c>
    </row>
    <row r="986" spans="2:20">
      <c r="B986" s="905" t="s">
        <v>4070</v>
      </c>
      <c r="C986" s="433">
        <v>133.5</v>
      </c>
      <c r="D986" t="str">
        <f>VLOOKUP($C986,param!$A$4:$B$266,2)</f>
        <v>MTU Initiatives Allocation</v>
      </c>
      <c r="E986" s="183">
        <f>INDEX($K986:$O986,SUMIF(cbal!E$280:E$296,$B986,cbal!$D$280:$D$296)+1)</f>
        <v>0</v>
      </c>
      <c r="F986" s="183">
        <f>INDEX($K986:$O986,SUMIF(cbal!F$280:F$296,$B986,cbal!$D$280:$D$296)+1)</f>
        <v>0</v>
      </c>
      <c r="G986" s="183">
        <f>INDEX($K986:$O986,SUMIF(cbal!G$280:G$296,$B986,cbal!$D$280:$D$296)+1)</f>
        <v>0</v>
      </c>
      <c r="H986" s="183">
        <f>INDEX($K986:$O986,SUMIF(cbal!H$280:H$296,$B986,cbal!$D$280:$D$296)+1)</f>
        <v>0</v>
      </c>
      <c r="I986" s="183">
        <f>INDEX($K986:$O986,SUMIF(cbal!I$280:I$296,$B986,cbal!$D$280:$D$296)+1)</f>
        <v>0</v>
      </c>
      <c r="K986" s="1577"/>
      <c r="L986" s="1593">
        <v>5</v>
      </c>
      <c r="M986" s="1585"/>
      <c r="N986" s="1585"/>
      <c r="O986" s="1585"/>
      <c r="R986" s="91" t="b">
        <f t="shared" si="142"/>
        <v>0</v>
      </c>
      <c r="S986" s="21" t="b">
        <f t="shared" si="143"/>
        <v>0</v>
      </c>
      <c r="T986" s="97">
        <f t="shared" si="144"/>
        <v>5</v>
      </c>
    </row>
    <row r="987" spans="2:20">
      <c r="B987" s="905" t="s">
        <v>4070</v>
      </c>
      <c r="C987" s="433">
        <v>201</v>
      </c>
      <c r="D987" t="str">
        <f>VLOOKUP($C987,param!$A$4:$B$266,2)</f>
        <v>Brands Strategy</v>
      </c>
      <c r="E987" s="183">
        <f>INDEX($K987:$O987,SUMIF(cbal!E$280:E$296,$B987,cbal!$D$280:$D$296)+1)</f>
        <v>0</v>
      </c>
      <c r="F987" s="183">
        <f>INDEX($K987:$O987,SUMIF(cbal!F$280:F$296,$B987,cbal!$D$280:$D$296)+1)</f>
        <v>0</v>
      </c>
      <c r="G987" s="183">
        <f>INDEX($K987:$O987,SUMIF(cbal!G$280:G$296,$B987,cbal!$D$280:$D$296)+1)</f>
        <v>0</v>
      </c>
      <c r="H987" s="183">
        <f>INDEX($K987:$O987,SUMIF(cbal!H$280:H$296,$B987,cbal!$D$280:$D$296)+1)</f>
        <v>0</v>
      </c>
      <c r="I987" s="183">
        <f>INDEX($K987:$O987,SUMIF(cbal!I$280:I$296,$B987,cbal!$D$280:$D$296)+1)</f>
        <v>0</v>
      </c>
      <c r="K987" s="1577"/>
      <c r="L987" s="1593">
        <v>5</v>
      </c>
      <c r="M987" s="1593">
        <v>5</v>
      </c>
      <c r="N987" s="1593">
        <v>5</v>
      </c>
      <c r="O987" s="1593">
        <v>5</v>
      </c>
      <c r="R987" s="91" t="b">
        <f t="shared" si="142"/>
        <v>0</v>
      </c>
      <c r="S987" s="21" t="b">
        <f t="shared" si="143"/>
        <v>0</v>
      </c>
      <c r="T987" s="97" t="b">
        <f t="shared" si="144"/>
        <v>0</v>
      </c>
    </row>
    <row r="988" spans="2:20">
      <c r="B988">
        <v>0</v>
      </c>
      <c r="C988" s="433">
        <v>0</v>
      </c>
      <c r="E988" s="183"/>
      <c r="F988" s="183"/>
      <c r="G988" s="183"/>
      <c r="H988" s="183"/>
      <c r="I988" s="183"/>
      <c r="K988" s="1577"/>
      <c r="L988" s="1585"/>
      <c r="M988" s="1585"/>
      <c r="N988" s="1585"/>
      <c r="O988" s="1585"/>
      <c r="R988" s="91">
        <v>0</v>
      </c>
      <c r="S988" s="21">
        <v>0</v>
      </c>
      <c r="T988" s="97">
        <v>0</v>
      </c>
    </row>
    <row r="989" spans="2:20">
      <c r="B989" s="905" t="s">
        <v>4076</v>
      </c>
      <c r="C989" t="str">
        <f>VLOOKUP(B989,DataInitiativesGrid,2,0)</f>
        <v>Tighter Nutrition Standards Vetera</v>
      </c>
      <c r="E989" s="183">
        <f>INDEX($K989:$O989,SUMIF(cbal!E$280:E$296,$B989,cbal!$D$280:$D$296)+1)</f>
        <v>0</v>
      </c>
      <c r="F989" s="183">
        <f>INDEX($K989:$O989,SUMIF(cbal!F$280:F$296,$B989,cbal!$D$280:$D$296)+1)</f>
        <v>0</v>
      </c>
      <c r="G989" s="183">
        <f>INDEX($K989:$O989,SUMIF(cbal!G$280:G$296,$B989,cbal!$D$280:$D$296)+1)</f>
        <v>0</v>
      </c>
      <c r="H989" s="183">
        <f>INDEX($K989:$O989,SUMIF(cbal!H$280:H$296,$B989,cbal!$D$280:$D$296)+1)</f>
        <v>0</v>
      </c>
      <c r="I989" s="183">
        <f>INDEX($K989:$O989,SUMIF(cbal!I$280:I$296,$B989,cbal!$D$280:$D$296)+1)</f>
        <v>0</v>
      </c>
      <c r="K989" s="1577"/>
      <c r="L989" s="1585"/>
      <c r="M989" s="1585"/>
      <c r="N989" s="1585"/>
      <c r="O989" s="1585"/>
      <c r="R989" s="91">
        <v>0</v>
      </c>
      <c r="S989" s="21">
        <v>0</v>
      </c>
      <c r="T989" s="97">
        <v>0</v>
      </c>
    </row>
    <row r="990" spans="2:20">
      <c r="B990" s="905" t="s">
        <v>4076</v>
      </c>
      <c r="C990" s="433">
        <v>194</v>
      </c>
      <c r="D990" t="str">
        <f>VLOOKUP($C990,param!$A$4:$B$266,2)</f>
        <v>Marketing for Consumption Awareness</v>
      </c>
      <c r="E990" s="183">
        <f>INDEX($K990:$O990,SUMIF(cbal!E$280:E$296,$B990,cbal!$D$280:$D$296)+1)</f>
        <v>0</v>
      </c>
      <c r="F990" s="183">
        <f>INDEX($K990:$O990,SUMIF(cbal!F$280:F$296,$B990,cbal!$D$280:$D$296)+1)</f>
        <v>0</v>
      </c>
      <c r="G990" s="183">
        <f>INDEX($K990:$O990,SUMIF(cbal!G$280:G$296,$B990,cbal!$D$280:$D$296)+1)</f>
        <v>0</v>
      </c>
      <c r="H990" s="183">
        <f>INDEX($K990:$O990,SUMIF(cbal!H$280:H$296,$B990,cbal!$D$280:$D$296)+1)</f>
        <v>0</v>
      </c>
      <c r="I990" s="183">
        <f>INDEX($K990:$O990,SUMIF(cbal!I$280:I$296,$B990,cbal!$D$280:$D$296)+1)</f>
        <v>0</v>
      </c>
      <c r="K990" s="1577"/>
      <c r="L990" s="1585">
        <v>0.02</v>
      </c>
      <c r="M990" s="1585">
        <v>0.02</v>
      </c>
      <c r="N990" s="1585">
        <v>0.02</v>
      </c>
      <c r="O990" s="1585">
        <v>0.02</v>
      </c>
      <c r="R990" s="91" t="b">
        <f t="shared" si="142"/>
        <v>0</v>
      </c>
      <c r="S990" s="21" t="b">
        <f t="shared" si="143"/>
        <v>0</v>
      </c>
      <c r="T990" s="97" t="b">
        <f t="shared" si="144"/>
        <v>0</v>
      </c>
    </row>
    <row r="991" spans="2:20">
      <c r="B991" s="905" t="s">
        <v>4076</v>
      </c>
      <c r="C991" s="433">
        <v>174</v>
      </c>
      <c r="D991" t="str">
        <f>VLOOKUP($C991,param!$A$4:$B$266,2)</f>
        <v>Region 1 Special Program Success NCB</v>
      </c>
      <c r="E991" s="183">
        <f>INDEX($K991:$O991,SUMIF(cbal!E$280:E$296,$B991,cbal!$D$280:$D$296)+1)</f>
        <v>0</v>
      </c>
      <c r="F991" s="183">
        <f>INDEX($K991:$O991,SUMIF(cbal!F$280:F$296,$B991,cbal!$D$280:$D$296)+1)</f>
        <v>0</v>
      </c>
      <c r="G991" s="183">
        <f>INDEX($K991:$O991,SUMIF(cbal!G$280:G$296,$B991,cbal!$D$280:$D$296)+1)</f>
        <v>0</v>
      </c>
      <c r="H991" s="183">
        <f>INDEX($K991:$O991,SUMIF(cbal!H$280:H$296,$B991,cbal!$D$280:$D$296)+1)</f>
        <v>0</v>
      </c>
      <c r="I991" s="183">
        <f>INDEX($K991:$O991,SUMIF(cbal!I$280:I$296,$B991,cbal!$D$280:$D$296)+1)</f>
        <v>0</v>
      </c>
      <c r="K991" s="1577"/>
      <c r="L991" s="1585">
        <v>0.02</v>
      </c>
      <c r="M991" s="1585">
        <v>0.02</v>
      </c>
      <c r="N991" s="1585">
        <v>0.02</v>
      </c>
      <c r="O991" s="1585">
        <v>0.02</v>
      </c>
      <c r="R991" s="91" t="b">
        <f t="shared" si="142"/>
        <v>0</v>
      </c>
      <c r="S991" s="21" t="b">
        <f t="shared" si="143"/>
        <v>0</v>
      </c>
      <c r="T991" s="97" t="b">
        <f t="shared" si="144"/>
        <v>0</v>
      </c>
    </row>
    <row r="992" spans="2:20">
      <c r="B992" s="905" t="s">
        <v>4076</v>
      </c>
      <c r="C992" s="433">
        <v>175</v>
      </c>
      <c r="D992" t="str">
        <f>VLOOKUP($C992,param!$A$4:$B$266,2)</f>
        <v>Region 1 Special Program Success F&amp;S</v>
      </c>
      <c r="E992" s="183">
        <f>INDEX($K992:$O992,SUMIF(cbal!E$280:E$296,$B992,cbal!$D$280:$D$296)+1)</f>
        <v>0</v>
      </c>
      <c r="F992" s="183">
        <f>INDEX($K992:$O992,SUMIF(cbal!F$280:F$296,$B992,cbal!$D$280:$D$296)+1)</f>
        <v>0</v>
      </c>
      <c r="G992" s="183">
        <f>INDEX($K992:$O992,SUMIF(cbal!G$280:G$296,$B992,cbal!$D$280:$D$296)+1)</f>
        <v>0</v>
      </c>
      <c r="H992" s="183">
        <f>INDEX($K992:$O992,SUMIF(cbal!H$280:H$296,$B992,cbal!$D$280:$D$296)+1)</f>
        <v>0</v>
      </c>
      <c r="I992" s="183">
        <f>INDEX($K992:$O992,SUMIF(cbal!I$280:I$296,$B992,cbal!$D$280:$D$296)+1)</f>
        <v>0</v>
      </c>
      <c r="K992" s="1577"/>
      <c r="L992" s="1585">
        <v>0.02</v>
      </c>
      <c r="M992" s="1585">
        <v>0.02</v>
      </c>
      <c r="N992" s="1585">
        <v>0.02</v>
      </c>
      <c r="O992" s="1585">
        <v>0.02</v>
      </c>
      <c r="R992" s="91" t="b">
        <f t="shared" si="142"/>
        <v>0</v>
      </c>
      <c r="S992" s="21" t="b">
        <f t="shared" si="143"/>
        <v>0</v>
      </c>
      <c r="T992" s="97" t="b">
        <f t="shared" si="144"/>
        <v>0</v>
      </c>
    </row>
    <row r="993" spans="2:20">
      <c r="B993" s="905" t="s">
        <v>4076</v>
      </c>
      <c r="C993" s="433">
        <v>167</v>
      </c>
      <c r="D993" t="str">
        <f>VLOOKUP($C993,param!$A$4:$B$266,2)</f>
        <v>Special Program Expense</v>
      </c>
      <c r="E993" s="183">
        <f>INDEX($K993:$O993,SUMIF(cbal!E$280:E$296,$B993,cbal!$D$280:$D$296)+1)</f>
        <v>0</v>
      </c>
      <c r="F993" s="183">
        <f>INDEX($K993:$O993,SUMIF(cbal!F$280:F$296,$B993,cbal!$D$280:$D$296)+1)</f>
        <v>0</v>
      </c>
      <c r="G993" s="183">
        <f>INDEX($K993:$O993,SUMIF(cbal!G$280:G$296,$B993,cbal!$D$280:$D$296)+1)</f>
        <v>0</v>
      </c>
      <c r="H993" s="183">
        <f>INDEX($K993:$O993,SUMIF(cbal!H$280:H$296,$B993,cbal!$D$280:$D$296)+1)</f>
        <v>0</v>
      </c>
      <c r="I993" s="183">
        <f>INDEX($K993:$O993,SUMIF(cbal!I$280:I$296,$B993,cbal!$D$280:$D$296)+1)</f>
        <v>0</v>
      </c>
      <c r="K993" s="1577"/>
      <c r="L993" s="1592">
        <v>750000</v>
      </c>
      <c r="M993" s="1592"/>
      <c r="N993" s="1592"/>
      <c r="O993" s="1592"/>
      <c r="R993" s="91">
        <f t="shared" si="142"/>
        <v>750000</v>
      </c>
      <c r="S993" s="21">
        <f t="shared" si="143"/>
        <v>0</v>
      </c>
      <c r="T993" s="97" t="b">
        <f t="shared" si="144"/>
        <v>0</v>
      </c>
    </row>
    <row r="994" spans="2:20">
      <c r="B994" s="905" t="s">
        <v>4076</v>
      </c>
      <c r="C994" s="433">
        <v>133.5</v>
      </c>
      <c r="D994" t="str">
        <f>VLOOKUP($C994,param!$A$4:$B$266,2)</f>
        <v>MTU Initiatives Allocation</v>
      </c>
      <c r="E994" s="183">
        <f>INDEX($K994:$O994,SUMIF(cbal!E$280:E$296,$B994,cbal!$D$280:$D$296)+1)</f>
        <v>0</v>
      </c>
      <c r="F994" s="183">
        <f>INDEX($K994:$O994,SUMIF(cbal!F$280:F$296,$B994,cbal!$D$280:$D$296)+1)</f>
        <v>0</v>
      </c>
      <c r="G994" s="183">
        <f>INDEX($K994:$O994,SUMIF(cbal!G$280:G$296,$B994,cbal!$D$280:$D$296)+1)</f>
        <v>0</v>
      </c>
      <c r="H994" s="183">
        <f>INDEX($K994:$O994,SUMIF(cbal!H$280:H$296,$B994,cbal!$D$280:$D$296)+1)</f>
        <v>0</v>
      </c>
      <c r="I994" s="183">
        <f>INDEX($K994:$O994,SUMIF(cbal!I$280:I$296,$B994,cbal!$D$280:$D$296)+1)</f>
        <v>0</v>
      </c>
      <c r="K994" s="1577"/>
      <c r="L994" s="1593">
        <v>5</v>
      </c>
      <c r="M994" s="1585"/>
      <c r="N994" s="1585"/>
      <c r="O994" s="1585"/>
      <c r="R994" s="91" t="b">
        <f t="shared" si="142"/>
        <v>0</v>
      </c>
      <c r="S994" s="21" t="b">
        <f t="shared" si="143"/>
        <v>0</v>
      </c>
      <c r="T994" s="97">
        <f t="shared" si="144"/>
        <v>5</v>
      </c>
    </row>
    <row r="995" spans="2:20">
      <c r="B995" s="905" t="s">
        <v>4076</v>
      </c>
      <c r="C995" s="433">
        <v>201</v>
      </c>
      <c r="D995" t="str">
        <f>VLOOKUP($C995,param!$A$4:$B$266,2)</f>
        <v>Brands Strategy</v>
      </c>
      <c r="E995" s="183">
        <f>INDEX($K995:$O995,SUMIF(cbal!E$280:E$296,$B995,cbal!$D$280:$D$296)+1)</f>
        <v>0</v>
      </c>
      <c r="F995" s="183">
        <f>INDEX($K995:$O995,SUMIF(cbal!F$280:F$296,$B995,cbal!$D$280:$D$296)+1)</f>
        <v>0</v>
      </c>
      <c r="G995" s="183">
        <f>INDEX($K995:$O995,SUMIF(cbal!G$280:G$296,$B995,cbal!$D$280:$D$296)+1)</f>
        <v>0</v>
      </c>
      <c r="H995" s="183">
        <f>INDEX($K995:$O995,SUMIF(cbal!H$280:H$296,$B995,cbal!$D$280:$D$296)+1)</f>
        <v>0</v>
      </c>
      <c r="I995" s="183">
        <f>INDEX($K995:$O995,SUMIF(cbal!I$280:I$296,$B995,cbal!$D$280:$D$296)+1)</f>
        <v>0</v>
      </c>
      <c r="K995" s="1577"/>
      <c r="L995" s="1593">
        <v>5</v>
      </c>
      <c r="M995" s="1593">
        <v>5</v>
      </c>
      <c r="N995" s="1593">
        <v>5</v>
      </c>
      <c r="O995" s="1593">
        <v>5</v>
      </c>
      <c r="R995" s="91" t="b">
        <f t="shared" si="142"/>
        <v>0</v>
      </c>
      <c r="S995" s="21" t="b">
        <f t="shared" si="143"/>
        <v>0</v>
      </c>
      <c r="T995" s="97" t="b">
        <f t="shared" si="144"/>
        <v>0</v>
      </c>
    </row>
    <row r="996" spans="2:20">
      <c r="B996">
        <v>0</v>
      </c>
      <c r="C996" s="433">
        <v>0</v>
      </c>
      <c r="E996" s="183"/>
      <c r="F996" s="183"/>
      <c r="G996" s="183"/>
      <c r="H996" s="183"/>
      <c r="I996" s="183"/>
      <c r="K996" s="1577"/>
      <c r="L996" s="1585"/>
      <c r="M996" s="1585"/>
      <c r="N996" s="1585"/>
      <c r="O996" s="1585"/>
      <c r="R996" s="91">
        <v>0</v>
      </c>
      <c r="S996" s="21">
        <v>0</v>
      </c>
      <c r="T996" s="97">
        <v>0</v>
      </c>
    </row>
    <row r="997" spans="2:20">
      <c r="B997" s="905" t="s">
        <v>4077</v>
      </c>
      <c r="C997" t="str">
        <f>VLOOKUP(B997,DataInitiativesGrid,2,0)</f>
        <v>Tighter Nutrition Standards Escendia</v>
      </c>
      <c r="E997" s="183">
        <f>INDEX($K997:$O997,SUMIF(cbal!E$280:E$296,$B997,cbal!$D$280:$D$296)+1)</f>
        <v>0</v>
      </c>
      <c r="F997" s="183">
        <f>INDEX($K997:$O997,SUMIF(cbal!F$280:F$296,$B997,cbal!$D$280:$D$296)+1)</f>
        <v>0</v>
      </c>
      <c r="G997" s="183">
        <f>INDEX($K997:$O997,SUMIF(cbal!G$280:G$296,$B997,cbal!$D$280:$D$296)+1)</f>
        <v>0</v>
      </c>
      <c r="H997" s="183">
        <f>INDEX($K997:$O997,SUMIF(cbal!H$280:H$296,$B997,cbal!$D$280:$D$296)+1)</f>
        <v>0</v>
      </c>
      <c r="I997" s="183">
        <f>INDEX($K997:$O997,SUMIF(cbal!I$280:I$296,$B997,cbal!$D$280:$D$296)+1)</f>
        <v>0</v>
      </c>
      <c r="K997" s="1577"/>
      <c r="L997" s="1585"/>
      <c r="M997" s="1585"/>
      <c r="N997" s="1585"/>
      <c r="O997" s="1585"/>
      <c r="R997" s="91">
        <v>0</v>
      </c>
      <c r="S997" s="21">
        <v>0</v>
      </c>
      <c r="T997" s="97">
        <v>0</v>
      </c>
    </row>
    <row r="998" spans="2:20">
      <c r="B998" s="905" t="s">
        <v>4077</v>
      </c>
      <c r="C998" s="433">
        <v>194</v>
      </c>
      <c r="D998" t="str">
        <f>VLOOKUP($C998,param!$A$4:$B$266,2)</f>
        <v>Marketing for Consumption Awareness</v>
      </c>
      <c r="E998" s="183">
        <f>INDEX($K998:$O998,SUMIF(cbal!E$280:E$296,$B998,cbal!$D$280:$D$296)+1)</f>
        <v>0</v>
      </c>
      <c r="F998" s="183">
        <f>INDEX($K998:$O998,SUMIF(cbal!F$280:F$296,$B998,cbal!$D$280:$D$296)+1)</f>
        <v>0</v>
      </c>
      <c r="G998" s="183">
        <f>INDEX($K998:$O998,SUMIF(cbal!G$280:G$296,$B998,cbal!$D$280:$D$296)+1)</f>
        <v>0</v>
      </c>
      <c r="H998" s="183">
        <f>INDEX($K998:$O998,SUMIF(cbal!H$280:H$296,$B998,cbal!$D$280:$D$296)+1)</f>
        <v>0</v>
      </c>
      <c r="I998" s="183">
        <f>INDEX($K998:$O998,SUMIF(cbal!I$280:I$296,$B998,cbal!$D$280:$D$296)+1)</f>
        <v>0</v>
      </c>
      <c r="K998" s="1577"/>
      <c r="L998" s="1585">
        <v>0.02</v>
      </c>
      <c r="M998" s="1585">
        <v>0.02</v>
      </c>
      <c r="N998" s="1585">
        <v>0.02</v>
      </c>
      <c r="O998" s="1585">
        <v>0.02</v>
      </c>
      <c r="R998" s="91" t="b">
        <f t="shared" si="142"/>
        <v>0</v>
      </c>
      <c r="S998" s="21" t="b">
        <f t="shared" si="143"/>
        <v>0</v>
      </c>
      <c r="T998" s="97" t="b">
        <f t="shared" si="144"/>
        <v>0</v>
      </c>
    </row>
    <row r="999" spans="2:20">
      <c r="B999" s="905" t="s">
        <v>4077</v>
      </c>
      <c r="C999" s="433">
        <v>178</v>
      </c>
      <c r="D999" t="str">
        <f>VLOOKUP($C999,param!$A$4:$B$266,2)</f>
        <v>Region 2 Special Program Success NCB</v>
      </c>
      <c r="E999" s="183">
        <f>INDEX($K999:$O999,SUMIF(cbal!E$280:E$296,$B999,cbal!$D$280:$D$296)+1)</f>
        <v>0</v>
      </c>
      <c r="F999" s="183">
        <f>INDEX($K999:$O999,SUMIF(cbal!F$280:F$296,$B999,cbal!$D$280:$D$296)+1)</f>
        <v>0</v>
      </c>
      <c r="G999" s="183">
        <f>INDEX($K999:$O999,SUMIF(cbal!G$280:G$296,$B999,cbal!$D$280:$D$296)+1)</f>
        <v>0</v>
      </c>
      <c r="H999" s="183">
        <f>INDEX($K999:$O999,SUMIF(cbal!H$280:H$296,$B999,cbal!$D$280:$D$296)+1)</f>
        <v>0</v>
      </c>
      <c r="I999" s="183">
        <f>INDEX($K999:$O999,SUMIF(cbal!I$280:I$296,$B999,cbal!$D$280:$D$296)+1)</f>
        <v>0</v>
      </c>
      <c r="K999" s="1577"/>
      <c r="L999" s="1585">
        <v>0.02</v>
      </c>
      <c r="M999" s="1585">
        <v>0.02</v>
      </c>
      <c r="N999" s="1585">
        <v>0.02</v>
      </c>
      <c r="O999" s="1585">
        <v>0.02</v>
      </c>
      <c r="R999" s="91" t="b">
        <f t="shared" si="142"/>
        <v>0</v>
      </c>
      <c r="S999" s="21" t="b">
        <f t="shared" si="143"/>
        <v>0</v>
      </c>
      <c r="T999" s="97" t="b">
        <f t="shared" si="144"/>
        <v>0</v>
      </c>
    </row>
    <row r="1000" spans="2:20">
      <c r="B1000" s="905" t="s">
        <v>4077</v>
      </c>
      <c r="C1000" s="433">
        <v>179</v>
      </c>
      <c r="D1000" t="str">
        <f>VLOOKUP($C1000,param!$A$4:$B$266,2)</f>
        <v>Region 2 Special Program Success F&amp;S</v>
      </c>
      <c r="E1000" s="183">
        <f>INDEX($K1000:$O1000,SUMIF(cbal!E$280:E$296,$B1000,cbal!$D$280:$D$296)+1)</f>
        <v>0</v>
      </c>
      <c r="F1000" s="183">
        <f>INDEX($K1000:$O1000,SUMIF(cbal!F$280:F$296,$B1000,cbal!$D$280:$D$296)+1)</f>
        <v>0</v>
      </c>
      <c r="G1000" s="183">
        <f>INDEX($K1000:$O1000,SUMIF(cbal!G$280:G$296,$B1000,cbal!$D$280:$D$296)+1)</f>
        <v>0</v>
      </c>
      <c r="H1000" s="183">
        <f>INDEX($K1000:$O1000,SUMIF(cbal!H$280:H$296,$B1000,cbal!$D$280:$D$296)+1)</f>
        <v>0</v>
      </c>
      <c r="I1000" s="183">
        <f>INDEX($K1000:$O1000,SUMIF(cbal!I$280:I$296,$B1000,cbal!$D$280:$D$296)+1)</f>
        <v>0</v>
      </c>
      <c r="K1000" s="1577"/>
      <c r="L1000" s="1585">
        <v>0.02</v>
      </c>
      <c r="M1000" s="1585">
        <v>0.02</v>
      </c>
      <c r="N1000" s="1585">
        <v>0.02</v>
      </c>
      <c r="O1000" s="1585">
        <v>0.02</v>
      </c>
      <c r="R1000" s="91" t="b">
        <f t="shared" si="142"/>
        <v>0</v>
      </c>
      <c r="S1000" s="21" t="b">
        <f t="shared" si="143"/>
        <v>0</v>
      </c>
      <c r="T1000" s="97" t="b">
        <f t="shared" si="144"/>
        <v>0</v>
      </c>
    </row>
    <row r="1001" spans="2:20">
      <c r="B1001" s="905" t="s">
        <v>4077</v>
      </c>
      <c r="C1001" s="433">
        <v>167</v>
      </c>
      <c r="D1001" t="str">
        <f>VLOOKUP($C1001,param!$A$4:$B$266,2)</f>
        <v>Special Program Expense</v>
      </c>
      <c r="E1001" s="183">
        <f>INDEX($K1001:$O1001,SUMIF(cbal!E$280:E$296,$B1001,cbal!$D$280:$D$296)+1)</f>
        <v>0</v>
      </c>
      <c r="F1001" s="183">
        <f>INDEX($K1001:$O1001,SUMIF(cbal!F$280:F$296,$B1001,cbal!$D$280:$D$296)+1)</f>
        <v>0</v>
      </c>
      <c r="G1001" s="183">
        <f>INDEX($K1001:$O1001,SUMIF(cbal!G$280:G$296,$B1001,cbal!$D$280:$D$296)+1)</f>
        <v>0</v>
      </c>
      <c r="H1001" s="183">
        <f>INDEX($K1001:$O1001,SUMIF(cbal!H$280:H$296,$B1001,cbal!$D$280:$D$296)+1)</f>
        <v>0</v>
      </c>
      <c r="I1001" s="183">
        <f>INDEX($K1001:$O1001,SUMIF(cbal!I$280:I$296,$B1001,cbal!$D$280:$D$296)+1)</f>
        <v>0</v>
      </c>
      <c r="K1001" s="1577"/>
      <c r="L1001" s="1592">
        <v>750000</v>
      </c>
      <c r="M1001" s="1585"/>
      <c r="N1001" s="1585"/>
      <c r="O1001" s="1585"/>
      <c r="R1001" s="91">
        <f t="shared" si="142"/>
        <v>750000</v>
      </c>
      <c r="S1001" s="21">
        <f t="shared" si="143"/>
        <v>0</v>
      </c>
      <c r="T1001" s="97" t="b">
        <f t="shared" si="144"/>
        <v>0</v>
      </c>
    </row>
    <row r="1002" spans="2:20">
      <c r="B1002" s="905" t="s">
        <v>4077</v>
      </c>
      <c r="C1002" s="433">
        <v>133.5</v>
      </c>
      <c r="D1002" t="str">
        <f>VLOOKUP($C1002,param!$A$4:$B$266,2)</f>
        <v>MTU Initiatives Allocation</v>
      </c>
      <c r="E1002" s="183">
        <f>INDEX($K1002:$O1002,SUMIF(cbal!E$280:E$296,$B1002,cbal!$D$280:$D$296)+1)</f>
        <v>0</v>
      </c>
      <c r="F1002" s="183">
        <f>INDEX($K1002:$O1002,SUMIF(cbal!F$280:F$296,$B1002,cbal!$D$280:$D$296)+1)</f>
        <v>0</v>
      </c>
      <c r="G1002" s="183">
        <f>INDEX($K1002:$O1002,SUMIF(cbal!G$280:G$296,$B1002,cbal!$D$280:$D$296)+1)</f>
        <v>0</v>
      </c>
      <c r="H1002" s="183">
        <f>INDEX($K1002:$O1002,SUMIF(cbal!H$280:H$296,$B1002,cbal!$D$280:$D$296)+1)</f>
        <v>0</v>
      </c>
      <c r="I1002" s="183">
        <f>INDEX($K1002:$O1002,SUMIF(cbal!I$280:I$296,$B1002,cbal!$D$280:$D$296)+1)</f>
        <v>0</v>
      </c>
      <c r="K1002" s="1577"/>
      <c r="L1002" s="1593">
        <v>5</v>
      </c>
      <c r="M1002" s="1585"/>
      <c r="N1002" s="1585"/>
      <c r="O1002" s="1585"/>
      <c r="R1002" s="91" t="b">
        <f t="shared" si="142"/>
        <v>0</v>
      </c>
      <c r="S1002" s="21" t="b">
        <f t="shared" si="143"/>
        <v>0</v>
      </c>
      <c r="T1002" s="97">
        <f t="shared" si="144"/>
        <v>5</v>
      </c>
    </row>
    <row r="1003" spans="2:20">
      <c r="B1003" s="905" t="s">
        <v>4077</v>
      </c>
      <c r="C1003" s="433">
        <v>201</v>
      </c>
      <c r="D1003" t="str">
        <f>VLOOKUP($C1003,param!$A$4:$B$266,2)</f>
        <v>Brands Strategy</v>
      </c>
      <c r="E1003" s="183">
        <f>INDEX($K1003:$O1003,SUMIF(cbal!E$280:E$296,$B1003,cbal!$D$280:$D$296)+1)</f>
        <v>0</v>
      </c>
      <c r="F1003" s="183">
        <f>INDEX($K1003:$O1003,SUMIF(cbal!F$280:F$296,$B1003,cbal!$D$280:$D$296)+1)</f>
        <v>0</v>
      </c>
      <c r="G1003" s="183">
        <f>INDEX($K1003:$O1003,SUMIF(cbal!G$280:G$296,$B1003,cbal!$D$280:$D$296)+1)</f>
        <v>0</v>
      </c>
      <c r="H1003" s="183">
        <f>INDEX($K1003:$O1003,SUMIF(cbal!H$280:H$296,$B1003,cbal!$D$280:$D$296)+1)</f>
        <v>0</v>
      </c>
      <c r="I1003" s="183">
        <f>INDEX($K1003:$O1003,SUMIF(cbal!I$280:I$296,$B1003,cbal!$D$280:$D$296)+1)</f>
        <v>0</v>
      </c>
      <c r="K1003" s="1577"/>
      <c r="L1003" s="1593">
        <v>5</v>
      </c>
      <c r="M1003" s="1593">
        <v>5</v>
      </c>
      <c r="N1003" s="1593">
        <v>5</v>
      </c>
      <c r="O1003" s="1593">
        <v>5</v>
      </c>
      <c r="R1003" s="91" t="b">
        <f t="shared" si="142"/>
        <v>0</v>
      </c>
      <c r="S1003" s="21" t="b">
        <f t="shared" si="143"/>
        <v>0</v>
      </c>
      <c r="T1003" s="97" t="b">
        <f t="shared" si="144"/>
        <v>0</v>
      </c>
    </row>
    <row r="1004" spans="2:20">
      <c r="B1004">
        <v>0</v>
      </c>
      <c r="C1004" s="433">
        <v>0</v>
      </c>
      <c r="E1004" s="183"/>
      <c r="F1004" s="183"/>
      <c r="G1004" s="183"/>
      <c r="H1004" s="183"/>
      <c r="I1004" s="183"/>
      <c r="K1004" s="1577"/>
      <c r="L1004" s="1585"/>
      <c r="M1004" s="1585"/>
      <c r="N1004" s="1585"/>
      <c r="O1004" s="1585"/>
      <c r="R1004" s="91">
        <v>0</v>
      </c>
      <c r="S1004" s="21">
        <v>0</v>
      </c>
      <c r="T1004" s="97">
        <v>0</v>
      </c>
    </row>
    <row r="1005" spans="2:20">
      <c r="B1005" s="905" t="s">
        <v>4080</v>
      </c>
      <c r="C1005" t="str">
        <f>VLOOKUP(B1005,DataInitiativesGrid,2,0)</f>
        <v>Centers of Expertise</v>
      </c>
      <c r="E1005" s="183">
        <f>INDEX($K1005:$O1005,SUMIF(cbal!E$280:E$296,$B1005,cbal!$D$280:$D$296)+1)</f>
        <v>0</v>
      </c>
      <c r="F1005" s="183">
        <f>INDEX($K1005:$O1005,SUMIF(cbal!F$280:F$296,$B1005,cbal!$D$280:$D$296)+1)</f>
        <v>0</v>
      </c>
      <c r="G1005" s="183">
        <f>INDEX($K1005:$O1005,SUMIF(cbal!G$280:G$296,$B1005,cbal!$D$280:$D$296)+1)</f>
        <v>0</v>
      </c>
      <c r="H1005" s="183">
        <f>INDEX($K1005:$O1005,SUMIF(cbal!H$280:H$296,$B1005,cbal!$D$280:$D$296)+1)</f>
        <v>0</v>
      </c>
      <c r="I1005" s="183">
        <f>INDEX($K1005:$O1005,SUMIF(cbal!I$280:I$296,$B1005,cbal!$D$280:$D$296)+1)</f>
        <v>0</v>
      </c>
      <c r="K1005" s="1577"/>
      <c r="L1005" s="1585"/>
      <c r="M1005" s="1585"/>
      <c r="N1005" s="1585"/>
      <c r="O1005" s="1585"/>
      <c r="R1005" s="91">
        <v>0</v>
      </c>
      <c r="S1005" s="21">
        <v>0</v>
      </c>
      <c r="T1005" s="97">
        <v>0</v>
      </c>
    </row>
    <row r="1006" spans="2:20">
      <c r="B1006" s="905" t="s">
        <v>4080</v>
      </c>
      <c r="C1006" s="433">
        <v>164.1</v>
      </c>
      <c r="D1006" t="str">
        <f>VLOOKUP($C1006,param!$A$4:$B$266,2)</f>
        <v>R&amp;D Time-To-Market Coefficient</v>
      </c>
      <c r="E1006" s="183">
        <f>INDEX($K1006:$O1006,SUMIF(cbal!E$280:E$296,$B1006,cbal!$D$280:$D$296)+1)</f>
        <v>0</v>
      </c>
      <c r="F1006" s="183">
        <f>INDEX($K1006:$O1006,SUMIF(cbal!F$280:F$296,$B1006,cbal!$D$280:$D$296)+1)</f>
        <v>0</v>
      </c>
      <c r="G1006" s="183">
        <f>INDEX($K1006:$O1006,SUMIF(cbal!G$280:G$296,$B1006,cbal!$D$280:$D$296)+1)</f>
        <v>0</v>
      </c>
      <c r="H1006" s="183">
        <f>INDEX($K1006:$O1006,SUMIF(cbal!H$280:H$296,$B1006,cbal!$D$280:$D$296)+1)</f>
        <v>0</v>
      </c>
      <c r="I1006" s="183">
        <f>INDEX($K1006:$O1006,SUMIF(cbal!I$280:I$296,$B1006,cbal!$D$280:$D$296)+1)</f>
        <v>0</v>
      </c>
      <c r="K1006" s="1577"/>
      <c r="L1006" s="1585">
        <v>-0.02</v>
      </c>
      <c r="M1006" s="1585">
        <v>-0.02</v>
      </c>
      <c r="N1006" s="1585">
        <v>-0.02</v>
      </c>
      <c r="O1006" s="1585">
        <v>-0.02</v>
      </c>
      <c r="R1006" s="91" t="b">
        <f t="shared" si="142"/>
        <v>0</v>
      </c>
      <c r="S1006" s="21" t="b">
        <f t="shared" si="143"/>
        <v>0</v>
      </c>
      <c r="T1006" s="97" t="b">
        <f t="shared" si="144"/>
        <v>0</v>
      </c>
    </row>
    <row r="1007" spans="2:20">
      <c r="B1007" s="905" t="s">
        <v>4080</v>
      </c>
      <c r="C1007" s="433">
        <v>179.5</v>
      </c>
      <c r="D1007" t="str">
        <f>VLOOKUP($C1007,param!$A$4:$B$266,2)</f>
        <v>Special Program Success Breakthrough</v>
      </c>
      <c r="E1007" s="183">
        <f>INDEX($K1007:$O1007,SUMIF(cbal!E$280:E$296,$B1007,cbal!$D$280:$D$296)+1)</f>
        <v>0</v>
      </c>
      <c r="F1007" s="183">
        <f>INDEX($K1007:$O1007,SUMIF(cbal!F$280:F$296,$B1007,cbal!$D$280:$D$296)+1)</f>
        <v>0</v>
      </c>
      <c r="G1007" s="183">
        <f>INDEX($K1007:$O1007,SUMIF(cbal!G$280:G$296,$B1007,cbal!$D$280:$D$296)+1)</f>
        <v>0</v>
      </c>
      <c r="H1007" s="183">
        <f>INDEX($K1007:$O1007,SUMIF(cbal!H$280:H$296,$B1007,cbal!$D$280:$D$296)+1)</f>
        <v>0</v>
      </c>
      <c r="I1007" s="183">
        <f>INDEX($K1007:$O1007,SUMIF(cbal!I$280:I$296,$B1007,cbal!$D$280:$D$296)+1)</f>
        <v>0</v>
      </c>
      <c r="K1007" s="1577"/>
      <c r="L1007" s="1585">
        <v>0.02</v>
      </c>
      <c r="M1007" s="1585">
        <v>0.02</v>
      </c>
      <c r="N1007" s="1585">
        <v>0.02</v>
      </c>
      <c r="O1007" s="1585">
        <v>0.02</v>
      </c>
      <c r="R1007" s="91" t="b">
        <f t="shared" si="142"/>
        <v>0</v>
      </c>
      <c r="S1007" s="21" t="b">
        <f t="shared" si="143"/>
        <v>0</v>
      </c>
      <c r="T1007" s="97" t="b">
        <f t="shared" si="144"/>
        <v>0</v>
      </c>
    </row>
    <row r="1008" spans="2:20">
      <c r="B1008" s="905" t="s">
        <v>4080</v>
      </c>
      <c r="C1008" s="433">
        <v>193</v>
      </c>
      <c r="D1008" t="str">
        <f>VLOOKUP($C1008,param!$A$4:$B$266,2)</f>
        <v>Healthy Product Innovation</v>
      </c>
      <c r="E1008" s="183">
        <f>INDEX($K1008:$O1008,SUMIF(cbal!E$280:E$296,$B1008,cbal!$D$280:$D$296)+1)</f>
        <v>0</v>
      </c>
      <c r="F1008" s="183">
        <f>INDEX($K1008:$O1008,SUMIF(cbal!F$280:F$296,$B1008,cbal!$D$280:$D$296)+1)</f>
        <v>0</v>
      </c>
      <c r="G1008" s="183">
        <f>INDEX($K1008:$O1008,SUMIF(cbal!G$280:G$296,$B1008,cbal!$D$280:$D$296)+1)</f>
        <v>0</v>
      </c>
      <c r="H1008" s="183">
        <f>INDEX($K1008:$O1008,SUMIF(cbal!H$280:H$296,$B1008,cbal!$D$280:$D$296)+1)</f>
        <v>0</v>
      </c>
      <c r="I1008" s="183">
        <f>INDEX($K1008:$O1008,SUMIF(cbal!I$280:I$296,$B1008,cbal!$D$280:$D$296)+1)</f>
        <v>0</v>
      </c>
      <c r="K1008" s="1577"/>
      <c r="L1008" s="1585">
        <v>0.02</v>
      </c>
      <c r="M1008" s="1585">
        <v>0.02</v>
      </c>
      <c r="N1008" s="1585">
        <v>0.02</v>
      </c>
      <c r="O1008" s="1585">
        <v>0.02</v>
      </c>
      <c r="R1008" s="91" t="b">
        <f t="shared" si="142"/>
        <v>0</v>
      </c>
      <c r="S1008" s="21" t="b">
        <f t="shared" si="143"/>
        <v>0</v>
      </c>
      <c r="T1008" s="97" t="b">
        <f t="shared" si="144"/>
        <v>0</v>
      </c>
    </row>
    <row r="1009" spans="2:20">
      <c r="B1009" s="905" t="s">
        <v>4080</v>
      </c>
      <c r="C1009" s="433">
        <v>197</v>
      </c>
      <c r="D1009" t="str">
        <f>VLOOKUP($C1009,param!$A$4:$B$266,2)</f>
        <v>Company Culture</v>
      </c>
      <c r="E1009" s="183">
        <f>INDEX($K1009:$O1009,SUMIF(cbal!E$280:E$296,$B1009,cbal!$D$280:$D$296)+1)</f>
        <v>0</v>
      </c>
      <c r="F1009" s="183">
        <f>INDEX($K1009:$O1009,SUMIF(cbal!F$280:F$296,$B1009,cbal!$D$280:$D$296)+1)</f>
        <v>0</v>
      </c>
      <c r="G1009" s="183">
        <f>INDEX($K1009:$O1009,SUMIF(cbal!G$280:G$296,$B1009,cbal!$D$280:$D$296)+1)</f>
        <v>0</v>
      </c>
      <c r="H1009" s="183">
        <f>INDEX($K1009:$O1009,SUMIF(cbal!H$280:H$296,$B1009,cbal!$D$280:$D$296)+1)</f>
        <v>0</v>
      </c>
      <c r="I1009" s="183">
        <f>INDEX($K1009:$O1009,SUMIF(cbal!I$280:I$296,$B1009,cbal!$D$280:$D$296)+1)</f>
        <v>0</v>
      </c>
      <c r="K1009" s="1577"/>
      <c r="L1009" s="1585">
        <v>0.02</v>
      </c>
      <c r="M1009" s="1585">
        <v>0.02</v>
      </c>
      <c r="N1009" s="1585">
        <v>0.02</v>
      </c>
      <c r="O1009" s="1585">
        <v>0.02</v>
      </c>
      <c r="R1009" s="91" t="b">
        <f t="shared" si="142"/>
        <v>0</v>
      </c>
      <c r="S1009" s="21" t="b">
        <f t="shared" si="143"/>
        <v>0</v>
      </c>
      <c r="T1009" s="97" t="b">
        <f t="shared" si="144"/>
        <v>0</v>
      </c>
    </row>
    <row r="1010" spans="2:20">
      <c r="B1010" s="905" t="s">
        <v>4080</v>
      </c>
      <c r="C1010" s="433">
        <v>167</v>
      </c>
      <c r="D1010" t="str">
        <f>VLOOKUP($C1010,param!$A$4:$B$266,2)</f>
        <v>Special Program Expense</v>
      </c>
      <c r="E1010" s="183">
        <f>INDEX($K1010:$O1010,SUMIF(cbal!E$280:E$296,$B1010,cbal!$D$280:$D$296)+1)</f>
        <v>0</v>
      </c>
      <c r="F1010" s="183">
        <f>INDEX($K1010:$O1010,SUMIF(cbal!F$280:F$296,$B1010,cbal!$D$280:$D$296)+1)</f>
        <v>0</v>
      </c>
      <c r="G1010" s="183">
        <f>INDEX($K1010:$O1010,SUMIF(cbal!G$280:G$296,$B1010,cbal!$D$280:$D$296)+1)</f>
        <v>0</v>
      </c>
      <c r="H1010" s="183">
        <f>INDEX($K1010:$O1010,SUMIF(cbal!H$280:H$296,$B1010,cbal!$D$280:$D$296)+1)</f>
        <v>0</v>
      </c>
      <c r="I1010" s="183">
        <f>INDEX($K1010:$O1010,SUMIF(cbal!I$280:I$296,$B1010,cbal!$D$280:$D$296)+1)</f>
        <v>0</v>
      </c>
      <c r="K1010" s="1577"/>
      <c r="L1010" s="1592">
        <v>2500000</v>
      </c>
      <c r="M1010" s="1592">
        <v>750000</v>
      </c>
      <c r="N1010" s="1592">
        <v>750000</v>
      </c>
      <c r="O1010" s="1592">
        <v>750000</v>
      </c>
      <c r="R1010" s="91">
        <f t="shared" si="142"/>
        <v>2500000</v>
      </c>
      <c r="S1010" s="21">
        <f t="shared" si="143"/>
        <v>750000</v>
      </c>
      <c r="T1010" s="97" t="b">
        <f t="shared" si="144"/>
        <v>0</v>
      </c>
    </row>
    <row r="1011" spans="2:20">
      <c r="B1011" s="905" t="s">
        <v>4080</v>
      </c>
      <c r="C1011" s="433">
        <v>133.5</v>
      </c>
      <c r="D1011" t="str">
        <f>VLOOKUP($C1011,param!$A$4:$B$266,2)</f>
        <v>MTU Initiatives Allocation</v>
      </c>
      <c r="E1011" s="183">
        <f>INDEX($K1011:$O1011,SUMIF(cbal!E$280:E$296,$B1011,cbal!$D$280:$D$296)+1)</f>
        <v>0</v>
      </c>
      <c r="F1011" s="183">
        <f>INDEX($K1011:$O1011,SUMIF(cbal!F$280:F$296,$B1011,cbal!$D$280:$D$296)+1)</f>
        <v>0</v>
      </c>
      <c r="G1011" s="183">
        <f>INDEX($K1011:$O1011,SUMIF(cbal!G$280:G$296,$B1011,cbal!$D$280:$D$296)+1)</f>
        <v>0</v>
      </c>
      <c r="H1011" s="183">
        <f>INDEX($K1011:$O1011,SUMIF(cbal!H$280:H$296,$B1011,cbal!$D$280:$D$296)+1)</f>
        <v>0</v>
      </c>
      <c r="I1011" s="183">
        <f>INDEX($K1011:$O1011,SUMIF(cbal!I$280:I$296,$B1011,cbal!$D$280:$D$296)+1)</f>
        <v>0</v>
      </c>
      <c r="K1011" s="1577"/>
      <c r="L1011" s="1593">
        <v>10</v>
      </c>
      <c r="M1011" s="1585"/>
      <c r="N1011" s="1585"/>
      <c r="O1011" s="1585"/>
      <c r="R1011" s="91" t="b">
        <f t="shared" si="142"/>
        <v>0</v>
      </c>
      <c r="S1011" s="21" t="b">
        <f t="shared" si="143"/>
        <v>0</v>
      </c>
      <c r="T1011" s="97">
        <f t="shared" si="144"/>
        <v>10</v>
      </c>
    </row>
    <row r="1012" spans="2:20">
      <c r="B1012" s="905" t="s">
        <v>4080</v>
      </c>
      <c r="C1012" s="433">
        <v>204</v>
      </c>
      <c r="D1012" t="str">
        <f>VLOOKUP($C1012,param!$A$4:$B$266,2)</f>
        <v>Innovation Strategy</v>
      </c>
      <c r="E1012" s="183">
        <f>INDEX($K1012:$O1012,SUMIF(cbal!E$280:E$296,$B1012,cbal!$D$280:$D$296)+1)</f>
        <v>0</v>
      </c>
      <c r="F1012" s="183">
        <f>INDEX($K1012:$O1012,SUMIF(cbal!F$280:F$296,$B1012,cbal!$D$280:$D$296)+1)</f>
        <v>0</v>
      </c>
      <c r="G1012" s="183">
        <f>INDEX($K1012:$O1012,SUMIF(cbal!G$280:G$296,$B1012,cbal!$D$280:$D$296)+1)</f>
        <v>0</v>
      </c>
      <c r="H1012" s="183">
        <f>INDEX($K1012:$O1012,SUMIF(cbal!H$280:H$296,$B1012,cbal!$D$280:$D$296)+1)</f>
        <v>0</v>
      </c>
      <c r="I1012" s="183">
        <f>INDEX($K1012:$O1012,SUMIF(cbal!I$280:I$296,$B1012,cbal!$D$280:$D$296)+1)</f>
        <v>0</v>
      </c>
      <c r="K1012" s="1577"/>
      <c r="L1012" s="1593">
        <v>10</v>
      </c>
      <c r="M1012" s="1593">
        <v>10</v>
      </c>
      <c r="N1012" s="1593">
        <v>10</v>
      </c>
      <c r="O1012" s="1593">
        <v>10</v>
      </c>
      <c r="R1012" s="91" t="b">
        <f t="shared" si="142"/>
        <v>0</v>
      </c>
      <c r="S1012" s="21" t="b">
        <f t="shared" si="143"/>
        <v>0</v>
      </c>
      <c r="T1012" s="97" t="b">
        <f t="shared" si="144"/>
        <v>0</v>
      </c>
    </row>
    <row r="1013" spans="2:20">
      <c r="B1013">
        <v>0</v>
      </c>
      <c r="C1013" s="433">
        <v>0</v>
      </c>
      <c r="E1013" s="183"/>
      <c r="F1013" s="183"/>
      <c r="G1013" s="183"/>
      <c r="H1013" s="183"/>
      <c r="I1013" s="183"/>
      <c r="K1013" s="1577"/>
      <c r="L1013" s="1585"/>
      <c r="M1013" s="1585"/>
      <c r="N1013" s="1585"/>
      <c r="O1013" s="1585"/>
      <c r="R1013" s="91">
        <v>0</v>
      </c>
      <c r="S1013" s="21">
        <v>0</v>
      </c>
      <c r="T1013" s="97">
        <v>0</v>
      </c>
    </row>
    <row r="1014" spans="2:20">
      <c r="B1014" s="905" t="s">
        <v>4081</v>
      </c>
      <c r="C1014" t="str">
        <f>VLOOKUP(B1014,DataInitiativesGrid,2,0)</f>
        <v>Cherry Picking Innovations</v>
      </c>
      <c r="E1014" s="183">
        <f>INDEX($K1014:$O1014,SUMIF(cbal!E$280:E$296,$B1014,cbal!$D$280:$D$296)+1)</f>
        <v>0</v>
      </c>
      <c r="F1014" s="183">
        <f>INDEX($K1014:$O1014,SUMIF(cbal!F$280:F$296,$B1014,cbal!$D$280:$D$296)+1)</f>
        <v>0</v>
      </c>
      <c r="G1014" s="183">
        <f>INDEX($K1014:$O1014,SUMIF(cbal!G$280:G$296,$B1014,cbal!$D$280:$D$296)+1)</f>
        <v>0</v>
      </c>
      <c r="H1014" s="183">
        <f>INDEX($K1014:$O1014,SUMIF(cbal!H$280:H$296,$B1014,cbal!$D$280:$D$296)+1)</f>
        <v>0</v>
      </c>
      <c r="I1014" s="183">
        <f>INDEX($K1014:$O1014,SUMIF(cbal!I$280:I$296,$B1014,cbal!$D$280:$D$296)+1)</f>
        <v>0</v>
      </c>
      <c r="K1014" s="1577"/>
      <c r="L1014" s="1585"/>
      <c r="M1014" s="1585"/>
      <c r="N1014" s="1585"/>
      <c r="O1014" s="1585"/>
      <c r="R1014" s="91">
        <v>0</v>
      </c>
      <c r="S1014" s="21">
        <v>0</v>
      </c>
      <c r="T1014" s="97">
        <v>0</v>
      </c>
    </row>
    <row r="1015" spans="2:20">
      <c r="B1015" s="905" t="s">
        <v>4081</v>
      </c>
      <c r="C1015" s="433">
        <v>164.1</v>
      </c>
      <c r="D1015" t="str">
        <f>VLOOKUP($C1015,param!$A$4:$B$266,2)</f>
        <v>R&amp;D Time-To-Market Coefficient</v>
      </c>
      <c r="E1015" s="183">
        <f>INDEX($K1015:$O1015,SUMIF(cbal!E$280:E$296,$B1015,cbal!$D$280:$D$296)+1)</f>
        <v>0</v>
      </c>
      <c r="F1015" s="183">
        <f>INDEX($K1015:$O1015,SUMIF(cbal!F$280:F$296,$B1015,cbal!$D$280:$D$296)+1)</f>
        <v>0</v>
      </c>
      <c r="G1015" s="183">
        <f>INDEX($K1015:$O1015,SUMIF(cbal!G$280:G$296,$B1015,cbal!$D$280:$D$296)+1)</f>
        <v>0</v>
      </c>
      <c r="H1015" s="183">
        <f>INDEX($K1015:$O1015,SUMIF(cbal!H$280:H$296,$B1015,cbal!$D$280:$D$296)+1)</f>
        <v>0</v>
      </c>
      <c r="I1015" s="183">
        <f>INDEX($K1015:$O1015,SUMIF(cbal!I$280:I$296,$B1015,cbal!$D$280:$D$296)+1)</f>
        <v>0</v>
      </c>
      <c r="K1015" s="1577"/>
      <c r="L1015" s="1585">
        <v>-0.02</v>
      </c>
      <c r="M1015" s="1585">
        <v>-0.02</v>
      </c>
      <c r="N1015" s="1585">
        <v>-0.02</v>
      </c>
      <c r="O1015" s="1585">
        <v>-0.02</v>
      </c>
      <c r="R1015" s="91" t="b">
        <f t="shared" si="142"/>
        <v>0</v>
      </c>
      <c r="S1015" s="21" t="b">
        <f t="shared" si="143"/>
        <v>0</v>
      </c>
      <c r="T1015" s="97" t="b">
        <f t="shared" si="144"/>
        <v>0</v>
      </c>
    </row>
    <row r="1016" spans="2:20">
      <c r="B1016" s="905" t="s">
        <v>4081</v>
      </c>
      <c r="C1016" s="433">
        <v>179.5</v>
      </c>
      <c r="D1016" t="str">
        <f>VLOOKUP($C1016,param!$A$4:$B$266,2)</f>
        <v>Special Program Success Breakthrough</v>
      </c>
      <c r="E1016" s="183">
        <f>INDEX($K1016:$O1016,SUMIF(cbal!E$280:E$296,$B1016,cbal!$D$280:$D$296)+1)</f>
        <v>0</v>
      </c>
      <c r="F1016" s="183">
        <f>INDEX($K1016:$O1016,SUMIF(cbal!F$280:F$296,$B1016,cbal!$D$280:$D$296)+1)</f>
        <v>0</v>
      </c>
      <c r="G1016" s="183">
        <f>INDEX($K1016:$O1016,SUMIF(cbal!G$280:G$296,$B1016,cbal!$D$280:$D$296)+1)</f>
        <v>0</v>
      </c>
      <c r="H1016" s="183">
        <f>INDEX($K1016:$O1016,SUMIF(cbal!H$280:H$296,$B1016,cbal!$D$280:$D$296)+1)</f>
        <v>0</v>
      </c>
      <c r="I1016" s="183">
        <f>INDEX($K1016:$O1016,SUMIF(cbal!I$280:I$296,$B1016,cbal!$D$280:$D$296)+1)</f>
        <v>0</v>
      </c>
      <c r="K1016" s="1577"/>
      <c r="L1016" s="1585">
        <v>0.02</v>
      </c>
      <c r="M1016" s="1585">
        <v>0.02</v>
      </c>
      <c r="N1016" s="1585">
        <v>0.02</v>
      </c>
      <c r="O1016" s="1585">
        <v>0.02</v>
      </c>
      <c r="R1016" s="91" t="b">
        <f t="shared" si="142"/>
        <v>0</v>
      </c>
      <c r="S1016" s="21" t="b">
        <f t="shared" si="143"/>
        <v>0</v>
      </c>
      <c r="T1016" s="97" t="b">
        <f t="shared" si="144"/>
        <v>0</v>
      </c>
    </row>
    <row r="1017" spans="2:20">
      <c r="B1017" s="905" t="s">
        <v>4081</v>
      </c>
      <c r="C1017" s="433">
        <v>197</v>
      </c>
      <c r="D1017" t="str">
        <f>VLOOKUP($C1017,param!$A$4:$B$266,2)</f>
        <v>Company Culture</v>
      </c>
      <c r="E1017" s="183">
        <f>INDEX($K1017:$O1017,SUMIF(cbal!E$280:E$296,$B1017,cbal!$D$280:$D$296)+1)</f>
        <v>0</v>
      </c>
      <c r="F1017" s="183">
        <f>INDEX($K1017:$O1017,SUMIF(cbal!F$280:F$296,$B1017,cbal!$D$280:$D$296)+1)</f>
        <v>0</v>
      </c>
      <c r="G1017" s="183">
        <f>INDEX($K1017:$O1017,SUMIF(cbal!G$280:G$296,$B1017,cbal!$D$280:$D$296)+1)</f>
        <v>0</v>
      </c>
      <c r="H1017" s="183">
        <f>INDEX($K1017:$O1017,SUMIF(cbal!H$280:H$296,$B1017,cbal!$D$280:$D$296)+1)</f>
        <v>0</v>
      </c>
      <c r="I1017" s="183">
        <f>INDEX($K1017:$O1017,SUMIF(cbal!I$280:I$296,$B1017,cbal!$D$280:$D$296)+1)</f>
        <v>0</v>
      </c>
      <c r="K1017" s="1577"/>
      <c r="L1017" s="1585">
        <v>-0.02</v>
      </c>
      <c r="M1017" s="1585">
        <v>-0.02</v>
      </c>
      <c r="N1017" s="1585">
        <v>-0.02</v>
      </c>
      <c r="O1017" s="1585">
        <v>-0.02</v>
      </c>
      <c r="R1017" s="91" t="b">
        <f t="shared" si="142"/>
        <v>0</v>
      </c>
      <c r="S1017" s="21" t="b">
        <f t="shared" si="143"/>
        <v>0</v>
      </c>
      <c r="T1017" s="97" t="b">
        <f t="shared" si="144"/>
        <v>0</v>
      </c>
    </row>
    <row r="1018" spans="2:20">
      <c r="B1018" s="905" t="s">
        <v>4081</v>
      </c>
      <c r="C1018" s="433">
        <v>167</v>
      </c>
      <c r="D1018" t="str">
        <f>VLOOKUP($C1018,param!$A$4:$B$266,2)</f>
        <v>Special Program Expense</v>
      </c>
      <c r="E1018" s="183">
        <f>INDEX($K1018:$O1018,SUMIF(cbal!E$280:E$296,$B1018,cbal!$D$280:$D$296)+1)</f>
        <v>0</v>
      </c>
      <c r="F1018" s="183">
        <f>INDEX($K1018:$O1018,SUMIF(cbal!F$280:F$296,$B1018,cbal!$D$280:$D$296)+1)</f>
        <v>0</v>
      </c>
      <c r="G1018" s="183">
        <f>INDEX($K1018:$O1018,SUMIF(cbal!G$280:G$296,$B1018,cbal!$D$280:$D$296)+1)</f>
        <v>0</v>
      </c>
      <c r="H1018" s="183">
        <f>INDEX($K1018:$O1018,SUMIF(cbal!H$280:H$296,$B1018,cbal!$D$280:$D$296)+1)</f>
        <v>0</v>
      </c>
      <c r="I1018" s="183">
        <f>INDEX($K1018:$O1018,SUMIF(cbal!I$280:I$296,$B1018,cbal!$D$280:$D$296)+1)</f>
        <v>0</v>
      </c>
      <c r="K1018" s="1577"/>
      <c r="L1018" s="1592">
        <v>2000000</v>
      </c>
      <c r="M1018" s="1592">
        <v>2000000</v>
      </c>
      <c r="N1018" s="1592">
        <v>2000000</v>
      </c>
      <c r="O1018" s="1592">
        <v>2000000</v>
      </c>
      <c r="R1018" s="91">
        <f t="shared" si="142"/>
        <v>2000000</v>
      </c>
      <c r="S1018" s="21">
        <f t="shared" si="143"/>
        <v>2000000</v>
      </c>
      <c r="T1018" s="97" t="b">
        <f t="shared" si="144"/>
        <v>0</v>
      </c>
    </row>
    <row r="1019" spans="2:20">
      <c r="B1019" s="905" t="s">
        <v>4081</v>
      </c>
      <c r="C1019" s="433">
        <v>133.5</v>
      </c>
      <c r="D1019" t="str">
        <f>VLOOKUP($C1019,param!$A$4:$B$266,2)</f>
        <v>MTU Initiatives Allocation</v>
      </c>
      <c r="E1019" s="183">
        <f>INDEX($K1019:$O1019,SUMIF(cbal!E$280:E$296,$B1019,cbal!$D$280:$D$296)+1)</f>
        <v>0</v>
      </c>
      <c r="F1019" s="183">
        <f>INDEX($K1019:$O1019,SUMIF(cbal!F$280:F$296,$B1019,cbal!$D$280:$D$296)+1)</f>
        <v>0</v>
      </c>
      <c r="G1019" s="183">
        <f>INDEX($K1019:$O1019,SUMIF(cbal!G$280:G$296,$B1019,cbal!$D$280:$D$296)+1)</f>
        <v>0</v>
      </c>
      <c r="H1019" s="183">
        <f>INDEX($K1019:$O1019,SUMIF(cbal!H$280:H$296,$B1019,cbal!$D$280:$D$296)+1)</f>
        <v>0</v>
      </c>
      <c r="I1019" s="183">
        <f>INDEX($K1019:$O1019,SUMIF(cbal!I$280:I$296,$B1019,cbal!$D$280:$D$296)+1)</f>
        <v>0</v>
      </c>
      <c r="K1019" s="1577"/>
      <c r="L1019" s="1593">
        <v>8</v>
      </c>
      <c r="M1019" s="1585"/>
      <c r="N1019" s="1585"/>
      <c r="O1019" s="1585"/>
      <c r="R1019" s="91" t="b">
        <f t="shared" ref="R1019:R1084" si="145">IF(AND(C1019&gt;166,C1019&lt;171.5),L1019)</f>
        <v>0</v>
      </c>
      <c r="S1019" s="21" t="b">
        <f t="shared" ref="S1019:S1084" si="146">IF(AND(C1019&gt;166,C1019&lt;171.5),M1019)</f>
        <v>0</v>
      </c>
      <c r="T1019" s="97">
        <f t="shared" ref="T1019:T1084" si="147">IF(C1019=133.5,L1019)</f>
        <v>8</v>
      </c>
    </row>
    <row r="1020" spans="2:20">
      <c r="B1020" s="905" t="s">
        <v>4081</v>
      </c>
      <c r="C1020" s="433">
        <v>204</v>
      </c>
      <c r="D1020" t="str">
        <f>VLOOKUP($C1020,param!$A$4:$B$266,2)</f>
        <v>Innovation Strategy</v>
      </c>
      <c r="E1020" s="183">
        <f>INDEX($K1020:$O1020,SUMIF(cbal!E$280:E$296,$B1020,cbal!$D$280:$D$296)+1)</f>
        <v>0</v>
      </c>
      <c r="F1020" s="183">
        <f>INDEX($K1020:$O1020,SUMIF(cbal!F$280:F$296,$B1020,cbal!$D$280:$D$296)+1)</f>
        <v>0</v>
      </c>
      <c r="G1020" s="183">
        <f>INDEX($K1020:$O1020,SUMIF(cbal!G$280:G$296,$B1020,cbal!$D$280:$D$296)+1)</f>
        <v>0</v>
      </c>
      <c r="H1020" s="183">
        <f>INDEX($K1020:$O1020,SUMIF(cbal!H$280:H$296,$B1020,cbal!$D$280:$D$296)+1)</f>
        <v>0</v>
      </c>
      <c r="I1020" s="183">
        <f>INDEX($K1020:$O1020,SUMIF(cbal!I$280:I$296,$B1020,cbal!$D$280:$D$296)+1)</f>
        <v>0</v>
      </c>
      <c r="K1020" s="1577"/>
      <c r="L1020" s="1593">
        <v>8</v>
      </c>
      <c r="M1020" s="1593">
        <v>8</v>
      </c>
      <c r="N1020" s="1593">
        <v>8</v>
      </c>
      <c r="O1020" s="1593">
        <v>8</v>
      </c>
      <c r="R1020" s="91" t="b">
        <f t="shared" si="145"/>
        <v>0</v>
      </c>
      <c r="S1020" s="21" t="b">
        <f t="shared" si="146"/>
        <v>0</v>
      </c>
      <c r="T1020" s="97" t="b">
        <f t="shared" si="147"/>
        <v>0</v>
      </c>
    </row>
    <row r="1021" spans="2:20">
      <c r="B1021">
        <v>0</v>
      </c>
      <c r="C1021" s="433">
        <v>0</v>
      </c>
      <c r="E1021" s="183"/>
      <c r="F1021" s="183"/>
      <c r="G1021" s="183"/>
      <c r="H1021" s="183"/>
      <c r="I1021" s="183"/>
      <c r="K1021" s="1577"/>
      <c r="L1021" s="1585"/>
      <c r="M1021" s="1585"/>
      <c r="N1021" s="1585"/>
      <c r="O1021" s="1585"/>
      <c r="R1021" s="91">
        <v>0</v>
      </c>
      <c r="S1021" s="21">
        <v>0</v>
      </c>
      <c r="T1021" s="97">
        <v>0</v>
      </c>
    </row>
    <row r="1022" spans="2:20">
      <c r="B1022" s="905" t="s">
        <v>4082</v>
      </c>
      <c r="C1022" t="str">
        <f>VLOOKUP(B1022,DataInitiativesGrid,2,0)</f>
        <v>Local Global Innovation</v>
      </c>
      <c r="E1022" s="183">
        <f>INDEX($K1022:$O1022,SUMIF(cbal!E$280:E$296,$B1022,cbal!$D$280:$D$296)+1)</f>
        <v>0</v>
      </c>
      <c r="F1022" s="183">
        <f>INDEX($K1022:$O1022,SUMIF(cbal!F$280:F$296,$B1022,cbal!$D$280:$D$296)+1)</f>
        <v>0</v>
      </c>
      <c r="G1022" s="183">
        <f>INDEX($K1022:$O1022,SUMIF(cbal!G$280:G$296,$B1022,cbal!$D$280:$D$296)+1)</f>
        <v>0</v>
      </c>
      <c r="H1022" s="183">
        <f>INDEX($K1022:$O1022,SUMIF(cbal!H$280:H$296,$B1022,cbal!$D$280:$D$296)+1)</f>
        <v>0</v>
      </c>
      <c r="I1022" s="183">
        <f>INDEX($K1022:$O1022,SUMIF(cbal!I$280:I$296,$B1022,cbal!$D$280:$D$296)+1)</f>
        <v>0</v>
      </c>
      <c r="K1022" s="1577"/>
      <c r="L1022" s="1585"/>
      <c r="M1022" s="1585"/>
      <c r="N1022" s="1585"/>
      <c r="O1022" s="1585"/>
      <c r="R1022" s="91">
        <v>0</v>
      </c>
      <c r="S1022" s="21">
        <v>0</v>
      </c>
      <c r="T1022" s="97">
        <v>0</v>
      </c>
    </row>
    <row r="1023" spans="2:20">
      <c r="B1023" s="905" t="s">
        <v>4082</v>
      </c>
      <c r="C1023" s="433">
        <v>179.5</v>
      </c>
      <c r="D1023" t="str">
        <f>VLOOKUP($C1023,param!$A$4:$B$266,2)</f>
        <v>Special Program Success Breakthrough</v>
      </c>
      <c r="E1023" s="183">
        <f>INDEX($K1023:$O1023,SUMIF(cbal!E$280:E$296,$B1023,cbal!$D$280:$D$296)+1)</f>
        <v>0</v>
      </c>
      <c r="F1023" s="183">
        <f>INDEX($K1023:$O1023,SUMIF(cbal!F$280:F$296,$B1023,cbal!$D$280:$D$296)+1)</f>
        <v>0</v>
      </c>
      <c r="G1023" s="183">
        <f>INDEX($K1023:$O1023,SUMIF(cbal!G$280:G$296,$B1023,cbal!$D$280:$D$296)+1)</f>
        <v>0</v>
      </c>
      <c r="H1023" s="183">
        <f>INDEX($K1023:$O1023,SUMIF(cbal!H$280:H$296,$B1023,cbal!$D$280:$D$296)+1)</f>
        <v>0</v>
      </c>
      <c r="I1023" s="183">
        <f>INDEX($K1023:$O1023,SUMIF(cbal!I$280:I$296,$B1023,cbal!$D$280:$D$296)+1)</f>
        <v>0</v>
      </c>
      <c r="K1023" s="1577"/>
      <c r="L1023" s="1585">
        <v>0.02</v>
      </c>
      <c r="M1023" s="1585">
        <v>0.02</v>
      </c>
      <c r="N1023" s="1585">
        <v>0.02</v>
      </c>
      <c r="O1023" s="1585">
        <v>0.02</v>
      </c>
      <c r="R1023" s="91" t="b">
        <f t="shared" si="145"/>
        <v>0</v>
      </c>
      <c r="S1023" s="21" t="b">
        <f t="shared" si="146"/>
        <v>0</v>
      </c>
      <c r="T1023" s="97" t="b">
        <f t="shared" si="147"/>
        <v>0</v>
      </c>
    </row>
    <row r="1024" spans="2:20">
      <c r="B1024" s="905" t="s">
        <v>4082</v>
      </c>
      <c r="C1024" s="433">
        <v>167</v>
      </c>
      <c r="D1024" t="str">
        <f>VLOOKUP($C1024,param!$A$4:$B$266,2)</f>
        <v>Special Program Expense</v>
      </c>
      <c r="E1024" s="183">
        <f>INDEX($K1024:$O1024,SUMIF(cbal!E$280:E$296,$B1024,cbal!$D$280:$D$296)+1)</f>
        <v>0</v>
      </c>
      <c r="F1024" s="183">
        <f>INDEX($K1024:$O1024,SUMIF(cbal!F$280:F$296,$B1024,cbal!$D$280:$D$296)+1)</f>
        <v>0</v>
      </c>
      <c r="G1024" s="183">
        <f>INDEX($K1024:$O1024,SUMIF(cbal!G$280:G$296,$B1024,cbal!$D$280:$D$296)+1)</f>
        <v>0</v>
      </c>
      <c r="H1024" s="183">
        <f>INDEX($K1024:$O1024,SUMIF(cbal!H$280:H$296,$B1024,cbal!$D$280:$D$296)+1)</f>
        <v>0</v>
      </c>
      <c r="I1024" s="183">
        <f>INDEX($K1024:$O1024,SUMIF(cbal!I$280:I$296,$B1024,cbal!$D$280:$D$296)+1)</f>
        <v>0</v>
      </c>
      <c r="K1024" s="1577"/>
      <c r="L1024" s="1592">
        <v>750000</v>
      </c>
      <c r="M1024" s="1592">
        <v>750000</v>
      </c>
      <c r="N1024" s="1592">
        <v>750000</v>
      </c>
      <c r="O1024" s="1592">
        <v>750000</v>
      </c>
      <c r="R1024" s="91">
        <f t="shared" si="145"/>
        <v>750000</v>
      </c>
      <c r="S1024" s="21">
        <f t="shared" si="146"/>
        <v>750000</v>
      </c>
      <c r="T1024" s="97" t="b">
        <f t="shared" si="147"/>
        <v>0</v>
      </c>
    </row>
    <row r="1025" spans="2:20">
      <c r="B1025" s="905" t="s">
        <v>4082</v>
      </c>
      <c r="C1025" s="433">
        <v>133.5</v>
      </c>
      <c r="D1025" t="str">
        <f>VLOOKUP($C1025,param!$A$4:$B$266,2)</f>
        <v>MTU Initiatives Allocation</v>
      </c>
      <c r="E1025" s="183">
        <f>INDEX($K1025:$O1025,SUMIF(cbal!E$280:E$296,$B1025,cbal!$D$280:$D$296)+1)</f>
        <v>0</v>
      </c>
      <c r="F1025" s="183">
        <f>INDEX($K1025:$O1025,SUMIF(cbal!F$280:F$296,$B1025,cbal!$D$280:$D$296)+1)</f>
        <v>0</v>
      </c>
      <c r="G1025" s="183">
        <f>INDEX($K1025:$O1025,SUMIF(cbal!G$280:G$296,$B1025,cbal!$D$280:$D$296)+1)</f>
        <v>0</v>
      </c>
      <c r="H1025" s="183">
        <f>INDEX($K1025:$O1025,SUMIF(cbal!H$280:H$296,$B1025,cbal!$D$280:$D$296)+1)</f>
        <v>0</v>
      </c>
      <c r="I1025" s="183">
        <f>INDEX($K1025:$O1025,SUMIF(cbal!I$280:I$296,$B1025,cbal!$D$280:$D$296)+1)</f>
        <v>0</v>
      </c>
      <c r="K1025" s="1577"/>
      <c r="L1025" s="1593">
        <v>5</v>
      </c>
      <c r="M1025" s="1585"/>
      <c r="N1025" s="1585"/>
      <c r="O1025" s="1585"/>
      <c r="R1025" s="91" t="b">
        <f t="shared" si="145"/>
        <v>0</v>
      </c>
      <c r="S1025" s="21" t="b">
        <f t="shared" si="146"/>
        <v>0</v>
      </c>
      <c r="T1025" s="97">
        <f t="shared" si="147"/>
        <v>5</v>
      </c>
    </row>
    <row r="1026" spans="2:20">
      <c r="B1026" s="905" t="s">
        <v>4082</v>
      </c>
      <c r="C1026" s="433">
        <v>204</v>
      </c>
      <c r="D1026" t="str">
        <f>VLOOKUP($C1026,param!$A$4:$B$266,2)</f>
        <v>Innovation Strategy</v>
      </c>
      <c r="E1026" s="183">
        <f>INDEX($K1026:$O1026,SUMIF(cbal!E$280:E$296,$B1026,cbal!$D$280:$D$296)+1)</f>
        <v>0</v>
      </c>
      <c r="F1026" s="183">
        <f>INDEX($K1026:$O1026,SUMIF(cbal!F$280:F$296,$B1026,cbal!$D$280:$D$296)+1)</f>
        <v>0</v>
      </c>
      <c r="G1026" s="183">
        <f>INDEX($K1026:$O1026,SUMIF(cbal!G$280:G$296,$B1026,cbal!$D$280:$D$296)+1)</f>
        <v>0</v>
      </c>
      <c r="H1026" s="183">
        <f>INDEX($K1026:$O1026,SUMIF(cbal!H$280:H$296,$B1026,cbal!$D$280:$D$296)+1)</f>
        <v>0</v>
      </c>
      <c r="I1026" s="183">
        <f>INDEX($K1026:$O1026,SUMIF(cbal!I$280:I$296,$B1026,cbal!$D$280:$D$296)+1)</f>
        <v>0</v>
      </c>
      <c r="K1026" s="1577"/>
      <c r="L1026" s="1593">
        <v>5</v>
      </c>
      <c r="M1026" s="1593">
        <v>5</v>
      </c>
      <c r="N1026" s="1593">
        <v>5</v>
      </c>
      <c r="O1026" s="1593">
        <v>5</v>
      </c>
      <c r="R1026" s="91" t="b">
        <f t="shared" si="145"/>
        <v>0</v>
      </c>
      <c r="S1026" s="21" t="b">
        <f t="shared" si="146"/>
        <v>0</v>
      </c>
      <c r="T1026" s="97" t="b">
        <f t="shared" si="147"/>
        <v>0</v>
      </c>
    </row>
    <row r="1027" spans="2:20">
      <c r="B1027">
        <v>0</v>
      </c>
      <c r="C1027" s="433">
        <v>0</v>
      </c>
      <c r="E1027" s="183"/>
      <c r="F1027" s="183"/>
      <c r="G1027" s="183"/>
      <c r="H1027" s="183"/>
      <c r="I1027" s="183"/>
      <c r="K1027" s="1577"/>
      <c r="L1027" s="1585"/>
      <c r="M1027" s="1585"/>
      <c r="N1027" s="1585"/>
      <c r="O1027" s="1585"/>
      <c r="R1027" s="91">
        <v>0</v>
      </c>
      <c r="S1027" s="21">
        <v>0</v>
      </c>
      <c r="T1027" s="97">
        <v>0</v>
      </c>
    </row>
    <row r="1028" spans="2:20">
      <c r="B1028" s="905" t="s">
        <v>4083</v>
      </c>
      <c r="C1028" t="str">
        <f>VLOOKUP(B1028,DataInitiativesGrid,2,0)</f>
        <v>Innovation Platforms</v>
      </c>
      <c r="E1028" s="183">
        <f>INDEX($K1028:$O1028,SUMIF(cbal!E$280:E$296,$B1028,cbal!$D$280:$D$296)+1)</f>
        <v>0</v>
      </c>
      <c r="F1028" s="183">
        <f>INDEX($K1028:$O1028,SUMIF(cbal!F$280:F$296,$B1028,cbal!$D$280:$D$296)+1)</f>
        <v>0</v>
      </c>
      <c r="G1028" s="183">
        <f>INDEX($K1028:$O1028,SUMIF(cbal!G$280:G$296,$B1028,cbal!$D$280:$D$296)+1)</f>
        <v>0</v>
      </c>
      <c r="H1028" s="183">
        <f>INDEX($K1028:$O1028,SUMIF(cbal!H$280:H$296,$B1028,cbal!$D$280:$D$296)+1)</f>
        <v>0</v>
      </c>
      <c r="I1028" s="183">
        <f>INDEX($K1028:$O1028,SUMIF(cbal!I$280:I$296,$B1028,cbal!$D$280:$D$296)+1)</f>
        <v>0</v>
      </c>
      <c r="K1028" s="1577"/>
      <c r="L1028" s="1585"/>
      <c r="M1028" s="1585"/>
      <c r="N1028" s="1585"/>
      <c r="O1028" s="1585"/>
      <c r="R1028" s="91">
        <v>0</v>
      </c>
      <c r="S1028" s="21">
        <v>0</v>
      </c>
      <c r="T1028" s="97">
        <v>0</v>
      </c>
    </row>
    <row r="1029" spans="2:20">
      <c r="B1029" s="905" t="s">
        <v>4083</v>
      </c>
      <c r="C1029" s="433">
        <v>164.1</v>
      </c>
      <c r="D1029" t="str">
        <f>VLOOKUP($C1029,param!$A$4:$B$266,2)</f>
        <v>R&amp;D Time-To-Market Coefficient</v>
      </c>
      <c r="E1029" s="183">
        <f>INDEX($K1029:$O1029,SUMIF(cbal!E$280:E$296,$B1029,cbal!$D$280:$D$296)+1)</f>
        <v>0</v>
      </c>
      <c r="F1029" s="183">
        <f>INDEX($K1029:$O1029,SUMIF(cbal!F$280:F$296,$B1029,cbal!$D$280:$D$296)+1)</f>
        <v>0</v>
      </c>
      <c r="G1029" s="183">
        <f>INDEX($K1029:$O1029,SUMIF(cbal!G$280:G$296,$B1029,cbal!$D$280:$D$296)+1)</f>
        <v>0</v>
      </c>
      <c r="H1029" s="183">
        <f>INDEX($K1029:$O1029,SUMIF(cbal!H$280:H$296,$B1029,cbal!$D$280:$D$296)+1)</f>
        <v>0</v>
      </c>
      <c r="I1029" s="183">
        <f>INDEX($K1029:$O1029,SUMIF(cbal!I$280:I$296,$B1029,cbal!$D$280:$D$296)+1)</f>
        <v>0</v>
      </c>
      <c r="K1029" s="1577"/>
      <c r="L1029" s="1585">
        <v>0.02</v>
      </c>
      <c r="M1029" s="1585">
        <v>0.02</v>
      </c>
      <c r="N1029" s="1585">
        <v>0.02</v>
      </c>
      <c r="O1029" s="1585">
        <v>0.02</v>
      </c>
      <c r="R1029" s="91" t="b">
        <f t="shared" si="145"/>
        <v>0</v>
      </c>
      <c r="S1029" s="21" t="b">
        <f t="shared" si="146"/>
        <v>0</v>
      </c>
      <c r="T1029" s="97" t="b">
        <f t="shared" si="147"/>
        <v>0</v>
      </c>
    </row>
    <row r="1030" spans="2:20">
      <c r="B1030" s="905" t="s">
        <v>4083</v>
      </c>
      <c r="C1030" s="433">
        <v>191</v>
      </c>
      <c r="D1030" t="str">
        <f>VLOOKUP($C1030,param!$A$4:$B$266,2)</f>
        <v>Energy Usage Performance</v>
      </c>
      <c r="E1030" s="183">
        <f>INDEX($K1030:$O1030,SUMIF(cbal!E$280:E$296,$B1030,cbal!$D$280:$D$296)+1)</f>
        <v>0</v>
      </c>
      <c r="F1030" s="183">
        <f>INDEX($K1030:$O1030,SUMIF(cbal!F$280:F$296,$B1030,cbal!$D$280:$D$296)+1)</f>
        <v>0</v>
      </c>
      <c r="G1030" s="183">
        <f>INDEX($K1030:$O1030,SUMIF(cbal!G$280:G$296,$B1030,cbal!$D$280:$D$296)+1)</f>
        <v>0</v>
      </c>
      <c r="H1030" s="183">
        <f>INDEX($K1030:$O1030,SUMIF(cbal!H$280:H$296,$B1030,cbal!$D$280:$D$296)+1)</f>
        <v>0</v>
      </c>
      <c r="I1030" s="183">
        <f>INDEX($K1030:$O1030,SUMIF(cbal!I$280:I$296,$B1030,cbal!$D$280:$D$296)+1)</f>
        <v>0</v>
      </c>
      <c r="K1030" s="1577"/>
      <c r="L1030" s="1585">
        <v>0.02</v>
      </c>
      <c r="M1030" s="1585">
        <v>0.02</v>
      </c>
      <c r="N1030" s="1585">
        <v>0.02</v>
      </c>
      <c r="O1030" s="1585">
        <v>0.02</v>
      </c>
      <c r="R1030" s="91" t="b">
        <f t="shared" si="145"/>
        <v>0</v>
      </c>
      <c r="S1030" s="21" t="b">
        <f t="shared" si="146"/>
        <v>0</v>
      </c>
      <c r="T1030" s="97" t="b">
        <f t="shared" si="147"/>
        <v>0</v>
      </c>
    </row>
    <row r="1031" spans="2:20">
      <c r="B1031" s="905" t="s">
        <v>4083</v>
      </c>
      <c r="C1031" s="433">
        <v>193</v>
      </c>
      <c r="D1031" t="str">
        <f>VLOOKUP($C1031,param!$A$4:$B$266,2)</f>
        <v>Healthy Product Innovation</v>
      </c>
      <c r="E1031" s="183">
        <f>INDEX($K1031:$O1031,SUMIF(cbal!E$280:E$296,$B1031,cbal!$D$280:$D$296)+1)</f>
        <v>0</v>
      </c>
      <c r="F1031" s="183">
        <f>INDEX($K1031:$O1031,SUMIF(cbal!F$280:F$296,$B1031,cbal!$D$280:$D$296)+1)</f>
        <v>0</v>
      </c>
      <c r="G1031" s="183">
        <f>INDEX($K1031:$O1031,SUMIF(cbal!G$280:G$296,$B1031,cbal!$D$280:$D$296)+1)</f>
        <v>0</v>
      </c>
      <c r="H1031" s="183">
        <f>INDEX($K1031:$O1031,SUMIF(cbal!H$280:H$296,$B1031,cbal!$D$280:$D$296)+1)</f>
        <v>0</v>
      </c>
      <c r="I1031" s="183">
        <f>INDEX($K1031:$O1031,SUMIF(cbal!I$280:I$296,$B1031,cbal!$D$280:$D$296)+1)</f>
        <v>0</v>
      </c>
      <c r="K1031" s="1577"/>
      <c r="L1031" s="1585">
        <v>0.02</v>
      </c>
      <c r="M1031" s="1585">
        <v>0.02</v>
      </c>
      <c r="N1031" s="1585">
        <v>0.02</v>
      </c>
      <c r="O1031" s="1585">
        <v>0.02</v>
      </c>
      <c r="R1031" s="91" t="b">
        <f t="shared" si="145"/>
        <v>0</v>
      </c>
      <c r="S1031" s="21" t="b">
        <f t="shared" si="146"/>
        <v>0</v>
      </c>
      <c r="T1031" s="97" t="b">
        <f t="shared" si="147"/>
        <v>0</v>
      </c>
    </row>
    <row r="1032" spans="2:20">
      <c r="B1032" s="905" t="s">
        <v>4083</v>
      </c>
      <c r="C1032" s="433">
        <v>190</v>
      </c>
      <c r="D1032" t="str">
        <f>VLOOKUP($C1032,param!$A$4:$B$266,2)</f>
        <v>Water Usage Performance</v>
      </c>
      <c r="E1032" s="183">
        <f>INDEX($K1032:$O1032,SUMIF(cbal!E$280:E$296,$B1032,cbal!$D$280:$D$296)+1)</f>
        <v>0</v>
      </c>
      <c r="F1032" s="183">
        <f>INDEX($K1032:$O1032,SUMIF(cbal!F$280:F$296,$B1032,cbal!$D$280:$D$296)+1)</f>
        <v>0</v>
      </c>
      <c r="G1032" s="183">
        <f>INDEX($K1032:$O1032,SUMIF(cbal!G$280:G$296,$B1032,cbal!$D$280:$D$296)+1)</f>
        <v>0</v>
      </c>
      <c r="H1032" s="183">
        <f>INDEX($K1032:$O1032,SUMIF(cbal!H$280:H$296,$B1032,cbal!$D$280:$D$296)+1)</f>
        <v>0</v>
      </c>
      <c r="I1032" s="183">
        <f>INDEX($K1032:$O1032,SUMIF(cbal!I$280:I$296,$B1032,cbal!$D$280:$D$296)+1)</f>
        <v>0</v>
      </c>
      <c r="K1032" s="1577"/>
      <c r="L1032" s="1585">
        <v>0.02</v>
      </c>
      <c r="M1032" s="1585">
        <v>0.02</v>
      </c>
      <c r="N1032" s="1585">
        <v>0.02</v>
      </c>
      <c r="O1032" s="1585">
        <v>0.02</v>
      </c>
      <c r="R1032" s="91" t="b">
        <f t="shared" si="145"/>
        <v>0</v>
      </c>
      <c r="S1032" s="21" t="b">
        <f t="shared" si="146"/>
        <v>0</v>
      </c>
      <c r="T1032" s="97" t="b">
        <f t="shared" si="147"/>
        <v>0</v>
      </c>
    </row>
    <row r="1033" spans="2:20">
      <c r="B1033" s="905" t="s">
        <v>4083</v>
      </c>
      <c r="C1033" s="433">
        <v>9</v>
      </c>
      <c r="D1033" t="str">
        <f>VLOOKUP($C1033,param!$A$4:$B$266,2)</f>
        <v>CSD Labor Hours Req. Per Unit</v>
      </c>
      <c r="E1033" s="183">
        <f>INDEX($K1033:$O1033,SUMIF(cbal!E$280:E$296,$B1033,cbal!$D$280:$D$296)+1)</f>
        <v>0</v>
      </c>
      <c r="F1033" s="183">
        <f>INDEX($K1033:$O1033,SUMIF(cbal!F$280:F$296,$B1033,cbal!$D$280:$D$296)+1)</f>
        <v>0</v>
      </c>
      <c r="G1033" s="183">
        <f>INDEX($K1033:$O1033,SUMIF(cbal!G$280:G$296,$B1033,cbal!$D$280:$D$296)+1)</f>
        <v>0</v>
      </c>
      <c r="H1033" s="183">
        <f>INDEX($K1033:$O1033,SUMIF(cbal!H$280:H$296,$B1033,cbal!$D$280:$D$296)+1)</f>
        <v>0</v>
      </c>
      <c r="I1033" s="183">
        <f>INDEX($K1033:$O1033,SUMIF(cbal!I$280:I$296,$B1033,cbal!$D$280:$D$296)+1)</f>
        <v>0</v>
      </c>
      <c r="K1033" s="1577"/>
      <c r="L1033" s="1585">
        <v>-0.02</v>
      </c>
      <c r="M1033" s="1585">
        <v>-0.02</v>
      </c>
      <c r="N1033" s="1585">
        <v>-0.02</v>
      </c>
      <c r="O1033" s="1585">
        <v>-0.02</v>
      </c>
      <c r="R1033" s="91" t="b">
        <f t="shared" si="145"/>
        <v>0</v>
      </c>
      <c r="S1033" s="21" t="b">
        <f t="shared" si="146"/>
        <v>0</v>
      </c>
      <c r="T1033" s="97" t="b">
        <f t="shared" si="147"/>
        <v>0</v>
      </c>
    </row>
    <row r="1034" spans="2:20">
      <c r="B1034" s="905" t="s">
        <v>4083</v>
      </c>
      <c r="C1034" s="433">
        <v>179.5</v>
      </c>
      <c r="D1034" t="str">
        <f>VLOOKUP($C1034,param!$A$4:$B$266,2)</f>
        <v>Special Program Success Breakthrough</v>
      </c>
      <c r="E1034" s="183">
        <f>INDEX($K1034:$O1034,SUMIF(cbal!E$280:E$296,$B1034,cbal!$D$280:$D$296)+1)</f>
        <v>0</v>
      </c>
      <c r="F1034" s="183">
        <f>INDEX($K1034:$O1034,SUMIF(cbal!F$280:F$296,$B1034,cbal!$D$280:$D$296)+1)</f>
        <v>0</v>
      </c>
      <c r="G1034" s="183">
        <f>INDEX($K1034:$O1034,SUMIF(cbal!G$280:G$296,$B1034,cbal!$D$280:$D$296)+1)</f>
        <v>0</v>
      </c>
      <c r="H1034" s="183">
        <f>INDEX($K1034:$O1034,SUMIF(cbal!H$280:H$296,$B1034,cbal!$D$280:$D$296)+1)</f>
        <v>0</v>
      </c>
      <c r="I1034" s="183">
        <f>INDEX($K1034:$O1034,SUMIF(cbal!I$280:I$296,$B1034,cbal!$D$280:$D$296)+1)</f>
        <v>0</v>
      </c>
      <c r="K1034" s="1577"/>
      <c r="L1034" s="1585">
        <v>0.02</v>
      </c>
      <c r="M1034" s="1585">
        <v>0.02</v>
      </c>
      <c r="N1034" s="1585">
        <v>0.02</v>
      </c>
      <c r="O1034" s="1585">
        <v>0.02</v>
      </c>
      <c r="R1034" s="91" t="b">
        <f t="shared" si="145"/>
        <v>0</v>
      </c>
      <c r="S1034" s="21" t="b">
        <f t="shared" si="146"/>
        <v>0</v>
      </c>
      <c r="T1034" s="97" t="b">
        <f t="shared" si="147"/>
        <v>0</v>
      </c>
    </row>
    <row r="1035" spans="2:20">
      <c r="B1035" s="905" t="s">
        <v>4083</v>
      </c>
      <c r="C1035" s="433">
        <v>47</v>
      </c>
      <c r="D1035" t="str">
        <f>VLOOKUP($C1035,param!$A$4:$B$266,2)</f>
        <v>NCB Labor Hours Req. Per Unit</v>
      </c>
      <c r="E1035" s="183">
        <f>INDEX($K1035:$O1035,SUMIF(cbal!E$280:E$296,$B1035,cbal!$D$280:$D$296)+1)</f>
        <v>0</v>
      </c>
      <c r="F1035" s="183">
        <f>INDEX($K1035:$O1035,SUMIF(cbal!F$280:F$296,$B1035,cbal!$D$280:$D$296)+1)</f>
        <v>0</v>
      </c>
      <c r="G1035" s="183">
        <f>INDEX($K1035:$O1035,SUMIF(cbal!G$280:G$296,$B1035,cbal!$D$280:$D$296)+1)</f>
        <v>0</v>
      </c>
      <c r="H1035" s="183">
        <f>INDEX($K1035:$O1035,SUMIF(cbal!H$280:H$296,$B1035,cbal!$D$280:$D$296)+1)</f>
        <v>0</v>
      </c>
      <c r="I1035" s="183">
        <f>INDEX($K1035:$O1035,SUMIF(cbal!I$280:I$296,$B1035,cbal!$D$280:$D$296)+1)</f>
        <v>0</v>
      </c>
      <c r="K1035" s="1577"/>
      <c r="L1035" s="1585">
        <v>-0.02</v>
      </c>
      <c r="M1035" s="1585">
        <v>-0.02</v>
      </c>
      <c r="N1035" s="1585">
        <v>-0.02</v>
      </c>
      <c r="O1035" s="1585">
        <v>-0.02</v>
      </c>
      <c r="R1035" s="91" t="b">
        <f t="shared" si="145"/>
        <v>0</v>
      </c>
      <c r="S1035" s="21" t="b">
        <f t="shared" si="146"/>
        <v>0</v>
      </c>
      <c r="T1035" s="97" t="b">
        <f t="shared" si="147"/>
        <v>0</v>
      </c>
    </row>
    <row r="1036" spans="2:20">
      <c r="B1036" s="905" t="s">
        <v>4083</v>
      </c>
      <c r="C1036" s="433">
        <v>66</v>
      </c>
      <c r="D1036" t="str">
        <f>VLOOKUP($C1036,param!$A$4:$B$266,2)</f>
        <v>F&amp;S Labor Hours Req. Per Unit</v>
      </c>
      <c r="E1036" s="183">
        <f>INDEX($K1036:$O1036,SUMIF(cbal!E$280:E$296,$B1036,cbal!$D$280:$D$296)+1)</f>
        <v>0</v>
      </c>
      <c r="F1036" s="183">
        <f>INDEX($K1036:$O1036,SUMIF(cbal!F$280:F$296,$B1036,cbal!$D$280:$D$296)+1)</f>
        <v>0</v>
      </c>
      <c r="G1036" s="183">
        <f>INDEX($K1036:$O1036,SUMIF(cbal!G$280:G$296,$B1036,cbal!$D$280:$D$296)+1)</f>
        <v>0</v>
      </c>
      <c r="H1036" s="183">
        <f>INDEX($K1036:$O1036,SUMIF(cbal!H$280:H$296,$B1036,cbal!$D$280:$D$296)+1)</f>
        <v>0</v>
      </c>
      <c r="I1036" s="183">
        <f>INDEX($K1036:$O1036,SUMIF(cbal!I$280:I$296,$B1036,cbal!$D$280:$D$296)+1)</f>
        <v>0</v>
      </c>
      <c r="K1036" s="1577"/>
      <c r="L1036" s="1585">
        <v>-0.02</v>
      </c>
      <c r="M1036" s="1585">
        <v>-0.02</v>
      </c>
      <c r="N1036" s="1585">
        <v>-0.02</v>
      </c>
      <c r="O1036" s="1585">
        <v>-0.02</v>
      </c>
      <c r="R1036" s="91" t="b">
        <f t="shared" si="145"/>
        <v>0</v>
      </c>
      <c r="S1036" s="21" t="b">
        <f t="shared" si="146"/>
        <v>0</v>
      </c>
      <c r="T1036" s="97" t="b">
        <f t="shared" si="147"/>
        <v>0</v>
      </c>
    </row>
    <row r="1037" spans="2:20">
      <c r="B1037" s="905" t="s">
        <v>4083</v>
      </c>
      <c r="C1037" s="433">
        <v>10</v>
      </c>
      <c r="D1037" t="str">
        <f>VLOOKUP($C1037,param!$A$4:$B$266,2)</f>
        <v>CSD Machinery Hours Req. Per Unit</v>
      </c>
      <c r="E1037" s="183">
        <f>INDEX($K1037:$O1037,SUMIF(cbal!E$280:E$296,$B1037,cbal!$D$280:$D$296)+1)</f>
        <v>0</v>
      </c>
      <c r="F1037" s="183">
        <f>INDEX($K1037:$O1037,SUMIF(cbal!F$280:F$296,$B1037,cbal!$D$280:$D$296)+1)</f>
        <v>0</v>
      </c>
      <c r="G1037" s="183">
        <f>INDEX($K1037:$O1037,SUMIF(cbal!G$280:G$296,$B1037,cbal!$D$280:$D$296)+1)</f>
        <v>0</v>
      </c>
      <c r="H1037" s="183">
        <f>INDEX($K1037:$O1037,SUMIF(cbal!H$280:H$296,$B1037,cbal!$D$280:$D$296)+1)</f>
        <v>0</v>
      </c>
      <c r="I1037" s="183">
        <f>INDEX($K1037:$O1037,SUMIF(cbal!I$280:I$296,$B1037,cbal!$D$280:$D$296)+1)</f>
        <v>0</v>
      </c>
      <c r="K1037" s="1577"/>
      <c r="L1037" s="1585">
        <v>-0.02</v>
      </c>
      <c r="M1037" s="1585">
        <v>-0.02</v>
      </c>
      <c r="N1037" s="1585">
        <v>-0.02</v>
      </c>
      <c r="O1037" s="1585">
        <v>-0.02</v>
      </c>
      <c r="R1037" s="91" t="b">
        <f t="shared" si="145"/>
        <v>0</v>
      </c>
      <c r="S1037" s="21" t="b">
        <f t="shared" si="146"/>
        <v>0</v>
      </c>
      <c r="T1037" s="97" t="b">
        <f t="shared" si="147"/>
        <v>0</v>
      </c>
    </row>
    <row r="1038" spans="2:20">
      <c r="B1038" s="905" t="s">
        <v>4083</v>
      </c>
      <c r="C1038" s="433">
        <v>48</v>
      </c>
      <c r="D1038" t="str">
        <f>VLOOKUP($C1038,param!$A$4:$B$266,2)</f>
        <v>NCB Machinery Hours Req. Per Unit</v>
      </c>
      <c r="E1038" s="183">
        <f>INDEX($K1038:$O1038,SUMIF(cbal!E$280:E$296,$B1038,cbal!$D$280:$D$296)+1)</f>
        <v>0</v>
      </c>
      <c r="F1038" s="183">
        <f>INDEX($K1038:$O1038,SUMIF(cbal!F$280:F$296,$B1038,cbal!$D$280:$D$296)+1)</f>
        <v>0</v>
      </c>
      <c r="G1038" s="183">
        <f>INDEX($K1038:$O1038,SUMIF(cbal!G$280:G$296,$B1038,cbal!$D$280:$D$296)+1)</f>
        <v>0</v>
      </c>
      <c r="H1038" s="183">
        <f>INDEX($K1038:$O1038,SUMIF(cbal!H$280:H$296,$B1038,cbal!$D$280:$D$296)+1)</f>
        <v>0</v>
      </c>
      <c r="I1038" s="183">
        <f>INDEX($K1038:$O1038,SUMIF(cbal!I$280:I$296,$B1038,cbal!$D$280:$D$296)+1)</f>
        <v>0</v>
      </c>
      <c r="K1038" s="1577"/>
      <c r="L1038" s="1585">
        <v>-0.02</v>
      </c>
      <c r="M1038" s="1585">
        <v>-0.02</v>
      </c>
      <c r="N1038" s="1585">
        <v>-0.02</v>
      </c>
      <c r="O1038" s="1585">
        <v>-0.02</v>
      </c>
      <c r="R1038" s="91" t="b">
        <f t="shared" si="145"/>
        <v>0</v>
      </c>
      <c r="S1038" s="21" t="b">
        <f t="shared" si="146"/>
        <v>0</v>
      </c>
      <c r="T1038" s="97" t="b">
        <f t="shared" si="147"/>
        <v>0</v>
      </c>
    </row>
    <row r="1039" spans="2:20">
      <c r="B1039" s="905" t="s">
        <v>4083</v>
      </c>
      <c r="C1039" s="433">
        <v>67</v>
      </c>
      <c r="D1039" t="str">
        <f>VLOOKUP($C1039,param!$A$4:$B$266,2)</f>
        <v>F&amp;S Machinery Hours Req. Per Unit</v>
      </c>
      <c r="E1039" s="183">
        <f>INDEX($K1039:$O1039,SUMIF(cbal!E$280:E$296,$B1039,cbal!$D$280:$D$296)+1)</f>
        <v>0</v>
      </c>
      <c r="F1039" s="183">
        <f>INDEX($K1039:$O1039,SUMIF(cbal!F$280:F$296,$B1039,cbal!$D$280:$D$296)+1)</f>
        <v>0</v>
      </c>
      <c r="G1039" s="183">
        <f>INDEX($K1039:$O1039,SUMIF(cbal!G$280:G$296,$B1039,cbal!$D$280:$D$296)+1)</f>
        <v>0</v>
      </c>
      <c r="H1039" s="183">
        <f>INDEX($K1039:$O1039,SUMIF(cbal!H$280:H$296,$B1039,cbal!$D$280:$D$296)+1)</f>
        <v>0</v>
      </c>
      <c r="I1039" s="183">
        <f>INDEX($K1039:$O1039,SUMIF(cbal!I$280:I$296,$B1039,cbal!$D$280:$D$296)+1)</f>
        <v>0</v>
      </c>
      <c r="K1039" s="1577"/>
      <c r="L1039" s="1585">
        <v>-0.02</v>
      </c>
      <c r="M1039" s="1585">
        <v>-0.02</v>
      </c>
      <c r="N1039" s="1585">
        <v>-0.02</v>
      </c>
      <c r="O1039" s="1585">
        <v>-0.02</v>
      </c>
      <c r="R1039" s="91" t="b">
        <f t="shared" si="145"/>
        <v>0</v>
      </c>
      <c r="S1039" s="21" t="b">
        <f t="shared" si="146"/>
        <v>0</v>
      </c>
      <c r="T1039" s="97" t="b">
        <f t="shared" si="147"/>
        <v>0</v>
      </c>
    </row>
    <row r="1040" spans="2:20">
      <c r="B1040" s="905" t="s">
        <v>4083</v>
      </c>
      <c r="C1040" s="433">
        <v>167</v>
      </c>
      <c r="D1040" t="str">
        <f>VLOOKUP($C1040,param!$A$4:$B$266,2)</f>
        <v>Special Program Expense</v>
      </c>
      <c r="E1040" s="183">
        <f>INDEX($K1040:$O1040,SUMIF(cbal!E$280:E$296,$B1040,cbal!$D$280:$D$296)+1)</f>
        <v>0</v>
      </c>
      <c r="F1040" s="183">
        <f>INDEX($K1040:$O1040,SUMIF(cbal!F$280:F$296,$B1040,cbal!$D$280:$D$296)+1)</f>
        <v>0</v>
      </c>
      <c r="G1040" s="183">
        <f>INDEX($K1040:$O1040,SUMIF(cbal!G$280:G$296,$B1040,cbal!$D$280:$D$296)+1)</f>
        <v>0</v>
      </c>
      <c r="H1040" s="183">
        <f>INDEX($K1040:$O1040,SUMIF(cbal!H$280:H$296,$B1040,cbal!$D$280:$D$296)+1)</f>
        <v>0</v>
      </c>
      <c r="I1040" s="183">
        <f>INDEX($K1040:$O1040,SUMIF(cbal!I$280:I$296,$B1040,cbal!$D$280:$D$296)+1)</f>
        <v>0</v>
      </c>
      <c r="K1040" s="1577"/>
      <c r="L1040" s="1592">
        <v>1200000</v>
      </c>
      <c r="M1040" s="1592"/>
      <c r="N1040" s="1592"/>
      <c r="O1040" s="1592"/>
      <c r="R1040" s="91">
        <f t="shared" si="145"/>
        <v>1200000</v>
      </c>
      <c r="S1040" s="21">
        <f t="shared" si="146"/>
        <v>0</v>
      </c>
      <c r="T1040" s="97" t="b">
        <f t="shared" si="147"/>
        <v>0</v>
      </c>
    </row>
    <row r="1041" spans="2:20">
      <c r="B1041" s="905" t="s">
        <v>4083</v>
      </c>
      <c r="C1041" s="433">
        <v>133.5</v>
      </c>
      <c r="D1041" t="str">
        <f>VLOOKUP($C1041,param!$A$4:$B$266,2)</f>
        <v>MTU Initiatives Allocation</v>
      </c>
      <c r="E1041" s="183">
        <f>INDEX($K1041:$O1041,SUMIF(cbal!E$280:E$296,$B1041,cbal!$D$280:$D$296)+1)</f>
        <v>0</v>
      </c>
      <c r="F1041" s="183">
        <f>INDEX($K1041:$O1041,SUMIF(cbal!F$280:F$296,$B1041,cbal!$D$280:$D$296)+1)</f>
        <v>0</v>
      </c>
      <c r="G1041" s="183">
        <f>INDEX($K1041:$O1041,SUMIF(cbal!G$280:G$296,$B1041,cbal!$D$280:$D$296)+1)</f>
        <v>0</v>
      </c>
      <c r="H1041" s="183">
        <f>INDEX($K1041:$O1041,SUMIF(cbal!H$280:H$296,$B1041,cbal!$D$280:$D$296)+1)</f>
        <v>0</v>
      </c>
      <c r="I1041" s="183">
        <f>INDEX($K1041:$O1041,SUMIF(cbal!I$280:I$296,$B1041,cbal!$D$280:$D$296)+1)</f>
        <v>0</v>
      </c>
      <c r="K1041" s="1577"/>
      <c r="L1041" s="1593">
        <v>10</v>
      </c>
      <c r="M1041" s="1585"/>
      <c r="N1041" s="1585"/>
      <c r="O1041" s="1585"/>
      <c r="R1041" s="91" t="b">
        <f t="shared" si="145"/>
        <v>0</v>
      </c>
      <c r="S1041" s="21" t="b">
        <f t="shared" si="146"/>
        <v>0</v>
      </c>
      <c r="T1041" s="97">
        <f t="shared" si="147"/>
        <v>10</v>
      </c>
    </row>
    <row r="1042" spans="2:20">
      <c r="B1042" s="905" t="s">
        <v>4083</v>
      </c>
      <c r="C1042" s="433">
        <v>204</v>
      </c>
      <c r="D1042" t="str">
        <f>VLOOKUP($C1042,param!$A$4:$B$266,2)</f>
        <v>Innovation Strategy</v>
      </c>
      <c r="E1042" s="183">
        <f>INDEX($K1042:$O1042,SUMIF(cbal!E$280:E$296,$B1042,cbal!$D$280:$D$296)+1)</f>
        <v>0</v>
      </c>
      <c r="F1042" s="183">
        <f>INDEX($K1042:$O1042,SUMIF(cbal!F$280:F$296,$B1042,cbal!$D$280:$D$296)+1)</f>
        <v>0</v>
      </c>
      <c r="G1042" s="183">
        <f>INDEX($K1042:$O1042,SUMIF(cbal!G$280:G$296,$B1042,cbal!$D$280:$D$296)+1)</f>
        <v>0</v>
      </c>
      <c r="H1042" s="183">
        <f>INDEX($K1042:$O1042,SUMIF(cbal!H$280:H$296,$B1042,cbal!$D$280:$D$296)+1)</f>
        <v>0</v>
      </c>
      <c r="I1042" s="183">
        <f>INDEX($K1042:$O1042,SUMIF(cbal!I$280:I$296,$B1042,cbal!$D$280:$D$296)+1)</f>
        <v>0</v>
      </c>
      <c r="K1042" s="1577"/>
      <c r="L1042" s="1593">
        <v>10</v>
      </c>
      <c r="M1042" s="1593">
        <v>10</v>
      </c>
      <c r="N1042" s="1593">
        <v>10</v>
      </c>
      <c r="O1042" s="1593">
        <v>10</v>
      </c>
      <c r="R1042" s="91" t="b">
        <f t="shared" si="145"/>
        <v>0</v>
      </c>
      <c r="S1042" s="21" t="b">
        <f t="shared" si="146"/>
        <v>0</v>
      </c>
      <c r="T1042" s="97" t="b">
        <f t="shared" si="147"/>
        <v>0</v>
      </c>
    </row>
    <row r="1043" spans="2:20">
      <c r="B1043">
        <v>0</v>
      </c>
      <c r="C1043" s="433">
        <v>0</v>
      </c>
      <c r="E1043" s="183"/>
      <c r="F1043" s="183"/>
      <c r="G1043" s="183"/>
      <c r="H1043" s="183"/>
      <c r="I1043" s="183"/>
      <c r="K1043" s="1577"/>
      <c r="L1043" s="1585"/>
      <c r="M1043" s="1585"/>
      <c r="N1043" s="1585"/>
      <c r="O1043" s="1585"/>
      <c r="R1043" s="91">
        <v>0</v>
      </c>
      <c r="S1043" s="21">
        <v>0</v>
      </c>
      <c r="T1043" s="97">
        <v>0</v>
      </c>
    </row>
    <row r="1044" spans="2:20">
      <c r="B1044" s="905" t="s">
        <v>4084</v>
      </c>
      <c r="C1044" t="str">
        <f>VLOOKUP(B1044,DataInitiativesGrid,2,0)</f>
        <v>Innovation Stage Gates</v>
      </c>
      <c r="E1044" s="183">
        <f>INDEX($K1044:$O1044,SUMIF(cbal!E$280:E$296,$B1044,cbal!$D$280:$D$296)+1)</f>
        <v>0</v>
      </c>
      <c r="F1044" s="183">
        <f>INDEX($K1044:$O1044,SUMIF(cbal!F$280:F$296,$B1044,cbal!$D$280:$D$296)+1)</f>
        <v>0</v>
      </c>
      <c r="G1044" s="183">
        <f>INDEX($K1044:$O1044,SUMIF(cbal!G$280:G$296,$B1044,cbal!$D$280:$D$296)+1)</f>
        <v>0</v>
      </c>
      <c r="H1044" s="183">
        <f>INDEX($K1044:$O1044,SUMIF(cbal!H$280:H$296,$B1044,cbal!$D$280:$D$296)+1)</f>
        <v>0</v>
      </c>
      <c r="I1044" s="183">
        <f>INDEX($K1044:$O1044,SUMIF(cbal!I$280:I$296,$B1044,cbal!$D$280:$D$296)+1)</f>
        <v>0</v>
      </c>
      <c r="K1044" s="1577"/>
      <c r="L1044" s="1585"/>
      <c r="M1044" s="1585"/>
      <c r="N1044" s="1585"/>
      <c r="O1044" s="1585"/>
      <c r="R1044" s="91">
        <v>0</v>
      </c>
      <c r="S1044" s="21">
        <v>0</v>
      </c>
      <c r="T1044" s="97">
        <v>0</v>
      </c>
    </row>
    <row r="1045" spans="2:20">
      <c r="B1045" s="905" t="s">
        <v>4084</v>
      </c>
      <c r="C1045" s="433">
        <v>164.1</v>
      </c>
      <c r="D1045" t="str">
        <f>VLOOKUP($C1045,param!$A$4:$B$266,2)</f>
        <v>R&amp;D Time-To-Market Coefficient</v>
      </c>
      <c r="E1045" s="183">
        <f>INDEX($K1045:$O1045,SUMIF(cbal!E$280:E$296,$B1045,cbal!$D$280:$D$296)+1)</f>
        <v>0</v>
      </c>
      <c r="F1045" s="183">
        <f>INDEX($K1045:$O1045,SUMIF(cbal!F$280:F$296,$B1045,cbal!$D$280:$D$296)+1)</f>
        <v>0</v>
      </c>
      <c r="G1045" s="183">
        <f>INDEX($K1045:$O1045,SUMIF(cbal!G$280:G$296,$B1045,cbal!$D$280:$D$296)+1)</f>
        <v>0</v>
      </c>
      <c r="H1045" s="183">
        <f>INDEX($K1045:$O1045,SUMIF(cbal!H$280:H$296,$B1045,cbal!$D$280:$D$296)+1)</f>
        <v>0</v>
      </c>
      <c r="I1045" s="183">
        <f>INDEX($K1045:$O1045,SUMIF(cbal!I$280:I$296,$B1045,cbal!$D$280:$D$296)+1)</f>
        <v>0</v>
      </c>
      <c r="K1045" s="1577"/>
      <c r="L1045" s="1585">
        <v>0.02</v>
      </c>
      <c r="M1045" s="1585">
        <v>0.02</v>
      </c>
      <c r="N1045" s="1585">
        <v>0.02</v>
      </c>
      <c r="O1045" s="1585">
        <v>0.02</v>
      </c>
      <c r="R1045" s="91" t="b">
        <f t="shared" si="145"/>
        <v>0</v>
      </c>
      <c r="S1045" s="21" t="b">
        <f t="shared" si="146"/>
        <v>0</v>
      </c>
      <c r="T1045" s="97" t="b">
        <f t="shared" si="147"/>
        <v>0</v>
      </c>
    </row>
    <row r="1046" spans="2:20">
      <c r="B1046" s="905" t="s">
        <v>4084</v>
      </c>
      <c r="C1046" s="433">
        <v>191</v>
      </c>
      <c r="D1046" t="str">
        <f>VLOOKUP($C1046,param!$A$4:$B$266,2)</f>
        <v>Energy Usage Performance</v>
      </c>
      <c r="E1046" s="183">
        <f>INDEX($K1046:$O1046,SUMIF(cbal!E$280:E$296,$B1046,cbal!$D$280:$D$296)+1)</f>
        <v>0</v>
      </c>
      <c r="F1046" s="183">
        <f>INDEX($K1046:$O1046,SUMIF(cbal!F$280:F$296,$B1046,cbal!$D$280:$D$296)+1)</f>
        <v>0</v>
      </c>
      <c r="G1046" s="183">
        <f>INDEX($K1046:$O1046,SUMIF(cbal!G$280:G$296,$B1046,cbal!$D$280:$D$296)+1)</f>
        <v>0</v>
      </c>
      <c r="H1046" s="183">
        <f>INDEX($K1046:$O1046,SUMIF(cbal!H$280:H$296,$B1046,cbal!$D$280:$D$296)+1)</f>
        <v>0</v>
      </c>
      <c r="I1046" s="183">
        <f>INDEX($K1046:$O1046,SUMIF(cbal!I$280:I$296,$B1046,cbal!$D$280:$D$296)+1)</f>
        <v>0</v>
      </c>
      <c r="K1046" s="1577"/>
      <c r="L1046" s="1585">
        <v>0.02</v>
      </c>
      <c r="M1046" s="1585">
        <v>0.02</v>
      </c>
      <c r="N1046" s="1585">
        <v>0.02</v>
      </c>
      <c r="O1046" s="1585">
        <v>0.02</v>
      </c>
      <c r="R1046" s="91" t="b">
        <f t="shared" si="145"/>
        <v>0</v>
      </c>
      <c r="S1046" s="21" t="b">
        <f t="shared" si="146"/>
        <v>0</v>
      </c>
      <c r="T1046" s="97" t="b">
        <f t="shared" si="147"/>
        <v>0</v>
      </c>
    </row>
    <row r="1047" spans="2:20">
      <c r="B1047" s="905" t="s">
        <v>4084</v>
      </c>
      <c r="C1047" s="433">
        <v>179.5</v>
      </c>
      <c r="D1047" t="str">
        <f>VLOOKUP($C1047,param!$A$4:$B$266,2)</f>
        <v>Special Program Success Breakthrough</v>
      </c>
      <c r="E1047" s="183">
        <f>INDEX($K1047:$O1047,SUMIF(cbal!E$280:E$296,$B1047,cbal!$D$280:$D$296)+1)</f>
        <v>0</v>
      </c>
      <c r="F1047" s="183">
        <f>INDEX($K1047:$O1047,SUMIF(cbal!F$280:F$296,$B1047,cbal!$D$280:$D$296)+1)</f>
        <v>0</v>
      </c>
      <c r="G1047" s="183">
        <f>INDEX($K1047:$O1047,SUMIF(cbal!G$280:G$296,$B1047,cbal!$D$280:$D$296)+1)</f>
        <v>0</v>
      </c>
      <c r="H1047" s="183">
        <f>INDEX($K1047:$O1047,SUMIF(cbal!H$280:H$296,$B1047,cbal!$D$280:$D$296)+1)</f>
        <v>0</v>
      </c>
      <c r="I1047" s="183">
        <f>INDEX($K1047:$O1047,SUMIF(cbal!I$280:I$296,$B1047,cbal!$D$280:$D$296)+1)</f>
        <v>0</v>
      </c>
      <c r="K1047" s="1577"/>
      <c r="L1047" s="1585">
        <v>0.02</v>
      </c>
      <c r="M1047" s="1585">
        <v>0.02</v>
      </c>
      <c r="N1047" s="1585">
        <v>0.02</v>
      </c>
      <c r="O1047" s="1585">
        <v>0.02</v>
      </c>
      <c r="R1047" s="91" t="b">
        <f t="shared" si="145"/>
        <v>0</v>
      </c>
      <c r="S1047" s="21" t="b">
        <f t="shared" si="146"/>
        <v>0</v>
      </c>
      <c r="T1047" s="97" t="b">
        <f t="shared" si="147"/>
        <v>0</v>
      </c>
    </row>
    <row r="1048" spans="2:20">
      <c r="B1048" s="905" t="s">
        <v>4084</v>
      </c>
      <c r="C1048" s="433">
        <v>193</v>
      </c>
      <c r="D1048" t="str">
        <f>VLOOKUP($C1048,param!$A$4:$B$266,2)</f>
        <v>Healthy Product Innovation</v>
      </c>
      <c r="E1048" s="183">
        <f>INDEX($K1048:$O1048,SUMIF(cbal!E$280:E$296,$B1048,cbal!$D$280:$D$296)+1)</f>
        <v>0</v>
      </c>
      <c r="F1048" s="183">
        <f>INDEX($K1048:$O1048,SUMIF(cbal!F$280:F$296,$B1048,cbal!$D$280:$D$296)+1)</f>
        <v>0</v>
      </c>
      <c r="G1048" s="183">
        <f>INDEX($K1048:$O1048,SUMIF(cbal!G$280:G$296,$B1048,cbal!$D$280:$D$296)+1)</f>
        <v>0</v>
      </c>
      <c r="H1048" s="183">
        <f>INDEX($K1048:$O1048,SUMIF(cbal!H$280:H$296,$B1048,cbal!$D$280:$D$296)+1)</f>
        <v>0</v>
      </c>
      <c r="I1048" s="183">
        <f>INDEX($K1048:$O1048,SUMIF(cbal!I$280:I$296,$B1048,cbal!$D$280:$D$296)+1)</f>
        <v>0</v>
      </c>
      <c r="K1048" s="1577"/>
      <c r="L1048" s="1585">
        <v>0.02</v>
      </c>
      <c r="M1048" s="1585">
        <v>0.02</v>
      </c>
      <c r="N1048" s="1585">
        <v>0.02</v>
      </c>
      <c r="O1048" s="1585">
        <v>0.02</v>
      </c>
      <c r="R1048" s="91" t="b">
        <f t="shared" si="145"/>
        <v>0</v>
      </c>
      <c r="S1048" s="21" t="b">
        <f t="shared" si="146"/>
        <v>0</v>
      </c>
      <c r="T1048" s="97" t="b">
        <f t="shared" si="147"/>
        <v>0</v>
      </c>
    </row>
    <row r="1049" spans="2:20">
      <c r="B1049" s="905" t="s">
        <v>4084</v>
      </c>
      <c r="C1049" s="433">
        <v>190</v>
      </c>
      <c r="D1049" t="str">
        <f>VLOOKUP($C1049,param!$A$4:$B$266,2)</f>
        <v>Water Usage Performance</v>
      </c>
      <c r="E1049" s="183">
        <f>INDEX($K1049:$O1049,SUMIF(cbal!E$280:E$296,$B1049,cbal!$D$280:$D$296)+1)</f>
        <v>0</v>
      </c>
      <c r="F1049" s="183">
        <f>INDEX($K1049:$O1049,SUMIF(cbal!F$280:F$296,$B1049,cbal!$D$280:$D$296)+1)</f>
        <v>0</v>
      </c>
      <c r="G1049" s="183">
        <f>INDEX($K1049:$O1049,SUMIF(cbal!G$280:G$296,$B1049,cbal!$D$280:$D$296)+1)</f>
        <v>0</v>
      </c>
      <c r="H1049" s="183">
        <f>INDEX($K1049:$O1049,SUMIF(cbal!H$280:H$296,$B1049,cbal!$D$280:$D$296)+1)</f>
        <v>0</v>
      </c>
      <c r="I1049" s="183">
        <f>INDEX($K1049:$O1049,SUMIF(cbal!I$280:I$296,$B1049,cbal!$D$280:$D$296)+1)</f>
        <v>0</v>
      </c>
      <c r="K1049" s="1577"/>
      <c r="L1049" s="1585">
        <v>0.02</v>
      </c>
      <c r="M1049" s="1585">
        <v>0.02</v>
      </c>
      <c r="N1049" s="1585">
        <v>0.02</v>
      </c>
      <c r="O1049" s="1585">
        <v>0.02</v>
      </c>
      <c r="R1049" s="91" t="b">
        <f t="shared" si="145"/>
        <v>0</v>
      </c>
      <c r="S1049" s="21" t="b">
        <f t="shared" si="146"/>
        <v>0</v>
      </c>
      <c r="T1049" s="97" t="b">
        <f t="shared" si="147"/>
        <v>0</v>
      </c>
    </row>
    <row r="1050" spans="2:20">
      <c r="B1050" s="905" t="s">
        <v>4084</v>
      </c>
      <c r="C1050" s="433">
        <v>167</v>
      </c>
      <c r="D1050" t="str">
        <f>VLOOKUP($C1050,param!$A$4:$B$266,2)</f>
        <v>Special Program Expense</v>
      </c>
      <c r="E1050" s="183">
        <f>INDEX($K1050:$O1050,SUMIF(cbal!E$280:E$296,$B1050,cbal!$D$280:$D$296)+1)</f>
        <v>0</v>
      </c>
      <c r="F1050" s="183">
        <f>INDEX($K1050:$O1050,SUMIF(cbal!F$280:F$296,$B1050,cbal!$D$280:$D$296)+1)</f>
        <v>0</v>
      </c>
      <c r="G1050" s="183">
        <f>INDEX($K1050:$O1050,SUMIF(cbal!G$280:G$296,$B1050,cbal!$D$280:$D$296)+1)</f>
        <v>0</v>
      </c>
      <c r="H1050" s="183">
        <f>INDEX($K1050:$O1050,SUMIF(cbal!H$280:H$296,$B1050,cbal!$D$280:$D$296)+1)</f>
        <v>0</v>
      </c>
      <c r="I1050" s="183">
        <f>INDEX($K1050:$O1050,SUMIF(cbal!I$280:I$296,$B1050,cbal!$D$280:$D$296)+1)</f>
        <v>0</v>
      </c>
      <c r="K1050" s="1577"/>
      <c r="L1050" s="1592">
        <v>1000000</v>
      </c>
      <c r="M1050" s="1585"/>
      <c r="N1050" s="1585"/>
      <c r="O1050" s="1585"/>
      <c r="R1050" s="91">
        <f t="shared" si="145"/>
        <v>1000000</v>
      </c>
      <c r="S1050" s="21">
        <f t="shared" si="146"/>
        <v>0</v>
      </c>
      <c r="T1050" s="97" t="b">
        <f t="shared" si="147"/>
        <v>0</v>
      </c>
    </row>
    <row r="1051" spans="2:20">
      <c r="B1051" s="905" t="s">
        <v>4084</v>
      </c>
      <c r="C1051" s="433">
        <v>133.5</v>
      </c>
      <c r="D1051" t="str">
        <f>VLOOKUP($C1051,param!$A$4:$B$266,2)</f>
        <v>MTU Initiatives Allocation</v>
      </c>
      <c r="E1051" s="183">
        <f>INDEX($K1051:$O1051,SUMIF(cbal!E$280:E$296,$B1051,cbal!$D$280:$D$296)+1)</f>
        <v>0</v>
      </c>
      <c r="F1051" s="183">
        <f>INDEX($K1051:$O1051,SUMIF(cbal!F$280:F$296,$B1051,cbal!$D$280:$D$296)+1)</f>
        <v>0</v>
      </c>
      <c r="G1051" s="183">
        <f>INDEX($K1051:$O1051,SUMIF(cbal!G$280:G$296,$B1051,cbal!$D$280:$D$296)+1)</f>
        <v>0</v>
      </c>
      <c r="H1051" s="183">
        <f>INDEX($K1051:$O1051,SUMIF(cbal!H$280:H$296,$B1051,cbal!$D$280:$D$296)+1)</f>
        <v>0</v>
      </c>
      <c r="I1051" s="183">
        <f>INDEX($K1051:$O1051,SUMIF(cbal!I$280:I$296,$B1051,cbal!$D$280:$D$296)+1)</f>
        <v>0</v>
      </c>
      <c r="K1051" s="1577"/>
      <c r="L1051" s="1593">
        <v>10</v>
      </c>
      <c r="M1051" s="1585"/>
      <c r="N1051" s="1585"/>
      <c r="O1051" s="1585"/>
      <c r="R1051" s="91" t="b">
        <f t="shared" si="145"/>
        <v>0</v>
      </c>
      <c r="S1051" s="21" t="b">
        <f t="shared" si="146"/>
        <v>0</v>
      </c>
      <c r="T1051" s="97">
        <f t="shared" si="147"/>
        <v>10</v>
      </c>
    </row>
    <row r="1052" spans="2:20">
      <c r="B1052" s="905" t="s">
        <v>4084</v>
      </c>
      <c r="C1052" s="433">
        <v>204</v>
      </c>
      <c r="D1052" t="str">
        <f>VLOOKUP($C1052,param!$A$4:$B$266,2)</f>
        <v>Innovation Strategy</v>
      </c>
      <c r="E1052" s="183">
        <f>INDEX($K1052:$O1052,SUMIF(cbal!E$280:E$296,$B1052,cbal!$D$280:$D$296)+1)</f>
        <v>0</v>
      </c>
      <c r="F1052" s="183">
        <f>INDEX($K1052:$O1052,SUMIF(cbal!F$280:F$296,$B1052,cbal!$D$280:$D$296)+1)</f>
        <v>0</v>
      </c>
      <c r="G1052" s="183">
        <f>INDEX($K1052:$O1052,SUMIF(cbal!G$280:G$296,$B1052,cbal!$D$280:$D$296)+1)</f>
        <v>0</v>
      </c>
      <c r="H1052" s="183">
        <f>INDEX($K1052:$O1052,SUMIF(cbal!H$280:H$296,$B1052,cbal!$D$280:$D$296)+1)</f>
        <v>0</v>
      </c>
      <c r="I1052" s="183">
        <f>INDEX($K1052:$O1052,SUMIF(cbal!I$280:I$296,$B1052,cbal!$D$280:$D$296)+1)</f>
        <v>0</v>
      </c>
      <c r="K1052" s="1577"/>
      <c r="L1052" s="1593">
        <v>10</v>
      </c>
      <c r="M1052" s="1593">
        <v>10</v>
      </c>
      <c r="N1052" s="1593">
        <v>10</v>
      </c>
      <c r="O1052" s="1593">
        <v>10</v>
      </c>
      <c r="R1052" s="91" t="b">
        <f t="shared" si="145"/>
        <v>0</v>
      </c>
      <c r="S1052" s="21" t="b">
        <f t="shared" si="146"/>
        <v>0</v>
      </c>
      <c r="T1052" s="97" t="b">
        <f t="shared" si="147"/>
        <v>0</v>
      </c>
    </row>
    <row r="1053" spans="2:20">
      <c r="B1053">
        <v>0</v>
      </c>
      <c r="C1053" s="433">
        <v>0</v>
      </c>
      <c r="E1053" s="183"/>
      <c r="F1053" s="183"/>
      <c r="G1053" s="183"/>
      <c r="H1053" s="183"/>
      <c r="I1053" s="183"/>
      <c r="K1053" s="1577"/>
      <c r="L1053" s="1585"/>
      <c r="M1053" s="1585"/>
      <c r="N1053" s="1585"/>
      <c r="O1053" s="1585"/>
      <c r="R1053" s="91">
        <v>0</v>
      </c>
      <c r="S1053" s="21">
        <v>0</v>
      </c>
      <c r="T1053" s="97">
        <v>0</v>
      </c>
    </row>
    <row r="1054" spans="2:20">
      <c r="B1054" s="905" t="s">
        <v>4087</v>
      </c>
      <c r="C1054" t="str">
        <f>VLOOKUP(B1054,DataInitiativesGrid,2,0)</f>
        <v>Channel Insights Vetera</v>
      </c>
      <c r="E1054" s="183">
        <f>INDEX($K1054:$O1054,SUMIF(cbal!E$280:E$296,$B1054,cbal!$D$280:$D$296)+1)</f>
        <v>0</v>
      </c>
      <c r="F1054" s="183">
        <f>INDEX($K1054:$O1054,SUMIF(cbal!F$280:F$296,$B1054,cbal!$D$280:$D$296)+1)</f>
        <v>0</v>
      </c>
      <c r="G1054" s="183">
        <f>INDEX($K1054:$O1054,SUMIF(cbal!G$280:G$296,$B1054,cbal!$D$280:$D$296)+1)</f>
        <v>0</v>
      </c>
      <c r="H1054" s="183">
        <f>INDEX($K1054:$O1054,SUMIF(cbal!H$280:H$296,$B1054,cbal!$D$280:$D$296)+1)</f>
        <v>0</v>
      </c>
      <c r="I1054" s="183">
        <f>INDEX($K1054:$O1054,SUMIF(cbal!I$280:I$296,$B1054,cbal!$D$280:$D$296)+1)</f>
        <v>0</v>
      </c>
      <c r="K1054" s="1577"/>
      <c r="L1054" s="1585"/>
      <c r="M1054" s="1585"/>
      <c r="N1054" s="1585"/>
      <c r="O1054" s="1585"/>
      <c r="R1054" s="91">
        <v>0</v>
      </c>
      <c r="S1054" s="21">
        <v>0</v>
      </c>
      <c r="T1054" s="97">
        <v>0</v>
      </c>
    </row>
    <row r="1055" spans="2:20">
      <c r="B1055" s="905" t="s">
        <v>4087</v>
      </c>
      <c r="C1055" s="433">
        <v>172</v>
      </c>
      <c r="D1055" t="str">
        <f>VLOOKUP($C1055,param!$A$4:$B$266,2)</f>
        <v>Region 1 Special Program Success CSD</v>
      </c>
      <c r="E1055" s="183">
        <f>INDEX($K1055:$O1055,SUMIF(cbal!E$280:E$296,$B1055,cbal!$D$280:$D$296)+1)</f>
        <v>0</v>
      </c>
      <c r="F1055" s="183">
        <f>INDEX($K1055:$O1055,SUMIF(cbal!F$280:F$296,$B1055,cbal!$D$280:$D$296)+1)</f>
        <v>0</v>
      </c>
      <c r="G1055" s="183">
        <f>INDEX($K1055:$O1055,SUMIF(cbal!G$280:G$296,$B1055,cbal!$D$280:$D$296)+1)</f>
        <v>0</v>
      </c>
      <c r="H1055" s="183">
        <f>INDEX($K1055:$O1055,SUMIF(cbal!H$280:H$296,$B1055,cbal!$D$280:$D$296)+1)</f>
        <v>0</v>
      </c>
      <c r="I1055" s="183">
        <f>INDEX($K1055:$O1055,SUMIF(cbal!I$280:I$296,$B1055,cbal!$D$280:$D$296)+1)</f>
        <v>0</v>
      </c>
      <c r="K1055" s="1577"/>
      <c r="L1055" s="1585">
        <v>0.02</v>
      </c>
      <c r="M1055" s="1585">
        <v>0.02</v>
      </c>
      <c r="N1055" s="1585">
        <v>0.02</v>
      </c>
      <c r="O1055" s="1585">
        <v>0.02</v>
      </c>
      <c r="R1055" s="91" t="b">
        <f t="shared" si="145"/>
        <v>0</v>
      </c>
      <c r="S1055" s="21" t="b">
        <f t="shared" si="146"/>
        <v>0</v>
      </c>
      <c r="T1055" s="97" t="b">
        <f t="shared" si="147"/>
        <v>0</v>
      </c>
    </row>
    <row r="1056" spans="2:20">
      <c r="B1056" s="905" t="s">
        <v>4087</v>
      </c>
      <c r="C1056" s="433">
        <v>193</v>
      </c>
      <c r="D1056" t="str">
        <f>VLOOKUP($C1056,param!$A$4:$B$266,2)</f>
        <v>Healthy Product Innovation</v>
      </c>
      <c r="E1056" s="183">
        <f>INDEX($K1056:$O1056,SUMIF(cbal!E$280:E$296,$B1056,cbal!$D$280:$D$296)+1)</f>
        <v>0</v>
      </c>
      <c r="F1056" s="183">
        <f>INDEX($K1056:$O1056,SUMIF(cbal!F$280:F$296,$B1056,cbal!$D$280:$D$296)+1)</f>
        <v>0</v>
      </c>
      <c r="G1056" s="183">
        <f>INDEX($K1056:$O1056,SUMIF(cbal!G$280:G$296,$B1056,cbal!$D$280:$D$296)+1)</f>
        <v>0</v>
      </c>
      <c r="H1056" s="183">
        <f>INDEX($K1056:$O1056,SUMIF(cbal!H$280:H$296,$B1056,cbal!$D$280:$D$296)+1)</f>
        <v>0</v>
      </c>
      <c r="I1056" s="183">
        <f>INDEX($K1056:$O1056,SUMIF(cbal!I$280:I$296,$B1056,cbal!$D$280:$D$296)+1)</f>
        <v>0</v>
      </c>
      <c r="K1056" s="1577"/>
      <c r="L1056" s="1585">
        <v>0.02</v>
      </c>
      <c r="M1056" s="1585">
        <v>0.02</v>
      </c>
      <c r="N1056" s="1585">
        <v>0.02</v>
      </c>
      <c r="O1056" s="1585">
        <v>0.02</v>
      </c>
      <c r="R1056" s="91" t="b">
        <f t="shared" si="145"/>
        <v>0</v>
      </c>
      <c r="S1056" s="21" t="b">
        <f t="shared" si="146"/>
        <v>0</v>
      </c>
      <c r="T1056" s="97" t="b">
        <f t="shared" si="147"/>
        <v>0</v>
      </c>
    </row>
    <row r="1057" spans="2:20">
      <c r="B1057" s="905" t="s">
        <v>4087</v>
      </c>
      <c r="C1057" s="433">
        <v>167</v>
      </c>
      <c r="D1057" t="str">
        <f>VLOOKUP($C1057,param!$A$4:$B$266,2)</f>
        <v>Special Program Expense</v>
      </c>
      <c r="E1057" s="183">
        <f>INDEX($K1057:$O1057,SUMIF(cbal!E$280:E$296,$B1057,cbal!$D$280:$D$296)+1)</f>
        <v>0</v>
      </c>
      <c r="F1057" s="183">
        <f>INDEX($K1057:$O1057,SUMIF(cbal!F$280:F$296,$B1057,cbal!$D$280:$D$296)+1)</f>
        <v>0</v>
      </c>
      <c r="G1057" s="183">
        <f>INDEX($K1057:$O1057,SUMIF(cbal!G$280:G$296,$B1057,cbal!$D$280:$D$296)+1)</f>
        <v>0</v>
      </c>
      <c r="H1057" s="183">
        <f>INDEX($K1057:$O1057,SUMIF(cbal!H$280:H$296,$B1057,cbal!$D$280:$D$296)+1)</f>
        <v>0</v>
      </c>
      <c r="I1057" s="183">
        <f>INDEX($K1057:$O1057,SUMIF(cbal!I$280:I$296,$B1057,cbal!$D$280:$D$296)+1)</f>
        <v>0</v>
      </c>
      <c r="K1057" s="1577"/>
      <c r="L1057" s="1592">
        <v>800000</v>
      </c>
      <c r="M1057" s="1592">
        <v>400000</v>
      </c>
      <c r="N1057" s="1592">
        <v>400000</v>
      </c>
      <c r="O1057" s="1592">
        <v>400000</v>
      </c>
      <c r="R1057" s="91">
        <f t="shared" si="145"/>
        <v>800000</v>
      </c>
      <c r="S1057" s="21">
        <f t="shared" si="146"/>
        <v>400000</v>
      </c>
      <c r="T1057" s="97" t="b">
        <f t="shared" si="147"/>
        <v>0</v>
      </c>
    </row>
    <row r="1058" spans="2:20">
      <c r="B1058" s="905" t="s">
        <v>4087</v>
      </c>
      <c r="C1058" s="433">
        <v>133.5</v>
      </c>
      <c r="D1058" t="str">
        <f>VLOOKUP($C1058,param!$A$4:$B$266,2)</f>
        <v>MTU Initiatives Allocation</v>
      </c>
      <c r="E1058" s="183">
        <f>INDEX($K1058:$O1058,SUMIF(cbal!E$280:E$296,$B1058,cbal!$D$280:$D$296)+1)</f>
        <v>0</v>
      </c>
      <c r="F1058" s="183">
        <f>INDEX($K1058:$O1058,SUMIF(cbal!F$280:F$296,$B1058,cbal!$D$280:$D$296)+1)</f>
        <v>0</v>
      </c>
      <c r="G1058" s="183">
        <f>INDEX($K1058:$O1058,SUMIF(cbal!G$280:G$296,$B1058,cbal!$D$280:$D$296)+1)</f>
        <v>0</v>
      </c>
      <c r="H1058" s="183">
        <f>INDEX($K1058:$O1058,SUMIF(cbal!H$280:H$296,$B1058,cbal!$D$280:$D$296)+1)</f>
        <v>0</v>
      </c>
      <c r="I1058" s="183">
        <f>INDEX($K1058:$O1058,SUMIF(cbal!I$280:I$296,$B1058,cbal!$D$280:$D$296)+1)</f>
        <v>0</v>
      </c>
      <c r="K1058" s="1577"/>
      <c r="L1058" s="1593">
        <v>10</v>
      </c>
      <c r="M1058" s="1585"/>
      <c r="N1058" s="1585"/>
      <c r="O1058" s="1585"/>
      <c r="R1058" s="91" t="b">
        <f t="shared" si="145"/>
        <v>0</v>
      </c>
      <c r="S1058" s="21" t="b">
        <f t="shared" si="146"/>
        <v>0</v>
      </c>
      <c r="T1058" s="97">
        <f t="shared" si="147"/>
        <v>10</v>
      </c>
    </row>
    <row r="1059" spans="2:20">
      <c r="B1059" s="905" t="s">
        <v>4087</v>
      </c>
      <c r="C1059" s="433">
        <v>204</v>
      </c>
      <c r="D1059" t="str">
        <f>VLOOKUP($C1059,param!$A$4:$B$266,2)</f>
        <v>Innovation Strategy</v>
      </c>
      <c r="E1059" s="183">
        <f>INDEX($K1059:$O1059,SUMIF(cbal!E$280:E$296,$B1059,cbal!$D$280:$D$296)+1)</f>
        <v>0</v>
      </c>
      <c r="F1059" s="183">
        <f>INDEX($K1059:$O1059,SUMIF(cbal!F$280:F$296,$B1059,cbal!$D$280:$D$296)+1)</f>
        <v>0</v>
      </c>
      <c r="G1059" s="183">
        <f>INDEX($K1059:$O1059,SUMIF(cbal!G$280:G$296,$B1059,cbal!$D$280:$D$296)+1)</f>
        <v>0</v>
      </c>
      <c r="H1059" s="183">
        <f>INDEX($K1059:$O1059,SUMIF(cbal!H$280:H$296,$B1059,cbal!$D$280:$D$296)+1)</f>
        <v>0</v>
      </c>
      <c r="I1059" s="183">
        <f>INDEX($K1059:$O1059,SUMIF(cbal!I$280:I$296,$B1059,cbal!$D$280:$D$296)+1)</f>
        <v>0</v>
      </c>
      <c r="K1059" s="1577"/>
      <c r="L1059" s="1593">
        <v>10</v>
      </c>
      <c r="M1059" s="1593">
        <v>10</v>
      </c>
      <c r="N1059" s="1593">
        <v>10</v>
      </c>
      <c r="O1059" s="1593">
        <v>10</v>
      </c>
      <c r="R1059" s="91" t="b">
        <f t="shared" si="145"/>
        <v>0</v>
      </c>
      <c r="S1059" s="21" t="b">
        <f t="shared" si="146"/>
        <v>0</v>
      </c>
      <c r="T1059" s="97" t="b">
        <f t="shared" si="147"/>
        <v>0</v>
      </c>
    </row>
    <row r="1060" spans="2:20">
      <c r="B1060">
        <v>0</v>
      </c>
      <c r="C1060" s="433">
        <v>0</v>
      </c>
      <c r="E1060" s="183"/>
      <c r="F1060" s="183"/>
      <c r="G1060" s="183"/>
      <c r="H1060" s="183"/>
      <c r="I1060" s="183"/>
      <c r="K1060" s="1577"/>
      <c r="L1060" s="1585"/>
      <c r="M1060" s="1585"/>
      <c r="N1060" s="1585"/>
      <c r="O1060" s="1585"/>
      <c r="R1060" s="91">
        <v>0</v>
      </c>
      <c r="S1060" s="21">
        <v>0</v>
      </c>
      <c r="T1060" s="97">
        <v>0</v>
      </c>
    </row>
    <row r="1061" spans="2:20">
      <c r="B1061" s="905" t="s">
        <v>4088</v>
      </c>
      <c r="C1061" t="str">
        <f>VLOOKUP(B1061,DataInitiativesGrid,2,0)</f>
        <v>Channel Insights Escendia</v>
      </c>
      <c r="E1061" s="183">
        <f>INDEX($K1061:$O1061,SUMIF(cbal!E$280:E$296,$B1061,cbal!$D$280:$D$296)+1)</f>
        <v>0</v>
      </c>
      <c r="F1061" s="183">
        <f>INDEX($K1061:$O1061,SUMIF(cbal!F$280:F$296,$B1061,cbal!$D$280:$D$296)+1)</f>
        <v>0</v>
      </c>
      <c r="G1061" s="183">
        <f>INDEX($K1061:$O1061,SUMIF(cbal!G$280:G$296,$B1061,cbal!$D$280:$D$296)+1)</f>
        <v>0</v>
      </c>
      <c r="H1061" s="183">
        <f>INDEX($K1061:$O1061,SUMIF(cbal!H$280:H$296,$B1061,cbal!$D$280:$D$296)+1)</f>
        <v>0</v>
      </c>
      <c r="I1061" s="183">
        <f>INDEX($K1061:$O1061,SUMIF(cbal!I$280:I$296,$B1061,cbal!$D$280:$D$296)+1)</f>
        <v>0</v>
      </c>
      <c r="K1061" s="1577"/>
      <c r="L1061" s="1585"/>
      <c r="M1061" s="1585"/>
      <c r="N1061" s="1585"/>
      <c r="O1061" s="1585"/>
      <c r="R1061" s="91">
        <v>0</v>
      </c>
      <c r="S1061" s="21">
        <v>0</v>
      </c>
      <c r="T1061" s="97">
        <v>0</v>
      </c>
    </row>
    <row r="1062" spans="2:20">
      <c r="B1062" s="905" t="s">
        <v>4088</v>
      </c>
      <c r="C1062" s="433">
        <v>176</v>
      </c>
      <c r="D1062" t="str">
        <f>VLOOKUP($C1062,param!$A$4:$B$266,2)</f>
        <v>Region 2 Special Program Success CSD</v>
      </c>
      <c r="E1062" s="183">
        <f>INDEX($K1062:$O1062,SUMIF(cbal!E$280:E$296,$B1062,cbal!$D$280:$D$296)+1)</f>
        <v>0</v>
      </c>
      <c r="F1062" s="183">
        <f>INDEX($K1062:$O1062,SUMIF(cbal!F$280:F$296,$B1062,cbal!$D$280:$D$296)+1)</f>
        <v>0</v>
      </c>
      <c r="G1062" s="183">
        <f>INDEX($K1062:$O1062,SUMIF(cbal!G$280:G$296,$B1062,cbal!$D$280:$D$296)+1)</f>
        <v>0</v>
      </c>
      <c r="H1062" s="183">
        <f>INDEX($K1062:$O1062,SUMIF(cbal!H$280:H$296,$B1062,cbal!$D$280:$D$296)+1)</f>
        <v>0</v>
      </c>
      <c r="I1062" s="183">
        <f>INDEX($K1062:$O1062,SUMIF(cbal!I$280:I$296,$B1062,cbal!$D$280:$D$296)+1)</f>
        <v>0</v>
      </c>
      <c r="K1062" s="1577"/>
      <c r="L1062" s="1585">
        <v>0.02</v>
      </c>
      <c r="M1062" s="1585">
        <v>0.02</v>
      </c>
      <c r="N1062" s="1585">
        <v>0.02</v>
      </c>
      <c r="O1062" s="1585">
        <v>0.02</v>
      </c>
      <c r="R1062" s="91" t="b">
        <f t="shared" si="145"/>
        <v>0</v>
      </c>
      <c r="S1062" s="21" t="b">
        <f t="shared" si="146"/>
        <v>0</v>
      </c>
      <c r="T1062" s="97" t="b">
        <f t="shared" si="147"/>
        <v>0</v>
      </c>
    </row>
    <row r="1063" spans="2:20">
      <c r="B1063" s="905" t="s">
        <v>4088</v>
      </c>
      <c r="C1063" s="433">
        <v>193</v>
      </c>
      <c r="D1063" t="str">
        <f>VLOOKUP($C1063,param!$A$4:$B$266,2)</f>
        <v>Healthy Product Innovation</v>
      </c>
      <c r="E1063" s="183">
        <f>INDEX($K1063:$O1063,SUMIF(cbal!E$280:E$296,$B1063,cbal!$D$280:$D$296)+1)</f>
        <v>0</v>
      </c>
      <c r="F1063" s="183">
        <f>INDEX($K1063:$O1063,SUMIF(cbal!F$280:F$296,$B1063,cbal!$D$280:$D$296)+1)</f>
        <v>0</v>
      </c>
      <c r="G1063" s="183">
        <f>INDEX($K1063:$O1063,SUMIF(cbal!G$280:G$296,$B1063,cbal!$D$280:$D$296)+1)</f>
        <v>0</v>
      </c>
      <c r="H1063" s="183">
        <f>INDEX($K1063:$O1063,SUMIF(cbal!H$280:H$296,$B1063,cbal!$D$280:$D$296)+1)</f>
        <v>0</v>
      </c>
      <c r="I1063" s="183">
        <f>INDEX($K1063:$O1063,SUMIF(cbal!I$280:I$296,$B1063,cbal!$D$280:$D$296)+1)</f>
        <v>0</v>
      </c>
      <c r="K1063" s="1577"/>
      <c r="L1063" s="1585">
        <v>0.02</v>
      </c>
      <c r="M1063" s="1585">
        <v>0.02</v>
      </c>
      <c r="N1063" s="1585">
        <v>0.02</v>
      </c>
      <c r="O1063" s="1585">
        <v>0.02</v>
      </c>
      <c r="R1063" s="91" t="b">
        <f t="shared" si="145"/>
        <v>0</v>
      </c>
      <c r="S1063" s="21" t="b">
        <f t="shared" si="146"/>
        <v>0</v>
      </c>
      <c r="T1063" s="97" t="b">
        <f t="shared" si="147"/>
        <v>0</v>
      </c>
    </row>
    <row r="1064" spans="2:20">
      <c r="B1064" s="905" t="s">
        <v>4088</v>
      </c>
      <c r="C1064" s="433">
        <v>167</v>
      </c>
      <c r="D1064" t="str">
        <f>VLOOKUP($C1064,param!$A$4:$B$266,2)</f>
        <v>Special Program Expense</v>
      </c>
      <c r="E1064" s="183">
        <f>INDEX($K1064:$O1064,SUMIF(cbal!E$280:E$296,$B1064,cbal!$D$280:$D$296)+1)</f>
        <v>0</v>
      </c>
      <c r="F1064" s="183">
        <f>INDEX($K1064:$O1064,SUMIF(cbal!F$280:F$296,$B1064,cbal!$D$280:$D$296)+1)</f>
        <v>0</v>
      </c>
      <c r="G1064" s="183">
        <f>INDEX($K1064:$O1064,SUMIF(cbal!G$280:G$296,$B1064,cbal!$D$280:$D$296)+1)</f>
        <v>0</v>
      </c>
      <c r="H1064" s="183">
        <f>INDEX($K1064:$O1064,SUMIF(cbal!H$280:H$296,$B1064,cbal!$D$280:$D$296)+1)</f>
        <v>0</v>
      </c>
      <c r="I1064" s="183">
        <f>INDEX($K1064:$O1064,SUMIF(cbal!I$280:I$296,$B1064,cbal!$D$280:$D$296)+1)</f>
        <v>0</v>
      </c>
      <c r="K1064" s="1577"/>
      <c r="L1064" s="1592">
        <v>800000</v>
      </c>
      <c r="M1064" s="1592">
        <v>400000</v>
      </c>
      <c r="N1064" s="1592">
        <v>400000</v>
      </c>
      <c r="O1064" s="1592">
        <v>400000</v>
      </c>
      <c r="R1064" s="91">
        <f t="shared" si="145"/>
        <v>800000</v>
      </c>
      <c r="S1064" s="21">
        <f t="shared" si="146"/>
        <v>400000</v>
      </c>
      <c r="T1064" s="97" t="b">
        <f t="shared" si="147"/>
        <v>0</v>
      </c>
    </row>
    <row r="1065" spans="2:20">
      <c r="B1065" s="905" t="s">
        <v>4088</v>
      </c>
      <c r="C1065" s="433">
        <v>133.5</v>
      </c>
      <c r="D1065" t="str">
        <f>VLOOKUP($C1065,param!$A$4:$B$266,2)</f>
        <v>MTU Initiatives Allocation</v>
      </c>
      <c r="E1065" s="183">
        <f>INDEX($K1065:$O1065,SUMIF(cbal!E$280:E$296,$B1065,cbal!$D$280:$D$296)+1)</f>
        <v>0</v>
      </c>
      <c r="F1065" s="183">
        <f>INDEX($K1065:$O1065,SUMIF(cbal!F$280:F$296,$B1065,cbal!$D$280:$D$296)+1)</f>
        <v>0</v>
      </c>
      <c r="G1065" s="183">
        <f>INDEX($K1065:$O1065,SUMIF(cbal!G$280:G$296,$B1065,cbal!$D$280:$D$296)+1)</f>
        <v>0</v>
      </c>
      <c r="H1065" s="183">
        <f>INDEX($K1065:$O1065,SUMIF(cbal!H$280:H$296,$B1065,cbal!$D$280:$D$296)+1)</f>
        <v>0</v>
      </c>
      <c r="I1065" s="183">
        <f>INDEX($K1065:$O1065,SUMIF(cbal!I$280:I$296,$B1065,cbal!$D$280:$D$296)+1)</f>
        <v>0</v>
      </c>
      <c r="K1065" s="1577"/>
      <c r="L1065" s="1593">
        <v>10</v>
      </c>
      <c r="M1065" s="1585"/>
      <c r="N1065" s="1585"/>
      <c r="O1065" s="1585"/>
      <c r="R1065" s="91" t="b">
        <f t="shared" si="145"/>
        <v>0</v>
      </c>
      <c r="S1065" s="21" t="b">
        <f t="shared" si="146"/>
        <v>0</v>
      </c>
      <c r="T1065" s="97">
        <f t="shared" si="147"/>
        <v>10</v>
      </c>
    </row>
    <row r="1066" spans="2:20">
      <c r="B1066" s="905" t="s">
        <v>4088</v>
      </c>
      <c r="C1066" s="433">
        <v>204</v>
      </c>
      <c r="D1066" t="str">
        <f>VLOOKUP($C1066,param!$A$4:$B$266,2)</f>
        <v>Innovation Strategy</v>
      </c>
      <c r="E1066" s="183">
        <f>INDEX($K1066:$O1066,SUMIF(cbal!E$280:E$296,$B1066,cbal!$D$280:$D$296)+1)</f>
        <v>0</v>
      </c>
      <c r="F1066" s="183">
        <f>INDEX($K1066:$O1066,SUMIF(cbal!F$280:F$296,$B1066,cbal!$D$280:$D$296)+1)</f>
        <v>0</v>
      </c>
      <c r="G1066" s="183">
        <f>INDEX($K1066:$O1066,SUMIF(cbal!G$280:G$296,$B1066,cbal!$D$280:$D$296)+1)</f>
        <v>0</v>
      </c>
      <c r="H1066" s="183">
        <f>INDEX($K1066:$O1066,SUMIF(cbal!H$280:H$296,$B1066,cbal!$D$280:$D$296)+1)</f>
        <v>0</v>
      </c>
      <c r="I1066" s="183">
        <f>INDEX($K1066:$O1066,SUMIF(cbal!I$280:I$296,$B1066,cbal!$D$280:$D$296)+1)</f>
        <v>0</v>
      </c>
      <c r="K1066" s="1577"/>
      <c r="L1066" s="1593">
        <v>10</v>
      </c>
      <c r="M1066" s="1593">
        <v>10</v>
      </c>
      <c r="N1066" s="1593">
        <v>10</v>
      </c>
      <c r="O1066" s="1593">
        <v>10</v>
      </c>
      <c r="R1066" s="91" t="b">
        <f t="shared" si="145"/>
        <v>0</v>
      </c>
      <c r="S1066" s="21" t="b">
        <f t="shared" si="146"/>
        <v>0</v>
      </c>
      <c r="T1066" s="97" t="b">
        <f t="shared" si="147"/>
        <v>0</v>
      </c>
    </row>
    <row r="1067" spans="2:20">
      <c r="B1067">
        <v>0</v>
      </c>
      <c r="C1067" s="433">
        <v>0</v>
      </c>
      <c r="E1067" s="183"/>
      <c r="F1067" s="183"/>
      <c r="G1067" s="183"/>
      <c r="H1067" s="183"/>
      <c r="I1067" s="183"/>
      <c r="K1067" s="1577"/>
      <c r="L1067" s="1585"/>
      <c r="M1067" s="1585"/>
      <c r="N1067" s="1585"/>
      <c r="O1067" s="1585"/>
      <c r="R1067" s="91">
        <v>0</v>
      </c>
      <c r="S1067" s="21">
        <v>0</v>
      </c>
      <c r="T1067" s="97">
        <v>0</v>
      </c>
    </row>
    <row r="1068" spans="2:20">
      <c r="B1068" s="905" t="s">
        <v>4085</v>
      </c>
      <c r="C1068" t="str">
        <f>VLOOKUP(B1068,DataInitiativesGrid,2,0)</f>
        <v>Semi-Sabbatical</v>
      </c>
      <c r="E1068" s="183">
        <f>INDEX($K1068:$O1068,SUMIF(cbal!E$280:E$296,$B1068,cbal!$D$280:$D$296)+1)</f>
        <v>0</v>
      </c>
      <c r="F1068" s="183">
        <f>INDEX($K1068:$O1068,SUMIF(cbal!F$280:F$296,$B1068,cbal!$D$280:$D$296)+1)</f>
        <v>0</v>
      </c>
      <c r="G1068" s="183">
        <f>INDEX($K1068:$O1068,SUMIF(cbal!G$280:G$296,$B1068,cbal!$D$280:$D$296)+1)</f>
        <v>0</v>
      </c>
      <c r="H1068" s="183">
        <f>INDEX($K1068:$O1068,SUMIF(cbal!H$280:H$296,$B1068,cbal!$D$280:$D$296)+1)</f>
        <v>0</v>
      </c>
      <c r="I1068" s="183">
        <f>INDEX($K1068:$O1068,SUMIF(cbal!I$280:I$296,$B1068,cbal!$D$280:$D$296)+1)</f>
        <v>0</v>
      </c>
      <c r="K1068" s="1577"/>
      <c r="L1068" s="1585"/>
      <c r="M1068" s="1585"/>
      <c r="N1068" s="1585"/>
      <c r="O1068" s="1585"/>
      <c r="R1068" s="91">
        <v>0</v>
      </c>
      <c r="S1068" s="21">
        <v>0</v>
      </c>
      <c r="T1068" s="97">
        <v>0</v>
      </c>
    </row>
    <row r="1069" spans="2:20">
      <c r="B1069" s="905" t="s">
        <v>4085</v>
      </c>
      <c r="C1069" s="433">
        <v>197</v>
      </c>
      <c r="D1069" t="str">
        <f>VLOOKUP($C1069,param!$A$4:$B$266,2)</f>
        <v>Company Culture</v>
      </c>
      <c r="E1069" s="183">
        <f>INDEX($K1069:$O1069,SUMIF(cbal!E$280:E$296,$B1069,cbal!$D$280:$D$296)+1)</f>
        <v>0</v>
      </c>
      <c r="F1069" s="183">
        <f>INDEX($K1069:$O1069,SUMIF(cbal!F$280:F$296,$B1069,cbal!$D$280:$D$296)+1)</f>
        <v>0</v>
      </c>
      <c r="G1069" s="183">
        <f>INDEX($K1069:$O1069,SUMIF(cbal!G$280:G$296,$B1069,cbal!$D$280:$D$296)+1)</f>
        <v>0</v>
      </c>
      <c r="H1069" s="183">
        <f>INDEX($K1069:$O1069,SUMIF(cbal!H$280:H$296,$B1069,cbal!$D$280:$D$296)+1)</f>
        <v>0</v>
      </c>
      <c r="I1069" s="183">
        <f>INDEX($K1069:$O1069,SUMIF(cbal!I$280:I$296,$B1069,cbal!$D$280:$D$296)+1)</f>
        <v>0</v>
      </c>
      <c r="K1069" s="1577"/>
      <c r="L1069" s="1585">
        <v>0.02</v>
      </c>
      <c r="M1069" s="1585">
        <v>0.02</v>
      </c>
      <c r="N1069" s="1585">
        <v>0.02</v>
      </c>
      <c r="O1069" s="1585">
        <v>0.02</v>
      </c>
      <c r="R1069" s="91" t="b">
        <f t="shared" si="145"/>
        <v>0</v>
      </c>
      <c r="S1069" s="21" t="b">
        <f t="shared" si="146"/>
        <v>0</v>
      </c>
      <c r="T1069" s="97" t="b">
        <f t="shared" si="147"/>
        <v>0</v>
      </c>
    </row>
    <row r="1070" spans="2:20">
      <c r="B1070" s="905" t="s">
        <v>4085</v>
      </c>
      <c r="C1070" s="433">
        <v>196</v>
      </c>
      <c r="D1070" t="str">
        <f>VLOOKUP($C1070,param!$A$4:$B$266,2)</f>
        <v>Career Path</v>
      </c>
      <c r="E1070" s="183">
        <f>INDEX($K1070:$O1070,SUMIF(cbal!E$280:E$296,$B1070,cbal!$D$280:$D$296)+1)</f>
        <v>0</v>
      </c>
      <c r="F1070" s="183">
        <f>INDEX($K1070:$O1070,SUMIF(cbal!F$280:F$296,$B1070,cbal!$D$280:$D$296)+1)</f>
        <v>0</v>
      </c>
      <c r="G1070" s="183">
        <f>INDEX($K1070:$O1070,SUMIF(cbal!G$280:G$296,$B1070,cbal!$D$280:$D$296)+1)</f>
        <v>0</v>
      </c>
      <c r="H1070" s="183">
        <f>INDEX($K1070:$O1070,SUMIF(cbal!H$280:H$296,$B1070,cbal!$D$280:$D$296)+1)</f>
        <v>0</v>
      </c>
      <c r="I1070" s="183">
        <f>INDEX($K1070:$O1070,SUMIF(cbal!I$280:I$296,$B1070,cbal!$D$280:$D$296)+1)</f>
        <v>0</v>
      </c>
      <c r="K1070" s="1577"/>
      <c r="L1070" s="1585">
        <v>0.02</v>
      </c>
      <c r="M1070" s="1585">
        <v>0.02</v>
      </c>
      <c r="N1070" s="1585">
        <v>0.02</v>
      </c>
      <c r="O1070" s="1585">
        <v>0.02</v>
      </c>
      <c r="R1070" s="91" t="b">
        <f t="shared" si="145"/>
        <v>0</v>
      </c>
      <c r="S1070" s="21" t="b">
        <f t="shared" si="146"/>
        <v>0</v>
      </c>
      <c r="T1070" s="97" t="b">
        <f t="shared" si="147"/>
        <v>0</v>
      </c>
    </row>
    <row r="1071" spans="2:20">
      <c r="B1071" s="905" t="s">
        <v>4085</v>
      </c>
      <c r="C1071" s="433">
        <v>193</v>
      </c>
      <c r="D1071" t="str">
        <f>VLOOKUP($C1071,param!$A$4:$B$266,2)</f>
        <v>Healthy Product Innovation</v>
      </c>
      <c r="E1071" s="183">
        <f>INDEX($K1071:$O1071,SUMIF(cbal!E$280:E$296,$B1071,cbal!$D$280:$D$296)+1)</f>
        <v>0</v>
      </c>
      <c r="F1071" s="183">
        <f>INDEX($K1071:$O1071,SUMIF(cbal!F$280:F$296,$B1071,cbal!$D$280:$D$296)+1)</f>
        <v>0</v>
      </c>
      <c r="G1071" s="183">
        <f>INDEX($K1071:$O1071,SUMIF(cbal!G$280:G$296,$B1071,cbal!$D$280:$D$296)+1)</f>
        <v>0</v>
      </c>
      <c r="H1071" s="183">
        <f>INDEX($K1071:$O1071,SUMIF(cbal!H$280:H$296,$B1071,cbal!$D$280:$D$296)+1)</f>
        <v>0</v>
      </c>
      <c r="I1071" s="183">
        <f>INDEX($K1071:$O1071,SUMIF(cbal!I$280:I$296,$B1071,cbal!$D$280:$D$296)+1)</f>
        <v>0</v>
      </c>
      <c r="K1071" s="1577"/>
      <c r="L1071" s="1585">
        <v>0.02</v>
      </c>
      <c r="M1071" s="1585">
        <v>0.02</v>
      </c>
      <c r="N1071" s="1585">
        <v>0.02</v>
      </c>
      <c r="O1071" s="1585">
        <v>0.02</v>
      </c>
      <c r="R1071" s="91" t="b">
        <f t="shared" si="145"/>
        <v>0</v>
      </c>
      <c r="S1071" s="21" t="b">
        <f t="shared" si="146"/>
        <v>0</v>
      </c>
      <c r="T1071" s="97" t="b">
        <f t="shared" si="147"/>
        <v>0</v>
      </c>
    </row>
    <row r="1072" spans="2:20">
      <c r="B1072" s="905" t="s">
        <v>4085</v>
      </c>
      <c r="C1072" s="433">
        <v>167</v>
      </c>
      <c r="D1072" t="str">
        <f>VLOOKUP($C1072,param!$A$4:$B$266,2)</f>
        <v>Special Program Expense</v>
      </c>
      <c r="E1072" s="183">
        <f>INDEX($K1072:$O1072,SUMIF(cbal!E$280:E$296,$B1072,cbal!$D$280:$D$296)+1)</f>
        <v>0</v>
      </c>
      <c r="F1072" s="183">
        <f>INDEX($K1072:$O1072,SUMIF(cbal!F$280:F$296,$B1072,cbal!$D$280:$D$296)+1)</f>
        <v>0</v>
      </c>
      <c r="G1072" s="183">
        <f>INDEX($K1072:$O1072,SUMIF(cbal!G$280:G$296,$B1072,cbal!$D$280:$D$296)+1)</f>
        <v>0</v>
      </c>
      <c r="H1072" s="183">
        <f>INDEX($K1072:$O1072,SUMIF(cbal!H$280:H$296,$B1072,cbal!$D$280:$D$296)+1)</f>
        <v>0</v>
      </c>
      <c r="I1072" s="183">
        <f>INDEX($K1072:$O1072,SUMIF(cbal!I$280:I$296,$B1072,cbal!$D$280:$D$296)+1)</f>
        <v>0</v>
      </c>
      <c r="K1072" s="1577"/>
      <c r="L1072" s="1592">
        <v>350000</v>
      </c>
      <c r="M1072" s="1592">
        <v>350000</v>
      </c>
      <c r="N1072" s="1592">
        <v>350000</v>
      </c>
      <c r="O1072" s="1592">
        <v>350000</v>
      </c>
      <c r="R1072" s="91">
        <f t="shared" si="145"/>
        <v>350000</v>
      </c>
      <c r="S1072" s="21">
        <f t="shared" si="146"/>
        <v>350000</v>
      </c>
      <c r="T1072" s="97" t="b">
        <f t="shared" si="147"/>
        <v>0</v>
      </c>
    </row>
    <row r="1073" spans="2:20">
      <c r="B1073" s="905" t="s">
        <v>4085</v>
      </c>
      <c r="C1073" s="433">
        <v>133.5</v>
      </c>
      <c r="D1073" t="str">
        <f>VLOOKUP($C1073,param!$A$4:$B$266,2)</f>
        <v>MTU Initiatives Allocation</v>
      </c>
      <c r="E1073" s="183">
        <f>INDEX($K1073:$O1073,SUMIF(cbal!E$280:E$296,$B1073,cbal!$D$280:$D$296)+1)</f>
        <v>0</v>
      </c>
      <c r="F1073" s="183">
        <f>INDEX($K1073:$O1073,SUMIF(cbal!F$280:F$296,$B1073,cbal!$D$280:$D$296)+1)</f>
        <v>0</v>
      </c>
      <c r="G1073" s="183">
        <f>INDEX($K1073:$O1073,SUMIF(cbal!G$280:G$296,$B1073,cbal!$D$280:$D$296)+1)</f>
        <v>0</v>
      </c>
      <c r="H1073" s="183">
        <f>INDEX($K1073:$O1073,SUMIF(cbal!H$280:H$296,$B1073,cbal!$D$280:$D$296)+1)</f>
        <v>0</v>
      </c>
      <c r="I1073" s="183">
        <f>INDEX($K1073:$O1073,SUMIF(cbal!I$280:I$296,$B1073,cbal!$D$280:$D$296)+1)</f>
        <v>0</v>
      </c>
      <c r="K1073" s="1577"/>
      <c r="L1073" s="1593">
        <v>4</v>
      </c>
      <c r="M1073" s="1585"/>
      <c r="N1073" s="1585"/>
      <c r="O1073" s="1585"/>
      <c r="R1073" s="91" t="b">
        <f t="shared" si="145"/>
        <v>0</v>
      </c>
      <c r="S1073" s="21" t="b">
        <f t="shared" si="146"/>
        <v>0</v>
      </c>
      <c r="T1073" s="97">
        <f t="shared" si="147"/>
        <v>4</v>
      </c>
    </row>
    <row r="1074" spans="2:20">
      <c r="B1074" s="905" t="s">
        <v>4085</v>
      </c>
      <c r="C1074" s="433">
        <v>204</v>
      </c>
      <c r="D1074" t="str">
        <f>VLOOKUP($C1074,param!$A$4:$B$266,2)</f>
        <v>Innovation Strategy</v>
      </c>
      <c r="E1074" s="183">
        <f>INDEX($K1074:$O1074,SUMIF(cbal!E$280:E$296,$B1074,cbal!$D$280:$D$296)+1)</f>
        <v>0</v>
      </c>
      <c r="F1074" s="183">
        <f>INDEX($K1074:$O1074,SUMIF(cbal!F$280:F$296,$B1074,cbal!$D$280:$D$296)+1)</f>
        <v>0</v>
      </c>
      <c r="G1074" s="183">
        <f>INDEX($K1074:$O1074,SUMIF(cbal!G$280:G$296,$B1074,cbal!$D$280:$D$296)+1)</f>
        <v>0</v>
      </c>
      <c r="H1074" s="183">
        <f>INDEX($K1074:$O1074,SUMIF(cbal!H$280:H$296,$B1074,cbal!$D$280:$D$296)+1)</f>
        <v>0</v>
      </c>
      <c r="I1074" s="183">
        <f>INDEX($K1074:$O1074,SUMIF(cbal!I$280:I$296,$B1074,cbal!$D$280:$D$296)+1)</f>
        <v>0</v>
      </c>
      <c r="K1074" s="1577"/>
      <c r="L1074" s="1593">
        <v>4</v>
      </c>
      <c r="M1074" s="1593">
        <v>4</v>
      </c>
      <c r="N1074" s="1593">
        <v>4</v>
      </c>
      <c r="O1074" s="1593">
        <v>4</v>
      </c>
      <c r="R1074" s="91" t="b">
        <f t="shared" si="145"/>
        <v>0</v>
      </c>
      <c r="S1074" s="21" t="b">
        <f t="shared" si="146"/>
        <v>0</v>
      </c>
      <c r="T1074" s="97" t="b">
        <f t="shared" si="147"/>
        <v>0</v>
      </c>
    </row>
    <row r="1075" spans="2:20">
      <c r="B1075">
        <v>0</v>
      </c>
      <c r="C1075" s="433">
        <v>0</v>
      </c>
      <c r="E1075" s="183"/>
      <c r="F1075" s="183"/>
      <c r="G1075" s="183"/>
      <c r="H1075" s="183"/>
      <c r="I1075" s="183"/>
      <c r="K1075" s="1577"/>
      <c r="L1075" s="1585"/>
      <c r="M1075" s="1585"/>
      <c r="N1075" s="1585"/>
      <c r="O1075" s="1585"/>
      <c r="R1075" s="91">
        <v>0</v>
      </c>
      <c r="S1075" s="21">
        <v>0</v>
      </c>
      <c r="T1075" s="97">
        <v>0</v>
      </c>
    </row>
    <row r="1076" spans="2:20">
      <c r="B1076" s="905" t="s">
        <v>4086</v>
      </c>
      <c r="C1076" t="str">
        <f>VLOOKUP(B1076,DataInitiativesGrid,2,0)</f>
        <v>Partnership With Organic Retailers</v>
      </c>
      <c r="E1076" s="183">
        <f>INDEX($K1076:$O1076,SUMIF(cbal!E$280:E$296,$B1076,cbal!$D$280:$D$296)+1)</f>
        <v>0</v>
      </c>
      <c r="F1076" s="183">
        <f>INDEX($K1076:$O1076,SUMIF(cbal!F$280:F$296,$B1076,cbal!$D$280:$D$296)+1)</f>
        <v>0</v>
      </c>
      <c r="G1076" s="183">
        <f>INDEX($K1076:$O1076,SUMIF(cbal!G$280:G$296,$B1076,cbal!$D$280:$D$296)+1)</f>
        <v>0</v>
      </c>
      <c r="H1076" s="183">
        <f>INDEX($K1076:$O1076,SUMIF(cbal!H$280:H$296,$B1076,cbal!$D$280:$D$296)+1)</f>
        <v>0</v>
      </c>
      <c r="I1076" s="183">
        <f>INDEX($K1076:$O1076,SUMIF(cbal!I$280:I$296,$B1076,cbal!$D$280:$D$296)+1)</f>
        <v>0</v>
      </c>
      <c r="K1076" s="1577"/>
      <c r="L1076" s="1585"/>
      <c r="M1076" s="1585"/>
      <c r="N1076" s="1585"/>
      <c r="O1076" s="1585"/>
      <c r="R1076" s="91">
        <v>0</v>
      </c>
      <c r="S1076" s="21">
        <v>0</v>
      </c>
      <c r="T1076" s="97">
        <v>0</v>
      </c>
    </row>
    <row r="1077" spans="2:20">
      <c r="B1077" s="905" t="s">
        <v>4086</v>
      </c>
      <c r="C1077" s="433">
        <v>13</v>
      </c>
      <c r="D1077" t="str">
        <f>VLOOKUP($C1077,param!$A$4:$B$266,2)</f>
        <v>CSD Distribution Costs for Reg. 1</v>
      </c>
      <c r="E1077" s="430">
        <f>INDEX($K1077:$O1077,SUMIF(cbal!E$280:E$296,$B1077,cbal!$D$280:$D$296)+1)</f>
        <v>0</v>
      </c>
      <c r="F1077" s="430">
        <f>INDEX($K1077:$O1077,SUMIF(cbal!F$280:F$296,$B1077,cbal!$D$280:$D$296)+1)</f>
        <v>0</v>
      </c>
      <c r="G1077" s="430">
        <f>INDEX($K1077:$O1077,SUMIF(cbal!G$280:G$296,$B1077,cbal!$D$280:$D$296)+1)</f>
        <v>0</v>
      </c>
      <c r="H1077" s="430">
        <f>INDEX($K1077:$O1077,SUMIF(cbal!H$280:H$296,$B1077,cbal!$D$280:$D$296)+1)</f>
        <v>0</v>
      </c>
      <c r="I1077" s="430">
        <f>INDEX($K1077:$O1077,SUMIF(cbal!I$280:I$296,$B1077,cbal!$D$280:$D$296)+1)</f>
        <v>0</v>
      </c>
      <c r="K1077" s="1577">
        <v>0</v>
      </c>
      <c r="L1077" s="1591">
        <v>-0.01</v>
      </c>
      <c r="M1077" s="1591">
        <v>-0.01</v>
      </c>
      <c r="N1077" s="1591">
        <v>-0.01</v>
      </c>
      <c r="O1077" s="1591">
        <v>-0.01</v>
      </c>
      <c r="R1077" s="91" t="b">
        <f t="shared" si="145"/>
        <v>0</v>
      </c>
      <c r="S1077" s="21" t="b">
        <f t="shared" si="146"/>
        <v>0</v>
      </c>
      <c r="T1077" s="97" t="b">
        <f t="shared" si="147"/>
        <v>0</v>
      </c>
    </row>
    <row r="1078" spans="2:20">
      <c r="B1078" s="905" t="s">
        <v>4086</v>
      </c>
      <c r="C1078" s="433">
        <v>32</v>
      </c>
      <c r="D1078" t="str">
        <f>VLOOKUP($C1078,param!$A$4:$B$266,2)</f>
        <v>Breakthrough Distribution Costs for Reg. 1</v>
      </c>
      <c r="E1078" s="430">
        <f>INDEX($K1078:$O1078,SUMIF(cbal!E$280:E$296,$B1078,cbal!$D$280:$D$296)+1)</f>
        <v>0</v>
      </c>
      <c r="F1078" s="430">
        <f>INDEX($K1078:$O1078,SUMIF(cbal!F$280:F$296,$B1078,cbal!$D$280:$D$296)+1)</f>
        <v>0</v>
      </c>
      <c r="G1078" s="430">
        <f>INDEX($K1078:$O1078,SUMIF(cbal!G$280:G$296,$B1078,cbal!$D$280:$D$296)+1)</f>
        <v>0</v>
      </c>
      <c r="H1078" s="430">
        <f>INDEX($K1078:$O1078,SUMIF(cbal!H$280:H$296,$B1078,cbal!$D$280:$D$296)+1)</f>
        <v>0</v>
      </c>
      <c r="I1078" s="430">
        <f>INDEX($K1078:$O1078,SUMIF(cbal!I$280:I$296,$B1078,cbal!$D$280:$D$296)+1)</f>
        <v>0</v>
      </c>
      <c r="K1078" s="1577">
        <v>0</v>
      </c>
      <c r="L1078" s="1591">
        <v>-0.01</v>
      </c>
      <c r="M1078" s="1591">
        <v>-0.01</v>
      </c>
      <c r="N1078" s="1591">
        <v>-0.01</v>
      </c>
      <c r="O1078" s="1591">
        <v>-0.01</v>
      </c>
      <c r="R1078" s="91" t="b">
        <f t="shared" si="145"/>
        <v>0</v>
      </c>
      <c r="S1078" s="21" t="b">
        <f t="shared" si="146"/>
        <v>0</v>
      </c>
      <c r="T1078" s="97" t="b">
        <f t="shared" si="147"/>
        <v>0</v>
      </c>
    </row>
    <row r="1079" spans="2:20">
      <c r="B1079" s="905" t="s">
        <v>4086</v>
      </c>
      <c r="C1079" s="433">
        <v>51</v>
      </c>
      <c r="D1079" t="str">
        <f>VLOOKUP($C1079,param!$A$4:$B$266,2)</f>
        <v>NCB Distribution Costs for Reg. 1</v>
      </c>
      <c r="E1079" s="430">
        <f>INDEX($K1079:$O1079,SUMIF(cbal!E$280:E$296,$B1079,cbal!$D$280:$D$296)+1)</f>
        <v>0</v>
      </c>
      <c r="F1079" s="430">
        <f>INDEX($K1079:$O1079,SUMIF(cbal!F$280:F$296,$B1079,cbal!$D$280:$D$296)+1)</f>
        <v>0</v>
      </c>
      <c r="G1079" s="430">
        <f>INDEX($K1079:$O1079,SUMIF(cbal!G$280:G$296,$B1079,cbal!$D$280:$D$296)+1)</f>
        <v>0</v>
      </c>
      <c r="H1079" s="430">
        <f>INDEX($K1079:$O1079,SUMIF(cbal!H$280:H$296,$B1079,cbal!$D$280:$D$296)+1)</f>
        <v>0</v>
      </c>
      <c r="I1079" s="430">
        <f>INDEX($K1079:$O1079,SUMIF(cbal!I$280:I$296,$B1079,cbal!$D$280:$D$296)+1)</f>
        <v>0</v>
      </c>
      <c r="K1079" s="1577">
        <v>0</v>
      </c>
      <c r="L1079" s="1591">
        <v>-0.01</v>
      </c>
      <c r="M1079" s="1591">
        <v>-0.01</v>
      </c>
      <c r="N1079" s="1591">
        <v>-0.01</v>
      </c>
      <c r="O1079" s="1591">
        <v>-0.01</v>
      </c>
      <c r="R1079" s="91" t="b">
        <f t="shared" si="145"/>
        <v>0</v>
      </c>
      <c r="S1079" s="21" t="b">
        <f t="shared" si="146"/>
        <v>0</v>
      </c>
      <c r="T1079" s="97" t="b">
        <f t="shared" si="147"/>
        <v>0</v>
      </c>
    </row>
    <row r="1080" spans="2:20">
      <c r="B1080" s="905" t="s">
        <v>4086</v>
      </c>
      <c r="C1080" s="433">
        <v>70</v>
      </c>
      <c r="D1080" t="str">
        <f>VLOOKUP($C1080,param!$A$4:$B$266,2)</f>
        <v>F&amp;S Distribution Costs for Reg. 1</v>
      </c>
      <c r="E1080" s="430">
        <f>INDEX($K1080:$O1080,SUMIF(cbal!E$280:E$296,$B1080,cbal!$D$280:$D$296)+1)</f>
        <v>0</v>
      </c>
      <c r="F1080" s="430">
        <f>INDEX($K1080:$O1080,SUMIF(cbal!F$280:F$296,$B1080,cbal!$D$280:$D$296)+1)</f>
        <v>0</v>
      </c>
      <c r="G1080" s="430">
        <f>INDEX($K1080:$O1080,SUMIF(cbal!G$280:G$296,$B1080,cbal!$D$280:$D$296)+1)</f>
        <v>0</v>
      </c>
      <c r="H1080" s="430">
        <f>INDEX($K1080:$O1080,SUMIF(cbal!H$280:H$296,$B1080,cbal!$D$280:$D$296)+1)</f>
        <v>0</v>
      </c>
      <c r="I1080" s="430">
        <f>INDEX($K1080:$O1080,SUMIF(cbal!I$280:I$296,$B1080,cbal!$D$280:$D$296)+1)</f>
        <v>0</v>
      </c>
      <c r="K1080" s="1577">
        <v>0</v>
      </c>
      <c r="L1080" s="1591">
        <v>-0.01</v>
      </c>
      <c r="M1080" s="1591">
        <v>-0.01</v>
      </c>
      <c r="N1080" s="1591">
        <v>-0.01</v>
      </c>
      <c r="O1080" s="1591">
        <v>-0.01</v>
      </c>
      <c r="R1080" s="91" t="b">
        <f t="shared" si="145"/>
        <v>0</v>
      </c>
      <c r="S1080" s="21" t="b">
        <f t="shared" si="146"/>
        <v>0</v>
      </c>
      <c r="T1080" s="97" t="b">
        <f t="shared" si="147"/>
        <v>0</v>
      </c>
    </row>
    <row r="1081" spans="2:20">
      <c r="B1081" s="905" t="s">
        <v>4086</v>
      </c>
      <c r="C1081" s="433">
        <v>193</v>
      </c>
      <c r="D1081" t="str">
        <f>VLOOKUP($C1081,param!$A$4:$B$266,2)</f>
        <v>Healthy Product Innovation</v>
      </c>
      <c r="E1081" s="183">
        <f>INDEX($K1081:$O1081,SUMIF(cbal!E$280:E$296,$B1081,cbal!$D$280:$D$296)+1)</f>
        <v>0</v>
      </c>
      <c r="F1081" s="183">
        <f>INDEX($K1081:$O1081,SUMIF(cbal!F$280:F$296,$B1081,cbal!$D$280:$D$296)+1)</f>
        <v>0</v>
      </c>
      <c r="G1081" s="183">
        <f>INDEX($K1081:$O1081,SUMIF(cbal!G$280:G$296,$B1081,cbal!$D$280:$D$296)+1)</f>
        <v>0</v>
      </c>
      <c r="H1081" s="183">
        <f>INDEX($K1081:$O1081,SUMIF(cbal!H$280:H$296,$B1081,cbal!$D$280:$D$296)+1)</f>
        <v>0</v>
      </c>
      <c r="I1081" s="183">
        <f>INDEX($K1081:$O1081,SUMIF(cbal!I$280:I$296,$B1081,cbal!$D$280:$D$296)+1)</f>
        <v>0</v>
      </c>
      <c r="K1081" s="1577"/>
      <c r="L1081" s="1585">
        <v>0.02</v>
      </c>
      <c r="M1081" s="1585">
        <v>0.02</v>
      </c>
      <c r="N1081" s="1585">
        <v>0.02</v>
      </c>
      <c r="O1081" s="1585">
        <v>0.02</v>
      </c>
      <c r="R1081" s="91" t="b">
        <f t="shared" si="145"/>
        <v>0</v>
      </c>
      <c r="S1081" s="21" t="b">
        <f t="shared" si="146"/>
        <v>0</v>
      </c>
      <c r="T1081" s="97" t="b">
        <f t="shared" si="147"/>
        <v>0</v>
      </c>
    </row>
    <row r="1082" spans="2:20">
      <c r="B1082" s="905" t="s">
        <v>4086</v>
      </c>
      <c r="C1082" s="433">
        <v>167</v>
      </c>
      <c r="D1082" t="str">
        <f>VLOOKUP($C1082,param!$A$4:$B$266,2)</f>
        <v>Special Program Expense</v>
      </c>
      <c r="E1082" s="183">
        <f>INDEX($K1082:$O1082,SUMIF(cbal!E$280:E$296,$B1082,cbal!$D$280:$D$296)+1)</f>
        <v>0</v>
      </c>
      <c r="F1082" s="183">
        <f>INDEX($K1082:$O1082,SUMIF(cbal!F$280:F$296,$B1082,cbal!$D$280:$D$296)+1)</f>
        <v>0</v>
      </c>
      <c r="G1082" s="183">
        <f>INDEX($K1082:$O1082,SUMIF(cbal!G$280:G$296,$B1082,cbal!$D$280:$D$296)+1)</f>
        <v>0</v>
      </c>
      <c r="H1082" s="183">
        <f>INDEX($K1082:$O1082,SUMIF(cbal!H$280:H$296,$B1082,cbal!$D$280:$D$296)+1)</f>
        <v>0</v>
      </c>
      <c r="I1082" s="183">
        <f>INDEX($K1082:$O1082,SUMIF(cbal!I$280:I$296,$B1082,cbal!$D$280:$D$296)+1)</f>
        <v>0</v>
      </c>
      <c r="K1082" s="1577"/>
      <c r="L1082" s="1592">
        <v>3000000</v>
      </c>
      <c r="M1082" s="1592"/>
      <c r="N1082" s="1592"/>
      <c r="O1082" s="1592"/>
      <c r="R1082" s="91">
        <f t="shared" si="145"/>
        <v>3000000</v>
      </c>
      <c r="S1082" s="21">
        <f t="shared" si="146"/>
        <v>0</v>
      </c>
      <c r="T1082" s="97" t="b">
        <f t="shared" si="147"/>
        <v>0</v>
      </c>
    </row>
    <row r="1083" spans="2:20">
      <c r="B1083" s="905" t="s">
        <v>4086</v>
      </c>
      <c r="C1083" s="433">
        <v>133.5</v>
      </c>
      <c r="D1083" t="str">
        <f>VLOOKUP($C1083,param!$A$4:$B$266,2)</f>
        <v>MTU Initiatives Allocation</v>
      </c>
      <c r="E1083" s="183">
        <f>INDEX($K1083:$O1083,SUMIF(cbal!E$280:E$296,$B1083,cbal!$D$280:$D$296)+1)</f>
        <v>0</v>
      </c>
      <c r="F1083" s="183">
        <f>INDEX($K1083:$O1083,SUMIF(cbal!F$280:F$296,$B1083,cbal!$D$280:$D$296)+1)</f>
        <v>0</v>
      </c>
      <c r="G1083" s="183">
        <f>INDEX($K1083:$O1083,SUMIF(cbal!G$280:G$296,$B1083,cbal!$D$280:$D$296)+1)</f>
        <v>0</v>
      </c>
      <c r="H1083" s="183">
        <f>INDEX($K1083:$O1083,SUMIF(cbal!H$280:H$296,$B1083,cbal!$D$280:$D$296)+1)</f>
        <v>0</v>
      </c>
      <c r="I1083" s="183">
        <f>INDEX($K1083:$O1083,SUMIF(cbal!I$280:I$296,$B1083,cbal!$D$280:$D$296)+1)</f>
        <v>0</v>
      </c>
      <c r="K1083" s="1577"/>
      <c r="L1083" s="1593">
        <v>8</v>
      </c>
      <c r="M1083" s="1585"/>
      <c r="N1083" s="1585"/>
      <c r="O1083" s="1585"/>
      <c r="R1083" s="91" t="b">
        <f t="shared" si="145"/>
        <v>0</v>
      </c>
      <c r="S1083" s="21" t="b">
        <f t="shared" si="146"/>
        <v>0</v>
      </c>
      <c r="T1083" s="97">
        <f t="shared" si="147"/>
        <v>8</v>
      </c>
    </row>
    <row r="1084" spans="2:20">
      <c r="B1084" s="905" t="s">
        <v>4086</v>
      </c>
      <c r="C1084" s="433">
        <v>204</v>
      </c>
      <c r="D1084" t="str">
        <f>VLOOKUP($C1084,param!$A$4:$B$266,2)</f>
        <v>Innovation Strategy</v>
      </c>
      <c r="E1084" s="183">
        <f>INDEX($K1084:$O1084,SUMIF(cbal!E$280:E$296,$B1084,cbal!$D$280:$D$296)+1)</f>
        <v>0</v>
      </c>
      <c r="F1084" s="183">
        <f>INDEX($K1084:$O1084,SUMIF(cbal!F$280:F$296,$B1084,cbal!$D$280:$D$296)+1)</f>
        <v>0</v>
      </c>
      <c r="G1084" s="183">
        <f>INDEX($K1084:$O1084,SUMIF(cbal!G$280:G$296,$B1084,cbal!$D$280:$D$296)+1)</f>
        <v>0</v>
      </c>
      <c r="H1084" s="183">
        <f>INDEX($K1084:$O1084,SUMIF(cbal!H$280:H$296,$B1084,cbal!$D$280:$D$296)+1)</f>
        <v>0</v>
      </c>
      <c r="I1084" s="183">
        <f>INDEX($K1084:$O1084,SUMIF(cbal!I$280:I$296,$B1084,cbal!$D$280:$D$296)+1)</f>
        <v>0</v>
      </c>
      <c r="K1084" s="1577"/>
      <c r="L1084" s="1593">
        <v>8</v>
      </c>
      <c r="M1084" s="1593">
        <v>8</v>
      </c>
      <c r="N1084" s="1593">
        <v>8</v>
      </c>
      <c r="O1084" s="1593">
        <v>8</v>
      </c>
      <c r="R1084" s="91" t="b">
        <f t="shared" si="145"/>
        <v>0</v>
      </c>
      <c r="S1084" s="21" t="b">
        <f t="shared" si="146"/>
        <v>0</v>
      </c>
      <c r="T1084" s="97" t="b">
        <f t="shared" si="147"/>
        <v>0</v>
      </c>
    </row>
    <row r="1085" spans="2:20">
      <c r="B1085">
        <v>0</v>
      </c>
      <c r="C1085" s="433">
        <v>0</v>
      </c>
      <c r="E1085" s="183"/>
      <c r="F1085" s="183"/>
      <c r="G1085" s="183"/>
      <c r="H1085" s="183"/>
      <c r="I1085" s="183"/>
      <c r="K1085" s="1577"/>
      <c r="L1085" s="1585"/>
      <c r="M1085" s="1585"/>
      <c r="N1085" s="1585"/>
      <c r="O1085" s="1585"/>
      <c r="R1085" s="91">
        <v>0</v>
      </c>
      <c r="S1085" s="21">
        <v>0</v>
      </c>
      <c r="T1085" s="97">
        <v>0</v>
      </c>
    </row>
    <row r="1086" spans="2:20">
      <c r="B1086">
        <v>0</v>
      </c>
      <c r="C1086" s="433">
        <v>0</v>
      </c>
      <c r="E1086" s="183"/>
      <c r="F1086" s="183"/>
      <c r="G1086" s="183"/>
      <c r="H1086" s="183"/>
      <c r="I1086" s="183"/>
      <c r="K1086" s="1577"/>
      <c r="L1086" s="1585"/>
      <c r="M1086" s="1585"/>
      <c r="N1086" s="1585"/>
      <c r="O1086" s="1585"/>
      <c r="R1086" s="91">
        <v>0</v>
      </c>
      <c r="S1086" s="21">
        <v>0</v>
      </c>
      <c r="T1086" s="97">
        <v>0</v>
      </c>
    </row>
    <row r="1087" spans="2:20">
      <c r="B1087" s="905" t="s">
        <v>4727</v>
      </c>
      <c r="C1087" t="str">
        <f>VLOOKUP(B1087,DataInitiativesGrid,2,0)</f>
        <v>Executive Sponsorship for Breakthrough Innovation</v>
      </c>
      <c r="E1087" s="183">
        <f>INDEX($K1087:$O1087,SUMIF(cbal!E$280:E$296,$B1087,cbal!$D$280:$D$296)+1)</f>
        <v>0</v>
      </c>
      <c r="F1087" s="183">
        <f>INDEX($K1087:$O1087,SUMIF(cbal!F$280:F$296,$B1087,cbal!$D$280:$D$296)+1)</f>
        <v>0</v>
      </c>
      <c r="G1087" s="183">
        <f>INDEX($K1087:$O1087,SUMIF(cbal!G$280:G$296,$B1087,cbal!$D$280:$D$296)+1)</f>
        <v>0</v>
      </c>
      <c r="H1087" s="183">
        <f>INDEX($K1087:$O1087,SUMIF(cbal!H$280:H$296,$B1087,cbal!$D$280:$D$296)+1)</f>
        <v>0</v>
      </c>
      <c r="I1087" s="183">
        <f>INDEX($K1087:$O1087,SUMIF(cbal!I$280:I$296,$B1087,cbal!$D$280:$D$296)+1)</f>
        <v>0</v>
      </c>
      <c r="K1087" s="1577"/>
      <c r="L1087" s="1585"/>
      <c r="M1087" s="1585"/>
      <c r="N1087" s="1585"/>
      <c r="O1087" s="1585"/>
      <c r="R1087" s="91">
        <v>0</v>
      </c>
      <c r="S1087" s="21">
        <v>0</v>
      </c>
      <c r="T1087" s="97">
        <v>0</v>
      </c>
    </row>
    <row r="1088" spans="2:20">
      <c r="B1088" s="905" t="s">
        <v>4727</v>
      </c>
      <c r="C1088" s="433">
        <v>164.1</v>
      </c>
      <c r="D1088" t="str">
        <f>VLOOKUP($C1088,param!$A$4:$B$266,2)</f>
        <v>R&amp;D Time-To-Market Coefficient</v>
      </c>
      <c r="E1088" s="183">
        <f>INDEX($K1088:$O1088,SUMIF(cbal!E$280:E$296,$B1088,cbal!$D$280:$D$296)+1)</f>
        <v>0</v>
      </c>
      <c r="F1088" s="183">
        <f>INDEX($K1088:$O1088,SUMIF(cbal!F$280:F$296,$B1088,cbal!$D$280:$D$296)+1)</f>
        <v>0</v>
      </c>
      <c r="G1088" s="183">
        <f>INDEX($K1088:$O1088,SUMIF(cbal!G$280:G$296,$B1088,cbal!$D$280:$D$296)+1)</f>
        <v>0</v>
      </c>
      <c r="H1088" s="183">
        <f>INDEX($K1088:$O1088,SUMIF(cbal!H$280:H$296,$B1088,cbal!$D$280:$D$296)+1)</f>
        <v>0</v>
      </c>
      <c r="I1088" s="183">
        <f>INDEX($K1088:$O1088,SUMIF(cbal!I$280:I$296,$B1088,cbal!$D$280:$D$296)+1)</f>
        <v>0</v>
      </c>
      <c r="K1088" s="1577"/>
      <c r="L1088" s="1585">
        <v>-0.02</v>
      </c>
      <c r="M1088" s="1585">
        <v>-0.02</v>
      </c>
      <c r="N1088" s="1585">
        <v>-0.02</v>
      </c>
      <c r="O1088" s="1585">
        <v>-0.02</v>
      </c>
      <c r="R1088" s="91" t="b">
        <f t="shared" ref="R1088:R1095" si="148">IF(AND(C1088&gt;166,C1088&lt;171.5),L1088)</f>
        <v>0</v>
      </c>
      <c r="S1088" s="21" t="b">
        <f t="shared" ref="S1088:S1095" si="149">IF(AND(C1088&gt;166,C1088&lt;171.5),M1088)</f>
        <v>0</v>
      </c>
      <c r="T1088" s="97" t="b">
        <f t="shared" ref="T1088:T1095" si="150">IF(C1088=133.5,L1088)</f>
        <v>0</v>
      </c>
    </row>
    <row r="1089" spans="2:20">
      <c r="B1089" s="905" t="s">
        <v>4727</v>
      </c>
      <c r="C1089" s="433">
        <v>179.5</v>
      </c>
      <c r="D1089" t="str">
        <f>VLOOKUP($C1089,param!$A$4:$B$266,2)</f>
        <v>Special Program Success Breakthrough</v>
      </c>
      <c r="E1089" s="183">
        <f>INDEX($K1089:$O1089,SUMIF(cbal!E$280:E$296,$B1089,cbal!$D$280:$D$296)+1)</f>
        <v>0</v>
      </c>
      <c r="F1089" s="183">
        <f>INDEX($K1089:$O1089,SUMIF(cbal!F$280:F$296,$B1089,cbal!$D$280:$D$296)+1)</f>
        <v>0</v>
      </c>
      <c r="G1089" s="183">
        <f>INDEX($K1089:$O1089,SUMIF(cbal!G$280:G$296,$B1089,cbal!$D$280:$D$296)+1)</f>
        <v>0</v>
      </c>
      <c r="H1089" s="183">
        <f>INDEX($K1089:$O1089,SUMIF(cbal!H$280:H$296,$B1089,cbal!$D$280:$D$296)+1)</f>
        <v>0</v>
      </c>
      <c r="I1089" s="183">
        <f>INDEX($K1089:$O1089,SUMIF(cbal!I$280:I$296,$B1089,cbal!$D$280:$D$296)+1)</f>
        <v>0</v>
      </c>
      <c r="K1089" s="1577"/>
      <c r="L1089" s="1585">
        <v>0.02</v>
      </c>
      <c r="M1089" s="1585">
        <v>0.02</v>
      </c>
      <c r="N1089" s="1585">
        <v>0.02</v>
      </c>
      <c r="O1089" s="1585">
        <v>0.02</v>
      </c>
      <c r="R1089" s="91" t="b">
        <f t="shared" si="148"/>
        <v>0</v>
      </c>
      <c r="S1089" s="21" t="b">
        <f t="shared" si="149"/>
        <v>0</v>
      </c>
      <c r="T1089" s="97" t="b">
        <f t="shared" si="150"/>
        <v>0</v>
      </c>
    </row>
    <row r="1090" spans="2:20">
      <c r="B1090" s="905" t="s">
        <v>4727</v>
      </c>
      <c r="C1090" s="433">
        <v>197</v>
      </c>
      <c r="D1090" t="str">
        <f>VLOOKUP($C1090,param!$A$4:$B$266,2)</f>
        <v>Company Culture</v>
      </c>
      <c r="E1090" s="183">
        <f>INDEX($K1090:$O1090,SUMIF(cbal!E$280:E$296,$B1090,cbal!$D$280:$D$296)+1)</f>
        <v>0</v>
      </c>
      <c r="F1090" s="183">
        <f>INDEX($K1090:$O1090,SUMIF(cbal!F$280:F$296,$B1090,cbal!$D$280:$D$296)+1)</f>
        <v>0</v>
      </c>
      <c r="G1090" s="183">
        <f>INDEX($K1090:$O1090,SUMIF(cbal!G$280:G$296,$B1090,cbal!$D$280:$D$296)+1)</f>
        <v>0</v>
      </c>
      <c r="H1090" s="183">
        <f>INDEX($K1090:$O1090,SUMIF(cbal!H$280:H$296,$B1090,cbal!$D$280:$D$296)+1)</f>
        <v>0</v>
      </c>
      <c r="I1090" s="183">
        <f>INDEX($K1090:$O1090,SUMIF(cbal!I$280:I$296,$B1090,cbal!$D$280:$D$296)+1)</f>
        <v>0</v>
      </c>
      <c r="K1090" s="1577"/>
      <c r="L1090" s="1585">
        <v>0.02</v>
      </c>
      <c r="M1090" s="1585">
        <v>0.02</v>
      </c>
      <c r="N1090" s="1585">
        <v>0.02</v>
      </c>
      <c r="O1090" s="1585">
        <v>0.02</v>
      </c>
      <c r="R1090" s="91" t="b">
        <f t="shared" si="148"/>
        <v>0</v>
      </c>
      <c r="S1090" s="21" t="b">
        <f t="shared" si="149"/>
        <v>0</v>
      </c>
      <c r="T1090" s="97" t="b">
        <f t="shared" si="150"/>
        <v>0</v>
      </c>
    </row>
    <row r="1091" spans="2:20">
      <c r="B1091" s="905" t="s">
        <v>4727</v>
      </c>
      <c r="C1091" s="433">
        <v>196</v>
      </c>
      <c r="D1091" t="str">
        <f>VLOOKUP($C1091,param!$A$4:$B$266,2)</f>
        <v>Career Path</v>
      </c>
      <c r="E1091" s="183">
        <f>INDEX($K1091:$O1091,SUMIF(cbal!E$280:E$296,$B1091,cbal!$D$280:$D$296)+1)</f>
        <v>0</v>
      </c>
      <c r="F1091" s="183">
        <f>INDEX($K1091:$O1091,SUMIF(cbal!F$280:F$296,$B1091,cbal!$D$280:$D$296)+1)</f>
        <v>0</v>
      </c>
      <c r="G1091" s="183">
        <f>INDEX($K1091:$O1091,SUMIF(cbal!G$280:G$296,$B1091,cbal!$D$280:$D$296)+1)</f>
        <v>0</v>
      </c>
      <c r="H1091" s="183">
        <f>INDEX($K1091:$O1091,SUMIF(cbal!H$280:H$296,$B1091,cbal!$D$280:$D$296)+1)</f>
        <v>0</v>
      </c>
      <c r="I1091" s="183">
        <f>INDEX($K1091:$O1091,SUMIF(cbal!I$280:I$296,$B1091,cbal!$D$280:$D$296)+1)</f>
        <v>0</v>
      </c>
      <c r="K1091" s="1577"/>
      <c r="L1091" s="1585">
        <v>0.02</v>
      </c>
      <c r="M1091" s="1585">
        <v>0.02</v>
      </c>
      <c r="N1091" s="1585">
        <v>0.02</v>
      </c>
      <c r="O1091" s="1585">
        <v>0.02</v>
      </c>
      <c r="R1091" s="91" t="b">
        <f t="shared" si="148"/>
        <v>0</v>
      </c>
      <c r="S1091" s="21" t="b">
        <f t="shared" si="149"/>
        <v>0</v>
      </c>
      <c r="T1091" s="97" t="b">
        <f t="shared" si="150"/>
        <v>0</v>
      </c>
    </row>
    <row r="1092" spans="2:20">
      <c r="B1092" s="905" t="s">
        <v>4727</v>
      </c>
      <c r="C1092" s="433">
        <v>193</v>
      </c>
      <c r="D1092" t="str">
        <f>VLOOKUP($C1092,param!$A$4:$B$266,2)</f>
        <v>Healthy Product Innovation</v>
      </c>
      <c r="E1092" s="183">
        <f>INDEX($K1092:$O1092,SUMIF(cbal!E$280:E$296,$B1092,cbal!$D$280:$D$296)+1)</f>
        <v>0</v>
      </c>
      <c r="F1092" s="183">
        <f>INDEX($K1092:$O1092,SUMIF(cbal!F$280:F$296,$B1092,cbal!$D$280:$D$296)+1)</f>
        <v>0</v>
      </c>
      <c r="G1092" s="183">
        <f>INDEX($K1092:$O1092,SUMIF(cbal!G$280:G$296,$B1092,cbal!$D$280:$D$296)+1)</f>
        <v>0</v>
      </c>
      <c r="H1092" s="183">
        <f>INDEX($K1092:$O1092,SUMIF(cbal!H$280:H$296,$B1092,cbal!$D$280:$D$296)+1)</f>
        <v>0</v>
      </c>
      <c r="I1092" s="183">
        <f>INDEX($K1092:$O1092,SUMIF(cbal!I$280:I$296,$B1092,cbal!$D$280:$D$296)+1)</f>
        <v>0</v>
      </c>
      <c r="K1092" s="1577"/>
      <c r="L1092" s="1585">
        <v>0.02</v>
      </c>
      <c r="M1092" s="1585">
        <v>0.02</v>
      </c>
      <c r="N1092" s="1585">
        <v>0.02</v>
      </c>
      <c r="O1092" s="1585">
        <v>0.02</v>
      </c>
      <c r="R1092" s="91" t="b">
        <f t="shared" si="148"/>
        <v>0</v>
      </c>
      <c r="S1092" s="21" t="b">
        <f t="shared" si="149"/>
        <v>0</v>
      </c>
      <c r="T1092" s="97" t="b">
        <f t="shared" si="150"/>
        <v>0</v>
      </c>
    </row>
    <row r="1093" spans="2:20">
      <c r="B1093" s="905" t="s">
        <v>4727</v>
      </c>
      <c r="C1093" s="433">
        <v>167</v>
      </c>
      <c r="D1093" t="str">
        <f>VLOOKUP($C1093,param!$A$4:$B$266,2)</f>
        <v>Special Program Expense</v>
      </c>
      <c r="E1093" s="183">
        <f>INDEX($K1093:$O1093,SUMIF(cbal!E$280:E$296,$B1093,cbal!$D$280:$D$296)+1)</f>
        <v>0</v>
      </c>
      <c r="F1093" s="183">
        <f>INDEX($K1093:$O1093,SUMIF(cbal!F$280:F$296,$B1093,cbal!$D$280:$D$296)+1)</f>
        <v>0</v>
      </c>
      <c r="G1093" s="183">
        <f>INDEX($K1093:$O1093,SUMIF(cbal!G$280:G$296,$B1093,cbal!$D$280:$D$296)+1)</f>
        <v>0</v>
      </c>
      <c r="H1093" s="183">
        <f>INDEX($K1093:$O1093,SUMIF(cbal!H$280:H$296,$B1093,cbal!$D$280:$D$296)+1)</f>
        <v>0</v>
      </c>
      <c r="I1093" s="183">
        <f>INDEX($K1093:$O1093,SUMIF(cbal!I$280:I$296,$B1093,cbal!$D$280:$D$296)+1)</f>
        <v>0</v>
      </c>
      <c r="K1093" s="1577"/>
      <c r="L1093" s="1592">
        <v>1000000</v>
      </c>
      <c r="M1093" s="1592">
        <v>1000000</v>
      </c>
      <c r="N1093" s="1592">
        <v>1000000</v>
      </c>
      <c r="O1093" s="1592">
        <v>1000000</v>
      </c>
      <c r="R1093" s="91">
        <f t="shared" si="148"/>
        <v>1000000</v>
      </c>
      <c r="S1093" s="21">
        <f t="shared" si="149"/>
        <v>1000000</v>
      </c>
      <c r="T1093" s="97" t="b">
        <f t="shared" si="150"/>
        <v>0</v>
      </c>
    </row>
    <row r="1094" spans="2:20">
      <c r="B1094" s="905" t="s">
        <v>4727</v>
      </c>
      <c r="C1094" s="433">
        <v>133.5</v>
      </c>
      <c r="D1094" t="str">
        <f>VLOOKUP($C1094,param!$A$4:$B$266,2)</f>
        <v>MTU Initiatives Allocation</v>
      </c>
      <c r="E1094" s="183">
        <f>INDEX($K1094:$O1094,SUMIF(cbal!E$280:E$296,$B1094,cbal!$D$280:$D$296)+1)</f>
        <v>0</v>
      </c>
      <c r="F1094" s="183">
        <f>INDEX($K1094:$O1094,SUMIF(cbal!F$280:F$296,$B1094,cbal!$D$280:$D$296)+1)</f>
        <v>0</v>
      </c>
      <c r="G1094" s="183">
        <f>INDEX($K1094:$O1094,SUMIF(cbal!G$280:G$296,$B1094,cbal!$D$280:$D$296)+1)</f>
        <v>0</v>
      </c>
      <c r="H1094" s="183">
        <f>INDEX($K1094:$O1094,SUMIF(cbal!H$280:H$296,$B1094,cbal!$D$280:$D$296)+1)</f>
        <v>0</v>
      </c>
      <c r="I1094" s="183">
        <f>INDEX($K1094:$O1094,SUMIF(cbal!I$280:I$296,$B1094,cbal!$D$280:$D$296)+1)</f>
        <v>0</v>
      </c>
      <c r="K1094" s="1577"/>
      <c r="L1094" s="1593">
        <v>10</v>
      </c>
      <c r="M1094" s="1585"/>
      <c r="N1094" s="1585"/>
      <c r="O1094" s="1585"/>
      <c r="R1094" s="91" t="b">
        <f t="shared" si="148"/>
        <v>0</v>
      </c>
      <c r="S1094" s="21" t="b">
        <f t="shared" si="149"/>
        <v>0</v>
      </c>
      <c r="T1094" s="97">
        <f t="shared" si="150"/>
        <v>10</v>
      </c>
    </row>
    <row r="1095" spans="2:20">
      <c r="B1095" s="905" t="s">
        <v>4727</v>
      </c>
      <c r="C1095" s="433">
        <v>204</v>
      </c>
      <c r="D1095" t="str">
        <f>VLOOKUP($C1095,param!$A$4:$B$266,2)</f>
        <v>Innovation Strategy</v>
      </c>
      <c r="E1095" s="183">
        <f>INDEX($K1095:$O1095,SUMIF(cbal!E$280:E$296,$B1095,cbal!$D$280:$D$296)+1)</f>
        <v>0</v>
      </c>
      <c r="F1095" s="183">
        <f>INDEX($K1095:$O1095,SUMIF(cbal!F$280:F$296,$B1095,cbal!$D$280:$D$296)+1)</f>
        <v>0</v>
      </c>
      <c r="G1095" s="183">
        <f>INDEX($K1095:$O1095,SUMIF(cbal!G$280:G$296,$B1095,cbal!$D$280:$D$296)+1)</f>
        <v>0</v>
      </c>
      <c r="H1095" s="183">
        <f>INDEX($K1095:$O1095,SUMIF(cbal!H$280:H$296,$B1095,cbal!$D$280:$D$296)+1)</f>
        <v>0</v>
      </c>
      <c r="I1095" s="183">
        <f>INDEX($K1095:$O1095,SUMIF(cbal!I$280:I$296,$B1095,cbal!$D$280:$D$296)+1)</f>
        <v>0</v>
      </c>
      <c r="K1095" s="1577"/>
      <c r="L1095" s="1593">
        <v>10</v>
      </c>
      <c r="M1095" s="1593">
        <v>10</v>
      </c>
      <c r="N1095" s="1593">
        <v>10</v>
      </c>
      <c r="O1095" s="1593">
        <v>10</v>
      </c>
      <c r="R1095" s="91" t="b">
        <f t="shared" si="148"/>
        <v>0</v>
      </c>
      <c r="S1095" s="21" t="b">
        <f t="shared" si="149"/>
        <v>0</v>
      </c>
      <c r="T1095" s="97" t="b">
        <f t="shared" si="150"/>
        <v>0</v>
      </c>
    </row>
    <row r="1096" spans="2:20">
      <c r="B1096">
        <v>0</v>
      </c>
      <c r="C1096" s="433">
        <v>0</v>
      </c>
      <c r="E1096" s="183"/>
      <c r="F1096" s="183"/>
      <c r="G1096" s="183"/>
      <c r="H1096" s="183"/>
      <c r="I1096" s="183"/>
      <c r="K1096" s="1577"/>
      <c r="L1096" s="1585"/>
      <c r="M1096" s="1585"/>
      <c r="N1096" s="1585"/>
      <c r="O1096" s="1585"/>
      <c r="R1096" s="21"/>
      <c r="S1096" s="21"/>
      <c r="T1096" s="21"/>
    </row>
    <row r="1097" spans="2:20">
      <c r="B1097" s="905"/>
      <c r="C1097" s="433"/>
      <c r="E1097" s="183"/>
      <c r="F1097" s="183"/>
      <c r="G1097" s="183"/>
      <c r="H1097" s="183"/>
      <c r="I1097" s="183"/>
      <c r="K1097" s="1577"/>
      <c r="L1097" s="1585"/>
      <c r="M1097" s="1585"/>
      <c r="N1097" s="1585"/>
      <c r="O1097" s="1585"/>
      <c r="R1097" s="21"/>
      <c r="S1097" s="21"/>
      <c r="T1097" s="21"/>
    </row>
    <row r="1098" spans="2:20">
      <c r="B1098" s="905"/>
      <c r="C1098" s="433"/>
      <c r="E1098" s="183"/>
      <c r="F1098" s="183"/>
      <c r="G1098" s="183"/>
      <c r="H1098" s="183"/>
      <c r="I1098" s="183"/>
      <c r="K1098" s="1577"/>
      <c r="L1098" s="1585"/>
      <c r="M1098" s="1585"/>
      <c r="N1098" s="1585"/>
      <c r="O1098" s="1585"/>
      <c r="R1098" s="21"/>
      <c r="S1098" s="21"/>
      <c r="T1098" s="21"/>
    </row>
    <row r="1099" spans="2:20">
      <c r="B1099" s="905"/>
      <c r="C1099" s="433"/>
      <c r="E1099" s="183"/>
      <c r="F1099" s="183"/>
      <c r="G1099" s="183"/>
      <c r="H1099" s="183"/>
      <c r="I1099" s="183"/>
      <c r="K1099" s="1577"/>
      <c r="L1099" s="1585"/>
      <c r="M1099" s="1585"/>
      <c r="N1099" s="1585"/>
      <c r="O1099" s="1585"/>
      <c r="R1099" s="21"/>
      <c r="S1099" s="21"/>
      <c r="T1099" s="21"/>
    </row>
    <row r="1100" spans="2:20">
      <c r="B1100" s="905"/>
      <c r="C1100" s="433"/>
      <c r="E1100" s="183"/>
      <c r="F1100" s="183"/>
      <c r="G1100" s="183"/>
      <c r="H1100" s="183"/>
      <c r="I1100" s="183"/>
      <c r="K1100" s="1577"/>
      <c r="L1100" s="1585"/>
      <c r="M1100" s="1585"/>
      <c r="N1100" s="1585"/>
      <c r="O1100" s="1585"/>
      <c r="R1100" s="21"/>
      <c r="S1100" s="21"/>
      <c r="T1100" s="21"/>
    </row>
    <row r="1101" spans="2:20">
      <c r="B1101" s="905"/>
      <c r="C1101" s="433"/>
      <c r="E1101" s="183"/>
      <c r="F1101" s="183"/>
      <c r="G1101" s="183"/>
      <c r="H1101" s="183"/>
      <c r="I1101" s="183"/>
      <c r="K1101" s="1577"/>
      <c r="L1101" s="1585"/>
      <c r="M1101" s="1585"/>
      <c r="N1101" s="1585"/>
      <c r="O1101" s="1585"/>
      <c r="R1101" s="21"/>
      <c r="S1101" s="21"/>
      <c r="T1101" s="21"/>
    </row>
    <row r="1102" spans="2:20">
      <c r="B1102" s="905"/>
      <c r="C1102" s="433"/>
      <c r="E1102" s="183"/>
      <c r="F1102" s="183"/>
      <c r="G1102" s="183"/>
      <c r="H1102" s="183"/>
      <c r="I1102" s="183"/>
      <c r="K1102" s="1577"/>
      <c r="L1102" s="1585"/>
      <c r="M1102" s="1585"/>
      <c r="N1102" s="1585"/>
      <c r="O1102" s="1585"/>
      <c r="R1102" s="21"/>
      <c r="S1102" s="21"/>
      <c r="T1102" s="21"/>
    </row>
    <row r="1103" spans="2:20">
      <c r="B1103" s="905"/>
      <c r="C1103" s="433"/>
      <c r="E1103" s="183"/>
      <c r="F1103" s="183"/>
      <c r="G1103" s="183"/>
      <c r="H1103" s="183"/>
      <c r="I1103" s="183"/>
      <c r="K1103" s="1577"/>
      <c r="L1103" s="1585"/>
      <c r="M1103" s="1585"/>
      <c r="N1103" s="1585"/>
      <c r="O1103" s="1585"/>
      <c r="R1103" s="21"/>
      <c r="S1103" s="21"/>
      <c r="T1103" s="21"/>
    </row>
    <row r="1104" spans="2:20">
      <c r="B1104" s="905"/>
      <c r="C1104" s="433"/>
      <c r="E1104" s="183"/>
      <c r="F1104" s="183"/>
      <c r="G1104" s="183"/>
      <c r="H1104" s="183"/>
      <c r="I1104" s="183"/>
      <c r="K1104" s="1577"/>
      <c r="L1104" s="1585"/>
      <c r="M1104" s="1585"/>
      <c r="N1104" s="1585"/>
      <c r="O1104" s="1585"/>
      <c r="R1104" s="21"/>
      <c r="S1104" s="21"/>
      <c r="T1104" s="21"/>
    </row>
    <row r="1105" spans="1:20">
      <c r="B1105" s="905"/>
      <c r="C1105" s="433"/>
      <c r="E1105" s="183"/>
      <c r="F1105" s="183"/>
      <c r="G1105" s="183"/>
      <c r="H1105" s="183"/>
      <c r="I1105" s="183"/>
      <c r="K1105" s="1577"/>
      <c r="L1105" s="1585"/>
      <c r="M1105" s="1585"/>
      <c r="N1105" s="1585"/>
      <c r="O1105" s="1585"/>
      <c r="R1105" s="21"/>
      <c r="S1105" s="21"/>
      <c r="T1105" s="21"/>
    </row>
    <row r="1106" spans="1:20">
      <c r="C1106" s="433"/>
      <c r="E1106" s="183"/>
      <c r="F1106" s="183"/>
      <c r="G1106" s="183"/>
      <c r="H1106" s="183"/>
      <c r="I1106" s="183"/>
      <c r="K1106" s="1577"/>
      <c r="L1106" s="1580"/>
      <c r="M1106" s="1580"/>
      <c r="N1106" s="1580"/>
      <c r="O1106" s="1580"/>
      <c r="R1106" s="21"/>
      <c r="S1106" s="21"/>
      <c r="T1106" s="21"/>
    </row>
    <row r="1107" spans="1:20">
      <c r="A1107" s="2" t="s">
        <v>2406</v>
      </c>
      <c r="E1107" s="183"/>
      <c r="F1107" s="183"/>
      <c r="G1107" s="183"/>
      <c r="H1107" s="183"/>
      <c r="I1107" s="183"/>
      <c r="K1107" s="1577"/>
      <c r="L1107" s="1581"/>
      <c r="M1107" s="1581"/>
      <c r="N1107" s="1581"/>
      <c r="O1107" s="1581"/>
    </row>
    <row r="1108" spans="1:20">
      <c r="B1108" t="s">
        <v>3453</v>
      </c>
      <c r="C1108" s="433">
        <v>168.1</v>
      </c>
      <c r="D1108" t="str">
        <f>VLOOKUP($C1108,param!$A$4:$B$270,2)</f>
        <v>Special Programs Expense Product 1 Region 2</v>
      </c>
      <c r="E1108" s="615">
        <f ca="1">INDEX($K1108:$O1108,SUMIF(cbal!E$280:E$333,$B1108,cbal!$D$280:$D$296)+1)</f>
        <v>0</v>
      </c>
      <c r="F1108" s="615">
        <f ca="1">INDEX($K1108:$O1108,SUMIF(cbal!F$280:F$333,$B1108,cbal!$D$280:$D$296)+1)</f>
        <v>0</v>
      </c>
      <c r="G1108" s="615">
        <f ca="1">INDEX($K1108:$O1108,SUMIF(cbal!G$280:G$333,$B1108,cbal!$D$280:$D$296)+1)</f>
        <v>0</v>
      </c>
      <c r="H1108" s="615">
        <f ca="1">INDEX($K1108:$O1108,SUMIF(cbal!H$280:H$333,$B1108,cbal!$D$280:$D$296)+1)</f>
        <v>0</v>
      </c>
      <c r="I1108" s="615">
        <f ca="1">INDEX($K1108:$O1108,SUMIF(cbal!I$280:I$333,$B1108,cbal!$D$280:$D$296)+1)</f>
        <v>0</v>
      </c>
      <c r="K1108" s="1577">
        <v>0</v>
      </c>
      <c r="L1108" s="1580">
        <v>3750000</v>
      </c>
      <c r="M1108" s="1580"/>
      <c r="N1108" s="1580"/>
      <c r="O1108" s="1580"/>
    </row>
    <row r="1109" spans="1:20">
      <c r="B1109" t="s">
        <v>3453</v>
      </c>
      <c r="C1109" s="433">
        <f>C1108+1</f>
        <v>169.1</v>
      </c>
      <c r="D1109" t="str">
        <f>VLOOKUP($C1109,param!$A$4:$B$270,2)</f>
        <v>Special Programs Expense Product 2 Region 2</v>
      </c>
      <c r="E1109" s="615">
        <f ca="1">INDEX($K1109:$O1109,SUMIF(cbal!E$280:E$333,$B1109,cbal!$D$280:$D$296)+1)</f>
        <v>0</v>
      </c>
      <c r="F1109" s="615">
        <f ca="1">INDEX($K1109:$O1109,SUMIF(cbal!F$280:F$333,$B1109,cbal!$D$280:$D$296)+1)</f>
        <v>0</v>
      </c>
      <c r="G1109" s="615">
        <f ca="1">INDEX($K1109:$O1109,SUMIF(cbal!G$280:G$333,$B1109,cbal!$D$280:$D$296)+1)</f>
        <v>0</v>
      </c>
      <c r="H1109" s="615">
        <f ca="1">INDEX($K1109:$O1109,SUMIF(cbal!H$280:H$333,$B1109,cbal!$D$280:$D$296)+1)</f>
        <v>0</v>
      </c>
      <c r="I1109" s="615">
        <f ca="1">INDEX($K1109:$O1109,SUMIF(cbal!I$280:I$333,$B1109,cbal!$D$280:$D$296)+1)</f>
        <v>0</v>
      </c>
      <c r="K1109" s="1577">
        <v>0</v>
      </c>
      <c r="L1109" s="1580">
        <v>3750000</v>
      </c>
      <c r="M1109" s="1580"/>
      <c r="N1109" s="1580"/>
      <c r="O1109" s="1580"/>
    </row>
    <row r="1110" spans="1:20">
      <c r="B1110" t="s">
        <v>3453</v>
      </c>
      <c r="C1110" s="433">
        <f>C1109+1</f>
        <v>170.1</v>
      </c>
      <c r="D1110" t="str">
        <f>VLOOKUP($C1110,param!$A$4:$B$270,2)</f>
        <v>Special Programs Expense Product 3 Region 2</v>
      </c>
      <c r="E1110" s="615">
        <f ca="1">INDEX($K1110:$O1110,SUMIF(cbal!E$280:E$333,$B1110,cbal!$D$280:$D$296)+1)</f>
        <v>0</v>
      </c>
      <c r="F1110" s="615">
        <f ca="1">INDEX($K1110:$O1110,SUMIF(cbal!F$280:F$333,$B1110,cbal!$D$280:$D$296)+1)</f>
        <v>0</v>
      </c>
      <c r="G1110" s="615">
        <f ca="1">INDEX($K1110:$O1110,SUMIF(cbal!G$280:G$333,$B1110,cbal!$D$280:$D$296)+1)</f>
        <v>0</v>
      </c>
      <c r="H1110" s="615">
        <f ca="1">INDEX($K1110:$O1110,SUMIF(cbal!H$280:H$333,$B1110,cbal!$D$280:$D$296)+1)</f>
        <v>0</v>
      </c>
      <c r="I1110" s="615">
        <f ca="1">INDEX($K1110:$O1110,SUMIF(cbal!I$280:I$333,$B1110,cbal!$D$280:$D$296)+1)</f>
        <v>0</v>
      </c>
      <c r="K1110" s="1577">
        <v>0</v>
      </c>
      <c r="L1110" s="1580">
        <v>3750000</v>
      </c>
      <c r="M1110" s="1580"/>
      <c r="N1110" s="1580"/>
      <c r="O1110" s="1580"/>
    </row>
    <row r="1111" spans="1:20">
      <c r="B1111" t="s">
        <v>3453</v>
      </c>
      <c r="C1111" s="433">
        <f>C1110+1</f>
        <v>171.1</v>
      </c>
      <c r="D1111" t="str">
        <f>VLOOKUP($C1111,param!$A$4:$B$270,2)</f>
        <v>Special Programs Expense Product 4 Region 2</v>
      </c>
      <c r="E1111" s="615">
        <f ca="1">INDEX($K1111:$O1111,SUMIF(cbal!E$280:E$333,$B1111,cbal!$D$280:$D$296)+1)</f>
        <v>0</v>
      </c>
      <c r="F1111" s="615">
        <f ca="1">INDEX($K1111:$O1111,SUMIF(cbal!F$280:F$333,$B1111,cbal!$D$280:$D$296)+1)</f>
        <v>0</v>
      </c>
      <c r="G1111" s="615">
        <f ca="1">INDEX($K1111:$O1111,SUMIF(cbal!G$280:G$333,$B1111,cbal!$D$280:$D$296)+1)</f>
        <v>0</v>
      </c>
      <c r="H1111" s="615">
        <f ca="1">INDEX($K1111:$O1111,SUMIF(cbal!H$280:H$333,$B1111,cbal!$D$280:$D$296)+1)</f>
        <v>0</v>
      </c>
      <c r="I1111" s="615">
        <f ca="1">INDEX($K1111:$O1111,SUMIF(cbal!I$280:I$333,$B1111,cbal!$D$280:$D$296)+1)</f>
        <v>0</v>
      </c>
      <c r="K1111" s="1577">
        <v>0</v>
      </c>
      <c r="L1111" s="1580">
        <v>3750000</v>
      </c>
      <c r="M1111" s="1580"/>
      <c r="N1111" s="1580"/>
      <c r="O1111" s="1580"/>
    </row>
    <row r="1112" spans="1:20">
      <c r="B1112" t="s">
        <v>3453</v>
      </c>
      <c r="C1112" s="433">
        <v>191</v>
      </c>
      <c r="D1112" t="str">
        <f>VLOOKUP($C1112,param!$A$4:$B$270,2)</f>
        <v>Energy Usage Performance</v>
      </c>
      <c r="E1112" s="430">
        <f ca="1">INDEX($K1112:$O1112,SUMIF(cbal!E$280:E$333,$B1112,cbal!$D$280:$D$296)+1)</f>
        <v>0</v>
      </c>
      <c r="F1112" s="430">
        <f ca="1">INDEX($K1112:$O1112,SUMIF(cbal!F$280:F$333,$B1112,cbal!$D$280:$D$296)+1)</f>
        <v>0</v>
      </c>
      <c r="G1112" s="430">
        <f ca="1">INDEX($K1112:$O1112,SUMIF(cbal!G$280:G$333,$B1112,cbal!$D$280:$D$296)+1)</f>
        <v>0</v>
      </c>
      <c r="H1112" s="430">
        <f ca="1">INDEX($K1112:$O1112,SUMIF(cbal!H$280:H$333,$B1112,cbal!$D$280:$D$296)+1)</f>
        <v>0</v>
      </c>
      <c r="I1112" s="430">
        <f ca="1">INDEX($K1112:$O1112,SUMIF(cbal!I$280:I$333,$B1112,cbal!$D$280:$D$296)+1)</f>
        <v>0</v>
      </c>
      <c r="K1112" s="1577">
        <v>0</v>
      </c>
      <c r="L1112" s="1585">
        <v>-0.08</v>
      </c>
      <c r="M1112" s="1585">
        <v>-0.08</v>
      </c>
      <c r="N1112" s="1585">
        <v>-0.08</v>
      </c>
      <c r="O1112" s="1585">
        <v>-0.08</v>
      </c>
    </row>
    <row r="1113" spans="1:20">
      <c r="B1113" t="s">
        <v>3453</v>
      </c>
      <c r="C1113" s="433">
        <v>192</v>
      </c>
      <c r="D1113" t="str">
        <f>VLOOKUP($C1113,param!$A$4:$B$270,2)</f>
        <v>Waste Production Performance</v>
      </c>
      <c r="E1113" s="430">
        <f ca="1">INDEX($K1113:$O1113,SUMIF(cbal!E$280:E$333,$B1113,cbal!$D$280:$D$296)+1)</f>
        <v>0</v>
      </c>
      <c r="F1113" s="430">
        <f ca="1">INDEX($K1113:$O1113,SUMIF(cbal!F$280:F$333,$B1113,cbal!$D$280:$D$296)+1)</f>
        <v>0</v>
      </c>
      <c r="G1113" s="430">
        <f ca="1">INDEX($K1113:$O1113,SUMIF(cbal!G$280:G$333,$B1113,cbal!$D$280:$D$296)+1)</f>
        <v>0</v>
      </c>
      <c r="H1113" s="430">
        <f ca="1">INDEX($K1113:$O1113,SUMIF(cbal!H$280:H$333,$B1113,cbal!$D$280:$D$296)+1)</f>
        <v>0</v>
      </c>
      <c r="I1113" s="430">
        <f ca="1">INDEX($K1113:$O1113,SUMIF(cbal!I$280:I$333,$B1113,cbal!$D$280:$D$296)+1)</f>
        <v>0</v>
      </c>
      <c r="K1113" s="1577">
        <v>0</v>
      </c>
      <c r="L1113" s="1585">
        <v>-0.02</v>
      </c>
      <c r="M1113" s="1585">
        <v>-0.02</v>
      </c>
      <c r="N1113" s="1585">
        <v>-0.02</v>
      </c>
      <c r="O1113" s="1585">
        <v>-0.02</v>
      </c>
    </row>
    <row r="1114" spans="1:20">
      <c r="B1114" t="s">
        <v>3454</v>
      </c>
      <c r="C1114" s="433">
        <v>168.1</v>
      </c>
      <c r="D1114" t="str">
        <f>VLOOKUP($C1114,param!$A$4:$B$270,2)</f>
        <v>Special Programs Expense Product 1 Region 2</v>
      </c>
      <c r="E1114" s="615">
        <f ca="1">INDEX($K1114:$O1114,SUMIF(cbal!E$280:E$333,$B1114,cbal!$D$280:$D$296)+1)</f>
        <v>0</v>
      </c>
      <c r="F1114" s="615">
        <f ca="1">INDEX($K1114:$O1114,SUMIF(cbal!F$280:F$333,$B1114,cbal!$D$280:$D$296)+1)</f>
        <v>0</v>
      </c>
      <c r="G1114" s="615">
        <f ca="1">INDEX($K1114:$O1114,SUMIF(cbal!G$280:G$333,$B1114,cbal!$D$280:$D$296)+1)</f>
        <v>0</v>
      </c>
      <c r="H1114" s="615">
        <f ca="1">INDEX($K1114:$O1114,SUMIF(cbal!H$280:H$333,$B1114,cbal!$D$280:$D$296)+1)</f>
        <v>0</v>
      </c>
      <c r="I1114" s="615">
        <f ca="1">INDEX($K1114:$O1114,SUMIF(cbal!I$280:I$333,$B1114,cbal!$D$280:$D$296)+1)</f>
        <v>0</v>
      </c>
      <c r="K1114" s="1577">
        <v>0</v>
      </c>
      <c r="L1114" s="1580">
        <v>25000000</v>
      </c>
      <c r="M1114" s="1585"/>
      <c r="N1114" s="1585"/>
      <c r="O1114" s="1585"/>
    </row>
    <row r="1115" spans="1:20">
      <c r="B1115" t="s">
        <v>3454</v>
      </c>
      <c r="C1115" s="433">
        <f>C1114+1</f>
        <v>169.1</v>
      </c>
      <c r="D1115" t="str">
        <f>VLOOKUP($C1115,param!$A$4:$B$270,2)</f>
        <v>Special Programs Expense Product 2 Region 2</v>
      </c>
      <c r="E1115" s="615">
        <f ca="1">INDEX($K1115:$O1115,SUMIF(cbal!E$280:E$333,$B1115,cbal!$D$280:$D$296)+1)</f>
        <v>0</v>
      </c>
      <c r="F1115" s="615">
        <f ca="1">INDEX($K1115:$O1115,SUMIF(cbal!F$280:F$333,$B1115,cbal!$D$280:$D$296)+1)</f>
        <v>0</v>
      </c>
      <c r="G1115" s="615">
        <f ca="1">INDEX($K1115:$O1115,SUMIF(cbal!G$280:G$333,$B1115,cbal!$D$280:$D$296)+1)</f>
        <v>0</v>
      </c>
      <c r="H1115" s="615">
        <f ca="1">INDEX($K1115:$O1115,SUMIF(cbal!H$280:H$333,$B1115,cbal!$D$280:$D$296)+1)</f>
        <v>0</v>
      </c>
      <c r="I1115" s="615">
        <f ca="1">INDEX($K1115:$O1115,SUMIF(cbal!I$280:I$333,$B1115,cbal!$D$280:$D$296)+1)</f>
        <v>0</v>
      </c>
      <c r="K1115" s="1577">
        <v>0</v>
      </c>
      <c r="L1115" s="1580">
        <v>25000000</v>
      </c>
      <c r="M1115" s="1585"/>
      <c r="N1115" s="1585"/>
      <c r="O1115" s="1585"/>
    </row>
    <row r="1116" spans="1:20">
      <c r="B1116" t="s">
        <v>3454</v>
      </c>
      <c r="C1116" s="433">
        <f>C1115+1</f>
        <v>170.1</v>
      </c>
      <c r="D1116" t="str">
        <f>VLOOKUP($C1116,param!$A$4:$B$270,2)</f>
        <v>Special Programs Expense Product 3 Region 2</v>
      </c>
      <c r="E1116" s="615">
        <f ca="1">INDEX($K1116:$O1116,SUMIF(cbal!E$280:E$333,$B1116,cbal!$D$280:$D$296)+1)</f>
        <v>0</v>
      </c>
      <c r="F1116" s="615">
        <f ca="1">INDEX($K1116:$O1116,SUMIF(cbal!F$280:F$333,$B1116,cbal!$D$280:$D$296)+1)</f>
        <v>0</v>
      </c>
      <c r="G1116" s="615">
        <f ca="1">INDEX($K1116:$O1116,SUMIF(cbal!G$280:G$333,$B1116,cbal!$D$280:$D$296)+1)</f>
        <v>0</v>
      </c>
      <c r="H1116" s="615">
        <f ca="1">INDEX($K1116:$O1116,SUMIF(cbal!H$280:H$333,$B1116,cbal!$D$280:$D$296)+1)</f>
        <v>0</v>
      </c>
      <c r="I1116" s="615">
        <f ca="1">INDEX($K1116:$O1116,SUMIF(cbal!I$280:I$333,$B1116,cbal!$D$280:$D$296)+1)</f>
        <v>0</v>
      </c>
      <c r="K1116" s="1577">
        <v>0</v>
      </c>
      <c r="L1116" s="1580">
        <v>25000000</v>
      </c>
      <c r="M1116" s="1585"/>
      <c r="N1116" s="1585"/>
      <c r="O1116" s="1585"/>
    </row>
    <row r="1117" spans="1:20">
      <c r="B1117" t="s">
        <v>3454</v>
      </c>
      <c r="C1117" s="433">
        <f>C1116+1</f>
        <v>171.1</v>
      </c>
      <c r="D1117" t="str">
        <f>VLOOKUP($C1117,param!$A$4:$B$270,2)</f>
        <v>Special Programs Expense Product 4 Region 2</v>
      </c>
      <c r="E1117" s="615">
        <f ca="1">INDEX($K1117:$O1117,SUMIF(cbal!E$280:E$333,$B1117,cbal!$D$280:$D$296)+1)</f>
        <v>0</v>
      </c>
      <c r="F1117" s="615">
        <f ca="1">INDEX($K1117:$O1117,SUMIF(cbal!F$280:F$333,$B1117,cbal!$D$280:$D$296)+1)</f>
        <v>0</v>
      </c>
      <c r="G1117" s="615">
        <f ca="1">INDEX($K1117:$O1117,SUMIF(cbal!G$280:G$333,$B1117,cbal!$D$280:$D$296)+1)</f>
        <v>0</v>
      </c>
      <c r="H1117" s="615">
        <f ca="1">INDEX($K1117:$O1117,SUMIF(cbal!H$280:H$333,$B1117,cbal!$D$280:$D$296)+1)</f>
        <v>0</v>
      </c>
      <c r="I1117" s="615">
        <f ca="1">INDEX($K1117:$O1117,SUMIF(cbal!I$280:I$333,$B1117,cbal!$D$280:$D$296)+1)</f>
        <v>0</v>
      </c>
      <c r="K1117" s="1577">
        <v>0</v>
      </c>
      <c r="L1117" s="1580">
        <v>25000000</v>
      </c>
      <c r="M1117" s="1585"/>
      <c r="N1117" s="1585"/>
      <c r="O1117" s="1585"/>
    </row>
    <row r="1118" spans="1:20">
      <c r="B1118" t="s">
        <v>3454</v>
      </c>
      <c r="C1118" s="433">
        <v>191</v>
      </c>
      <c r="D1118" t="str">
        <f>VLOOKUP($C1118,param!$A$4:$B$270,2)</f>
        <v>Energy Usage Performance</v>
      </c>
      <c r="E1118" s="430">
        <f ca="1">INDEX($K1118:$O1118,SUMIF(cbal!E$280:E$333,$B1118,cbal!$D$280:$D$296)+1)</f>
        <v>0</v>
      </c>
      <c r="F1118" s="430">
        <f ca="1">INDEX($K1118:$O1118,SUMIF(cbal!F$280:F$333,$B1118,cbal!$D$280:$D$296)+1)</f>
        <v>0</v>
      </c>
      <c r="G1118" s="430">
        <f ca="1">INDEX($K1118:$O1118,SUMIF(cbal!G$280:G$333,$B1118,cbal!$D$280:$D$296)+1)</f>
        <v>0</v>
      </c>
      <c r="H1118" s="430">
        <f ca="1">INDEX($K1118:$O1118,SUMIF(cbal!H$280:H$333,$B1118,cbal!$D$280:$D$296)+1)</f>
        <v>0</v>
      </c>
      <c r="I1118" s="430">
        <f ca="1">INDEX($K1118:$O1118,SUMIF(cbal!I$280:I$333,$B1118,cbal!$D$280:$D$296)+1)</f>
        <v>0</v>
      </c>
      <c r="K1118" s="1577">
        <v>0</v>
      </c>
      <c r="L1118" s="1585">
        <v>0.1</v>
      </c>
      <c r="M1118" s="1585">
        <v>0.1</v>
      </c>
      <c r="N1118" s="1585">
        <v>0.1</v>
      </c>
      <c r="O1118" s="1585">
        <v>0.1</v>
      </c>
    </row>
    <row r="1119" spans="1:20">
      <c r="B1119" t="s">
        <v>3454</v>
      </c>
      <c r="C1119" s="433">
        <v>192</v>
      </c>
      <c r="D1119" t="str">
        <f>VLOOKUP($C1119,param!$A$4:$B$270,2)</f>
        <v>Waste Production Performance</v>
      </c>
      <c r="E1119" s="430">
        <f ca="1">INDEX($K1119:$O1119,SUMIF(cbal!E$280:E$333,$B1119,cbal!$D$280:$D$296)+1)</f>
        <v>0</v>
      </c>
      <c r="F1119" s="430">
        <f ca="1">INDEX($K1119:$O1119,SUMIF(cbal!F$280:F$333,$B1119,cbal!$D$280:$D$296)+1)</f>
        <v>0</v>
      </c>
      <c r="G1119" s="430">
        <f ca="1">INDEX($K1119:$O1119,SUMIF(cbal!G$280:G$333,$B1119,cbal!$D$280:$D$296)+1)</f>
        <v>0</v>
      </c>
      <c r="H1119" s="430">
        <f ca="1">INDEX($K1119:$O1119,SUMIF(cbal!H$280:H$333,$B1119,cbal!$D$280:$D$296)+1)</f>
        <v>0</v>
      </c>
      <c r="I1119" s="430">
        <f ca="1">INDEX($K1119:$O1119,SUMIF(cbal!I$280:I$333,$B1119,cbal!$D$280:$D$296)+1)</f>
        <v>0</v>
      </c>
      <c r="K1119" s="1577">
        <v>0</v>
      </c>
      <c r="L1119" s="1585">
        <v>0.1</v>
      </c>
      <c r="M1119" s="1585">
        <v>0.1</v>
      </c>
      <c r="N1119" s="1585">
        <v>0.1</v>
      </c>
      <c r="O1119" s="1585">
        <v>0.1</v>
      </c>
    </row>
    <row r="1120" spans="1:20">
      <c r="B1120" t="s">
        <v>3454</v>
      </c>
      <c r="C1120" s="433">
        <v>142</v>
      </c>
      <c r="D1120" t="str">
        <f>VLOOKUP($C1120,param!$A$4:$B$270,2)</f>
        <v>Plant Efficiency</v>
      </c>
      <c r="E1120" s="430">
        <f ca="1">INDEX($K1120:$O1120,SUMIF(cbal!E$280:E$333,$B1120,cbal!$D$280:$D$296)+1)</f>
        <v>0</v>
      </c>
      <c r="F1120" s="430">
        <f ca="1">INDEX($K1120:$O1120,SUMIF(cbal!F$280:F$333,$B1120,cbal!$D$280:$D$296)+1)</f>
        <v>0</v>
      </c>
      <c r="G1120" s="430">
        <f ca="1">INDEX($K1120:$O1120,SUMIF(cbal!G$280:G$333,$B1120,cbal!$D$280:$D$296)+1)</f>
        <v>0</v>
      </c>
      <c r="H1120" s="430">
        <f ca="1">INDEX($K1120:$O1120,SUMIF(cbal!H$280:H$333,$B1120,cbal!$D$280:$D$296)+1)</f>
        <v>0</v>
      </c>
      <c r="I1120" s="430">
        <f ca="1">INDEX($K1120:$O1120,SUMIF(cbal!I$280:I$333,$B1120,cbal!$D$280:$D$296)+1)</f>
        <v>0</v>
      </c>
      <c r="K1120" s="1577">
        <v>0</v>
      </c>
      <c r="L1120" s="1585">
        <v>0.1</v>
      </c>
      <c r="M1120" s="1585">
        <v>0.1</v>
      </c>
      <c r="N1120" s="1585">
        <v>0.1</v>
      </c>
      <c r="O1120" s="1585">
        <v>0.1</v>
      </c>
    </row>
    <row r="1121" spans="1:15">
      <c r="K1121" s="1577"/>
      <c r="L1121" s="1581"/>
      <c r="M1121" s="1581"/>
      <c r="N1121" s="1581"/>
      <c r="O1121" s="1581"/>
    </row>
    <row r="1122" spans="1:15">
      <c r="A1122" s="2" t="s">
        <v>2432</v>
      </c>
      <c r="K1122" s="1577"/>
      <c r="L1122" s="1581"/>
      <c r="M1122" s="1581"/>
      <c r="N1122" s="1581"/>
      <c r="O1122" s="1581"/>
    </row>
    <row r="1123" spans="1:15">
      <c r="C1123" s="433">
        <v>201</v>
      </c>
      <c r="D1123" t="str">
        <f>VLOOKUP($C1123,param!$A$4:$B$270,2)</f>
        <v>Brands Strategy</v>
      </c>
      <c r="E1123" s="615">
        <f>SUM(cap!E$548:E$551,cap!E$556)/2</f>
        <v>1</v>
      </c>
      <c r="F1123" s="615">
        <f>SUM(cap!F$548:F$551,cap!F$556)/2</f>
        <v>1</v>
      </c>
      <c r="G1123" s="615">
        <f>SUM(cap!G$548:G$551,cap!G$556)/2</f>
        <v>1</v>
      </c>
      <c r="H1123" s="615">
        <f>SUM(cap!H$548:H$551,cap!H$556)/2</f>
        <v>1</v>
      </c>
      <c r="I1123" s="615">
        <f>SUM(cap!I$548:I$551,cap!I$556)/2</f>
        <v>1</v>
      </c>
      <c r="K1123" s="1577"/>
      <c r="L1123" s="1581"/>
      <c r="M1123" s="1581"/>
      <c r="N1123" s="1581"/>
      <c r="O1123" s="1581"/>
    </row>
    <row r="1124" spans="1:15">
      <c r="C1124" s="433">
        <v>202</v>
      </c>
      <c r="D1124" t="str">
        <f>VLOOKUP($C1124,param!$A$4:$B$270,2)</f>
        <v>Go-to-Market Strategy</v>
      </c>
      <c r="E1124" s="615">
        <f>SUM(cap!E$546:E$547,cap!E$556/4)</f>
        <v>6.5</v>
      </c>
      <c r="F1124" s="615">
        <f>SUM(cap!F$546:F$547,cap!F$556/4)</f>
        <v>6.5</v>
      </c>
      <c r="G1124" s="615">
        <f>SUM(cap!G$546:G$547,cap!G$556/4)</f>
        <v>6.5</v>
      </c>
      <c r="H1124" s="615">
        <f>SUM(cap!H$546:H$547,cap!H$556/4)</f>
        <v>6.5</v>
      </c>
      <c r="I1124" s="615">
        <f>SUM(cap!I$546:I$547,cap!I$556/4)</f>
        <v>6.5</v>
      </c>
      <c r="K1124" s="1577"/>
      <c r="L1124" s="1581"/>
      <c r="M1124" s="1581"/>
      <c r="N1124" s="1581"/>
      <c r="O1124" s="1581"/>
    </row>
    <row r="1125" spans="1:15">
      <c r="C1125" s="433">
        <v>203</v>
      </c>
      <c r="D1125" t="str">
        <f>VLOOKUP($C1125,param!$A$4:$B$270,2)</f>
        <v>Productivity Strategy</v>
      </c>
      <c r="E1125" s="615">
        <f>SUM(cap!E$552:E$555,cap!E$556/4)</f>
        <v>18.5</v>
      </c>
      <c r="F1125" s="615">
        <f>SUM(cap!F$552:F$555,cap!F$556/4)</f>
        <v>18.5</v>
      </c>
      <c r="G1125" s="615">
        <f>SUM(cap!G$552:G$555,cap!G$556/4)</f>
        <v>18.5</v>
      </c>
      <c r="H1125" s="615">
        <f>SUM(cap!H$552:H$555,cap!H$556/4)</f>
        <v>18.5</v>
      </c>
      <c r="I1125" s="615">
        <f>SUM(cap!I$552:I$555,cap!I$556/4)</f>
        <v>18.5</v>
      </c>
      <c r="K1125" s="1577"/>
      <c r="L1125" s="1581"/>
      <c r="M1125" s="1581"/>
      <c r="N1125" s="1581"/>
      <c r="O1125" s="1581"/>
    </row>
    <row r="1126" spans="1:15" s="1581" customFormat="1">
      <c r="C1126" s="1595">
        <v>204</v>
      </c>
      <c r="D1126" t="str">
        <f>VLOOKUP($C1126,param!$A$4:$B$270,2)</f>
        <v>Innovation Strategy</v>
      </c>
      <c r="E1126" s="615">
        <f>SUM(cap!E$548:E$551,cap!E$556)/2</f>
        <v>1</v>
      </c>
      <c r="F1126" s="615">
        <f>SUM(cap!F$548:F$551,cap!F$556)/2</f>
        <v>1</v>
      </c>
      <c r="G1126" s="615">
        <f>SUM(cap!G$548:G$551,cap!G$556)/2</f>
        <v>1</v>
      </c>
      <c r="H1126" s="615">
        <f>SUM(cap!H$548:H$551,cap!H$556)/2</f>
        <v>1</v>
      </c>
      <c r="I1126" s="615">
        <f>SUM(cap!I$548:I$551,cap!I$556)/2</f>
        <v>1</v>
      </c>
    </row>
    <row r="1127" spans="1:15">
      <c r="K1127" s="1577"/>
      <c r="L1127" s="1581"/>
      <c r="M1127" s="1581"/>
      <c r="N1127" s="1581"/>
      <c r="O1127" s="1581"/>
    </row>
    <row r="1128" spans="1:15">
      <c r="A1128" s="2" t="s">
        <v>3282</v>
      </c>
    </row>
    <row r="1129" spans="1:15">
      <c r="C1129" s="433"/>
      <c r="E1129" s="615"/>
      <c r="F1129" s="615"/>
      <c r="G1129" s="615"/>
      <c r="H1129" s="615"/>
      <c r="I1129" s="615"/>
    </row>
    <row r="1130" spans="1:15">
      <c r="C1130" s="433"/>
      <c r="E1130" s="615"/>
      <c r="F1130" s="615"/>
      <c r="G1130" s="615"/>
      <c r="H1130" s="615"/>
      <c r="I1130" s="615"/>
    </row>
    <row r="1131" spans="1:15">
      <c r="C1131" s="433"/>
      <c r="E1131" s="615"/>
      <c r="F1131" s="615"/>
      <c r="G1131" s="615"/>
      <c r="H1131" s="615"/>
      <c r="I1131" s="615"/>
    </row>
  </sheetData>
  <autoFilter ref="B2:I1126"/>
  <mergeCells count="4">
    <mergeCell ref="S210:S231"/>
    <mergeCell ref="R319:T319"/>
    <mergeCell ref="S233:S258"/>
    <mergeCell ref="S260:S290"/>
  </mergeCells>
  <phoneticPr fontId="0" type="noConversion"/>
  <pageMargins left="0.5" right="0.5" top="0.5" bottom="0.5" header="0.5" footer="0.5"/>
  <pageSetup scale="50" fitToHeight="0" orientation="portrait" horizontalDpi="300" verticalDpi="300" r:id="rId1"/>
  <headerFooter alignWithMargins="0"/>
  <ignoredErrors>
    <ignoredError sqref="E159:I159" formula="1"/>
  </ignoredError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">
    <tabColor indexed="14"/>
  </sheetPr>
  <dimension ref="A1:AD260"/>
  <sheetViews>
    <sheetView workbookViewId="0">
      <pane xSplit="4" ySplit="2" topLeftCell="E197" activePane="bottomRight" state="frozen"/>
      <selection activeCell="D82" sqref="D82"/>
      <selection pane="topRight" activeCell="D82" sqref="D82"/>
      <selection pane="bottomLeft" activeCell="D82" sqref="D82"/>
      <selection pane="bottomRight" activeCell="E229" sqref="E229"/>
    </sheetView>
  </sheetViews>
  <sheetFormatPr defaultRowHeight="11.25"/>
  <cols>
    <col min="1" max="1" width="7.1640625" style="573" customWidth="1"/>
    <col min="2" max="2" width="51.33203125" customWidth="1"/>
    <col min="3" max="3" width="6" customWidth="1"/>
    <col min="4" max="4" width="14.6640625" customWidth="1"/>
    <col min="5" max="9" width="14.33203125" customWidth="1"/>
    <col min="10" max="10" width="31.1640625" customWidth="1"/>
    <col min="11" max="11" width="9.83203125" customWidth="1"/>
    <col min="12" max="12" width="16.5" customWidth="1"/>
    <col min="13" max="13" width="8.5" customWidth="1"/>
    <col min="14" max="18" width="10.83203125" customWidth="1"/>
    <col min="19" max="19" width="7.33203125" customWidth="1"/>
    <col min="25" max="25" width="18.83203125" customWidth="1"/>
    <col min="26" max="30" width="13.1640625" customWidth="1"/>
  </cols>
  <sheetData>
    <row r="1" spans="1:30" s="145" customFormat="1" ht="15.75">
      <c r="A1" s="574" t="s">
        <v>3123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  <c r="M1" s="147" t="s">
        <v>2977</v>
      </c>
      <c r="N1" s="143" t="s">
        <v>1834</v>
      </c>
      <c r="O1" s="143" t="s">
        <v>1835</v>
      </c>
      <c r="P1" s="143" t="s">
        <v>1836</v>
      </c>
      <c r="Q1" s="143" t="s">
        <v>1837</v>
      </c>
      <c r="R1" s="143" t="s">
        <v>1838</v>
      </c>
      <c r="S1" s="147" t="s">
        <v>2977</v>
      </c>
      <c r="T1" s="143" t="s">
        <v>1834</v>
      </c>
      <c r="U1" s="143" t="s">
        <v>1835</v>
      </c>
      <c r="V1" s="143" t="s">
        <v>1836</v>
      </c>
      <c r="W1" s="143" t="s">
        <v>1837</v>
      </c>
      <c r="X1" s="143" t="s">
        <v>1838</v>
      </c>
      <c r="Y1" s="143" t="s">
        <v>2978</v>
      </c>
      <c r="Z1" s="143" t="s">
        <v>1834</v>
      </c>
      <c r="AA1" s="143" t="s">
        <v>1835</v>
      </c>
      <c r="AB1" s="143" t="s">
        <v>1836</v>
      </c>
      <c r="AC1" s="143" t="s">
        <v>1837</v>
      </c>
      <c r="AD1" s="143" t="s">
        <v>1838</v>
      </c>
    </row>
    <row r="2" spans="1:30">
      <c r="B2" t="s">
        <v>647</v>
      </c>
      <c r="M2" s="119"/>
      <c r="N2" s="119" t="s">
        <v>263</v>
      </c>
      <c r="O2" s="119" t="s">
        <v>263</v>
      </c>
      <c r="P2" s="119" t="s">
        <v>263</v>
      </c>
      <c r="Q2" s="119" t="s">
        <v>263</v>
      </c>
      <c r="R2" s="119" t="s">
        <v>263</v>
      </c>
      <c r="S2" s="119"/>
      <c r="T2" s="119" t="s">
        <v>264</v>
      </c>
      <c r="U2" s="119" t="s">
        <v>264</v>
      </c>
      <c r="V2" s="119" t="s">
        <v>264</v>
      </c>
      <c r="W2" s="119" t="s">
        <v>264</v>
      </c>
      <c r="X2" s="119" t="s">
        <v>264</v>
      </c>
      <c r="Z2" t="s">
        <v>265</v>
      </c>
      <c r="AA2" t="s">
        <v>265</v>
      </c>
      <c r="AB2" t="s">
        <v>265</v>
      </c>
      <c r="AC2" t="s">
        <v>265</v>
      </c>
      <c r="AD2" t="s">
        <v>265</v>
      </c>
    </row>
    <row r="3" spans="1:30">
      <c r="A3" s="575" t="s">
        <v>1748</v>
      </c>
      <c r="B3" s="2" t="s">
        <v>1484</v>
      </c>
      <c r="C3" s="2" t="s">
        <v>2976</v>
      </c>
      <c r="D3" s="2"/>
      <c r="K3" s="130"/>
      <c r="L3" s="130"/>
    </row>
    <row r="4" spans="1:30">
      <c r="A4" s="573">
        <v>1</v>
      </c>
      <c r="B4" s="2" t="str">
        <f>DataNameProd1 &amp; " Paramaters"</f>
        <v>CSD Paramaters</v>
      </c>
      <c r="D4" s="130" t="s">
        <v>262</v>
      </c>
      <c r="E4" s="2" t="s">
        <v>3123</v>
      </c>
      <c r="K4" s="130"/>
      <c r="L4" s="130"/>
      <c r="N4" s="99"/>
      <c r="O4" s="99"/>
      <c r="P4" s="99"/>
      <c r="Q4" s="99"/>
      <c r="R4" s="99"/>
      <c r="T4" s="99"/>
      <c r="U4" s="99"/>
      <c r="V4" s="99"/>
      <c r="W4" s="99"/>
      <c r="X4" s="99"/>
      <c r="Z4">
        <f>SUMIF(adj!$C$2:$C$1127,$A4,adj!E$2:E$1127)</f>
        <v>0</v>
      </c>
      <c r="AA4">
        <f>SUMIF(adj!$C$2:$C$1127,$A4,adj!F$2:F$1127)</f>
        <v>0</v>
      </c>
      <c r="AB4">
        <f>SUMIF(adj!$C$2:$C$1127,$A4,adj!G$2:G$1127)</f>
        <v>0</v>
      </c>
      <c r="AC4">
        <f>SUMIF(adj!$C$2:$C$1127,$A4,adj!H$2:H$1127)</f>
        <v>0</v>
      </c>
      <c r="AD4">
        <f>SUMIF(adj!$C$2:$C$1127,$A4,adj!I$2:I$1127)</f>
        <v>0</v>
      </c>
    </row>
    <row r="5" spans="1:30">
      <c r="A5" s="573">
        <v>2</v>
      </c>
      <c r="B5" t="str">
        <f>DataNameProd1 &amp; " Cycle Time"</f>
        <v>CSD Cycle Time</v>
      </c>
      <c r="C5" t="s">
        <v>1483</v>
      </c>
      <c r="D5">
        <v>7.4999999999999997E-2</v>
      </c>
      <c r="E5" s="397">
        <f t="shared" ref="E5:I6" si="0">$D5*(1+T5+Z5*($C5="R"))+N5+Z5*($C5="A")</f>
        <v>8.4459090450899998E-2</v>
      </c>
      <c r="F5" s="397">
        <f t="shared" si="0"/>
        <v>8.4459090450899998E-2</v>
      </c>
      <c r="G5" s="397">
        <f t="shared" si="0"/>
        <v>8.4459090450899998E-2</v>
      </c>
      <c r="H5" s="397">
        <f t="shared" si="0"/>
        <v>8.4459090450899998E-2</v>
      </c>
      <c r="I5" s="397">
        <f t="shared" si="0"/>
        <v>8.4459090450899998E-2</v>
      </c>
      <c r="J5" t="s">
        <v>1283</v>
      </c>
      <c r="L5" s="10"/>
      <c r="N5" s="99"/>
      <c r="O5" s="99"/>
      <c r="P5" s="99"/>
      <c r="Q5" s="99"/>
      <c r="R5" s="99"/>
      <c r="T5" s="99"/>
      <c r="U5" s="99"/>
      <c r="V5" s="99"/>
      <c r="W5" s="99"/>
      <c r="X5" s="99"/>
      <c r="Z5">
        <f>SUMIF(adj!$C$2:$C$1127,$A5,adj!E$2:E$1127)</f>
        <v>0.126121206012</v>
      </c>
      <c r="AA5">
        <f>SUMIF(adj!$C$2:$C$1127,$A5,adj!F$2:F$1127)</f>
        <v>0.126121206012</v>
      </c>
      <c r="AB5">
        <f>SUMIF(adj!$C$2:$C$1127,$A5,adj!G$2:G$1127)</f>
        <v>0.126121206012</v>
      </c>
      <c r="AC5">
        <f>SUMIF(adj!$C$2:$C$1127,$A5,adj!H$2:H$1127)</f>
        <v>0.126121206012</v>
      </c>
      <c r="AD5">
        <f>SUMIF(adj!$C$2:$C$1127,$A5,adj!I$2:I$1127)</f>
        <v>0.126121206012</v>
      </c>
    </row>
    <row r="6" spans="1:30" s="1422" customFormat="1" ht="10.5" customHeight="1">
      <c r="A6" s="1421">
        <v>3</v>
      </c>
      <c r="B6" s="1422" t="str">
        <f>DataNameProd1 &amp; " Royalty Cost Per Unit"</f>
        <v>CSD Royalty Cost Per Unit</v>
      </c>
      <c r="C6" s="1422" t="s">
        <v>1483</v>
      </c>
      <c r="D6" s="1423">
        <v>22</v>
      </c>
      <c r="E6" s="1422">
        <f t="shared" si="0"/>
        <v>22</v>
      </c>
      <c r="F6" s="1422">
        <f t="shared" si="0"/>
        <v>22</v>
      </c>
      <c r="G6" s="1422">
        <f t="shared" si="0"/>
        <v>22</v>
      </c>
      <c r="H6" s="1422">
        <f t="shared" si="0"/>
        <v>22</v>
      </c>
      <c r="I6" s="1422">
        <f t="shared" si="0"/>
        <v>22</v>
      </c>
      <c r="J6" s="1422" t="s">
        <v>486</v>
      </c>
      <c r="L6" s="1424"/>
      <c r="N6" s="1425"/>
      <c r="O6" s="1425"/>
      <c r="P6" s="1425"/>
      <c r="Q6" s="1425"/>
      <c r="R6" s="1425"/>
      <c r="T6" s="1425"/>
      <c r="U6" s="1425"/>
      <c r="V6" s="1425"/>
      <c r="W6" s="1425"/>
      <c r="X6" s="1425"/>
      <c r="Z6" s="1422">
        <f>SUMIF(adj!$C$2:$C$1127,$A6,adj!E$2:E$1127)</f>
        <v>0</v>
      </c>
      <c r="AA6" s="1422">
        <f>SUMIF(adj!$C$2:$C$1127,$A6,adj!F$2:F$1127)</f>
        <v>0</v>
      </c>
      <c r="AB6" s="1422">
        <f>SUMIF(adj!$C$2:$C$1127,$A6,adj!G$2:G$1127)</f>
        <v>0</v>
      </c>
      <c r="AC6" s="1422">
        <f>SUMIF(adj!$C$2:$C$1127,$A6,adj!H$2:H$1127)</f>
        <v>0</v>
      </c>
      <c r="AD6" s="1422">
        <f>SUMIF(adj!$C$2:$C$1127,$A6,adj!I$2:I$1127)</f>
        <v>0</v>
      </c>
    </row>
    <row r="7" spans="1:30" s="1422" customFormat="1" ht="10.5" customHeight="1">
      <c r="A7" s="1421">
        <v>4</v>
      </c>
      <c r="B7" s="1422" t="str">
        <f>DataNameProd1 &amp; " Minimum Family Brand"</f>
        <v>CSD Minimum Family Brand</v>
      </c>
      <c r="C7" s="1422" t="s">
        <v>1483</v>
      </c>
      <c r="D7" s="1426">
        <v>0.5</v>
      </c>
      <c r="E7" s="1422">
        <f t="shared" ref="E7:I10" si="1">$D7*(1+T7+Z7*($C7="R"))+N7+Z7*($C7="A")</f>
        <v>0.5</v>
      </c>
      <c r="F7" s="1422">
        <f t="shared" si="1"/>
        <v>0.5</v>
      </c>
      <c r="G7" s="1422">
        <f t="shared" si="1"/>
        <v>0.5</v>
      </c>
      <c r="H7" s="1422">
        <f t="shared" si="1"/>
        <v>0.5</v>
      </c>
      <c r="I7" s="1422">
        <f t="shared" si="1"/>
        <v>0.5</v>
      </c>
      <c r="J7" s="1422" t="s">
        <v>487</v>
      </c>
      <c r="L7" s="1424"/>
      <c r="N7" s="1425"/>
      <c r="O7" s="1425"/>
      <c r="P7" s="1425"/>
      <c r="Q7" s="1425"/>
      <c r="R7" s="1425"/>
      <c r="T7" s="1425"/>
      <c r="U7" s="1425"/>
      <c r="V7" s="1425"/>
      <c r="W7" s="1425"/>
      <c r="X7" s="1425"/>
      <c r="Z7" s="1422">
        <f>SUMIF(adj!$C$2:$C$1127,$A7,adj!E$2:E$1127)</f>
        <v>0</v>
      </c>
      <c r="AA7" s="1422">
        <f>SUMIF(adj!$C$2:$C$1127,$A7,adj!F$2:F$1127)</f>
        <v>0</v>
      </c>
      <c r="AB7" s="1422">
        <f>SUMIF(adj!$C$2:$C$1127,$A7,adj!G$2:G$1127)</f>
        <v>0</v>
      </c>
      <c r="AC7" s="1422">
        <f>SUMIF(adj!$C$2:$C$1127,$A7,adj!H$2:H$1127)</f>
        <v>0</v>
      </c>
      <c r="AD7" s="1422">
        <f>SUMIF(adj!$C$2:$C$1127,$A7,adj!I$2:I$1127)</f>
        <v>0</v>
      </c>
    </row>
    <row r="8" spans="1:30" s="33" customFormat="1">
      <c r="A8" s="576">
        <v>5</v>
      </c>
      <c r="B8" s="33" t="str">
        <f>DataNameProd1 &amp; " Region A Marketing Spend Effectiveness"</f>
        <v>CSD Region A Marketing Spend Effectiveness</v>
      </c>
      <c r="C8" s="33" t="s">
        <v>1483</v>
      </c>
      <c r="D8" s="518">
        <v>1</v>
      </c>
      <c r="E8" s="462">
        <f t="shared" si="1"/>
        <v>1</v>
      </c>
      <c r="F8" s="462">
        <f t="shared" si="1"/>
        <v>1</v>
      </c>
      <c r="G8" s="462">
        <f t="shared" si="1"/>
        <v>1</v>
      </c>
      <c r="H8" s="462">
        <f t="shared" si="1"/>
        <v>1</v>
      </c>
      <c r="I8" s="462">
        <f t="shared" si="1"/>
        <v>1</v>
      </c>
      <c r="J8" s="33" t="s">
        <v>1039</v>
      </c>
      <c r="L8" s="142"/>
      <c r="N8" s="99"/>
      <c r="O8" s="99"/>
      <c r="P8" s="99"/>
      <c r="Q8" s="99"/>
      <c r="R8" s="99"/>
      <c r="S8"/>
      <c r="T8" s="99"/>
      <c r="U8" s="99"/>
      <c r="V8" s="99"/>
      <c r="W8" s="99"/>
      <c r="X8" s="99"/>
      <c r="Y8"/>
      <c r="Z8">
        <f>SUMIF(adj!$C$2:$C$1127,$A8,adj!E$2:E$1127)</f>
        <v>0</v>
      </c>
      <c r="AA8">
        <f>SUMIF(adj!$C$2:$C$1127,$A8,adj!F$2:F$1127)</f>
        <v>0</v>
      </c>
      <c r="AB8">
        <f>SUMIF(adj!$C$2:$C$1127,$A8,adj!G$2:G$1127)</f>
        <v>0</v>
      </c>
      <c r="AC8">
        <f>SUMIF(adj!$C$2:$C$1127,$A8,adj!H$2:H$1127)</f>
        <v>0</v>
      </c>
      <c r="AD8">
        <f>SUMIF(adj!$C$2:$C$1127,$A8,adj!I$2:I$1127)</f>
        <v>0</v>
      </c>
    </row>
    <row r="9" spans="1:30" s="33" customFormat="1">
      <c r="A9" s="576">
        <v>5.0999999999999996</v>
      </c>
      <c r="B9" s="33" t="str">
        <f>DataNameProd1 &amp; " Region B Marketing Spend Effectiveness"</f>
        <v>CSD Region B Marketing Spend Effectiveness</v>
      </c>
      <c r="C9" s="33" t="s">
        <v>1483</v>
      </c>
      <c r="D9" s="518">
        <v>1</v>
      </c>
      <c r="E9" s="462">
        <f>$D9*(1+T9+Z9*($C9="R"))+N9+Z9*($C9="A")</f>
        <v>1</v>
      </c>
      <c r="F9" s="462">
        <f>$D9*(1+U9+AA9*($C9="R"))+O9+AA9*($C9="A")</f>
        <v>1</v>
      </c>
      <c r="G9" s="462">
        <f>$D9*(1+V9+AB9*($C9="R"))+P9+AB9*($C9="A")</f>
        <v>1</v>
      </c>
      <c r="H9" s="462">
        <f>$D9*(1+W9+AC9*($C9="R"))+Q9+AC9*($C9="A")</f>
        <v>1</v>
      </c>
      <c r="I9" s="462">
        <f>$D9*(1+X9+AD9*($C9="R"))+R9+AD9*($C9="A")</f>
        <v>1</v>
      </c>
      <c r="J9" s="33" t="s">
        <v>2558</v>
      </c>
      <c r="L9" s="142"/>
      <c r="N9" s="99"/>
      <c r="O9" s="99"/>
      <c r="P9" s="99"/>
      <c r="Q9" s="99"/>
      <c r="R9" s="99"/>
      <c r="S9"/>
      <c r="T9" s="99"/>
      <c r="U9" s="99"/>
      <c r="V9" s="99"/>
      <c r="W9" s="99"/>
      <c r="X9" s="99"/>
      <c r="Y9"/>
      <c r="Z9">
        <f>SUMIF(adj!$C$2:$C$1127,$A9,adj!E$2:E$1127)</f>
        <v>0</v>
      </c>
      <c r="AA9">
        <f>SUMIF(adj!$C$2:$C$1127,$A9,adj!F$2:F$1127)</f>
        <v>0</v>
      </c>
      <c r="AB9">
        <f>SUMIF(adj!$C$2:$C$1127,$A9,adj!G$2:G$1127)</f>
        <v>0</v>
      </c>
      <c r="AC9">
        <f>SUMIF(adj!$C$2:$C$1127,$A9,adj!H$2:H$1127)</f>
        <v>0</v>
      </c>
      <c r="AD9">
        <f>SUMIF(adj!$C$2:$C$1127,$A9,adj!I$2:I$1127)</f>
        <v>0</v>
      </c>
    </row>
    <row r="10" spans="1:30">
      <c r="A10" s="573">
        <v>6</v>
      </c>
      <c r="B10" t="str">
        <f>DataNameProd1 &amp; " % FG Retained Units"</f>
        <v>CSD % FG Retained Units</v>
      </c>
      <c r="C10" t="s">
        <v>3414</v>
      </c>
      <c r="D10">
        <v>0.4</v>
      </c>
      <c r="E10">
        <f t="shared" si="1"/>
        <v>0.4</v>
      </c>
      <c r="F10">
        <f t="shared" si="1"/>
        <v>0.4</v>
      </c>
      <c r="G10">
        <f t="shared" si="1"/>
        <v>0.4</v>
      </c>
      <c r="H10">
        <f t="shared" si="1"/>
        <v>0.4</v>
      </c>
      <c r="I10">
        <f t="shared" si="1"/>
        <v>0.4</v>
      </c>
      <c r="J10" t="s">
        <v>3533</v>
      </c>
      <c r="L10" s="10"/>
      <c r="N10" s="99"/>
      <c r="O10" s="99"/>
      <c r="P10" s="99"/>
      <c r="Q10" s="99"/>
      <c r="R10" s="99"/>
      <c r="T10" s="99"/>
      <c r="U10" s="99"/>
      <c r="V10" s="99"/>
      <c r="W10" s="99"/>
      <c r="X10" s="99"/>
      <c r="Z10">
        <f>SUMIF(adj!$C$2:$C$1127,$A10,adj!E$2:E$1127)</f>
        <v>0</v>
      </c>
      <c r="AA10">
        <f>SUMIF(adj!$C$2:$C$1127,$A10,adj!F$2:F$1127)</f>
        <v>0</v>
      </c>
      <c r="AB10">
        <f>SUMIF(adj!$C$2:$C$1127,$A10,adj!G$2:G$1127)</f>
        <v>0</v>
      </c>
      <c r="AC10">
        <f>SUMIF(adj!$C$2:$C$1127,$A10,adj!H$2:H$1127)</f>
        <v>0</v>
      </c>
      <c r="AD10">
        <f>SUMIF(adj!$C$2:$C$1127,$A10,adj!I$2:I$1127)</f>
        <v>0</v>
      </c>
    </row>
    <row r="11" spans="1:30">
      <c r="A11" s="573">
        <v>7</v>
      </c>
      <c r="B11" t="str">
        <f>DataNameProd1 &amp; " Material Cost Per Unit"</f>
        <v>CSD Material Cost Per Unit</v>
      </c>
      <c r="C11" t="s">
        <v>1483</v>
      </c>
      <c r="D11" s="397">
        <v>1.95</v>
      </c>
      <c r="E11" s="459">
        <f t="shared" ref="E11:E20" si="2">$D11*(1+T11+Z11*($C11="R"))+N11+Z11*($C11="A")</f>
        <v>2.3189045275850999</v>
      </c>
      <c r="F11" s="459">
        <f t="shared" ref="F11:F20" si="3">$D11*(1+U11+AA11*($C11="R"))+O11+AA11*($C11="A")</f>
        <v>2.3189045275850999</v>
      </c>
      <c r="G11" s="459">
        <f t="shared" ref="G11:G20" si="4">$D11*(1+V11+AB11*($C11="R"))+P11+AB11*($C11="A")</f>
        <v>2.3189045275850999</v>
      </c>
      <c r="H11" s="459">
        <f t="shared" ref="H11:H20" si="5">$D11*(1+W11+AC11*($C11="R"))+Q11+AC11*($C11="A")</f>
        <v>2.3189045275850999</v>
      </c>
      <c r="I11" s="459">
        <f t="shared" ref="I11:I20" si="6">$D11*(1+X11+AD11*($C11="R"))+R11+AD11*($C11="A")</f>
        <v>2.3189045275850999</v>
      </c>
      <c r="J11" t="s">
        <v>277</v>
      </c>
      <c r="L11" s="10"/>
      <c r="M11" s="18"/>
      <c r="N11" s="99"/>
      <c r="O11" s="99"/>
      <c r="P11" s="99"/>
      <c r="Q11" s="99"/>
      <c r="R11" s="99"/>
      <c r="S11" s="358" t="s">
        <v>1529</v>
      </c>
      <c r="T11" s="917"/>
      <c r="U11" s="99"/>
      <c r="V11" s="917"/>
      <c r="W11" s="99"/>
      <c r="X11" s="99"/>
      <c r="Z11">
        <f>SUMIF(adj!$C$2:$C$1127,$A11,adj!E$2:E$1127)</f>
        <v>0.18918180901799997</v>
      </c>
      <c r="AA11">
        <f>SUMIF(adj!$C$2:$C$1127,$A11,adj!F$2:F$1127)</f>
        <v>0.18918180901799997</v>
      </c>
      <c r="AB11">
        <f>SUMIF(adj!$C$2:$C$1127,$A11,adj!G$2:G$1127)</f>
        <v>0.18918180901799997</v>
      </c>
      <c r="AC11">
        <f>SUMIF(adj!$C$2:$C$1127,$A11,adj!H$2:H$1127)</f>
        <v>0.18918180901799997</v>
      </c>
      <c r="AD11">
        <f>SUMIF(adj!$C$2:$C$1127,$A11,adj!I$2:I$1127)</f>
        <v>0.18918180901799997</v>
      </c>
    </row>
    <row r="12" spans="1:30">
      <c r="A12" s="573">
        <v>7.1</v>
      </c>
      <c r="B12" t="str">
        <f>DataNameProd1 &amp; " Disposal Cost As % of Mat Cost"</f>
        <v>CSD Disposal Cost As % of Mat Cost</v>
      </c>
      <c r="C12" t="s">
        <v>1483</v>
      </c>
      <c r="D12" s="15">
        <v>1</v>
      </c>
      <c r="E12" s="15">
        <f t="shared" ref="E12:I13" si="7">$D12*(1+T12+Z12*($C12="R"))+N12+Z12*($C12="A")</f>
        <v>1</v>
      </c>
      <c r="F12" s="15">
        <f t="shared" si="7"/>
        <v>1</v>
      </c>
      <c r="G12" s="15">
        <f t="shared" si="7"/>
        <v>1</v>
      </c>
      <c r="H12" s="15">
        <f t="shared" si="7"/>
        <v>1</v>
      </c>
      <c r="I12" s="15">
        <f t="shared" si="7"/>
        <v>1</v>
      </c>
      <c r="J12" t="s">
        <v>2857</v>
      </c>
      <c r="L12" s="10"/>
      <c r="M12" s="18"/>
      <c r="N12" s="99"/>
      <c r="O12" s="99"/>
      <c r="P12" s="99"/>
      <c r="Q12" s="99"/>
      <c r="R12" s="99"/>
      <c r="S12" s="358"/>
      <c r="T12" s="917"/>
      <c r="U12" s="99"/>
      <c r="V12" s="917"/>
      <c r="W12" s="99"/>
      <c r="X12" s="99"/>
      <c r="Z12">
        <f>SUMIF(adj!$C$2:$C$1127,$A12,adj!E$2:E$1127)</f>
        <v>0</v>
      </c>
      <c r="AA12">
        <f>SUMIF(adj!$C$2:$C$1127,$A12,adj!F$2:F$1127)</f>
        <v>0</v>
      </c>
      <c r="AB12">
        <f>SUMIF(adj!$C$2:$C$1127,$A12,adj!G$2:G$1127)</f>
        <v>0</v>
      </c>
      <c r="AC12">
        <f>SUMIF(adj!$C$2:$C$1127,$A12,adj!H$2:H$1127)</f>
        <v>0</v>
      </c>
      <c r="AD12">
        <f>SUMIF(adj!$C$2:$C$1127,$A12,adj!I$2:I$1127)</f>
        <v>0</v>
      </c>
    </row>
    <row r="13" spans="1:30">
      <c r="A13" s="573">
        <v>7.2</v>
      </c>
      <c r="B13" t="str">
        <f>DataNameProd1 &amp; " Reg1 Disposal Cost As % of Mat Cost"</f>
        <v>CSD Reg1 Disposal Cost As % of Mat Cost</v>
      </c>
      <c r="C13" t="s">
        <v>1483</v>
      </c>
      <c r="D13" s="15">
        <v>0.5</v>
      </c>
      <c r="E13" s="15">
        <f t="shared" si="7"/>
        <v>0.5</v>
      </c>
      <c r="F13" s="15">
        <f t="shared" si="7"/>
        <v>0.5</v>
      </c>
      <c r="G13" s="15">
        <f t="shared" si="7"/>
        <v>0.5</v>
      </c>
      <c r="H13" s="15">
        <f t="shared" si="7"/>
        <v>0.5</v>
      </c>
      <c r="I13" s="15">
        <f t="shared" si="7"/>
        <v>0.5</v>
      </c>
      <c r="J13" t="s">
        <v>2858</v>
      </c>
      <c r="L13" s="10"/>
      <c r="M13" s="18"/>
      <c r="N13" s="99"/>
      <c r="O13" s="99"/>
      <c r="P13" s="99"/>
      <c r="Q13" s="99"/>
      <c r="R13" s="99"/>
      <c r="S13" s="358"/>
      <c r="T13" s="917"/>
      <c r="U13" s="99"/>
      <c r="V13" s="917"/>
      <c r="W13" s="99"/>
      <c r="X13" s="99"/>
      <c r="Z13">
        <f>SUMIF(adj!$C$2:$C$1127,$A13,adj!E$2:E$1127)</f>
        <v>0</v>
      </c>
      <c r="AA13">
        <f>SUMIF(adj!$C$2:$C$1127,$A13,adj!F$2:F$1127)</f>
        <v>0</v>
      </c>
      <c r="AB13">
        <f>SUMIF(adj!$C$2:$C$1127,$A13,adj!G$2:G$1127)</f>
        <v>0</v>
      </c>
      <c r="AC13">
        <f>SUMIF(adj!$C$2:$C$1127,$A13,adj!H$2:H$1127)</f>
        <v>0</v>
      </c>
      <c r="AD13">
        <f>SUMIF(adj!$C$2:$C$1127,$A13,adj!I$2:I$1127)</f>
        <v>0</v>
      </c>
    </row>
    <row r="14" spans="1:30">
      <c r="A14" s="573">
        <v>8</v>
      </c>
      <c r="B14" t="str">
        <f>DataNameProd1 &amp; " Materials Inventory As % of Production"</f>
        <v>CSD Materials Inventory As % of Production</v>
      </c>
      <c r="C14" t="s">
        <v>1483</v>
      </c>
      <c r="D14" s="12">
        <v>0.1</v>
      </c>
      <c r="E14" s="12">
        <f t="shared" si="2"/>
        <v>0.1063060603006</v>
      </c>
      <c r="F14" s="12">
        <f t="shared" si="3"/>
        <v>0.1063060603006</v>
      </c>
      <c r="G14" s="12">
        <f t="shared" si="4"/>
        <v>0.1063060603006</v>
      </c>
      <c r="H14" s="12">
        <f t="shared" si="5"/>
        <v>0.1063060603006</v>
      </c>
      <c r="I14" s="12">
        <f t="shared" si="6"/>
        <v>0.1063060603006</v>
      </c>
      <c r="J14" t="s">
        <v>1285</v>
      </c>
      <c r="L14" s="10"/>
      <c r="N14" s="99"/>
      <c r="O14" s="99"/>
      <c r="P14" s="99"/>
      <c r="Q14" s="99"/>
      <c r="R14" s="99"/>
      <c r="T14" s="99"/>
      <c r="U14" s="99"/>
      <c r="V14" s="917"/>
      <c r="W14" s="99"/>
      <c r="X14" s="99"/>
      <c r="Z14">
        <f>SUMIF(adj!$C$2:$C$1127,$A14,adj!E$2:E$1127)</f>
        <v>6.3060603005999999E-2</v>
      </c>
      <c r="AA14">
        <f>SUMIF(adj!$C$2:$C$1127,$A14,adj!F$2:F$1127)</f>
        <v>6.3060603005999999E-2</v>
      </c>
      <c r="AB14">
        <f>SUMIF(adj!$C$2:$C$1127,$A14,adj!G$2:G$1127)</f>
        <v>6.3060603005999999E-2</v>
      </c>
      <c r="AC14">
        <f>SUMIF(adj!$C$2:$C$1127,$A14,adj!H$2:H$1127)</f>
        <v>6.3060603005999999E-2</v>
      </c>
      <c r="AD14">
        <f>SUMIF(adj!$C$2:$C$1127,$A14,adj!I$2:I$1127)</f>
        <v>6.3060603005999999E-2</v>
      </c>
    </row>
    <row r="15" spans="1:30">
      <c r="A15" s="573">
        <v>9</v>
      </c>
      <c r="B15" t="str">
        <f>DataNameProd1 &amp; " Labor Hours Req. Per Unit"</f>
        <v>CSD Labor Hours Req. Per Unit</v>
      </c>
      <c r="C15" t="s">
        <v>1483</v>
      </c>
      <c r="D15">
        <v>7.6999999999999999E-2</v>
      </c>
      <c r="E15" s="461">
        <f t="shared" si="2"/>
        <v>8.1855666431461999E-2</v>
      </c>
      <c r="F15" s="461">
        <f t="shared" si="3"/>
        <v>8.1855666431461999E-2</v>
      </c>
      <c r="G15" s="461">
        <f t="shared" si="4"/>
        <v>8.1855666431461999E-2</v>
      </c>
      <c r="H15" s="461">
        <f t="shared" si="5"/>
        <v>8.1855666431461999E-2</v>
      </c>
      <c r="I15" s="461">
        <f t="shared" si="6"/>
        <v>8.1855666431461999E-2</v>
      </c>
      <c r="J15" t="s">
        <v>3644</v>
      </c>
      <c r="L15" s="10"/>
      <c r="M15" s="18"/>
      <c r="N15" s="99"/>
      <c r="O15" s="99"/>
      <c r="P15" s="99"/>
      <c r="Q15" s="99"/>
      <c r="R15" s="99"/>
      <c r="T15" s="917"/>
      <c r="U15" s="99"/>
      <c r="V15" s="917"/>
      <c r="W15" s="99"/>
      <c r="X15" s="99"/>
      <c r="Z15">
        <f>SUMIF(adj!$C$2:$C$1127,$A15,adj!E$2:E$1127)</f>
        <v>6.3060603005999999E-2</v>
      </c>
      <c r="AA15">
        <f>SUMIF(adj!$C$2:$C$1127,$A15,adj!F$2:F$1127)</f>
        <v>6.3060603005999999E-2</v>
      </c>
      <c r="AB15">
        <f>SUMIF(adj!$C$2:$C$1127,$A15,adj!G$2:G$1127)</f>
        <v>6.3060603005999999E-2</v>
      </c>
      <c r="AC15">
        <f>SUMIF(adj!$C$2:$C$1127,$A15,adj!H$2:H$1127)</f>
        <v>6.3060603005999999E-2</v>
      </c>
      <c r="AD15">
        <f>SUMIF(adj!$C$2:$C$1127,$A15,adj!I$2:I$1127)</f>
        <v>6.3060603005999999E-2</v>
      </c>
    </row>
    <row r="16" spans="1:30">
      <c r="A16" s="573">
        <v>10</v>
      </c>
      <c r="B16" t="str">
        <f>DataNameProd1 &amp; " Machinery Hours Req. Per Unit"</f>
        <v>CSD Machinery Hours Req. Per Unit</v>
      </c>
      <c r="C16" t="s">
        <v>1483</v>
      </c>
      <c r="D16">
        <v>1E-3</v>
      </c>
      <c r="E16" s="1370">
        <f t="shared" si="2"/>
        <v>1.063060603006E-3</v>
      </c>
      <c r="F16" s="1370">
        <f t="shared" si="3"/>
        <v>1.063060603006E-3</v>
      </c>
      <c r="G16" s="1370">
        <f t="shared" si="4"/>
        <v>1.063060603006E-3</v>
      </c>
      <c r="H16" s="1370">
        <f t="shared" si="5"/>
        <v>1.063060603006E-3</v>
      </c>
      <c r="I16" s="1370">
        <f t="shared" si="6"/>
        <v>1.063060603006E-3</v>
      </c>
      <c r="J16" t="s">
        <v>1560</v>
      </c>
      <c r="K16" s="18"/>
      <c r="L16" s="10"/>
      <c r="M16" s="18"/>
      <c r="N16" s="99"/>
      <c r="O16" s="99"/>
      <c r="P16" s="99"/>
      <c r="Q16" s="99"/>
      <c r="R16" s="99"/>
      <c r="T16" s="917"/>
      <c r="U16" s="99"/>
      <c r="V16" s="99"/>
      <c r="W16" s="99"/>
      <c r="X16" s="99"/>
      <c r="Z16">
        <f>SUMIF(adj!$C$2:$C$1127,$A16,adj!E$2:E$1127)</f>
        <v>6.3060603005999999E-2</v>
      </c>
      <c r="AA16">
        <f>SUMIF(adj!$C$2:$C$1127,$A16,adj!F$2:F$1127)</f>
        <v>6.3060603005999999E-2</v>
      </c>
      <c r="AB16">
        <f>SUMIF(adj!$C$2:$C$1127,$A16,adj!G$2:G$1127)</f>
        <v>6.3060603005999999E-2</v>
      </c>
      <c r="AC16">
        <f>SUMIF(adj!$C$2:$C$1127,$A16,adj!H$2:H$1127)</f>
        <v>6.3060603005999999E-2</v>
      </c>
      <c r="AD16">
        <f>SUMIF(adj!$C$2:$C$1127,$A16,adj!I$2:I$1127)</f>
        <v>6.3060603005999999E-2</v>
      </c>
    </row>
    <row r="17" spans="1:30">
      <c r="A17" s="573">
        <v>11</v>
      </c>
      <c r="B17" t="str">
        <f>DataNameProd1 &amp; " Engineers Required"</f>
        <v>CSD Engineers Required</v>
      </c>
      <c r="C17" t="s">
        <v>1483</v>
      </c>
      <c r="D17">
        <v>100</v>
      </c>
      <c r="E17">
        <f t="shared" si="2"/>
        <v>100</v>
      </c>
      <c r="F17">
        <f t="shared" si="3"/>
        <v>100</v>
      </c>
      <c r="G17">
        <f t="shared" si="4"/>
        <v>100</v>
      </c>
      <c r="H17">
        <f t="shared" si="5"/>
        <v>100</v>
      </c>
      <c r="I17">
        <f t="shared" si="6"/>
        <v>100</v>
      </c>
      <c r="J17" t="s">
        <v>315</v>
      </c>
      <c r="L17" s="10"/>
      <c r="N17" s="99"/>
      <c r="O17" s="99"/>
      <c r="P17" s="99"/>
      <c r="Q17" s="99"/>
      <c r="R17" s="99"/>
      <c r="T17" s="99"/>
      <c r="U17" s="99"/>
      <c r="V17" s="99"/>
      <c r="W17" s="99"/>
      <c r="X17" s="99"/>
      <c r="Z17">
        <f>SUMIF(adj!$C$2:$C$1127,$A17,adj!E$2:E$1127)</f>
        <v>0</v>
      </c>
      <c r="AA17">
        <f>SUMIF(adj!$C$2:$C$1127,$A17,adj!F$2:F$1127)</f>
        <v>0</v>
      </c>
      <c r="AB17">
        <f>SUMIF(adj!$C$2:$C$1127,$A17,adj!G$2:G$1127)</f>
        <v>0</v>
      </c>
      <c r="AC17">
        <f>SUMIF(adj!$C$2:$C$1127,$A17,adj!H$2:H$1127)</f>
        <v>0</v>
      </c>
      <c r="AD17">
        <f>SUMIF(adj!$C$2:$C$1127,$A17,adj!I$2:I$1127)</f>
        <v>0</v>
      </c>
    </row>
    <row r="18" spans="1:30">
      <c r="A18" s="573">
        <v>12</v>
      </c>
      <c r="B18" t="str">
        <f>DataNameProd1 &amp; " Inventory Handling % of Closing Value"</f>
        <v>CSD Inventory Handling % of Closing Value</v>
      </c>
      <c r="C18" t="s">
        <v>1483</v>
      </c>
      <c r="D18" s="12">
        <v>0.15</v>
      </c>
      <c r="E18" s="12">
        <f t="shared" si="2"/>
        <v>0.15</v>
      </c>
      <c r="F18" s="12">
        <f t="shared" si="3"/>
        <v>0.15</v>
      </c>
      <c r="G18" s="12">
        <f t="shared" si="4"/>
        <v>0.15</v>
      </c>
      <c r="H18" s="12">
        <f t="shared" si="5"/>
        <v>0.15</v>
      </c>
      <c r="I18" s="12">
        <f t="shared" si="6"/>
        <v>0.15</v>
      </c>
      <c r="J18" t="s">
        <v>2739</v>
      </c>
      <c r="L18" s="10"/>
      <c r="N18" s="99"/>
      <c r="O18" s="99"/>
      <c r="P18" s="99"/>
      <c r="Q18" s="99"/>
      <c r="R18" s="99"/>
      <c r="T18" s="917"/>
      <c r="U18" s="99"/>
      <c r="V18" s="917"/>
      <c r="W18" s="99"/>
      <c r="X18" s="99"/>
      <c r="Z18">
        <f>SUMIF(adj!$C$2:$C$1127,$A18,adj!E$2:E$1127)</f>
        <v>0</v>
      </c>
      <c r="AA18">
        <f>SUMIF(adj!$C$2:$C$1127,$A18,adj!F$2:F$1127)</f>
        <v>0</v>
      </c>
      <c r="AB18">
        <f>SUMIF(adj!$C$2:$C$1127,$A18,adj!G$2:G$1127)</f>
        <v>0</v>
      </c>
      <c r="AC18">
        <f>SUMIF(adj!$C$2:$C$1127,$A18,adj!H$2:H$1127)</f>
        <v>0</v>
      </c>
      <c r="AD18">
        <f>SUMIF(adj!$C$2:$C$1127,$A18,adj!I$2:I$1127)</f>
        <v>0</v>
      </c>
    </row>
    <row r="19" spans="1:30">
      <c r="A19" s="573">
        <v>13</v>
      </c>
      <c r="B19" t="str">
        <f>DataNameProd1 &amp; " Distribution Costs for Reg. 1"</f>
        <v>CSD Distribution Costs for Reg. 1</v>
      </c>
      <c r="C19" t="s">
        <v>1483</v>
      </c>
      <c r="D19" s="431">
        <v>0.77</v>
      </c>
      <c r="E19" s="1427">
        <f t="shared" si="2"/>
        <v>0.84305082862924008</v>
      </c>
      <c r="F19" s="1427">
        <f t="shared" si="3"/>
        <v>0.84305082862924008</v>
      </c>
      <c r="G19" s="1427">
        <f t="shared" si="4"/>
        <v>0.84305082862924008</v>
      </c>
      <c r="H19" s="1427">
        <f t="shared" si="5"/>
        <v>0.84305082862924008</v>
      </c>
      <c r="I19" s="1427">
        <f t="shared" si="6"/>
        <v>0.84305082862924008</v>
      </c>
      <c r="J19" t="s">
        <v>490</v>
      </c>
      <c r="L19" s="10"/>
      <c r="M19" s="18"/>
      <c r="N19" s="99"/>
      <c r="O19" s="99"/>
      <c r="P19" s="99"/>
      <c r="Q19" s="99"/>
      <c r="R19" s="99"/>
      <c r="S19" s="358" t="s">
        <v>1529</v>
      </c>
      <c r="T19" s="917"/>
      <c r="U19" s="99"/>
      <c r="V19" s="99"/>
      <c r="W19" s="99"/>
      <c r="X19" s="99"/>
      <c r="Z19">
        <f>SUMIF(adj!$C$2:$C$1127,$A19,adj!E$2:E$1127)</f>
        <v>9.4871206011999998E-2</v>
      </c>
      <c r="AA19">
        <f>SUMIF(adj!$C$2:$C$1127,$A19,adj!F$2:F$1127)</f>
        <v>9.4871206011999998E-2</v>
      </c>
      <c r="AB19">
        <f>SUMIF(adj!$C$2:$C$1127,$A19,adj!G$2:G$1127)</f>
        <v>9.4871206011999998E-2</v>
      </c>
      <c r="AC19">
        <f>SUMIF(adj!$C$2:$C$1127,$A19,adj!H$2:H$1127)</f>
        <v>9.4871206011999998E-2</v>
      </c>
      <c r="AD19">
        <f>SUMIF(adj!$C$2:$C$1127,$A19,adj!I$2:I$1127)</f>
        <v>9.4871206011999998E-2</v>
      </c>
    </row>
    <row r="20" spans="1:30">
      <c r="A20" s="573">
        <v>14</v>
      </c>
      <c r="B20" t="str">
        <f>DataNameProd1 &amp; " Distribution Costs for Reg. 2"</f>
        <v>CSD Distribution Costs for Reg. 2</v>
      </c>
      <c r="C20" t="s">
        <v>1483</v>
      </c>
      <c r="D20" s="431">
        <v>0.84117647058823997</v>
      </c>
      <c r="E20" s="1427">
        <f t="shared" si="2"/>
        <v>0.94617817917480518</v>
      </c>
      <c r="F20" s="1427">
        <f t="shared" si="3"/>
        <v>0.94617817917480518</v>
      </c>
      <c r="G20" s="1427">
        <f t="shared" si="4"/>
        <v>0.94617817917480518</v>
      </c>
      <c r="H20" s="1427">
        <f t="shared" si="5"/>
        <v>0.94617817917480518</v>
      </c>
      <c r="I20" s="1427">
        <f t="shared" si="6"/>
        <v>0.94617817917480518</v>
      </c>
      <c r="J20" t="s">
        <v>1642</v>
      </c>
      <c r="L20" s="10"/>
      <c r="M20" s="18"/>
      <c r="N20" s="99"/>
      <c r="O20" s="99"/>
      <c r="P20" s="99"/>
      <c r="Q20" s="99"/>
      <c r="R20" s="99"/>
      <c r="S20" s="358" t="s">
        <v>1529</v>
      </c>
      <c r="T20" s="917"/>
      <c r="U20" s="99"/>
      <c r="V20" s="99"/>
      <c r="W20" s="99"/>
      <c r="X20" s="99"/>
      <c r="Z20">
        <f>SUMIF(adj!$C$2:$C$1127,$A20,adj!E$2:E$1127)</f>
        <v>0.12482720601199998</v>
      </c>
      <c r="AA20">
        <f>SUMIF(adj!$C$2:$C$1127,$A20,adj!F$2:F$1127)</f>
        <v>0.12482720601199998</v>
      </c>
      <c r="AB20">
        <f>SUMIF(adj!$C$2:$C$1127,$A20,adj!G$2:G$1127)</f>
        <v>0.12482720601199998</v>
      </c>
      <c r="AC20">
        <f>SUMIF(adj!$C$2:$C$1127,$A20,adj!H$2:H$1127)</f>
        <v>0.12482720601199998</v>
      </c>
      <c r="AD20">
        <f>SUMIF(adj!$C$2:$C$1127,$A20,adj!I$2:I$1127)</f>
        <v>0.12482720601199998</v>
      </c>
    </row>
    <row r="21" spans="1:30">
      <c r="A21" s="573">
        <v>15</v>
      </c>
      <c r="B21" s="33" t="str">
        <f>DataNameProd1 &amp; " Reg. 1 Sales Force Hrs. Required"</f>
        <v>CSD Reg. 1 Sales Force Hrs. Required</v>
      </c>
      <c r="C21" s="33" t="s">
        <v>1483</v>
      </c>
      <c r="D21" s="1420">
        <v>4.4999999999999997E-3</v>
      </c>
      <c r="E21" s="1428">
        <f t="shared" ref="E21:I22" si="8">$D21*(1+T21+Z21*($C21="R"))+N21+Z21*($C21="A")</f>
        <v>4.4999999999999997E-3</v>
      </c>
      <c r="F21" s="1428">
        <f t="shared" si="8"/>
        <v>4.4999999999999997E-3</v>
      </c>
      <c r="G21" s="1428">
        <f t="shared" si="8"/>
        <v>4.4999999999999997E-3</v>
      </c>
      <c r="H21" s="1428">
        <f t="shared" si="8"/>
        <v>4.4999999999999997E-3</v>
      </c>
      <c r="I21" s="1428">
        <f t="shared" si="8"/>
        <v>4.4999999999999997E-3</v>
      </c>
      <c r="J21" s="33" t="s">
        <v>76</v>
      </c>
      <c r="L21" s="10"/>
      <c r="N21" s="99"/>
      <c r="O21" s="99"/>
      <c r="P21" s="99"/>
      <c r="Q21" s="99"/>
      <c r="R21" s="99"/>
      <c r="T21" s="99"/>
      <c r="U21" s="99"/>
      <c r="V21" s="99"/>
      <c r="W21" s="99"/>
      <c r="X21" s="99"/>
      <c r="Z21">
        <f>SUMIF(adj!$C$2:$C$1127,$A21,adj!E$2:E$1127)</f>
        <v>0</v>
      </c>
      <c r="AA21">
        <f>SUMIF(adj!$C$2:$C$1127,$A21,adj!F$2:F$1127)</f>
        <v>0</v>
      </c>
      <c r="AB21">
        <f>SUMIF(adj!$C$2:$C$1127,$A21,adj!G$2:G$1127)</f>
        <v>0</v>
      </c>
      <c r="AC21">
        <f>SUMIF(adj!$C$2:$C$1127,$A21,adj!H$2:H$1127)</f>
        <v>0</v>
      </c>
      <c r="AD21">
        <f>SUMIF(adj!$C$2:$C$1127,$A21,adj!I$2:I$1127)</f>
        <v>0</v>
      </c>
    </row>
    <row r="22" spans="1:30">
      <c r="A22" s="573">
        <v>16</v>
      </c>
      <c r="B22" s="33" t="str">
        <f>DataNameProd1 &amp; " Reg. 2 Sales Force Hrs. Required"</f>
        <v>CSD Reg. 2 Sales Force Hrs. Required</v>
      </c>
      <c r="C22" s="33" t="s">
        <v>1483</v>
      </c>
      <c r="D22" s="1420">
        <v>5.0000000000000001E-3</v>
      </c>
      <c r="E22" s="1428">
        <f t="shared" si="8"/>
        <v>5.7956750000000001E-3</v>
      </c>
      <c r="F22" s="1428">
        <f t="shared" si="8"/>
        <v>5.7956750000000001E-3</v>
      </c>
      <c r="G22" s="1428">
        <f t="shared" si="8"/>
        <v>5.7956750000000001E-3</v>
      </c>
      <c r="H22" s="1428">
        <f t="shared" si="8"/>
        <v>5.7956750000000001E-3</v>
      </c>
      <c r="I22" s="1428">
        <f t="shared" si="8"/>
        <v>5.7956750000000001E-3</v>
      </c>
      <c r="J22" s="33" t="s">
        <v>316</v>
      </c>
      <c r="L22" s="10"/>
      <c r="N22" s="99"/>
      <c r="O22" s="99"/>
      <c r="P22" s="99"/>
      <c r="Q22" s="99"/>
      <c r="R22" s="99"/>
      <c r="T22" s="99"/>
      <c r="U22" s="99"/>
      <c r="V22" s="99"/>
      <c r="W22" s="99"/>
      <c r="X22" s="99"/>
      <c r="Z22">
        <f>SUMIF(adj!$C$2:$C$1127,$A22,adj!E$2:E$1127)</f>
        <v>0.15913500000000003</v>
      </c>
      <c r="AA22">
        <f>SUMIF(adj!$C$2:$C$1127,$A22,adj!F$2:F$1127)</f>
        <v>0.15913500000000003</v>
      </c>
      <c r="AB22">
        <f>SUMIF(adj!$C$2:$C$1127,$A22,adj!G$2:G$1127)</f>
        <v>0.15913500000000003</v>
      </c>
      <c r="AC22">
        <f>SUMIF(adj!$C$2:$C$1127,$A22,adj!H$2:H$1127)</f>
        <v>0.15913500000000003</v>
      </c>
      <c r="AD22">
        <f>SUMIF(adj!$C$2:$C$1127,$A22,adj!I$2:I$1127)</f>
        <v>0.15913500000000003</v>
      </c>
    </row>
    <row r="23" spans="1:30">
      <c r="A23" s="573">
        <v>17</v>
      </c>
      <c r="B23" t="str">
        <f>DataNameProd1 &amp; " Admin Costs"</f>
        <v>CSD Admin Costs</v>
      </c>
      <c r="C23" t="s">
        <v>1483</v>
      </c>
      <c r="D23" s="11">
        <v>100000000</v>
      </c>
      <c r="E23" s="11">
        <f>$D23*(1+T23+Z23*($C23="R"))+N23+Z23*($C23="A")</f>
        <v>120232720.6012</v>
      </c>
      <c r="F23" s="11">
        <f>$D23*(1+U23+AA23*($C23="R"))+O23+AA23*($C23="A")</f>
        <v>120232720.6012</v>
      </c>
      <c r="G23" s="11">
        <f>$D23*(1+V23+AB23*($C23="R"))+P23+AB23*($C23="A")</f>
        <v>120232720.6012</v>
      </c>
      <c r="H23" s="11">
        <f>$D23*(1+W23+AC23*($C23="R"))+Q23+AC23*($C23="A")</f>
        <v>120232720.6012</v>
      </c>
      <c r="I23" s="11">
        <f>$D23*(1+X23+AD23*($C23="R"))+R23+AD23*($C23="A")</f>
        <v>120232720.6012</v>
      </c>
      <c r="J23" t="s">
        <v>1472</v>
      </c>
      <c r="L23" s="10"/>
      <c r="N23" s="99"/>
      <c r="O23" s="99"/>
      <c r="P23" s="99"/>
      <c r="Q23" s="99"/>
      <c r="R23" s="99"/>
      <c r="T23" s="99"/>
      <c r="U23" s="99"/>
      <c r="V23" s="99"/>
      <c r="W23" s="99"/>
      <c r="X23" s="99"/>
      <c r="Z23">
        <f>SUMIF(adj!$C$2:$C$1127,$A23,adj!E$2:E$1127)</f>
        <v>0.20232720601199999</v>
      </c>
      <c r="AA23">
        <f>SUMIF(adj!$C$2:$C$1127,$A23,adj!F$2:F$1127)</f>
        <v>0.20232720601199999</v>
      </c>
      <c r="AB23">
        <f>SUMIF(adj!$C$2:$C$1127,$A23,adj!G$2:G$1127)</f>
        <v>0.20232720601199999</v>
      </c>
      <c r="AC23">
        <f>SUMIF(adj!$C$2:$C$1127,$A23,adj!H$2:H$1127)</f>
        <v>0.20232720601199999</v>
      </c>
      <c r="AD23">
        <f>SUMIF(adj!$C$2:$C$1127,$A23,adj!I$2:I$1127)</f>
        <v>0.20232720601199999</v>
      </c>
    </row>
    <row r="24" spans="1:30">
      <c r="A24" s="573">
        <v>18</v>
      </c>
      <c r="B24" t="str">
        <f>DataNameProd1 &amp; " R&amp;D per New Family Brand"</f>
        <v>CSD R&amp;D per New Family Brand</v>
      </c>
      <c r="C24" t="s">
        <v>1483</v>
      </c>
      <c r="D24" s="11">
        <v>6000000</v>
      </c>
      <c r="E24" s="11">
        <f t="shared" ref="E24:I26" si="9">$D24*(1+T24+Z24*($C24="R"))+N24+Z24*($C24="A")</f>
        <v>6000000</v>
      </c>
      <c r="F24" s="11">
        <f t="shared" si="9"/>
        <v>6000000</v>
      </c>
      <c r="G24" s="11">
        <f t="shared" si="9"/>
        <v>6000000</v>
      </c>
      <c r="H24" s="11">
        <f t="shared" si="9"/>
        <v>6000000</v>
      </c>
      <c r="I24" s="11">
        <f t="shared" si="9"/>
        <v>6000000</v>
      </c>
      <c r="J24" t="s">
        <v>440</v>
      </c>
      <c r="L24" s="10"/>
      <c r="N24" s="99"/>
      <c r="O24" s="99"/>
      <c r="P24" s="99"/>
      <c r="Q24" s="99"/>
      <c r="R24" s="99"/>
      <c r="T24" s="99"/>
      <c r="U24" s="99"/>
      <c r="V24" s="99"/>
      <c r="W24" s="99"/>
      <c r="X24" s="99"/>
      <c r="Z24">
        <f>SUMIF(adj!$C$2:$C$1127,$A24,adj!E$2:E$1127)</f>
        <v>0</v>
      </c>
      <c r="AA24">
        <f>SUMIF(adj!$C$2:$C$1127,$A24,adj!F$2:F$1127)</f>
        <v>0</v>
      </c>
      <c r="AB24">
        <f>SUMIF(adj!$C$2:$C$1127,$A24,adj!G$2:G$1127)</f>
        <v>0</v>
      </c>
      <c r="AC24">
        <f>SUMIF(adj!$C$2:$C$1127,$A24,adj!H$2:H$1127)</f>
        <v>0</v>
      </c>
      <c r="AD24">
        <f>SUMIF(adj!$C$2:$C$1127,$A24,adj!I$2:I$1127)</f>
        <v>0</v>
      </c>
    </row>
    <row r="25" spans="1:30">
      <c r="A25" s="573">
        <v>18.100000000000001</v>
      </c>
      <c r="B25" t="str">
        <f>DataNameProd1 &amp; " R&amp;D per New Partner Brand"</f>
        <v>CSD R&amp;D per New Partner Brand</v>
      </c>
      <c r="C25" t="s">
        <v>1483</v>
      </c>
      <c r="D25" s="11">
        <v>3000000</v>
      </c>
      <c r="E25" s="11">
        <f t="shared" si="9"/>
        <v>3000000</v>
      </c>
      <c r="F25" s="11">
        <f t="shared" si="9"/>
        <v>3000000</v>
      </c>
      <c r="G25" s="11">
        <f t="shared" si="9"/>
        <v>3000000</v>
      </c>
      <c r="H25" s="11">
        <f t="shared" si="9"/>
        <v>3000000</v>
      </c>
      <c r="I25" s="11">
        <f t="shared" si="9"/>
        <v>3000000</v>
      </c>
      <c r="J25" t="s">
        <v>441</v>
      </c>
      <c r="L25" s="10"/>
      <c r="N25" s="99"/>
      <c r="O25" s="99"/>
      <c r="P25" s="99"/>
      <c r="Q25" s="99"/>
      <c r="R25" s="99"/>
      <c r="T25" s="99"/>
      <c r="U25" s="99"/>
      <c r="V25" s="99"/>
      <c r="W25" s="99"/>
      <c r="X25" s="99"/>
      <c r="Z25">
        <f>SUMIF(adj!$C$2:$C$1127,$A25,adj!E$2:E$1127)</f>
        <v>0</v>
      </c>
      <c r="AA25">
        <f>SUMIF(adj!$C$2:$C$1127,$A25,adj!F$2:F$1127)</f>
        <v>0</v>
      </c>
      <c r="AB25">
        <f>SUMIF(adj!$C$2:$C$1127,$A25,adj!G$2:G$1127)</f>
        <v>0</v>
      </c>
      <c r="AC25">
        <f>SUMIF(adj!$C$2:$C$1127,$A25,adj!H$2:H$1127)</f>
        <v>0</v>
      </c>
      <c r="AD25">
        <f>SUMIF(adj!$C$2:$C$1127,$A25,adj!I$2:I$1127)</f>
        <v>0</v>
      </c>
    </row>
    <row r="26" spans="1:30">
      <c r="A26" s="573">
        <v>18.2</v>
      </c>
      <c r="B26" t="str">
        <f>DataNameProd1 &amp; " R&amp;D per New Package Level"</f>
        <v>CSD R&amp;D per New Package Level</v>
      </c>
      <c r="C26" t="s">
        <v>1483</v>
      </c>
      <c r="D26" s="11">
        <v>5000000</v>
      </c>
      <c r="E26" s="11">
        <f t="shared" si="9"/>
        <v>5000000</v>
      </c>
      <c r="F26" s="11">
        <f t="shared" si="9"/>
        <v>5000000</v>
      </c>
      <c r="G26" s="11">
        <f t="shared" si="9"/>
        <v>5000000</v>
      </c>
      <c r="H26" s="11">
        <f t="shared" si="9"/>
        <v>5000000</v>
      </c>
      <c r="I26" s="11">
        <f t="shared" si="9"/>
        <v>5000000</v>
      </c>
      <c r="J26" t="s">
        <v>3200</v>
      </c>
      <c r="L26" s="10"/>
      <c r="N26" s="99"/>
      <c r="O26" s="99"/>
      <c r="P26" s="99"/>
      <c r="Q26" s="99"/>
      <c r="R26" s="99"/>
      <c r="T26" s="99"/>
      <c r="U26" s="99"/>
      <c r="V26" s="99"/>
      <c r="W26" s="99"/>
      <c r="X26" s="99"/>
      <c r="Z26">
        <f>SUMIF(adj!$C$2:$C$1127,$A26,adj!E$2:E$1127)</f>
        <v>0</v>
      </c>
      <c r="AA26">
        <f>SUMIF(adj!$C$2:$C$1127,$A26,adj!F$2:F$1127)</f>
        <v>0</v>
      </c>
      <c r="AB26">
        <f>SUMIF(adj!$C$2:$C$1127,$A26,adj!G$2:G$1127)</f>
        <v>0</v>
      </c>
      <c r="AC26">
        <f>SUMIF(adj!$C$2:$C$1127,$A26,adj!H$2:H$1127)</f>
        <v>0</v>
      </c>
      <c r="AD26">
        <f>SUMIF(adj!$C$2:$C$1127,$A26,adj!I$2:I$1127)</f>
        <v>0</v>
      </c>
    </row>
    <row r="27" spans="1:30">
      <c r="A27" s="573">
        <v>18.3</v>
      </c>
      <c r="B27" t="str">
        <f>DataNameProd1 &amp; " Innovation "&amp;DataNameProd1Seg1</f>
        <v>CSD Innovation Vetera</v>
      </c>
      <c r="C27" t="s">
        <v>3414</v>
      </c>
      <c r="D27" s="11">
        <v>0</v>
      </c>
      <c r="E27" s="11">
        <f t="shared" ref="E27:I28" si="10">$D27*(1+T27+Z27*($C27="R"))+N27+Z27*($C27="A")</f>
        <v>0</v>
      </c>
      <c r="F27" s="11">
        <f t="shared" si="10"/>
        <v>0</v>
      </c>
      <c r="G27" s="11">
        <f t="shared" si="10"/>
        <v>0</v>
      </c>
      <c r="H27" s="11">
        <f t="shared" si="10"/>
        <v>0</v>
      </c>
      <c r="I27" s="11">
        <f t="shared" si="10"/>
        <v>0</v>
      </c>
      <c r="J27" t="s">
        <v>2437</v>
      </c>
      <c r="L27" s="10"/>
      <c r="N27" s="99"/>
      <c r="O27" s="99"/>
      <c r="P27" s="99"/>
      <c r="Q27" s="99"/>
      <c r="R27" s="99"/>
      <c r="T27" s="99"/>
      <c r="U27" s="99"/>
      <c r="V27" s="99"/>
      <c r="W27" s="99"/>
      <c r="X27" s="99"/>
      <c r="Z27">
        <f>SUMIF(adj!$C$2:$C$1127,$A27,adj!E$2:E$1127)</f>
        <v>0</v>
      </c>
      <c r="AA27">
        <f>SUMIF(adj!$C$2:$C$1127,$A27,adj!F$2:F$1127)</f>
        <v>0</v>
      </c>
      <c r="AB27">
        <f>SUMIF(adj!$C$2:$C$1127,$A27,adj!G$2:G$1127)</f>
        <v>0</v>
      </c>
      <c r="AC27">
        <f>SUMIF(adj!$C$2:$C$1127,$A27,adj!H$2:H$1127)</f>
        <v>0</v>
      </c>
      <c r="AD27">
        <f>SUMIF(adj!$C$2:$C$1127,$A27,adj!I$2:I$1127)</f>
        <v>0</v>
      </c>
    </row>
    <row r="28" spans="1:30">
      <c r="A28" s="573">
        <v>18.399999999999999</v>
      </c>
      <c r="B28" t="str">
        <f>DataNameProd1 &amp; " Innovation "&amp;DataNameProd1Seg2</f>
        <v>CSD Innovation Escendia</v>
      </c>
      <c r="C28" t="s">
        <v>3414</v>
      </c>
      <c r="D28" s="11">
        <v>0</v>
      </c>
      <c r="E28" s="11">
        <f t="shared" si="10"/>
        <v>0</v>
      </c>
      <c r="F28" s="11">
        <f t="shared" si="10"/>
        <v>0</v>
      </c>
      <c r="G28" s="11">
        <f t="shared" si="10"/>
        <v>0</v>
      </c>
      <c r="H28" s="11">
        <f t="shared" si="10"/>
        <v>0</v>
      </c>
      <c r="I28" s="11">
        <f t="shared" si="10"/>
        <v>0</v>
      </c>
      <c r="J28" t="s">
        <v>2438</v>
      </c>
      <c r="L28" s="10"/>
      <c r="N28" s="99"/>
      <c r="O28" s="99"/>
      <c r="P28" s="99"/>
      <c r="Q28" s="99"/>
      <c r="R28" s="99"/>
      <c r="T28" s="99"/>
      <c r="U28" s="99"/>
      <c r="V28" s="99"/>
      <c r="W28" s="99"/>
      <c r="X28" s="99"/>
      <c r="Z28">
        <f>SUMIF(adj!$C$2:$C$1127,$A28,adj!E$2:E$1127)</f>
        <v>0</v>
      </c>
      <c r="AA28">
        <f>SUMIF(adj!$C$2:$C$1127,$A28,adj!F$2:F$1127)</f>
        <v>0</v>
      </c>
      <c r="AB28">
        <f>SUMIF(adj!$C$2:$C$1127,$A28,adj!G$2:G$1127)</f>
        <v>0</v>
      </c>
      <c r="AC28">
        <f>SUMIF(adj!$C$2:$C$1127,$A28,adj!H$2:H$1127)</f>
        <v>0</v>
      </c>
      <c r="AD28">
        <f>SUMIF(adj!$C$2:$C$1127,$A28,adj!I$2:I$1127)</f>
        <v>0</v>
      </c>
    </row>
    <row r="29" spans="1:30">
      <c r="A29" s="573">
        <v>19</v>
      </c>
      <c r="D29">
        <v>0</v>
      </c>
      <c r="E29">
        <f>$D29*(1+T29+Z29*($C29="R"))+N29+Z29*($C29="A")</f>
        <v>0</v>
      </c>
      <c r="F29">
        <f>$D29*(1+U29+AA29*($C29="R"))+O29+AA29*($C29="A")</f>
        <v>0</v>
      </c>
      <c r="G29">
        <f>$D29*(1+V29+AB29*($C29="R"))+P29+AB29*($C29="A")</f>
        <v>0</v>
      </c>
      <c r="H29">
        <f>$D29*(1+W29+AC29*($C29="R"))+Q29+AC29*($C29="A")</f>
        <v>0</v>
      </c>
      <c r="I29">
        <f>$D29*(1+X29+AD29*($C29="R"))+R29+AD29*($C29="A")</f>
        <v>0</v>
      </c>
      <c r="L29" s="10"/>
      <c r="N29" s="99"/>
      <c r="O29" s="99"/>
      <c r="P29" s="99"/>
      <c r="Q29" s="99"/>
      <c r="R29" s="99"/>
      <c r="T29" s="99"/>
      <c r="U29" s="99"/>
      <c r="V29" s="99"/>
      <c r="W29" s="99"/>
      <c r="X29" s="99"/>
      <c r="Z29">
        <f>SUMIF(adj!$C$2:$C$1127,$A29,adj!E$2:E$1127)</f>
        <v>0</v>
      </c>
      <c r="AA29">
        <f>SUMIF(adj!$C$2:$C$1127,$A29,adj!F$2:F$1127)</f>
        <v>0</v>
      </c>
      <c r="AB29">
        <f>SUMIF(adj!$C$2:$C$1127,$A29,adj!G$2:G$1127)</f>
        <v>0</v>
      </c>
      <c r="AC29">
        <f>SUMIF(adj!$C$2:$C$1127,$A29,adj!H$2:H$1127)</f>
        <v>0</v>
      </c>
      <c r="AD29">
        <f>SUMIF(adj!$C$2:$C$1127,$A29,adj!I$2:I$1127)</f>
        <v>0</v>
      </c>
    </row>
    <row r="30" spans="1:30" ht="10.5" customHeight="1">
      <c r="A30" s="573">
        <v>20</v>
      </c>
      <c r="B30" s="2" t="str">
        <f>DataNameProd2 &amp; " Paramaters"</f>
        <v>Breakthrough Paramaters</v>
      </c>
      <c r="E30" s="2"/>
      <c r="L30" s="10"/>
      <c r="N30" s="99"/>
      <c r="O30" s="99"/>
      <c r="P30" s="99"/>
      <c r="Q30" s="99"/>
      <c r="R30" s="99"/>
      <c r="T30" s="99"/>
      <c r="U30" s="99"/>
      <c r="V30" s="99"/>
      <c r="W30" s="99"/>
      <c r="X30" s="99"/>
      <c r="Z30">
        <f>SUMIF(adj!$C$2:$C$1127,$A30,adj!E$2:E$1127)</f>
        <v>0</v>
      </c>
      <c r="AA30">
        <f>SUMIF(adj!$C$2:$C$1127,$A30,adj!F$2:F$1127)</f>
        <v>0</v>
      </c>
      <c r="AB30">
        <f>SUMIF(adj!$C$2:$C$1127,$A30,adj!G$2:G$1127)</f>
        <v>0</v>
      </c>
      <c r="AC30">
        <f>SUMIF(adj!$C$2:$C$1127,$A30,adj!H$2:H$1127)</f>
        <v>0</v>
      </c>
      <c r="AD30">
        <f>SUMIF(adj!$C$2:$C$1127,$A30,adj!I$2:I$1127)</f>
        <v>0</v>
      </c>
    </row>
    <row r="31" spans="1:30" ht="10.5" customHeight="1">
      <c r="A31" s="573">
        <v>21</v>
      </c>
      <c r="B31" t="str">
        <f>DataNameProd2 &amp; " Cycle Time"</f>
        <v>Breakthrough Cycle Time</v>
      </c>
      <c r="C31" t="s">
        <v>1483</v>
      </c>
      <c r="D31">
        <v>0.3</v>
      </c>
      <c r="E31" s="397">
        <f>$D31*(1+T31+Z31*($C31="R"))+N31+Z31*($C31="A")</f>
        <v>0.31212000000000001</v>
      </c>
      <c r="F31" s="397">
        <f>$D31*(1+U31+AA31*($C31="R"))+O31+AA31*($C31="A")</f>
        <v>0.31212000000000001</v>
      </c>
      <c r="G31" s="397">
        <f t="shared" ref="G31:G53" si="11">$D31*(1+V31+AB31*($C31="R"))+P31+AB31*($C31="A")</f>
        <v>0.31212000000000001</v>
      </c>
      <c r="H31" s="397">
        <f t="shared" ref="H31:H53" si="12">$D31*(1+W31+AC31*($C31="R"))+Q31+AC31*($C31="A")</f>
        <v>0.31212000000000001</v>
      </c>
      <c r="I31" s="397">
        <f t="shared" ref="I31:I53" si="13">$D31*(1+X31+AD31*($C31="R"))+R31+AD31*($C31="A")</f>
        <v>0.31212000000000001</v>
      </c>
      <c r="J31" t="s">
        <v>1388</v>
      </c>
      <c r="L31" s="10"/>
      <c r="N31" s="99"/>
      <c r="O31" s="99"/>
      <c r="P31" s="99"/>
      <c r="Q31" s="99"/>
      <c r="R31" s="99"/>
      <c r="T31" s="99"/>
      <c r="U31" s="99"/>
      <c r="V31" s="99"/>
      <c r="W31" s="99"/>
      <c r="X31" s="99"/>
      <c r="Z31">
        <f>SUMIF(adj!$C$2:$C$1127,$A31,adj!E$2:E$1127)</f>
        <v>4.0399999999999998E-2</v>
      </c>
      <c r="AA31">
        <f>SUMIF(adj!$C$2:$C$1127,$A31,adj!F$2:F$1127)</f>
        <v>4.0399999999999998E-2</v>
      </c>
      <c r="AB31">
        <f>SUMIF(adj!$C$2:$C$1127,$A31,adj!G$2:G$1127)</f>
        <v>4.0399999999999998E-2</v>
      </c>
      <c r="AC31">
        <f>SUMIF(adj!$C$2:$C$1127,$A31,adj!H$2:H$1127)</f>
        <v>4.0399999999999998E-2</v>
      </c>
      <c r="AD31">
        <f>SUMIF(adj!$C$2:$C$1127,$A31,adj!I$2:I$1127)</f>
        <v>4.0399999999999998E-2</v>
      </c>
    </row>
    <row r="32" spans="1:30" s="1422" customFormat="1" ht="10.5" customHeight="1">
      <c r="A32" s="1421">
        <v>22</v>
      </c>
      <c r="B32" s="1422" t="str">
        <f>DataNameProd2 &amp; " Royalty Cost Per Unit"</f>
        <v>Breakthrough Royalty Cost Per Unit</v>
      </c>
      <c r="C32" s="1422" t="s">
        <v>1483</v>
      </c>
      <c r="D32" s="1423">
        <v>22</v>
      </c>
      <c r="E32" s="1422">
        <f t="shared" ref="E32:E53" si="14">$D32*(1+T32+Z32*($C32="R"))+N32+Z32*($C32="A")</f>
        <v>22</v>
      </c>
      <c r="F32" s="1422">
        <f t="shared" ref="F32:F53" si="15">$D32*(1+U32+AA32*($C32="R"))+O32+AA32*($C32="A")</f>
        <v>22</v>
      </c>
      <c r="G32" s="1422">
        <f t="shared" si="11"/>
        <v>22</v>
      </c>
      <c r="H32" s="1422">
        <f t="shared" si="12"/>
        <v>22</v>
      </c>
      <c r="I32" s="1422">
        <f t="shared" si="13"/>
        <v>22</v>
      </c>
      <c r="J32" s="1422" t="s">
        <v>488</v>
      </c>
      <c r="L32" s="1424"/>
      <c r="N32" s="1425"/>
      <c r="O32" s="1425"/>
      <c r="P32" s="1425"/>
      <c r="Q32" s="1425"/>
      <c r="R32" s="1425"/>
      <c r="T32" s="1425"/>
      <c r="U32" s="1425"/>
      <c r="V32" s="1425"/>
      <c r="W32" s="1425"/>
      <c r="X32" s="1425"/>
      <c r="Z32" s="1422">
        <f>SUMIF(adj!$C$2:$C$1127,$A32,adj!E$2:E$1127)</f>
        <v>0</v>
      </c>
      <c r="AA32" s="1422">
        <f>SUMIF(adj!$C$2:$C$1127,$A32,adj!F$2:F$1127)</f>
        <v>0</v>
      </c>
      <c r="AB32" s="1422">
        <f>SUMIF(adj!$C$2:$C$1127,$A32,adj!G$2:G$1127)</f>
        <v>0</v>
      </c>
      <c r="AC32" s="1422">
        <f>SUMIF(adj!$C$2:$C$1127,$A32,adj!H$2:H$1127)</f>
        <v>0</v>
      </c>
      <c r="AD32" s="1422">
        <f>SUMIF(adj!$C$2:$C$1127,$A32,adj!I$2:I$1127)</f>
        <v>0</v>
      </c>
    </row>
    <row r="33" spans="1:30" s="1422" customFormat="1" ht="10.5" customHeight="1">
      <c r="A33" s="1421">
        <v>23</v>
      </c>
      <c r="B33" s="1422" t="str">
        <f>DataNameProd2 &amp; " Minimum Family Brand"</f>
        <v>Breakthrough Minimum Family Brand</v>
      </c>
      <c r="C33" s="1422" t="s">
        <v>1483</v>
      </c>
      <c r="D33" s="1426">
        <v>0.5</v>
      </c>
      <c r="E33" s="1422">
        <f t="shared" ref="E33:I36" si="16">$D33*(1+T33+Z33*($C33="R"))+N33+Z33*($C33="A")</f>
        <v>0.5</v>
      </c>
      <c r="F33" s="1422">
        <f t="shared" si="16"/>
        <v>0.5</v>
      </c>
      <c r="G33" s="1422">
        <f t="shared" si="16"/>
        <v>0.5</v>
      </c>
      <c r="H33" s="1422">
        <f t="shared" si="16"/>
        <v>0.5</v>
      </c>
      <c r="I33" s="1422">
        <f t="shared" si="16"/>
        <v>0.5</v>
      </c>
      <c r="J33" s="1422" t="s">
        <v>684</v>
      </c>
      <c r="L33" s="1424"/>
      <c r="N33" s="1425"/>
      <c r="O33" s="1425"/>
      <c r="P33" s="1425"/>
      <c r="Q33" s="1425"/>
      <c r="R33" s="1425"/>
      <c r="T33" s="1425"/>
      <c r="U33" s="1425"/>
      <c r="V33" s="1425"/>
      <c r="W33" s="1425"/>
      <c r="X33" s="1425"/>
      <c r="Z33" s="1422">
        <f>SUMIF(adj!$C$2:$C$1127,$A33,adj!E$2:E$1127)</f>
        <v>0</v>
      </c>
      <c r="AA33" s="1422">
        <f>SUMIF(adj!$C$2:$C$1127,$A33,adj!F$2:F$1127)</f>
        <v>0</v>
      </c>
      <c r="AB33" s="1422">
        <f>SUMIF(adj!$C$2:$C$1127,$A33,adj!G$2:G$1127)</f>
        <v>0</v>
      </c>
      <c r="AC33" s="1422">
        <f>SUMIF(adj!$C$2:$C$1127,$A33,adj!H$2:H$1127)</f>
        <v>0</v>
      </c>
      <c r="AD33" s="1422">
        <f>SUMIF(adj!$C$2:$C$1127,$A33,adj!I$2:I$1127)</f>
        <v>0</v>
      </c>
    </row>
    <row r="34" spans="1:30" ht="10.5" customHeight="1">
      <c r="A34" s="573">
        <v>24</v>
      </c>
      <c r="B34" s="33" t="str">
        <f>DataNameProd2 &amp; " 1 Marketing Spend Effectiveness"</f>
        <v>Breakthrough 1 Marketing Spend Effectiveness</v>
      </c>
      <c r="C34" s="33" t="s">
        <v>1483</v>
      </c>
      <c r="D34" s="1420">
        <v>1</v>
      </c>
      <c r="E34" s="418">
        <f t="shared" si="16"/>
        <v>1</v>
      </c>
      <c r="F34" s="418">
        <f t="shared" si="16"/>
        <v>1</v>
      </c>
      <c r="G34" s="418">
        <f t="shared" si="16"/>
        <v>1</v>
      </c>
      <c r="H34" s="418">
        <f t="shared" si="16"/>
        <v>1</v>
      </c>
      <c r="I34" s="418">
        <f t="shared" si="16"/>
        <v>1</v>
      </c>
      <c r="J34" s="33" t="s">
        <v>1718</v>
      </c>
      <c r="L34" s="10"/>
      <c r="N34" s="99"/>
      <c r="O34" s="99"/>
      <c r="P34" s="99"/>
      <c r="Q34" s="99"/>
      <c r="R34" s="99"/>
      <c r="T34" s="99"/>
      <c r="U34" s="99"/>
      <c r="V34" s="99"/>
      <c r="W34" s="99"/>
      <c r="X34" s="99"/>
      <c r="Z34">
        <f>SUMIF(adj!$C$2:$C$1127,$A34,adj!E$2:E$1127)</f>
        <v>0</v>
      </c>
      <c r="AA34">
        <f>SUMIF(adj!$C$2:$C$1127,$A34,adj!F$2:F$1127)</f>
        <v>0</v>
      </c>
      <c r="AB34">
        <f>SUMIF(adj!$C$2:$C$1127,$A34,adj!G$2:G$1127)</f>
        <v>0</v>
      </c>
      <c r="AC34">
        <f>SUMIF(adj!$C$2:$C$1127,$A34,adj!H$2:H$1127)</f>
        <v>0</v>
      </c>
      <c r="AD34">
        <f>SUMIF(adj!$C$2:$C$1127,$A34,adj!I$2:I$1127)</f>
        <v>0</v>
      </c>
    </row>
    <row r="35" spans="1:30" ht="10.5" customHeight="1">
      <c r="A35" s="573">
        <v>24.1</v>
      </c>
      <c r="B35" s="33" t="str">
        <f>DataNameProd2 &amp; " 2 Marketing Spend Effectiveness"</f>
        <v>Breakthrough 2 Marketing Spend Effectiveness</v>
      </c>
      <c r="C35" s="33" t="s">
        <v>1483</v>
      </c>
      <c r="D35" s="1420">
        <v>1</v>
      </c>
      <c r="E35" s="418">
        <f>$D35*(1+T35+Z35*($C35="R"))+N35+Z35*($C35="A")</f>
        <v>1</v>
      </c>
      <c r="F35" s="418">
        <f>$D35*(1+U35+AA35*($C35="R"))+O35+AA35*($C35="A")</f>
        <v>1</v>
      </c>
      <c r="G35" s="418">
        <f>$D35*(1+V35+AB35*($C35="R"))+P35+AB35*($C35="A")</f>
        <v>1</v>
      </c>
      <c r="H35" s="418">
        <f>$D35*(1+W35+AC35*($C35="R"))+Q35+AC35*($C35="A")</f>
        <v>1</v>
      </c>
      <c r="I35" s="418">
        <f>$D35*(1+X35+AD35*($C35="R"))+R35+AD35*($C35="A")</f>
        <v>1</v>
      </c>
      <c r="J35" s="33" t="s">
        <v>1719</v>
      </c>
      <c r="L35" s="10"/>
      <c r="N35" s="99"/>
      <c r="O35" s="99"/>
      <c r="P35" s="99"/>
      <c r="Q35" s="99"/>
      <c r="R35" s="99"/>
      <c r="T35" s="99"/>
      <c r="U35" s="99"/>
      <c r="V35" s="99"/>
      <c r="W35" s="99"/>
      <c r="X35" s="99"/>
      <c r="Z35">
        <f>SUMIF(adj!$C$2:$C$1127,$A35,adj!E$2:E$1127)</f>
        <v>0</v>
      </c>
      <c r="AA35">
        <f>SUMIF(adj!$C$2:$C$1127,$A35,adj!F$2:F$1127)</f>
        <v>0</v>
      </c>
      <c r="AB35">
        <f>SUMIF(adj!$C$2:$C$1127,$A35,adj!G$2:G$1127)</f>
        <v>0</v>
      </c>
      <c r="AC35">
        <f>SUMIF(adj!$C$2:$C$1127,$A35,adj!H$2:H$1127)</f>
        <v>0</v>
      </c>
      <c r="AD35">
        <f>SUMIF(adj!$C$2:$C$1127,$A35,adj!I$2:I$1127)</f>
        <v>0</v>
      </c>
    </row>
    <row r="36" spans="1:30" ht="10.5" customHeight="1">
      <c r="A36" s="573">
        <v>25</v>
      </c>
      <c r="B36" t="str">
        <f>DataNameProd2 &amp; " Disposed Units"</f>
        <v>Breakthrough Disposed Units</v>
      </c>
      <c r="C36" t="s">
        <v>1483</v>
      </c>
      <c r="D36">
        <v>0.25</v>
      </c>
      <c r="E36">
        <f t="shared" si="16"/>
        <v>0.25</v>
      </c>
      <c r="F36">
        <f t="shared" si="16"/>
        <v>0.25</v>
      </c>
      <c r="G36">
        <f t="shared" si="16"/>
        <v>0.25</v>
      </c>
      <c r="H36">
        <f t="shared" si="16"/>
        <v>0.25</v>
      </c>
      <c r="I36">
        <f t="shared" si="16"/>
        <v>0.25</v>
      </c>
      <c r="J36" t="s">
        <v>483</v>
      </c>
      <c r="L36" s="10"/>
      <c r="N36" s="99"/>
      <c r="O36" s="99"/>
      <c r="P36" s="99"/>
      <c r="Q36" s="99"/>
      <c r="R36" s="99"/>
      <c r="T36" s="99"/>
      <c r="U36" s="99"/>
      <c r="V36" s="99"/>
      <c r="W36" s="99"/>
      <c r="X36" s="99"/>
      <c r="Z36">
        <f>SUMIF(adj!$C$2:$C$1127,$A36,adj!E$2:E$1127)</f>
        <v>0</v>
      </c>
      <c r="AA36">
        <f>SUMIF(adj!$C$2:$C$1127,$A36,adj!F$2:F$1127)</f>
        <v>0</v>
      </c>
      <c r="AB36">
        <f>SUMIF(adj!$C$2:$C$1127,$A36,adj!G$2:G$1127)</f>
        <v>0</v>
      </c>
      <c r="AC36">
        <f>SUMIF(adj!$C$2:$C$1127,$A36,adj!H$2:H$1127)</f>
        <v>0</v>
      </c>
      <c r="AD36">
        <f>SUMIF(adj!$C$2:$C$1127,$A36,adj!I$2:I$1127)</f>
        <v>0</v>
      </c>
    </row>
    <row r="37" spans="1:30" ht="10.5" customHeight="1">
      <c r="A37" s="573">
        <v>26</v>
      </c>
      <c r="B37" t="str">
        <f>DataNameProd2 &amp; " Prod 1 Material Cost Per Unit"</f>
        <v>Breakthrough Prod 1 Material Cost Per Unit</v>
      </c>
      <c r="C37" t="s">
        <v>1483</v>
      </c>
      <c r="D37">
        <v>4.0999999999999996</v>
      </c>
      <c r="E37" s="459">
        <f t="shared" si="14"/>
        <v>4.0999999999999996</v>
      </c>
      <c r="F37" s="459">
        <f t="shared" si="15"/>
        <v>4.0999999999999996</v>
      </c>
      <c r="G37" s="459">
        <f t="shared" si="11"/>
        <v>4.0999999999999996</v>
      </c>
      <c r="H37" s="459">
        <f t="shared" si="12"/>
        <v>4.0999999999999996</v>
      </c>
      <c r="I37" s="459">
        <f t="shared" si="13"/>
        <v>4.0999999999999996</v>
      </c>
      <c r="J37" t="s">
        <v>2491</v>
      </c>
      <c r="L37" s="10"/>
      <c r="N37" s="99"/>
      <c r="O37" s="99"/>
      <c r="P37" s="99"/>
      <c r="Q37" s="99"/>
      <c r="R37" s="99"/>
      <c r="T37" s="99"/>
      <c r="U37" s="99"/>
      <c r="V37" s="99"/>
      <c r="W37" s="99"/>
      <c r="X37" s="99"/>
      <c r="Z37">
        <f>SUMIF(adj!$C$2:$C$1127,$A37,adj!E$2:E$1127)</f>
        <v>0</v>
      </c>
      <c r="AA37">
        <f>SUMIF(adj!$C$2:$C$1127,$A37,adj!F$2:F$1127)</f>
        <v>0</v>
      </c>
      <c r="AB37">
        <f>SUMIF(adj!$C$2:$C$1127,$A37,adj!G$2:G$1127)</f>
        <v>0</v>
      </c>
      <c r="AC37">
        <f>SUMIF(adj!$C$2:$C$1127,$A37,adj!H$2:H$1127)</f>
        <v>0</v>
      </c>
      <c r="AD37">
        <f>SUMIF(adj!$C$2:$C$1127,$A37,adj!I$2:I$1127)</f>
        <v>0</v>
      </c>
    </row>
    <row r="38" spans="1:30" ht="10.5" customHeight="1">
      <c r="A38" s="573">
        <v>26.5</v>
      </c>
      <c r="B38" t="str">
        <f>DataNameProd2 &amp; " Prod 2 Material Cost Per Unit"</f>
        <v>Breakthrough Prod 2 Material Cost Per Unit</v>
      </c>
      <c r="C38" t="s">
        <v>1483</v>
      </c>
      <c r="D38">
        <v>4.0999999999999996</v>
      </c>
      <c r="E38" s="459">
        <f t="shared" ref="E38:I40" si="17">$D38*(1+T38+Z38*($C38="R"))+N38+Z38*($C38="A")</f>
        <v>4.0999999999999996</v>
      </c>
      <c r="F38" s="459">
        <f t="shared" si="17"/>
        <v>4.0999999999999996</v>
      </c>
      <c r="G38" s="459">
        <f t="shared" si="17"/>
        <v>4.0999999999999996</v>
      </c>
      <c r="H38" s="459">
        <f t="shared" si="17"/>
        <v>4.0999999999999996</v>
      </c>
      <c r="I38" s="459">
        <f t="shared" si="17"/>
        <v>4.0999999999999996</v>
      </c>
      <c r="J38" t="s">
        <v>2492</v>
      </c>
      <c r="L38" s="10"/>
      <c r="N38" s="99"/>
      <c r="O38" s="99"/>
      <c r="P38" s="99"/>
      <c r="Q38" s="99"/>
      <c r="R38" s="99"/>
      <c r="T38" s="99"/>
      <c r="U38" s="99"/>
      <c r="V38" s="99"/>
      <c r="W38" s="99"/>
      <c r="X38" s="99"/>
      <c r="Z38">
        <f>SUMIF(adj!$C$2:$C$1127,$A38,adj!E$2:E$1127)</f>
        <v>0</v>
      </c>
      <c r="AA38">
        <f>SUMIF(adj!$C$2:$C$1127,$A38,adj!F$2:F$1127)</f>
        <v>0</v>
      </c>
      <c r="AB38">
        <f>SUMIF(adj!$C$2:$C$1127,$A38,adj!G$2:G$1127)</f>
        <v>0</v>
      </c>
      <c r="AC38">
        <f>SUMIF(adj!$C$2:$C$1127,$A38,adj!H$2:H$1127)</f>
        <v>0</v>
      </c>
      <c r="AD38">
        <f>SUMIF(adj!$C$2:$C$1127,$A38,adj!I$2:I$1127)</f>
        <v>0</v>
      </c>
    </row>
    <row r="39" spans="1:30">
      <c r="A39" s="573">
        <v>26.8</v>
      </c>
      <c r="B39" t="str">
        <f>DataNameProd2 &amp; " Disposal Cost As % of Mat Cost"</f>
        <v>Breakthrough Disposal Cost As % of Mat Cost</v>
      </c>
      <c r="C39" t="s">
        <v>1483</v>
      </c>
      <c r="D39" s="15">
        <v>1</v>
      </c>
      <c r="E39" s="15">
        <f t="shared" si="17"/>
        <v>1</v>
      </c>
      <c r="F39" s="15">
        <f t="shared" si="17"/>
        <v>1</v>
      </c>
      <c r="G39" s="15">
        <f t="shared" si="17"/>
        <v>1</v>
      </c>
      <c r="H39" s="15">
        <f t="shared" si="17"/>
        <v>1</v>
      </c>
      <c r="I39" s="15">
        <f t="shared" si="17"/>
        <v>1</v>
      </c>
      <c r="J39" t="s">
        <v>2860</v>
      </c>
      <c r="L39" s="10"/>
      <c r="M39" s="18"/>
      <c r="N39" s="99"/>
      <c r="O39" s="99"/>
      <c r="P39" s="99"/>
      <c r="Q39" s="99"/>
      <c r="R39" s="99"/>
      <c r="S39" s="358"/>
      <c r="T39" s="917"/>
      <c r="U39" s="99"/>
      <c r="V39" s="917"/>
      <c r="W39" s="99"/>
      <c r="X39" s="99"/>
      <c r="Z39">
        <f>SUMIF(adj!$C$2:$C$1127,$A39,adj!E$2:E$1127)</f>
        <v>0</v>
      </c>
      <c r="AA39">
        <f>SUMIF(adj!$C$2:$C$1127,$A39,adj!F$2:F$1127)</f>
        <v>0</v>
      </c>
      <c r="AB39">
        <f>SUMIF(adj!$C$2:$C$1127,$A39,adj!G$2:G$1127)</f>
        <v>0</v>
      </c>
      <c r="AC39">
        <f>SUMIF(adj!$C$2:$C$1127,$A39,adj!H$2:H$1127)</f>
        <v>0</v>
      </c>
      <c r="AD39">
        <f>SUMIF(adj!$C$2:$C$1127,$A39,adj!I$2:I$1127)</f>
        <v>0</v>
      </c>
    </row>
    <row r="40" spans="1:30">
      <c r="A40" s="573">
        <v>26.9</v>
      </c>
      <c r="B40" t="str">
        <f>DataNameProd2 &amp; " Reg1 Disposal Cost As % of Mat Cost"</f>
        <v>Breakthrough Reg1 Disposal Cost As % of Mat Cost</v>
      </c>
      <c r="C40" t="s">
        <v>1483</v>
      </c>
      <c r="D40" s="15">
        <v>0.5</v>
      </c>
      <c r="E40" s="15">
        <f t="shared" si="17"/>
        <v>0.5</v>
      </c>
      <c r="F40" s="15">
        <f t="shared" si="17"/>
        <v>0.5</v>
      </c>
      <c r="G40" s="15">
        <f t="shared" si="17"/>
        <v>0.5</v>
      </c>
      <c r="H40" s="15">
        <f t="shared" si="17"/>
        <v>0.5</v>
      </c>
      <c r="I40" s="15">
        <f t="shared" si="17"/>
        <v>0.5</v>
      </c>
      <c r="J40" t="s">
        <v>2859</v>
      </c>
      <c r="L40" s="10"/>
      <c r="M40" s="18"/>
      <c r="N40" s="99"/>
      <c r="O40" s="99"/>
      <c r="P40" s="99"/>
      <c r="Q40" s="99"/>
      <c r="R40" s="99"/>
      <c r="S40" s="358"/>
      <c r="T40" s="917"/>
      <c r="U40" s="99"/>
      <c r="V40" s="917"/>
      <c r="W40" s="99"/>
      <c r="X40" s="99"/>
      <c r="Z40">
        <f>SUMIF(adj!$C$2:$C$1127,$A40,adj!E$2:E$1127)</f>
        <v>0</v>
      </c>
      <c r="AA40">
        <f>SUMIF(adj!$C$2:$C$1127,$A40,adj!F$2:F$1127)</f>
        <v>0</v>
      </c>
      <c r="AB40">
        <f>SUMIF(adj!$C$2:$C$1127,$A40,adj!G$2:G$1127)</f>
        <v>0</v>
      </c>
      <c r="AC40">
        <f>SUMIF(adj!$C$2:$C$1127,$A40,adj!H$2:H$1127)</f>
        <v>0</v>
      </c>
      <c r="AD40">
        <f>SUMIF(adj!$C$2:$C$1127,$A40,adj!I$2:I$1127)</f>
        <v>0</v>
      </c>
    </row>
    <row r="41" spans="1:30" ht="10.5" customHeight="1">
      <c r="A41" s="573">
        <v>27</v>
      </c>
      <c r="B41" t="str">
        <f>DataNameProd2 &amp; " Materials Inventory As % of Production"</f>
        <v>Breakthrough Materials Inventory As % of Production</v>
      </c>
      <c r="C41" t="s">
        <v>1483</v>
      </c>
      <c r="D41" s="12">
        <v>0.1</v>
      </c>
      <c r="E41" s="12">
        <f t="shared" si="14"/>
        <v>0.10202</v>
      </c>
      <c r="F41" s="12">
        <f t="shared" si="15"/>
        <v>0.10202</v>
      </c>
      <c r="G41" s="12">
        <f t="shared" si="11"/>
        <v>0.10202</v>
      </c>
      <c r="H41" s="12">
        <f t="shared" si="12"/>
        <v>0.10202</v>
      </c>
      <c r="I41" s="12">
        <f t="shared" si="13"/>
        <v>0.10202</v>
      </c>
      <c r="J41" t="s">
        <v>1389</v>
      </c>
      <c r="L41" s="10"/>
      <c r="N41" s="99"/>
      <c r="O41" s="99"/>
      <c r="P41" s="99"/>
      <c r="Q41" s="99"/>
      <c r="R41" s="99"/>
      <c r="T41" s="99"/>
      <c r="U41" s="99"/>
      <c r="V41" s="99"/>
      <c r="W41" s="99"/>
      <c r="X41" s="99"/>
      <c r="Z41">
        <f>SUMIF(adj!$C$2:$C$1127,$A41,adj!E$2:E$1127)</f>
        <v>2.0199999999999999E-2</v>
      </c>
      <c r="AA41">
        <f>SUMIF(adj!$C$2:$C$1127,$A41,adj!F$2:F$1127)</f>
        <v>2.0199999999999999E-2</v>
      </c>
      <c r="AB41">
        <f>SUMIF(adj!$C$2:$C$1127,$A41,adj!G$2:G$1127)</f>
        <v>2.0199999999999999E-2</v>
      </c>
      <c r="AC41">
        <f>SUMIF(adj!$C$2:$C$1127,$A41,adj!H$2:H$1127)</f>
        <v>2.0199999999999999E-2</v>
      </c>
      <c r="AD41">
        <f>SUMIF(adj!$C$2:$C$1127,$A41,adj!I$2:I$1127)</f>
        <v>2.0199999999999999E-2</v>
      </c>
    </row>
    <row r="42" spans="1:30" ht="10.5" customHeight="1">
      <c r="A42" s="573">
        <v>28</v>
      </c>
      <c r="B42" t="str">
        <f>DataNameProd2 &amp; " Labor Hours Req. Per Unit"</f>
        <v>Breakthrough Labor Hours Req. Per Unit</v>
      </c>
      <c r="C42" t="s">
        <v>1483</v>
      </c>
      <c r="D42">
        <v>0.114</v>
      </c>
      <c r="E42" s="459">
        <f t="shared" si="14"/>
        <v>0.1163028</v>
      </c>
      <c r="F42" s="459">
        <f t="shared" si="15"/>
        <v>0.1163028</v>
      </c>
      <c r="G42" s="459">
        <f t="shared" si="11"/>
        <v>0.1163028</v>
      </c>
      <c r="H42" s="459">
        <f t="shared" si="12"/>
        <v>0.1163028</v>
      </c>
      <c r="I42" s="459">
        <f t="shared" si="13"/>
        <v>0.1163028</v>
      </c>
      <c r="J42" t="s">
        <v>1390</v>
      </c>
      <c r="L42" s="10"/>
      <c r="N42" s="99"/>
      <c r="O42" s="99"/>
      <c r="P42" s="99"/>
      <c r="Q42" s="99"/>
      <c r="R42" s="99"/>
      <c r="T42" s="99"/>
      <c r="U42" s="99"/>
      <c r="V42" s="99"/>
      <c r="W42" s="99"/>
      <c r="X42" s="99"/>
      <c r="Z42">
        <f>SUMIF(adj!$C$2:$C$1127,$A42,adj!E$2:E$1127)</f>
        <v>2.0199999999999999E-2</v>
      </c>
      <c r="AA42">
        <f>SUMIF(adj!$C$2:$C$1127,$A42,adj!F$2:F$1127)</f>
        <v>2.0199999999999999E-2</v>
      </c>
      <c r="AB42">
        <f>SUMIF(adj!$C$2:$C$1127,$A42,adj!G$2:G$1127)</f>
        <v>2.0199999999999999E-2</v>
      </c>
      <c r="AC42">
        <f>SUMIF(adj!$C$2:$C$1127,$A42,adj!H$2:H$1127)</f>
        <v>2.0199999999999999E-2</v>
      </c>
      <c r="AD42">
        <f>SUMIF(adj!$C$2:$C$1127,$A42,adj!I$2:I$1127)</f>
        <v>2.0199999999999999E-2</v>
      </c>
    </row>
    <row r="43" spans="1:30" ht="10.5" customHeight="1">
      <c r="A43" s="573">
        <v>29</v>
      </c>
      <c r="B43" t="str">
        <f>DataNameProd2 &amp; " Machinery Hours Req. Per Unit"</f>
        <v>Breakthrough Machinery Hours Req. Per Unit</v>
      </c>
      <c r="C43" t="s">
        <v>1483</v>
      </c>
      <c r="D43">
        <v>1.8E-3</v>
      </c>
      <c r="E43" s="438">
        <f t="shared" si="14"/>
        <v>1.83636E-3</v>
      </c>
      <c r="F43" s="438">
        <f t="shared" si="15"/>
        <v>1.83636E-3</v>
      </c>
      <c r="G43" s="438">
        <f t="shared" si="11"/>
        <v>1.83636E-3</v>
      </c>
      <c r="H43" s="438">
        <f t="shared" si="12"/>
        <v>1.83636E-3</v>
      </c>
      <c r="I43" s="438">
        <f t="shared" si="13"/>
        <v>1.83636E-3</v>
      </c>
      <c r="J43" t="s">
        <v>1956</v>
      </c>
      <c r="L43" s="10"/>
      <c r="N43" s="99"/>
      <c r="O43" s="99"/>
      <c r="P43" s="99"/>
      <c r="Q43" s="99"/>
      <c r="R43" s="99"/>
      <c r="T43" s="99"/>
      <c r="U43" s="99"/>
      <c r="V43" s="99"/>
      <c r="W43" s="99"/>
      <c r="X43" s="99"/>
      <c r="Z43">
        <f>SUMIF(adj!$C$2:$C$1127,$A43,adj!E$2:E$1127)</f>
        <v>2.0199999999999999E-2</v>
      </c>
      <c r="AA43">
        <f>SUMIF(adj!$C$2:$C$1127,$A43,adj!F$2:F$1127)</f>
        <v>2.0199999999999999E-2</v>
      </c>
      <c r="AB43">
        <f>SUMIF(adj!$C$2:$C$1127,$A43,adj!G$2:G$1127)</f>
        <v>2.0199999999999999E-2</v>
      </c>
      <c r="AC43">
        <f>SUMIF(adj!$C$2:$C$1127,$A43,adj!H$2:H$1127)</f>
        <v>2.0199999999999999E-2</v>
      </c>
      <c r="AD43">
        <f>SUMIF(adj!$C$2:$C$1127,$A43,adj!I$2:I$1127)</f>
        <v>2.0199999999999999E-2</v>
      </c>
    </row>
    <row r="44" spans="1:30" ht="10.5" customHeight="1">
      <c r="A44" s="573">
        <v>30</v>
      </c>
      <c r="B44" t="str">
        <f>DataNameProd2 &amp; " Engineers Required"</f>
        <v>Breakthrough Engineers Required</v>
      </c>
      <c r="C44" t="s">
        <v>1483</v>
      </c>
      <c r="D44">
        <v>50</v>
      </c>
      <c r="E44">
        <f t="shared" si="14"/>
        <v>50</v>
      </c>
      <c r="F44">
        <f t="shared" si="15"/>
        <v>50</v>
      </c>
      <c r="G44">
        <f t="shared" si="11"/>
        <v>50</v>
      </c>
      <c r="H44">
        <f t="shared" si="12"/>
        <v>50</v>
      </c>
      <c r="I44">
        <f t="shared" si="13"/>
        <v>50</v>
      </c>
      <c r="J44" t="s">
        <v>1957</v>
      </c>
      <c r="L44" s="10"/>
      <c r="N44" s="99"/>
      <c r="O44" s="99"/>
      <c r="P44" s="99"/>
      <c r="Q44" s="99"/>
      <c r="R44" s="99"/>
      <c r="T44" s="99"/>
      <c r="U44" s="99"/>
      <c r="V44" s="99"/>
      <c r="W44" s="99"/>
      <c r="X44" s="99"/>
      <c r="Z44">
        <f>SUMIF(adj!$C$2:$C$1127,$A44,adj!E$2:E$1127)</f>
        <v>0</v>
      </c>
      <c r="AA44">
        <f>SUMIF(adj!$C$2:$C$1127,$A44,adj!F$2:F$1127)</f>
        <v>0</v>
      </c>
      <c r="AB44">
        <f>SUMIF(adj!$C$2:$C$1127,$A44,adj!G$2:G$1127)</f>
        <v>0</v>
      </c>
      <c r="AC44">
        <f>SUMIF(adj!$C$2:$C$1127,$A44,adj!H$2:H$1127)</f>
        <v>0</v>
      </c>
      <c r="AD44">
        <f>SUMIF(adj!$C$2:$C$1127,$A44,adj!I$2:I$1127)</f>
        <v>0</v>
      </c>
    </row>
    <row r="45" spans="1:30" ht="10.5" customHeight="1">
      <c r="A45" s="573">
        <v>31</v>
      </c>
      <c r="B45" t="str">
        <f>DataNameProd2 &amp; " Inventory Handling % of Closing Value"</f>
        <v>Breakthrough Inventory Handling % of Closing Value</v>
      </c>
      <c r="C45" t="s">
        <v>1483</v>
      </c>
      <c r="D45" s="12">
        <v>0.15</v>
      </c>
      <c r="E45" s="12">
        <f t="shared" si="14"/>
        <v>0.15</v>
      </c>
      <c r="F45" s="12">
        <f t="shared" si="15"/>
        <v>0.15</v>
      </c>
      <c r="G45" s="12">
        <f t="shared" si="11"/>
        <v>0.15</v>
      </c>
      <c r="H45" s="12">
        <f t="shared" si="12"/>
        <v>0.15</v>
      </c>
      <c r="I45" s="12">
        <f t="shared" si="13"/>
        <v>0.15</v>
      </c>
      <c r="J45" t="s">
        <v>992</v>
      </c>
      <c r="L45" s="10"/>
      <c r="N45" s="99"/>
      <c r="O45" s="99"/>
      <c r="P45" s="99"/>
      <c r="Q45" s="99"/>
      <c r="R45" s="99"/>
      <c r="T45" s="99"/>
      <c r="U45" s="99"/>
      <c r="V45" s="99"/>
      <c r="W45" s="99"/>
      <c r="X45" s="99"/>
      <c r="Z45">
        <f>SUMIF(adj!$C$2:$C$1127,$A45,adj!E$2:E$1127)</f>
        <v>0</v>
      </c>
      <c r="AA45">
        <f>SUMIF(adj!$C$2:$C$1127,$A45,adj!F$2:F$1127)</f>
        <v>0</v>
      </c>
      <c r="AB45">
        <f>SUMIF(adj!$C$2:$C$1127,$A45,adj!G$2:G$1127)</f>
        <v>0</v>
      </c>
      <c r="AC45">
        <f>SUMIF(adj!$C$2:$C$1127,$A45,adj!H$2:H$1127)</f>
        <v>0</v>
      </c>
      <c r="AD45">
        <f>SUMIF(adj!$C$2:$C$1127,$A45,adj!I$2:I$1127)</f>
        <v>0</v>
      </c>
    </row>
    <row r="46" spans="1:30" ht="10.5" customHeight="1">
      <c r="A46" s="573">
        <v>32</v>
      </c>
      <c r="B46" t="str">
        <f>DataNameProd2 &amp; " Distribution Costs for Reg. 1"</f>
        <v>Breakthrough Distribution Costs for Reg. 1</v>
      </c>
      <c r="C46" t="s">
        <v>1483</v>
      </c>
      <c r="D46" s="431">
        <v>0.95</v>
      </c>
      <c r="E46" s="1427">
        <f t="shared" si="14"/>
        <v>0.95869249999999995</v>
      </c>
      <c r="F46" s="1427">
        <f t="shared" si="15"/>
        <v>0.95869249999999995</v>
      </c>
      <c r="G46" s="1427">
        <f t="shared" si="11"/>
        <v>0.95869249999999995</v>
      </c>
      <c r="H46" s="1427">
        <f t="shared" si="12"/>
        <v>0.95869249999999995</v>
      </c>
      <c r="I46" s="1427">
        <f t="shared" si="13"/>
        <v>0.95869249999999995</v>
      </c>
      <c r="J46" t="s">
        <v>1643</v>
      </c>
      <c r="L46" s="10"/>
      <c r="N46" s="99"/>
      <c r="O46" s="99"/>
      <c r="P46" s="99"/>
      <c r="Q46" s="99"/>
      <c r="R46" s="99"/>
      <c r="T46" s="99"/>
      <c r="U46" s="99"/>
      <c r="V46" s="99"/>
      <c r="W46" s="99"/>
      <c r="X46" s="99"/>
      <c r="Z46">
        <f>SUMIF(adj!$C$2:$C$1127,$A46,adj!E$2:E$1127)</f>
        <v>9.1499999999999984E-3</v>
      </c>
      <c r="AA46">
        <f>SUMIF(adj!$C$2:$C$1127,$A46,adj!F$2:F$1127)</f>
        <v>9.1499999999999984E-3</v>
      </c>
      <c r="AB46">
        <f>SUMIF(adj!$C$2:$C$1127,$A46,adj!G$2:G$1127)</f>
        <v>9.1499999999999984E-3</v>
      </c>
      <c r="AC46">
        <f>SUMIF(adj!$C$2:$C$1127,$A46,adj!H$2:H$1127)</f>
        <v>9.1499999999999984E-3</v>
      </c>
      <c r="AD46">
        <f>SUMIF(adj!$C$2:$C$1127,$A46,adj!I$2:I$1127)</f>
        <v>9.1499999999999984E-3</v>
      </c>
    </row>
    <row r="47" spans="1:30" ht="10.5" customHeight="1">
      <c r="A47" s="573">
        <v>33</v>
      </c>
      <c r="B47" t="str">
        <f>DataNameProd2 &amp; " Distribution Costs for Reg. 2"</f>
        <v>Breakthrough Distribution Costs for Reg. 2</v>
      </c>
      <c r="C47" t="s">
        <v>1483</v>
      </c>
      <c r="D47" s="431">
        <v>1.05</v>
      </c>
      <c r="E47" s="1427">
        <f>$D47*(1+T47+Z47*($C47="R"))+N47+Z47*($C47="A")</f>
        <v>1.0910613000000002</v>
      </c>
      <c r="F47" s="1427">
        <f>$D47*(1+U47+AA47*($C47="R"))+O47+AA47*($C47="A")</f>
        <v>1.0910613000000002</v>
      </c>
      <c r="G47" s="1427">
        <f>$D47*(1+V47+AB47*($C47="R"))+P47+AB47*($C47="A")</f>
        <v>1.0910613000000002</v>
      </c>
      <c r="H47" s="1427">
        <f>$D47*(1+W47+AC47*($C47="R"))+Q47+AC47*($C47="A")</f>
        <v>1.0910613000000002</v>
      </c>
      <c r="I47" s="1427">
        <f>$D47*(1+X47+AD47*($C47="R"))+R47+AD47*($C47="A")</f>
        <v>1.0910613000000002</v>
      </c>
      <c r="J47" t="s">
        <v>1644</v>
      </c>
      <c r="L47" s="10"/>
      <c r="N47" s="99"/>
      <c r="O47" s="99"/>
      <c r="P47" s="99"/>
      <c r="Q47" s="99"/>
      <c r="R47" s="99"/>
      <c r="T47" s="99"/>
      <c r="U47" s="99"/>
      <c r="V47" s="99"/>
      <c r="W47" s="99"/>
      <c r="X47" s="99"/>
      <c r="Z47">
        <f>SUMIF(adj!$C$2:$C$1127,$A47,adj!E$2:E$1127)</f>
        <v>3.9106000000000009E-2</v>
      </c>
      <c r="AA47">
        <f>SUMIF(adj!$C$2:$C$1127,$A47,adj!F$2:F$1127)</f>
        <v>3.9106000000000009E-2</v>
      </c>
      <c r="AB47">
        <f>SUMIF(adj!$C$2:$C$1127,$A47,adj!G$2:G$1127)</f>
        <v>3.9106000000000009E-2</v>
      </c>
      <c r="AC47">
        <f>SUMIF(adj!$C$2:$C$1127,$A47,adj!H$2:H$1127)</f>
        <v>3.9106000000000009E-2</v>
      </c>
      <c r="AD47">
        <f>SUMIF(adj!$C$2:$C$1127,$A47,adj!I$2:I$1127)</f>
        <v>3.9106000000000009E-2</v>
      </c>
    </row>
    <row r="48" spans="1:30" ht="10.5" customHeight="1">
      <c r="A48" s="573">
        <v>34</v>
      </c>
      <c r="B48" s="33" t="str">
        <f>DataNameProd2 &amp; " Reg. 1 Sales Force Hrs. Required"</f>
        <v>Breakthrough Reg. 1 Sales Force Hrs. Required</v>
      </c>
      <c r="C48" s="33" t="s">
        <v>1483</v>
      </c>
      <c r="D48" s="1420">
        <v>1.0999999999999999E-2</v>
      </c>
      <c r="E48" s="1428">
        <f t="shared" ref="E48:I49" si="18">$D48*(1+T48+Z48*($C48="R"))+N48+Z48*($C48="A")</f>
        <v>1.0999999999999999E-2</v>
      </c>
      <c r="F48" s="1428">
        <f t="shared" si="18"/>
        <v>1.0999999999999999E-2</v>
      </c>
      <c r="G48" s="1428">
        <f t="shared" si="18"/>
        <v>1.0999999999999999E-2</v>
      </c>
      <c r="H48" s="1428">
        <f t="shared" si="18"/>
        <v>1.0999999999999999E-2</v>
      </c>
      <c r="I48" s="1428">
        <f t="shared" si="18"/>
        <v>1.0999999999999999E-2</v>
      </c>
      <c r="J48" s="33" t="s">
        <v>317</v>
      </c>
      <c r="L48" s="10"/>
      <c r="N48" s="99"/>
      <c r="O48" s="99"/>
      <c r="P48" s="99"/>
      <c r="Q48" s="99"/>
      <c r="R48" s="99"/>
      <c r="T48" s="99"/>
      <c r="U48" s="99"/>
      <c r="V48" s="99"/>
      <c r="W48" s="99"/>
      <c r="X48" s="99"/>
      <c r="Z48">
        <f>SUMIF(adj!$C$2:$C$1127,$A48,adj!E$2:E$1127)</f>
        <v>0</v>
      </c>
      <c r="AA48">
        <f>SUMIF(adj!$C$2:$C$1127,$A48,adj!F$2:F$1127)</f>
        <v>0</v>
      </c>
      <c r="AB48">
        <f>SUMIF(adj!$C$2:$C$1127,$A48,adj!G$2:G$1127)</f>
        <v>0</v>
      </c>
      <c r="AC48">
        <f>SUMIF(adj!$C$2:$C$1127,$A48,adj!H$2:H$1127)</f>
        <v>0</v>
      </c>
      <c r="AD48">
        <f>SUMIF(adj!$C$2:$C$1127,$A48,adj!I$2:I$1127)</f>
        <v>0</v>
      </c>
    </row>
    <row r="49" spans="1:30" ht="10.5" customHeight="1">
      <c r="A49" s="573">
        <v>35</v>
      </c>
      <c r="B49" s="33" t="str">
        <f>DataNameProd2 &amp; " Reg. 2 Sales Force Hrs. Required"</f>
        <v>Breakthrough Reg. 2 Sales Force Hrs. Required</v>
      </c>
      <c r="C49" s="33" t="s">
        <v>1483</v>
      </c>
      <c r="D49" s="1420">
        <v>1.4E-2</v>
      </c>
      <c r="E49" s="1428">
        <f t="shared" si="18"/>
        <v>1.4E-2</v>
      </c>
      <c r="F49" s="1428">
        <f t="shared" si="18"/>
        <v>1.4E-2</v>
      </c>
      <c r="G49" s="1428">
        <f t="shared" si="18"/>
        <v>1.4E-2</v>
      </c>
      <c r="H49" s="1428">
        <f t="shared" si="18"/>
        <v>1.4E-2</v>
      </c>
      <c r="I49" s="1428">
        <f t="shared" si="18"/>
        <v>1.4E-2</v>
      </c>
      <c r="J49" s="33" t="s">
        <v>318</v>
      </c>
      <c r="L49" s="10"/>
      <c r="N49" s="99"/>
      <c r="O49" s="99"/>
      <c r="P49" s="99"/>
      <c r="Q49" s="99"/>
      <c r="R49" s="99"/>
      <c r="T49" s="99"/>
      <c r="U49" s="99"/>
      <c r="V49" s="99"/>
      <c r="W49" s="99"/>
      <c r="X49" s="99"/>
      <c r="Z49">
        <f>SUMIF(adj!$C$2:$C$1127,$A49,adj!E$2:E$1127)</f>
        <v>0</v>
      </c>
      <c r="AA49">
        <f>SUMIF(adj!$C$2:$C$1127,$A49,adj!F$2:F$1127)</f>
        <v>0</v>
      </c>
      <c r="AB49">
        <f>SUMIF(adj!$C$2:$C$1127,$A49,adj!G$2:G$1127)</f>
        <v>0</v>
      </c>
      <c r="AC49">
        <f>SUMIF(adj!$C$2:$C$1127,$A49,adj!H$2:H$1127)</f>
        <v>0</v>
      </c>
      <c r="AD49">
        <f>SUMIF(adj!$C$2:$C$1127,$A49,adj!I$2:I$1127)</f>
        <v>0</v>
      </c>
    </row>
    <row r="50" spans="1:30" ht="10.5" customHeight="1">
      <c r="A50" s="573">
        <v>36</v>
      </c>
      <c r="B50" t="str">
        <f>DataNameProd2 &amp; " Admin Costs"</f>
        <v>Breakthrough Admin Costs</v>
      </c>
      <c r="C50" t="s">
        <v>1483</v>
      </c>
      <c r="D50" s="11">
        <v>5000000</v>
      </c>
      <c r="E50" s="11">
        <f t="shared" si="14"/>
        <v>5508030</v>
      </c>
      <c r="F50" s="11">
        <f t="shared" si="15"/>
        <v>5508030</v>
      </c>
      <c r="G50" s="11">
        <f t="shared" si="11"/>
        <v>5508030</v>
      </c>
      <c r="H50" s="11">
        <f t="shared" si="12"/>
        <v>5508030</v>
      </c>
      <c r="I50" s="11">
        <f t="shared" si="13"/>
        <v>5508030</v>
      </c>
      <c r="J50" t="s">
        <v>1967</v>
      </c>
      <c r="L50" s="10"/>
      <c r="N50" s="99"/>
      <c r="O50" s="99"/>
      <c r="P50" s="99"/>
      <c r="Q50" s="99"/>
      <c r="R50" s="99"/>
      <c r="T50" s="99"/>
      <c r="U50" s="99"/>
      <c r="V50" s="99"/>
      <c r="W50" s="99"/>
      <c r="X50" s="99"/>
      <c r="Z50">
        <f>SUMIF(adj!$C$2:$C$1127,$A50,adj!E$2:E$1127)</f>
        <v>0.101606</v>
      </c>
      <c r="AA50">
        <f>SUMIF(adj!$C$2:$C$1127,$A50,adj!F$2:F$1127)</f>
        <v>0.101606</v>
      </c>
      <c r="AB50">
        <f>SUMIF(adj!$C$2:$C$1127,$A50,adj!G$2:G$1127)</f>
        <v>0.101606</v>
      </c>
      <c r="AC50">
        <f>SUMIF(adj!$C$2:$C$1127,$A50,adj!H$2:H$1127)</f>
        <v>0.101606</v>
      </c>
      <c r="AD50">
        <f>SUMIF(adj!$C$2:$C$1127,$A50,adj!I$2:I$1127)</f>
        <v>0.101606</v>
      </c>
    </row>
    <row r="51" spans="1:30" ht="10.5" customHeight="1">
      <c r="A51" s="573">
        <v>37</v>
      </c>
      <c r="B51" t="str">
        <f>DataNameProd1 &amp; " R&amp;D per New Family Brand"</f>
        <v>CSD R&amp;D per New Family Brand</v>
      </c>
      <c r="C51" t="s">
        <v>1483</v>
      </c>
      <c r="D51" s="11">
        <v>500000</v>
      </c>
      <c r="E51" s="11">
        <f t="shared" si="14"/>
        <v>500000</v>
      </c>
      <c r="F51" s="11">
        <f t="shared" si="15"/>
        <v>500000</v>
      </c>
      <c r="G51" s="11">
        <f t="shared" si="11"/>
        <v>500000</v>
      </c>
      <c r="H51" s="11">
        <f t="shared" si="12"/>
        <v>500000</v>
      </c>
      <c r="I51" s="11">
        <f t="shared" si="13"/>
        <v>500000</v>
      </c>
      <c r="J51" t="s">
        <v>3248</v>
      </c>
      <c r="L51" s="10"/>
      <c r="N51" s="99"/>
      <c r="O51" s="99"/>
      <c r="P51" s="99"/>
      <c r="Q51" s="99"/>
      <c r="R51" s="99"/>
      <c r="T51" s="99"/>
      <c r="U51" s="99"/>
      <c r="V51" s="99"/>
      <c r="W51" s="99"/>
      <c r="X51" s="99"/>
      <c r="Z51">
        <f>SUMIF(adj!$C$2:$C$1127,$A51,adj!E$2:E$1127)</f>
        <v>0</v>
      </c>
      <c r="AA51">
        <f>SUMIF(adj!$C$2:$C$1127,$A51,adj!F$2:F$1127)</f>
        <v>0</v>
      </c>
      <c r="AB51">
        <f>SUMIF(adj!$C$2:$C$1127,$A51,adj!G$2:G$1127)</f>
        <v>0</v>
      </c>
      <c r="AC51">
        <f>SUMIF(adj!$C$2:$C$1127,$A51,adj!H$2:H$1127)</f>
        <v>0</v>
      </c>
      <c r="AD51">
        <f>SUMIF(adj!$C$2:$C$1127,$A51,adj!I$2:I$1127)</f>
        <v>0</v>
      </c>
    </row>
    <row r="52" spans="1:30">
      <c r="A52" s="573">
        <v>37.1</v>
      </c>
      <c r="B52" t="str">
        <f>DataNameProd2 &amp; " R&amp;D per New Partner Brand"</f>
        <v>Breakthrough R&amp;D per New Partner Brand</v>
      </c>
      <c r="C52" t="s">
        <v>1483</v>
      </c>
      <c r="D52" s="11">
        <v>500000</v>
      </c>
      <c r="E52" s="11">
        <f t="shared" si="14"/>
        <v>500000</v>
      </c>
      <c r="F52" s="11">
        <f t="shared" si="15"/>
        <v>500000</v>
      </c>
      <c r="G52" s="11">
        <f t="shared" si="11"/>
        <v>500000</v>
      </c>
      <c r="H52" s="11">
        <f t="shared" si="12"/>
        <v>500000</v>
      </c>
      <c r="I52" s="11">
        <f t="shared" si="13"/>
        <v>500000</v>
      </c>
      <c r="J52" t="s">
        <v>3249</v>
      </c>
      <c r="L52" s="10"/>
      <c r="N52" s="99"/>
      <c r="O52" s="99"/>
      <c r="P52" s="99"/>
      <c r="Q52" s="99"/>
      <c r="R52" s="99"/>
      <c r="T52" s="99"/>
      <c r="U52" s="99"/>
      <c r="V52" s="99"/>
      <c r="W52" s="99"/>
      <c r="X52" s="99"/>
      <c r="Z52">
        <f>SUMIF(adj!$C$2:$C$1127,$A52,adj!E$2:E$1127)</f>
        <v>0</v>
      </c>
      <c r="AA52">
        <f>SUMIF(adj!$C$2:$C$1127,$A52,adj!F$2:F$1127)</f>
        <v>0</v>
      </c>
      <c r="AB52">
        <f>SUMIF(adj!$C$2:$C$1127,$A52,adj!G$2:G$1127)</f>
        <v>0</v>
      </c>
      <c r="AC52">
        <f>SUMIF(adj!$C$2:$C$1127,$A52,adj!H$2:H$1127)</f>
        <v>0</v>
      </c>
      <c r="AD52">
        <f>SUMIF(adj!$C$2:$C$1127,$A52,adj!I$2:I$1127)</f>
        <v>0</v>
      </c>
    </row>
    <row r="53" spans="1:30">
      <c r="A53" s="573">
        <v>37.200000000000003</v>
      </c>
      <c r="B53" t="str">
        <f>DataNameProd2 &amp; " R&amp;D per New Package Level"</f>
        <v>Breakthrough R&amp;D per New Package Level</v>
      </c>
      <c r="C53" t="s">
        <v>1483</v>
      </c>
      <c r="D53" s="11">
        <v>500000</v>
      </c>
      <c r="E53" s="11">
        <f t="shared" si="14"/>
        <v>500000</v>
      </c>
      <c r="F53" s="11">
        <f t="shared" si="15"/>
        <v>500000</v>
      </c>
      <c r="G53" s="11">
        <f t="shared" si="11"/>
        <v>500000</v>
      </c>
      <c r="H53" s="11">
        <f t="shared" si="12"/>
        <v>500000</v>
      </c>
      <c r="I53" s="11">
        <f t="shared" si="13"/>
        <v>500000</v>
      </c>
      <c r="J53" t="s">
        <v>3250</v>
      </c>
      <c r="L53" s="10"/>
      <c r="N53" s="99"/>
      <c r="O53" s="99"/>
      <c r="P53" s="99"/>
      <c r="Q53" s="99"/>
      <c r="R53" s="99"/>
      <c r="T53" s="99"/>
      <c r="U53" s="99"/>
      <c r="V53" s="99"/>
      <c r="W53" s="99"/>
      <c r="X53" s="99"/>
      <c r="Z53">
        <f>SUMIF(adj!$C$2:$C$1127,$A53,adj!E$2:E$1127)</f>
        <v>0</v>
      </c>
      <c r="AA53">
        <f>SUMIF(adj!$C$2:$C$1127,$A53,adj!F$2:F$1127)</f>
        <v>0</v>
      </c>
      <c r="AB53">
        <f>SUMIF(adj!$C$2:$C$1127,$A53,adj!G$2:G$1127)</f>
        <v>0</v>
      </c>
      <c r="AC53">
        <f>SUMIF(adj!$C$2:$C$1127,$A53,adj!H$2:H$1127)</f>
        <v>0</v>
      </c>
      <c r="AD53">
        <f>SUMIF(adj!$C$2:$C$1127,$A53,adj!I$2:I$1127)</f>
        <v>0</v>
      </c>
    </row>
    <row r="54" spans="1:30" ht="10.5" customHeight="1">
      <c r="A54" s="573">
        <v>38</v>
      </c>
      <c r="L54" s="10"/>
      <c r="N54" s="99"/>
      <c r="O54" s="99"/>
      <c r="P54" s="99"/>
      <c r="Q54" s="99"/>
      <c r="R54" s="99"/>
      <c r="T54" s="99"/>
      <c r="U54" s="99"/>
      <c r="V54" s="99"/>
      <c r="W54" s="99"/>
      <c r="X54" s="99"/>
      <c r="Z54">
        <f>SUMIF(adj!$C$2:$C$1127,$A54,adj!E$2:E$1127)</f>
        <v>0</v>
      </c>
      <c r="AA54">
        <f>SUMIF(adj!$C$2:$C$1127,$A54,adj!F$2:F$1127)</f>
        <v>0</v>
      </c>
      <c r="AB54">
        <f>SUMIF(adj!$C$2:$C$1127,$A54,adj!G$2:G$1127)</f>
        <v>0</v>
      </c>
      <c r="AC54">
        <f>SUMIF(adj!$C$2:$C$1127,$A54,adj!H$2:H$1127)</f>
        <v>0</v>
      </c>
      <c r="AD54">
        <f>SUMIF(adj!$C$2:$C$1127,$A54,adj!I$2:I$1127)</f>
        <v>0</v>
      </c>
    </row>
    <row r="55" spans="1:30" ht="10.5" customHeight="1">
      <c r="A55" s="573">
        <v>39</v>
      </c>
      <c r="B55" s="2" t="str">
        <f>DataNameProd3 &amp; " Paramaters"</f>
        <v>NCB Paramaters</v>
      </c>
      <c r="E55" s="2"/>
      <c r="L55" s="10"/>
      <c r="N55" s="99"/>
      <c r="O55" s="99"/>
      <c r="P55" s="99"/>
      <c r="Q55" s="99"/>
      <c r="R55" s="99"/>
      <c r="T55" s="99"/>
      <c r="U55" s="99"/>
      <c r="V55" s="99"/>
      <c r="W55" s="99"/>
      <c r="X55" s="99"/>
      <c r="Z55">
        <f>SUMIF(adj!$C$2:$C$1127,$A55,adj!E$2:E$1127)</f>
        <v>0</v>
      </c>
      <c r="AA55">
        <f>SUMIF(adj!$C$2:$C$1127,$A55,adj!F$2:F$1127)</f>
        <v>0</v>
      </c>
      <c r="AB55">
        <f>SUMIF(adj!$C$2:$C$1127,$A55,adj!G$2:G$1127)</f>
        <v>0</v>
      </c>
      <c r="AC55">
        <f>SUMIF(adj!$C$2:$C$1127,$A55,adj!H$2:H$1127)</f>
        <v>0</v>
      </c>
      <c r="AD55">
        <f>SUMIF(adj!$C$2:$C$1127,$A55,adj!I$2:I$1127)</f>
        <v>0</v>
      </c>
    </row>
    <row r="56" spans="1:30" ht="10.5" customHeight="1">
      <c r="A56" s="573">
        <v>40</v>
      </c>
      <c r="B56" t="str">
        <f>DataNameProd3 &amp; " Cycle Time"</f>
        <v>NCB Cycle Time</v>
      </c>
      <c r="C56" t="s">
        <v>1483</v>
      </c>
      <c r="D56">
        <v>0.2</v>
      </c>
      <c r="E56" s="397">
        <f>$D56*(1+T56+Z56*($C56="R"))+N56+Z56*($C56="A")</f>
        <v>0.21648481600000002</v>
      </c>
      <c r="F56" s="397">
        <f>$D56*(1+U56+AA56*($C56="R"))+O56+AA56*($C56="A")</f>
        <v>0.21648481600000002</v>
      </c>
      <c r="G56" s="397">
        <f t="shared" ref="G56:G80" si="19">$D56*(1+V56+AB56*($C56="R"))+P56+AB56*($C56="A")</f>
        <v>0.21648481600000002</v>
      </c>
      <c r="H56" s="397">
        <f t="shared" ref="H56:H80" si="20">$D56*(1+W56+AC56*($C56="R"))+Q56+AC56*($C56="A")</f>
        <v>0.21648481600000002</v>
      </c>
      <c r="I56" s="397">
        <f t="shared" ref="I56:I80" si="21">$D56*(1+X56+AD56*($C56="R"))+R56+AD56*($C56="A")</f>
        <v>0.21648481600000002</v>
      </c>
      <c r="J56" t="s">
        <v>1968</v>
      </c>
      <c r="L56" s="10"/>
      <c r="N56" s="99"/>
      <c r="O56" s="99"/>
      <c r="P56" s="99"/>
      <c r="Q56" s="99"/>
      <c r="R56" s="99"/>
      <c r="T56" s="99"/>
      <c r="U56" s="99"/>
      <c r="V56" s="99"/>
      <c r="W56" s="99"/>
      <c r="X56" s="99"/>
      <c r="Z56">
        <f>SUMIF(adj!$C$2:$C$1127,$A56,adj!E$2:E$1127)</f>
        <v>8.2424079999999997E-2</v>
      </c>
      <c r="AA56">
        <f>SUMIF(adj!$C$2:$C$1127,$A56,adj!F$2:F$1127)</f>
        <v>8.2424079999999997E-2</v>
      </c>
      <c r="AB56">
        <f>SUMIF(adj!$C$2:$C$1127,$A56,adj!G$2:G$1127)</f>
        <v>8.2424079999999997E-2</v>
      </c>
      <c r="AC56">
        <f>SUMIF(adj!$C$2:$C$1127,$A56,adj!H$2:H$1127)</f>
        <v>8.2424079999999997E-2</v>
      </c>
      <c r="AD56">
        <f>SUMIF(adj!$C$2:$C$1127,$A56,adj!I$2:I$1127)</f>
        <v>8.2424079999999997E-2</v>
      </c>
    </row>
    <row r="57" spans="1:30" s="1422" customFormat="1" ht="10.5" customHeight="1">
      <c r="A57" s="1421">
        <v>41</v>
      </c>
      <c r="B57" s="1422" t="str">
        <f>DataNameProd3 &amp; " Royalty Cost Per Unit"</f>
        <v>NCB Royalty Cost Per Unit</v>
      </c>
      <c r="C57" s="1422" t="s">
        <v>1483</v>
      </c>
      <c r="D57" s="1423">
        <v>22</v>
      </c>
      <c r="E57" s="1422">
        <f t="shared" ref="E57:E80" si="22">$D57*(1+T57+Z57*($C57="R"))+N57+Z57*($C57="A")</f>
        <v>22</v>
      </c>
      <c r="F57" s="1422">
        <f t="shared" ref="F57:F80" si="23">$D57*(1+U57+AA57*($C57="R"))+O57+AA57*($C57="A")</f>
        <v>22</v>
      </c>
      <c r="G57" s="1422">
        <f t="shared" si="19"/>
        <v>22</v>
      </c>
      <c r="H57" s="1422">
        <f t="shared" si="20"/>
        <v>22</v>
      </c>
      <c r="I57" s="1422">
        <f t="shared" si="21"/>
        <v>22</v>
      </c>
      <c r="J57" s="1422" t="s">
        <v>685</v>
      </c>
      <c r="L57" s="1424"/>
      <c r="N57" s="1425"/>
      <c r="O57" s="1425"/>
      <c r="P57" s="1425"/>
      <c r="Q57" s="1425"/>
      <c r="R57" s="1425"/>
      <c r="T57" s="1425"/>
      <c r="U57" s="1425"/>
      <c r="V57" s="1425"/>
      <c r="W57" s="1425"/>
      <c r="X57" s="1425"/>
      <c r="Z57" s="1422">
        <f>SUMIF(adj!$C$2:$C$1127,$A57,adj!E$2:E$1127)</f>
        <v>0</v>
      </c>
      <c r="AA57" s="1422">
        <f>SUMIF(adj!$C$2:$C$1127,$A57,adj!F$2:F$1127)</f>
        <v>0</v>
      </c>
      <c r="AB57" s="1422">
        <f>SUMIF(adj!$C$2:$C$1127,$A57,adj!G$2:G$1127)</f>
        <v>0</v>
      </c>
      <c r="AC57" s="1422">
        <f>SUMIF(adj!$C$2:$C$1127,$A57,adj!H$2:H$1127)</f>
        <v>0</v>
      </c>
      <c r="AD57" s="1422">
        <f>SUMIF(adj!$C$2:$C$1127,$A57,adj!I$2:I$1127)</f>
        <v>0</v>
      </c>
    </row>
    <row r="58" spans="1:30" s="1422" customFormat="1" ht="10.5" customHeight="1">
      <c r="A58" s="1421">
        <v>42</v>
      </c>
      <c r="B58" s="1422" t="str">
        <f>DataNameProd3 &amp; " Minimum Family Brand"</f>
        <v>NCB Minimum Family Brand</v>
      </c>
      <c r="C58" s="1422" t="s">
        <v>1483</v>
      </c>
      <c r="D58" s="1426">
        <v>0.8</v>
      </c>
      <c r="E58" s="1422">
        <f t="shared" ref="E58:I61" si="24">$D58*(1+T58+Z58*($C58="R"))+N58+Z58*($C58="A")</f>
        <v>0.8</v>
      </c>
      <c r="F58" s="1422">
        <f t="shared" si="24"/>
        <v>0.8</v>
      </c>
      <c r="G58" s="1422">
        <f t="shared" si="24"/>
        <v>0.8</v>
      </c>
      <c r="H58" s="1422">
        <f t="shared" si="24"/>
        <v>0.8</v>
      </c>
      <c r="I58" s="1422">
        <f t="shared" si="24"/>
        <v>0.8</v>
      </c>
      <c r="J58" s="1422" t="s">
        <v>686</v>
      </c>
      <c r="L58" s="1424"/>
      <c r="N58" s="1425"/>
      <c r="O58" s="1425"/>
      <c r="P58" s="1425"/>
      <c r="Q58" s="1425"/>
      <c r="R58" s="1425"/>
      <c r="T58" s="1425"/>
      <c r="U58" s="1425"/>
      <c r="V58" s="1425"/>
      <c r="W58" s="1425"/>
      <c r="X58" s="1425"/>
      <c r="Z58" s="1422">
        <f>SUMIF(adj!$C$2:$C$1127,$A58,adj!E$2:E$1127)</f>
        <v>0</v>
      </c>
      <c r="AA58" s="1422">
        <f>SUMIF(adj!$C$2:$C$1127,$A58,adj!F$2:F$1127)</f>
        <v>0</v>
      </c>
      <c r="AB58" s="1422">
        <f>SUMIF(adj!$C$2:$C$1127,$A58,adj!G$2:G$1127)</f>
        <v>0</v>
      </c>
      <c r="AC58" s="1422">
        <f>SUMIF(adj!$C$2:$C$1127,$A58,adj!H$2:H$1127)</f>
        <v>0</v>
      </c>
      <c r="AD58" s="1422">
        <f>SUMIF(adj!$C$2:$C$1127,$A58,adj!I$2:I$1127)</f>
        <v>0</v>
      </c>
    </row>
    <row r="59" spans="1:30" s="33" customFormat="1" ht="10.5" customHeight="1">
      <c r="A59" s="576">
        <v>43</v>
      </c>
      <c r="B59" s="33" t="str">
        <f>DataNameProd3 &amp; " Region A Marketing Spend Effectiveness"</f>
        <v>NCB Region A Marketing Spend Effectiveness</v>
      </c>
      <c r="C59" s="33" t="s">
        <v>1483</v>
      </c>
      <c r="D59" s="518">
        <v>1</v>
      </c>
      <c r="E59" s="462">
        <f t="shared" si="24"/>
        <v>1</v>
      </c>
      <c r="F59" s="462">
        <f t="shared" si="24"/>
        <v>1</v>
      </c>
      <c r="G59" s="462">
        <f t="shared" si="24"/>
        <v>1</v>
      </c>
      <c r="H59" s="462">
        <f t="shared" si="24"/>
        <v>1</v>
      </c>
      <c r="I59" s="462">
        <f t="shared" si="24"/>
        <v>1</v>
      </c>
      <c r="J59" s="33" t="s">
        <v>2559</v>
      </c>
      <c r="L59" s="142"/>
      <c r="N59" s="99"/>
      <c r="O59" s="99"/>
      <c r="P59" s="99"/>
      <c r="Q59" s="99"/>
      <c r="R59" s="99"/>
      <c r="S59"/>
      <c r="T59" s="99"/>
      <c r="U59" s="99"/>
      <c r="V59" s="99"/>
      <c r="W59" s="99"/>
      <c r="X59" s="99"/>
      <c r="Z59">
        <f>SUMIF(adj!$C$2:$C$1127,$A59,adj!E$2:E$1127)</f>
        <v>0</v>
      </c>
      <c r="AA59">
        <f>SUMIF(adj!$C$2:$C$1127,$A59,adj!F$2:F$1127)</f>
        <v>0</v>
      </c>
      <c r="AB59">
        <f>SUMIF(adj!$C$2:$C$1127,$A59,adj!G$2:G$1127)</f>
        <v>0</v>
      </c>
      <c r="AC59">
        <f>SUMIF(adj!$C$2:$C$1127,$A59,adj!H$2:H$1127)</f>
        <v>0</v>
      </c>
      <c r="AD59">
        <f>SUMIF(adj!$C$2:$C$1127,$A59,adj!I$2:I$1127)</f>
        <v>0</v>
      </c>
    </row>
    <row r="60" spans="1:30" s="33" customFormat="1" ht="10.5" customHeight="1">
      <c r="A60" s="576">
        <v>43.1</v>
      </c>
      <c r="B60" s="33" t="str">
        <f>DataNameProd3 &amp; " Region B Marketing Spend Effectiveness"</f>
        <v>NCB Region B Marketing Spend Effectiveness</v>
      </c>
      <c r="C60" s="33" t="s">
        <v>1483</v>
      </c>
      <c r="D60" s="518">
        <v>1</v>
      </c>
      <c r="E60" s="462">
        <f>$D60*(1+T60+Z60*($C60="R"))+N60+Z60*($C60="A")</f>
        <v>1</v>
      </c>
      <c r="F60" s="462">
        <f>$D60*(1+U60+AA60*($C60="R"))+O60+AA60*($C60="A")</f>
        <v>1</v>
      </c>
      <c r="G60" s="462">
        <f>$D60*(1+V60+AB60*($C60="R"))+P60+AB60*($C60="A")</f>
        <v>1</v>
      </c>
      <c r="H60" s="462">
        <f>$D60*(1+W60+AC60*($C60="R"))+Q60+AC60*($C60="A")</f>
        <v>1</v>
      </c>
      <c r="I60" s="462">
        <f>$D60*(1+X60+AD60*($C60="R"))+R60+AD60*($C60="A")</f>
        <v>1</v>
      </c>
      <c r="J60" s="33" t="s">
        <v>2560</v>
      </c>
      <c r="L60" s="142"/>
      <c r="N60" s="99"/>
      <c r="O60" s="99"/>
      <c r="P60" s="99"/>
      <c r="Q60" s="99"/>
      <c r="R60" s="99"/>
      <c r="S60"/>
      <c r="T60" s="99"/>
      <c r="U60" s="99"/>
      <c r="V60" s="99"/>
      <c r="W60" s="99"/>
      <c r="X60" s="99"/>
      <c r="Z60">
        <f>SUMIF(adj!$C$2:$C$1127,$A60,adj!E$2:E$1127)</f>
        <v>0</v>
      </c>
      <c r="AA60">
        <f>SUMIF(adj!$C$2:$C$1127,$A60,adj!F$2:F$1127)</f>
        <v>0</v>
      </c>
      <c r="AB60">
        <f>SUMIF(adj!$C$2:$C$1127,$A60,adj!G$2:G$1127)</f>
        <v>0</v>
      </c>
      <c r="AC60">
        <f>SUMIF(adj!$C$2:$C$1127,$A60,adj!H$2:H$1127)</f>
        <v>0</v>
      </c>
      <c r="AD60">
        <f>SUMIF(adj!$C$2:$C$1127,$A60,adj!I$2:I$1127)</f>
        <v>0</v>
      </c>
    </row>
    <row r="61" spans="1:30" ht="10.5" customHeight="1">
      <c r="A61" s="573">
        <v>44</v>
      </c>
      <c r="B61" t="str">
        <f>DataNameProd3 &amp; " % FG Retained Units"</f>
        <v>NCB % FG Retained Units</v>
      </c>
      <c r="C61" t="s">
        <v>3414</v>
      </c>
      <c r="D61">
        <v>0.25</v>
      </c>
      <c r="E61" s="397">
        <f t="shared" si="24"/>
        <v>0.25</v>
      </c>
      <c r="F61" s="397">
        <f t="shared" si="24"/>
        <v>0.25</v>
      </c>
      <c r="G61" s="397">
        <f t="shared" si="24"/>
        <v>0.25</v>
      </c>
      <c r="H61" s="397">
        <f t="shared" si="24"/>
        <v>0.25</v>
      </c>
      <c r="I61" s="397">
        <f t="shared" si="24"/>
        <v>0.25</v>
      </c>
      <c r="J61" t="s">
        <v>484</v>
      </c>
      <c r="L61" s="10"/>
      <c r="N61" s="99"/>
      <c r="O61" s="99"/>
      <c r="P61" s="99"/>
      <c r="Q61" s="99"/>
      <c r="R61" s="99"/>
      <c r="T61" s="99"/>
      <c r="U61" s="99"/>
      <c r="V61" s="99"/>
      <c r="W61" s="99"/>
      <c r="X61" s="99"/>
      <c r="Z61">
        <f>SUMIF(adj!$C$2:$C$1127,$A61,adj!E$2:E$1127)</f>
        <v>0</v>
      </c>
      <c r="AA61">
        <f>SUMIF(adj!$C$2:$C$1127,$A61,adj!F$2:F$1127)</f>
        <v>0</v>
      </c>
      <c r="AB61">
        <f>SUMIF(adj!$C$2:$C$1127,$A61,adj!G$2:G$1127)</f>
        <v>0</v>
      </c>
      <c r="AC61">
        <f>SUMIF(adj!$C$2:$C$1127,$A61,adj!H$2:H$1127)</f>
        <v>0</v>
      </c>
      <c r="AD61">
        <f>SUMIF(adj!$C$2:$C$1127,$A61,adj!I$2:I$1127)</f>
        <v>0</v>
      </c>
    </row>
    <row r="62" spans="1:30" ht="10.5" customHeight="1">
      <c r="A62" s="573">
        <v>45</v>
      </c>
      <c r="B62" t="str">
        <f>DataNameProd3 &amp; " Material Cost Per Unit"</f>
        <v>NCB Material Cost Per Unit</v>
      </c>
      <c r="C62" t="s">
        <v>1483</v>
      </c>
      <c r="D62" s="459">
        <v>3.7</v>
      </c>
      <c r="E62" s="459">
        <f t="shared" si="22"/>
        <v>4.004969096</v>
      </c>
      <c r="F62" s="459">
        <f t="shared" si="23"/>
        <v>4.004969096</v>
      </c>
      <c r="G62" s="459">
        <f t="shared" si="19"/>
        <v>4.004969096</v>
      </c>
      <c r="H62" s="459">
        <f t="shared" si="20"/>
        <v>4.004969096</v>
      </c>
      <c r="I62" s="459">
        <f t="shared" si="21"/>
        <v>4.004969096</v>
      </c>
      <c r="J62" t="s">
        <v>2934</v>
      </c>
      <c r="L62" s="10"/>
      <c r="M62" s="18"/>
      <c r="N62" s="99"/>
      <c r="O62" s="99"/>
      <c r="P62" s="99"/>
      <c r="Q62" s="99"/>
      <c r="R62" s="99"/>
      <c r="S62" s="358" t="s">
        <v>1529</v>
      </c>
      <c r="T62" s="917"/>
      <c r="U62" s="99"/>
      <c r="V62" s="917"/>
      <c r="W62" s="99"/>
      <c r="X62" s="99"/>
      <c r="Z62">
        <f>SUMIF(adj!$C$2:$C$1127,$A62,adj!E$2:E$1127)</f>
        <v>8.2424079999999997E-2</v>
      </c>
      <c r="AA62">
        <f>SUMIF(adj!$C$2:$C$1127,$A62,adj!F$2:F$1127)</f>
        <v>8.2424079999999997E-2</v>
      </c>
      <c r="AB62">
        <f>SUMIF(adj!$C$2:$C$1127,$A62,adj!G$2:G$1127)</f>
        <v>8.2424079999999997E-2</v>
      </c>
      <c r="AC62">
        <f>SUMIF(adj!$C$2:$C$1127,$A62,adj!H$2:H$1127)</f>
        <v>8.2424079999999997E-2</v>
      </c>
      <c r="AD62">
        <f>SUMIF(adj!$C$2:$C$1127,$A62,adj!I$2:I$1127)</f>
        <v>8.2424079999999997E-2</v>
      </c>
    </row>
    <row r="63" spans="1:30">
      <c r="A63" s="573">
        <v>45.1</v>
      </c>
      <c r="B63" t="str">
        <f>DataNameProd3 &amp; " Disposal Cost As % of Mat Cost"</f>
        <v>NCB Disposal Cost As % of Mat Cost</v>
      </c>
      <c r="C63" t="s">
        <v>1483</v>
      </c>
      <c r="D63" s="15">
        <v>1</v>
      </c>
      <c r="E63" s="15">
        <f t="shared" si="22"/>
        <v>1</v>
      </c>
      <c r="F63" s="15">
        <f t="shared" si="23"/>
        <v>1</v>
      </c>
      <c r="G63" s="15">
        <f t="shared" si="19"/>
        <v>1</v>
      </c>
      <c r="H63" s="15">
        <f t="shared" si="20"/>
        <v>1</v>
      </c>
      <c r="I63" s="15">
        <f t="shared" si="21"/>
        <v>1</v>
      </c>
      <c r="J63" t="s">
        <v>2861</v>
      </c>
      <c r="L63" s="10"/>
      <c r="M63" s="18"/>
      <c r="N63" s="99"/>
      <c r="O63" s="99"/>
      <c r="P63" s="99"/>
      <c r="Q63" s="99"/>
      <c r="R63" s="99"/>
      <c r="S63" s="358"/>
      <c r="T63" s="917"/>
      <c r="U63" s="99"/>
      <c r="V63" s="917"/>
      <c r="W63" s="99"/>
      <c r="X63" s="99"/>
      <c r="Z63">
        <f>SUMIF(adj!$C$2:$C$1127,$A63,adj!E$2:E$1127)</f>
        <v>0</v>
      </c>
      <c r="AA63">
        <f>SUMIF(adj!$C$2:$C$1127,$A63,adj!F$2:F$1127)</f>
        <v>0</v>
      </c>
      <c r="AB63">
        <f>SUMIF(adj!$C$2:$C$1127,$A63,adj!G$2:G$1127)</f>
        <v>0</v>
      </c>
      <c r="AC63">
        <f>SUMIF(adj!$C$2:$C$1127,$A63,adj!H$2:H$1127)</f>
        <v>0</v>
      </c>
      <c r="AD63">
        <f>SUMIF(adj!$C$2:$C$1127,$A63,adj!I$2:I$1127)</f>
        <v>0</v>
      </c>
    </row>
    <row r="64" spans="1:30">
      <c r="A64" s="573">
        <v>45.2</v>
      </c>
      <c r="B64" t="str">
        <f>DataNameProd3 &amp; " Reg1 Disposal Cost As % of Mat Cost"</f>
        <v>NCB Reg1 Disposal Cost As % of Mat Cost</v>
      </c>
      <c r="C64" t="s">
        <v>1483</v>
      </c>
      <c r="D64" s="15">
        <v>0.5</v>
      </c>
      <c r="E64" s="15">
        <f t="shared" si="22"/>
        <v>0.5</v>
      </c>
      <c r="F64" s="15">
        <f t="shared" si="23"/>
        <v>0.5</v>
      </c>
      <c r="G64" s="15">
        <f t="shared" si="19"/>
        <v>0.5</v>
      </c>
      <c r="H64" s="15">
        <f t="shared" si="20"/>
        <v>0.5</v>
      </c>
      <c r="I64" s="15">
        <f t="shared" si="21"/>
        <v>0.5</v>
      </c>
      <c r="J64" t="s">
        <v>2862</v>
      </c>
      <c r="L64" s="10"/>
      <c r="M64" s="18"/>
      <c r="N64" s="99"/>
      <c r="O64" s="99"/>
      <c r="P64" s="99"/>
      <c r="Q64" s="99"/>
      <c r="R64" s="99"/>
      <c r="S64" s="358"/>
      <c r="T64" s="917"/>
      <c r="U64" s="99"/>
      <c r="V64" s="917"/>
      <c r="W64" s="99"/>
      <c r="X64" s="99"/>
      <c r="Z64">
        <f>SUMIF(adj!$C$2:$C$1127,$A64,adj!E$2:E$1127)</f>
        <v>0</v>
      </c>
      <c r="AA64">
        <f>SUMIF(adj!$C$2:$C$1127,$A64,adj!F$2:F$1127)</f>
        <v>0</v>
      </c>
      <c r="AB64">
        <f>SUMIF(adj!$C$2:$C$1127,$A64,adj!G$2:G$1127)</f>
        <v>0</v>
      </c>
      <c r="AC64">
        <f>SUMIF(adj!$C$2:$C$1127,$A64,adj!H$2:H$1127)</f>
        <v>0</v>
      </c>
      <c r="AD64">
        <f>SUMIF(adj!$C$2:$C$1127,$A64,adj!I$2:I$1127)</f>
        <v>0</v>
      </c>
    </row>
    <row r="65" spans="1:30" ht="10.5" customHeight="1">
      <c r="A65" s="573">
        <v>46</v>
      </c>
      <c r="B65" t="str">
        <f>DataNameProd3 &amp; " Materials Inventory As % of Production"</f>
        <v>NCB Materials Inventory As % of Production</v>
      </c>
      <c r="C65" t="s">
        <v>1483</v>
      </c>
      <c r="D65" s="12">
        <v>0.1</v>
      </c>
      <c r="E65" s="12">
        <f t="shared" si="22"/>
        <v>0.10412120400000001</v>
      </c>
      <c r="F65" s="12">
        <f t="shared" si="23"/>
        <v>0.10412120400000001</v>
      </c>
      <c r="G65" s="12">
        <f t="shared" si="19"/>
        <v>0.10412120400000001</v>
      </c>
      <c r="H65" s="12">
        <f t="shared" si="20"/>
        <v>0.10412120400000001</v>
      </c>
      <c r="I65" s="12">
        <f t="shared" si="21"/>
        <v>0.10412120400000001</v>
      </c>
      <c r="J65" t="s">
        <v>2832</v>
      </c>
      <c r="L65" s="10"/>
      <c r="N65" s="99"/>
      <c r="O65" s="99"/>
      <c r="P65" s="99"/>
      <c r="Q65" s="99"/>
      <c r="R65" s="99"/>
      <c r="T65" s="99"/>
      <c r="U65" s="99"/>
      <c r="V65" s="917"/>
      <c r="W65" s="99"/>
      <c r="X65" s="99"/>
      <c r="Z65">
        <f>SUMIF(adj!$C$2:$C$1127,$A65,adj!E$2:E$1127)</f>
        <v>4.1212039999999998E-2</v>
      </c>
      <c r="AA65">
        <f>SUMIF(adj!$C$2:$C$1127,$A65,adj!F$2:F$1127)</f>
        <v>4.1212039999999998E-2</v>
      </c>
      <c r="AB65">
        <f>SUMIF(adj!$C$2:$C$1127,$A65,adj!G$2:G$1127)</f>
        <v>4.1212039999999998E-2</v>
      </c>
      <c r="AC65">
        <f>SUMIF(adj!$C$2:$C$1127,$A65,adj!H$2:H$1127)</f>
        <v>4.1212039999999998E-2</v>
      </c>
      <c r="AD65">
        <f>SUMIF(adj!$C$2:$C$1127,$A65,adj!I$2:I$1127)</f>
        <v>4.1212039999999998E-2</v>
      </c>
    </row>
    <row r="66" spans="1:30" ht="10.5" customHeight="1">
      <c r="A66" s="573">
        <v>47</v>
      </c>
      <c r="B66" t="str">
        <f>DataNameProd3 &amp; " Labor Hours Req. Per Unit"</f>
        <v>NCB Labor Hours Req. Per Unit</v>
      </c>
      <c r="C66" t="s">
        <v>1483</v>
      </c>
      <c r="D66">
        <v>8.7999999999999995E-2</v>
      </c>
      <c r="E66" s="1159">
        <f t="shared" si="22"/>
        <v>9.1626659520000001E-2</v>
      </c>
      <c r="F66" s="1159">
        <f t="shared" si="23"/>
        <v>9.1626659520000001E-2</v>
      </c>
      <c r="G66" s="1159">
        <f t="shared" si="19"/>
        <v>9.1626659520000001E-2</v>
      </c>
      <c r="H66" s="1159">
        <f t="shared" si="20"/>
        <v>9.1626659520000001E-2</v>
      </c>
      <c r="I66" s="1159">
        <f t="shared" si="21"/>
        <v>9.1626659520000001E-2</v>
      </c>
      <c r="J66" t="s">
        <v>2833</v>
      </c>
      <c r="L66" s="10"/>
      <c r="M66" s="18"/>
      <c r="N66" s="99"/>
      <c r="O66" s="99"/>
      <c r="P66" s="99"/>
      <c r="Q66" s="99"/>
      <c r="R66" s="99"/>
      <c r="T66" s="917"/>
      <c r="U66" s="99"/>
      <c r="V66" s="99"/>
      <c r="W66" s="99"/>
      <c r="X66" s="99"/>
      <c r="Z66">
        <f>SUMIF(adj!$C$2:$C$1127,$A66,adj!E$2:E$1127)</f>
        <v>4.1212039999999998E-2</v>
      </c>
      <c r="AA66">
        <f>SUMIF(adj!$C$2:$C$1127,$A66,adj!F$2:F$1127)</f>
        <v>4.1212039999999998E-2</v>
      </c>
      <c r="AB66">
        <f>SUMIF(adj!$C$2:$C$1127,$A66,adj!G$2:G$1127)</f>
        <v>4.1212039999999998E-2</v>
      </c>
      <c r="AC66">
        <f>SUMIF(adj!$C$2:$C$1127,$A66,adj!H$2:H$1127)</f>
        <v>4.1212039999999998E-2</v>
      </c>
      <c r="AD66">
        <f>SUMIF(adj!$C$2:$C$1127,$A66,adj!I$2:I$1127)</f>
        <v>4.1212039999999998E-2</v>
      </c>
    </row>
    <row r="67" spans="1:30" ht="10.5" customHeight="1">
      <c r="A67" s="573">
        <v>48</v>
      </c>
      <c r="B67" t="str">
        <f>DataNameProd3 &amp; " Machinery Hours Req. Per Unit"</f>
        <v>NCB Machinery Hours Req. Per Unit</v>
      </c>
      <c r="C67" t="s">
        <v>1483</v>
      </c>
      <c r="D67">
        <v>2.0799999999999998E-3</v>
      </c>
      <c r="E67" s="1159">
        <f t="shared" si="22"/>
        <v>2.1657210431999998E-3</v>
      </c>
      <c r="F67" s="1159">
        <f t="shared" si="23"/>
        <v>2.1657210431999998E-3</v>
      </c>
      <c r="G67" s="1159">
        <f t="shared" si="19"/>
        <v>2.1657210431999998E-3</v>
      </c>
      <c r="H67" s="1159">
        <f t="shared" si="20"/>
        <v>2.1657210431999998E-3</v>
      </c>
      <c r="I67" s="1159">
        <f t="shared" si="21"/>
        <v>2.1657210431999998E-3</v>
      </c>
      <c r="J67" t="s">
        <v>2834</v>
      </c>
      <c r="L67" s="10"/>
      <c r="M67" s="18"/>
      <c r="N67" s="99"/>
      <c r="O67" s="99"/>
      <c r="P67" s="99"/>
      <c r="Q67" s="99"/>
      <c r="R67" s="99"/>
      <c r="T67" s="917"/>
      <c r="U67" s="99"/>
      <c r="V67" s="917"/>
      <c r="W67" s="99"/>
      <c r="X67" s="99"/>
      <c r="Z67">
        <f>SUMIF(adj!$C$2:$C$1127,$A67,adj!E$2:E$1127)</f>
        <v>4.1212039999999998E-2</v>
      </c>
      <c r="AA67">
        <f>SUMIF(adj!$C$2:$C$1127,$A67,adj!F$2:F$1127)</f>
        <v>4.1212039999999998E-2</v>
      </c>
      <c r="AB67">
        <f>SUMIF(adj!$C$2:$C$1127,$A67,adj!G$2:G$1127)</f>
        <v>4.1212039999999998E-2</v>
      </c>
      <c r="AC67">
        <f>SUMIF(adj!$C$2:$C$1127,$A67,adj!H$2:H$1127)</f>
        <v>4.1212039999999998E-2</v>
      </c>
      <c r="AD67">
        <f>SUMIF(adj!$C$2:$C$1127,$A67,adj!I$2:I$1127)</f>
        <v>4.1212039999999998E-2</v>
      </c>
    </row>
    <row r="68" spans="1:30" ht="10.5" customHeight="1">
      <c r="A68" s="573">
        <v>49</v>
      </c>
      <c r="B68" t="str">
        <f>DataNameProd3 &amp; " Engineers Required"</f>
        <v>NCB Engineers Required</v>
      </c>
      <c r="C68" t="s">
        <v>1483</v>
      </c>
      <c r="D68">
        <v>100</v>
      </c>
      <c r="E68">
        <f t="shared" si="22"/>
        <v>100</v>
      </c>
      <c r="F68">
        <f t="shared" si="23"/>
        <v>100</v>
      </c>
      <c r="G68">
        <f t="shared" si="19"/>
        <v>100</v>
      </c>
      <c r="H68">
        <f t="shared" si="20"/>
        <v>100</v>
      </c>
      <c r="I68">
        <f t="shared" si="21"/>
        <v>100</v>
      </c>
      <c r="J68" t="s">
        <v>2835</v>
      </c>
      <c r="L68" s="10"/>
      <c r="N68" s="99"/>
      <c r="O68" s="99"/>
      <c r="P68" s="99"/>
      <c r="Q68" s="99"/>
      <c r="R68" s="99"/>
      <c r="T68" s="99"/>
      <c r="U68" s="99"/>
      <c r="V68" s="99"/>
      <c r="W68" s="99"/>
      <c r="X68" s="99"/>
      <c r="Z68">
        <f>SUMIF(adj!$C$2:$C$1127,$A68,adj!E$2:E$1127)</f>
        <v>0</v>
      </c>
      <c r="AA68">
        <f>SUMIF(adj!$C$2:$C$1127,$A68,adj!F$2:F$1127)</f>
        <v>0</v>
      </c>
      <c r="AB68">
        <f>SUMIF(adj!$C$2:$C$1127,$A68,adj!G$2:G$1127)</f>
        <v>0</v>
      </c>
      <c r="AC68">
        <f>SUMIF(adj!$C$2:$C$1127,$A68,adj!H$2:H$1127)</f>
        <v>0</v>
      </c>
      <c r="AD68">
        <f>SUMIF(adj!$C$2:$C$1127,$A68,adj!I$2:I$1127)</f>
        <v>0</v>
      </c>
    </row>
    <row r="69" spans="1:30" ht="10.5" customHeight="1">
      <c r="A69" s="573">
        <v>50</v>
      </c>
      <c r="B69" t="str">
        <f>DataNameProd3 &amp; " Inventory Handling % of Closing Value"</f>
        <v>NCB Inventory Handling % of Closing Value</v>
      </c>
      <c r="C69" t="s">
        <v>1483</v>
      </c>
      <c r="D69" s="12">
        <v>0.15</v>
      </c>
      <c r="E69" s="12">
        <f t="shared" si="22"/>
        <v>0.15</v>
      </c>
      <c r="F69" s="12">
        <f t="shared" si="23"/>
        <v>0.15</v>
      </c>
      <c r="G69" s="12">
        <f t="shared" si="19"/>
        <v>0.15</v>
      </c>
      <c r="H69" s="12">
        <f t="shared" si="20"/>
        <v>0.15</v>
      </c>
      <c r="I69" s="12">
        <f t="shared" si="21"/>
        <v>0.15</v>
      </c>
      <c r="J69" t="s">
        <v>2836</v>
      </c>
      <c r="L69" s="10"/>
      <c r="N69" s="99"/>
      <c r="O69" s="99"/>
      <c r="P69" s="99"/>
      <c r="Q69" s="99"/>
      <c r="R69" s="99"/>
      <c r="T69" s="917"/>
      <c r="U69" s="99"/>
      <c r="V69" s="917"/>
      <c r="W69" s="99"/>
      <c r="X69" s="99"/>
      <c r="Z69">
        <f>SUMIF(adj!$C$2:$C$1127,$A69,adj!E$2:E$1127)</f>
        <v>0</v>
      </c>
      <c r="AA69">
        <f>SUMIF(adj!$C$2:$C$1127,$A69,adj!F$2:F$1127)</f>
        <v>0</v>
      </c>
      <c r="AB69">
        <f>SUMIF(adj!$C$2:$C$1127,$A69,adj!G$2:G$1127)</f>
        <v>0</v>
      </c>
      <c r="AC69">
        <f>SUMIF(adj!$C$2:$C$1127,$A69,adj!H$2:H$1127)</f>
        <v>0</v>
      </c>
      <c r="AD69">
        <f>SUMIF(adj!$C$2:$C$1127,$A69,adj!I$2:I$1127)</f>
        <v>0</v>
      </c>
    </row>
    <row r="70" spans="1:30" ht="10.5" customHeight="1">
      <c r="A70" s="573">
        <v>51</v>
      </c>
      <c r="B70" t="str">
        <f>DataNameProd3 &amp; " Distribution Costs for Reg. 1"</f>
        <v>NCB Distribution Costs for Reg. 1</v>
      </c>
      <c r="C70" t="s">
        <v>1483</v>
      </c>
      <c r="D70" s="431">
        <v>0.89</v>
      </c>
      <c r="E70" s="1427">
        <f t="shared" si="22"/>
        <v>0.93554493120000004</v>
      </c>
      <c r="F70" s="1427">
        <f t="shared" si="23"/>
        <v>0.93554493120000004</v>
      </c>
      <c r="G70" s="1427">
        <f t="shared" si="19"/>
        <v>0.93554493120000004</v>
      </c>
      <c r="H70" s="1427">
        <f t="shared" si="20"/>
        <v>0.93554493120000004</v>
      </c>
      <c r="I70" s="1427">
        <f t="shared" si="21"/>
        <v>0.93554493120000004</v>
      </c>
      <c r="J70" t="s">
        <v>1983</v>
      </c>
      <c r="L70" s="10"/>
      <c r="M70" s="18"/>
      <c r="N70" s="99"/>
      <c r="O70" s="99"/>
      <c r="P70" s="99"/>
      <c r="Q70" s="99"/>
      <c r="R70" s="99"/>
      <c r="S70" s="358" t="s">
        <v>1529</v>
      </c>
      <c r="T70" s="917"/>
      <c r="U70" s="99"/>
      <c r="V70" s="99"/>
      <c r="W70" s="99"/>
      <c r="X70" s="99"/>
      <c r="Z70">
        <f>SUMIF(adj!$C$2:$C$1127,$A70,adj!E$2:E$1127)</f>
        <v>5.1174079999999997E-2</v>
      </c>
      <c r="AA70">
        <f>SUMIF(adj!$C$2:$C$1127,$A70,adj!F$2:F$1127)</f>
        <v>5.1174079999999997E-2</v>
      </c>
      <c r="AB70">
        <f>SUMIF(adj!$C$2:$C$1127,$A70,adj!G$2:G$1127)</f>
        <v>5.1174079999999997E-2</v>
      </c>
      <c r="AC70">
        <f>SUMIF(adj!$C$2:$C$1127,$A70,adj!H$2:H$1127)</f>
        <v>5.1174079999999997E-2</v>
      </c>
      <c r="AD70">
        <f>SUMIF(adj!$C$2:$C$1127,$A70,adj!I$2:I$1127)</f>
        <v>5.1174079999999997E-2</v>
      </c>
    </row>
    <row r="71" spans="1:30" ht="10.5" customHeight="1">
      <c r="A71" s="573">
        <v>52</v>
      </c>
      <c r="B71" t="str">
        <f>DataNameProd3 &amp; " Distribution Costs for Reg. 2"</f>
        <v>NCB Distribution Costs for Reg. 2</v>
      </c>
      <c r="C71" t="s">
        <v>1483</v>
      </c>
      <c r="D71" s="431">
        <v>0.99</v>
      </c>
      <c r="E71" s="1427">
        <f>$D71*(1+T71+Z71*($C71="R"))+N71+Z71*($C71="A")</f>
        <v>1.0703187792</v>
      </c>
      <c r="F71" s="1427">
        <f>$D71*(1+U71+AA71*($C71="R"))+O71+AA71*($C71="A")</f>
        <v>1.0703187792</v>
      </c>
      <c r="G71" s="1427">
        <f>$D71*(1+V71+AB71*($C71="R"))+P71+AB71*($C71="A")</f>
        <v>1.0703187792</v>
      </c>
      <c r="H71" s="1427">
        <f>$D71*(1+W71+AC71*($C71="R"))+Q71+AC71*($C71="A")</f>
        <v>1.0703187792</v>
      </c>
      <c r="I71" s="1427">
        <f>$D71*(1+X71+AD71*($C71="R"))+R71+AD71*($C71="A")</f>
        <v>1.0703187792</v>
      </c>
      <c r="J71" t="s">
        <v>1984</v>
      </c>
      <c r="L71" s="10"/>
      <c r="M71" s="18"/>
      <c r="N71" s="99"/>
      <c r="O71" s="99"/>
      <c r="P71" s="99"/>
      <c r="Q71" s="99"/>
      <c r="R71" s="99"/>
      <c r="S71" s="358" t="s">
        <v>1529</v>
      </c>
      <c r="T71" s="917"/>
      <c r="U71" s="99"/>
      <c r="V71" s="99"/>
      <c r="W71" s="99"/>
      <c r="X71" s="99"/>
      <c r="Z71">
        <f>SUMIF(adj!$C$2:$C$1127,$A71,adj!E$2:E$1127)</f>
        <v>8.1130079999999993E-2</v>
      </c>
      <c r="AA71">
        <f>SUMIF(adj!$C$2:$C$1127,$A71,adj!F$2:F$1127)</f>
        <v>8.1130079999999993E-2</v>
      </c>
      <c r="AB71">
        <f>SUMIF(adj!$C$2:$C$1127,$A71,adj!G$2:G$1127)</f>
        <v>8.1130079999999993E-2</v>
      </c>
      <c r="AC71">
        <f>SUMIF(adj!$C$2:$C$1127,$A71,adj!H$2:H$1127)</f>
        <v>8.1130079999999993E-2</v>
      </c>
      <c r="AD71">
        <f>SUMIF(adj!$C$2:$C$1127,$A71,adj!I$2:I$1127)</f>
        <v>8.1130079999999993E-2</v>
      </c>
    </row>
    <row r="72" spans="1:30" ht="10.5" customHeight="1">
      <c r="A72" s="573">
        <v>53</v>
      </c>
      <c r="B72" s="33" t="str">
        <f>DataNameProd3 &amp; " Reg. 1 Sales Force Hrs. Required"</f>
        <v>NCB Reg. 1 Sales Force Hrs. Required</v>
      </c>
      <c r="C72" s="33" t="s">
        <v>1483</v>
      </c>
      <c r="D72" s="1420">
        <v>7.3000000000000001E-3</v>
      </c>
      <c r="E72" s="1428">
        <f t="shared" ref="E72:I73" si="25">$D72*(1+T72+Z72*($C72="R"))+N72+Z72*($C72="A")</f>
        <v>7.3000000000000001E-3</v>
      </c>
      <c r="F72" s="1428">
        <f t="shared" si="25"/>
        <v>7.3000000000000001E-3</v>
      </c>
      <c r="G72" s="1428">
        <f t="shared" si="25"/>
        <v>7.3000000000000001E-3</v>
      </c>
      <c r="H72" s="1428">
        <f t="shared" si="25"/>
        <v>7.3000000000000001E-3</v>
      </c>
      <c r="I72" s="1428">
        <f t="shared" si="25"/>
        <v>7.3000000000000001E-3</v>
      </c>
      <c r="J72" s="33" t="s">
        <v>1928</v>
      </c>
      <c r="L72" s="10"/>
      <c r="N72" s="99"/>
      <c r="O72" s="99"/>
      <c r="P72" s="99"/>
      <c r="Q72" s="99"/>
      <c r="R72" s="99"/>
      <c r="T72" s="99"/>
      <c r="U72" s="99"/>
      <c r="V72" s="99"/>
      <c r="W72" s="99"/>
      <c r="X72" s="99"/>
      <c r="Z72">
        <f>SUMIF(adj!$C$2:$C$1127,$A72,adj!E$2:E$1127)</f>
        <v>0</v>
      </c>
      <c r="AA72">
        <f>SUMIF(adj!$C$2:$C$1127,$A72,adj!F$2:F$1127)</f>
        <v>0</v>
      </c>
      <c r="AB72">
        <f>SUMIF(adj!$C$2:$C$1127,$A72,adj!G$2:G$1127)</f>
        <v>0</v>
      </c>
      <c r="AC72">
        <f>SUMIF(adj!$C$2:$C$1127,$A72,adj!H$2:H$1127)</f>
        <v>0</v>
      </c>
      <c r="AD72">
        <f>SUMIF(adj!$C$2:$C$1127,$A72,adj!I$2:I$1127)</f>
        <v>0</v>
      </c>
    </row>
    <row r="73" spans="1:30" ht="10.5" customHeight="1">
      <c r="A73" s="573">
        <v>54</v>
      </c>
      <c r="B73" s="33" t="str">
        <f>DataNameProd3 &amp; " Reg. 2 Sales Force Hrs. Required"</f>
        <v>NCB Reg. 2 Sales Force Hrs. Required</v>
      </c>
      <c r="C73" s="33" t="s">
        <v>1483</v>
      </c>
      <c r="D73" s="1420">
        <v>7.6E-3</v>
      </c>
      <c r="E73" s="1428">
        <f t="shared" si="25"/>
        <v>8.8094260000000004E-3</v>
      </c>
      <c r="F73" s="1428">
        <f t="shared" si="25"/>
        <v>8.8094260000000004E-3</v>
      </c>
      <c r="G73" s="1428">
        <f t="shared" si="25"/>
        <v>8.8094260000000004E-3</v>
      </c>
      <c r="H73" s="1428">
        <f t="shared" si="25"/>
        <v>8.8094260000000004E-3</v>
      </c>
      <c r="I73" s="1428">
        <f t="shared" si="25"/>
        <v>8.8094260000000004E-3</v>
      </c>
      <c r="J73" s="33" t="s">
        <v>1929</v>
      </c>
      <c r="L73" s="10"/>
      <c r="N73" s="99"/>
      <c r="O73" s="99"/>
      <c r="P73" s="99"/>
      <c r="Q73" s="99"/>
      <c r="R73" s="99"/>
      <c r="T73" s="99"/>
      <c r="U73" s="99"/>
      <c r="V73" s="99"/>
      <c r="W73" s="99"/>
      <c r="X73" s="99"/>
      <c r="Z73">
        <f>SUMIF(adj!$C$2:$C$1127,$A73,adj!E$2:E$1127)</f>
        <v>0.15913500000000003</v>
      </c>
      <c r="AA73">
        <f>SUMIF(adj!$C$2:$C$1127,$A73,adj!F$2:F$1127)</f>
        <v>0.15913500000000003</v>
      </c>
      <c r="AB73">
        <f>SUMIF(adj!$C$2:$C$1127,$A73,adj!G$2:G$1127)</f>
        <v>0.15913500000000003</v>
      </c>
      <c r="AC73">
        <f>SUMIF(adj!$C$2:$C$1127,$A73,adj!H$2:H$1127)</f>
        <v>0.15913500000000003</v>
      </c>
      <c r="AD73">
        <f>SUMIF(adj!$C$2:$C$1127,$A73,adj!I$2:I$1127)</f>
        <v>0.15913500000000003</v>
      </c>
    </row>
    <row r="74" spans="1:30" ht="10.5" customHeight="1">
      <c r="A74" s="573">
        <v>55</v>
      </c>
      <c r="B74" t="str">
        <f>DataNameProd3 &amp; " Admin Costs"</f>
        <v>NCB Admin Costs</v>
      </c>
      <c r="C74" t="s">
        <v>1483</v>
      </c>
      <c r="D74" s="11">
        <v>100000000</v>
      </c>
      <c r="E74" s="11">
        <f t="shared" si="22"/>
        <v>120363008</v>
      </c>
      <c r="F74" s="11">
        <f t="shared" si="23"/>
        <v>120363008</v>
      </c>
      <c r="G74" s="11">
        <f t="shared" si="19"/>
        <v>120363008</v>
      </c>
      <c r="H74" s="11">
        <f t="shared" si="20"/>
        <v>120363008</v>
      </c>
      <c r="I74" s="11">
        <f t="shared" si="21"/>
        <v>120363008</v>
      </c>
      <c r="J74" t="s">
        <v>2837</v>
      </c>
      <c r="L74" s="10"/>
      <c r="N74" s="99"/>
      <c r="O74" s="99"/>
      <c r="P74" s="99"/>
      <c r="Q74" s="99"/>
      <c r="R74" s="99"/>
      <c r="T74" s="99"/>
      <c r="U74" s="99"/>
      <c r="V74" s="99"/>
      <c r="W74" s="99"/>
      <c r="X74" s="99"/>
      <c r="Z74">
        <f>SUMIF(adj!$C$2:$C$1127,$A74,adj!E$2:E$1127)</f>
        <v>0.20363007999999999</v>
      </c>
      <c r="AA74">
        <f>SUMIF(adj!$C$2:$C$1127,$A74,adj!F$2:F$1127)</f>
        <v>0.20363007999999999</v>
      </c>
      <c r="AB74">
        <f>SUMIF(adj!$C$2:$C$1127,$A74,adj!G$2:G$1127)</f>
        <v>0.20363007999999999</v>
      </c>
      <c r="AC74">
        <f>SUMIF(adj!$C$2:$C$1127,$A74,adj!H$2:H$1127)</f>
        <v>0.20363007999999999</v>
      </c>
      <c r="AD74">
        <f>SUMIF(adj!$C$2:$C$1127,$A74,adj!I$2:I$1127)</f>
        <v>0.20363007999999999</v>
      </c>
    </row>
    <row r="75" spans="1:30" ht="10.5" customHeight="1">
      <c r="A75" s="573">
        <v>56</v>
      </c>
      <c r="B75" t="str">
        <f>DataNameProd3 &amp; " R&amp;D per New Family Brand"</f>
        <v>NCB R&amp;D per New Family Brand</v>
      </c>
      <c r="C75" t="s">
        <v>1483</v>
      </c>
      <c r="D75" s="11">
        <v>3000000</v>
      </c>
      <c r="E75" s="11">
        <f t="shared" si="22"/>
        <v>3000000</v>
      </c>
      <c r="F75" s="11">
        <f t="shared" si="23"/>
        <v>3000000</v>
      </c>
      <c r="G75" s="11">
        <f t="shared" si="19"/>
        <v>3000000</v>
      </c>
      <c r="H75" s="11">
        <f t="shared" si="20"/>
        <v>3000000</v>
      </c>
      <c r="I75" s="11">
        <f t="shared" si="21"/>
        <v>3000000</v>
      </c>
      <c r="J75" t="s">
        <v>3251</v>
      </c>
      <c r="L75" s="10"/>
      <c r="N75" s="99"/>
      <c r="O75" s="99"/>
      <c r="P75" s="99"/>
      <c r="Q75" s="99"/>
      <c r="R75" s="99"/>
      <c r="T75" s="99"/>
      <c r="U75" s="99"/>
      <c r="V75" s="99"/>
      <c r="W75" s="99"/>
      <c r="X75" s="99"/>
      <c r="Z75">
        <f>SUMIF(adj!$C$2:$C$1127,$A75,adj!E$2:E$1127)</f>
        <v>0</v>
      </c>
      <c r="AA75">
        <f>SUMIF(adj!$C$2:$C$1127,$A75,adj!F$2:F$1127)</f>
        <v>0</v>
      </c>
      <c r="AB75">
        <f>SUMIF(adj!$C$2:$C$1127,$A75,adj!G$2:G$1127)</f>
        <v>0</v>
      </c>
      <c r="AC75">
        <f>SUMIF(adj!$C$2:$C$1127,$A75,adj!H$2:H$1127)</f>
        <v>0</v>
      </c>
      <c r="AD75">
        <f>SUMIF(adj!$C$2:$C$1127,$A75,adj!I$2:I$1127)</f>
        <v>0</v>
      </c>
    </row>
    <row r="76" spans="1:30" ht="10.5" customHeight="1">
      <c r="A76" s="573">
        <v>56.1</v>
      </c>
      <c r="B76" t="str">
        <f>DataNameProd3 &amp; " R&amp;D per New Partner Brand"</f>
        <v>NCB R&amp;D per New Partner Brand</v>
      </c>
      <c r="C76" t="s">
        <v>1483</v>
      </c>
      <c r="D76" s="11">
        <v>1500000</v>
      </c>
      <c r="E76" s="11">
        <f t="shared" ref="E76:I79" si="26">$D76*(1+T76+Z76*($C76="R"))+N76+Z76*($C76="A")</f>
        <v>1500000</v>
      </c>
      <c r="F76" s="11">
        <f t="shared" si="26"/>
        <v>1500000</v>
      </c>
      <c r="G76" s="11">
        <f t="shared" si="26"/>
        <v>1500000</v>
      </c>
      <c r="H76" s="11">
        <f t="shared" si="26"/>
        <v>1500000</v>
      </c>
      <c r="I76" s="11">
        <f t="shared" si="26"/>
        <v>1500000</v>
      </c>
      <c r="J76" t="s">
        <v>3252</v>
      </c>
      <c r="L76" s="10"/>
      <c r="N76" s="99"/>
      <c r="O76" s="99"/>
      <c r="P76" s="99"/>
      <c r="Q76" s="99"/>
      <c r="R76" s="99"/>
      <c r="T76" s="99"/>
      <c r="U76" s="99"/>
      <c r="V76" s="99"/>
      <c r="W76" s="99"/>
      <c r="X76" s="99"/>
      <c r="Z76">
        <f>SUMIF(adj!$C$2:$C$1127,$A76,adj!E$2:E$1127)</f>
        <v>0</v>
      </c>
      <c r="AA76">
        <f>SUMIF(adj!$C$2:$C$1127,$A76,adj!F$2:F$1127)</f>
        <v>0</v>
      </c>
      <c r="AB76">
        <f>SUMIF(adj!$C$2:$C$1127,$A76,adj!G$2:G$1127)</f>
        <v>0</v>
      </c>
      <c r="AC76">
        <f>SUMIF(adj!$C$2:$C$1127,$A76,adj!H$2:H$1127)</f>
        <v>0</v>
      </c>
      <c r="AD76">
        <f>SUMIF(adj!$C$2:$C$1127,$A76,adj!I$2:I$1127)</f>
        <v>0</v>
      </c>
    </row>
    <row r="77" spans="1:30" ht="10.5" customHeight="1">
      <c r="A77" s="573">
        <v>56.2</v>
      </c>
      <c r="B77" t="str">
        <f>DataNameProd3 &amp; " R&amp;D per New Package Level"</f>
        <v>NCB R&amp;D per New Package Level</v>
      </c>
      <c r="C77" t="s">
        <v>1483</v>
      </c>
      <c r="D77" s="11">
        <v>2000000</v>
      </c>
      <c r="E77" s="11">
        <f t="shared" si="26"/>
        <v>2000000</v>
      </c>
      <c r="F77" s="11">
        <f t="shared" si="26"/>
        <v>2000000</v>
      </c>
      <c r="G77" s="11">
        <f t="shared" si="26"/>
        <v>2000000</v>
      </c>
      <c r="H77" s="11">
        <f t="shared" si="26"/>
        <v>2000000</v>
      </c>
      <c r="I77" s="11">
        <f t="shared" si="26"/>
        <v>2000000</v>
      </c>
      <c r="J77" t="s">
        <v>2706</v>
      </c>
      <c r="L77" s="10"/>
      <c r="N77" s="99"/>
      <c r="O77" s="99"/>
      <c r="P77" s="99"/>
      <c r="Q77" s="99"/>
      <c r="R77" s="99"/>
      <c r="T77" s="99"/>
      <c r="U77" s="99"/>
      <c r="V77" s="99"/>
      <c r="W77" s="99"/>
      <c r="X77" s="99"/>
      <c r="Z77">
        <f>SUMIF(adj!$C$2:$C$1127,$A77,adj!E$2:E$1127)</f>
        <v>0</v>
      </c>
      <c r="AA77">
        <f>SUMIF(adj!$C$2:$C$1127,$A77,adj!F$2:F$1127)</f>
        <v>0</v>
      </c>
      <c r="AB77">
        <f>SUMIF(adj!$C$2:$C$1127,$A77,adj!G$2:G$1127)</f>
        <v>0</v>
      </c>
      <c r="AC77">
        <f>SUMIF(adj!$C$2:$C$1127,$A77,adj!H$2:H$1127)</f>
        <v>0</v>
      </c>
      <c r="AD77">
        <f>SUMIF(adj!$C$2:$C$1127,$A77,adj!I$2:I$1127)</f>
        <v>0</v>
      </c>
    </row>
    <row r="78" spans="1:30" ht="10.5" customHeight="1">
      <c r="A78" s="573">
        <v>56.3</v>
      </c>
      <c r="B78" t="str">
        <f>DataNameProd3 &amp; " Innovation "&amp;DataNameProd3Seg1</f>
        <v>NCB Innovation Vetera</v>
      </c>
      <c r="C78" t="s">
        <v>3414</v>
      </c>
      <c r="D78" s="11">
        <v>0</v>
      </c>
      <c r="E78" s="11">
        <f t="shared" si="26"/>
        <v>0</v>
      </c>
      <c r="F78" s="11">
        <f t="shared" si="26"/>
        <v>0</v>
      </c>
      <c r="G78" s="11">
        <f t="shared" si="26"/>
        <v>0</v>
      </c>
      <c r="H78" s="11">
        <f t="shared" si="26"/>
        <v>0</v>
      </c>
      <c r="I78" s="11">
        <f t="shared" si="26"/>
        <v>0</v>
      </c>
      <c r="J78" t="s">
        <v>1373</v>
      </c>
      <c r="L78" s="10"/>
      <c r="N78" s="99"/>
      <c r="O78" s="99"/>
      <c r="P78" s="99"/>
      <c r="Q78" s="99"/>
      <c r="R78" s="99"/>
      <c r="T78" s="99"/>
      <c r="U78" s="99"/>
      <c r="V78" s="99"/>
      <c r="W78" s="99"/>
      <c r="X78" s="99"/>
      <c r="Z78">
        <f>SUMIF(adj!$C$2:$C$1127,$A78,adj!E$2:E$1127)</f>
        <v>0</v>
      </c>
      <c r="AA78">
        <f>SUMIF(adj!$C$2:$C$1127,$A78,adj!F$2:F$1127)</f>
        <v>0</v>
      </c>
      <c r="AB78">
        <f>SUMIF(adj!$C$2:$C$1127,$A78,adj!G$2:G$1127)</f>
        <v>0</v>
      </c>
      <c r="AC78">
        <f>SUMIF(adj!$C$2:$C$1127,$A78,adj!H$2:H$1127)</f>
        <v>0</v>
      </c>
      <c r="AD78">
        <f>SUMIF(adj!$C$2:$C$1127,$A78,adj!I$2:I$1127)</f>
        <v>0</v>
      </c>
    </row>
    <row r="79" spans="1:30" ht="10.5" customHeight="1">
      <c r="A79" s="573">
        <v>56.4</v>
      </c>
      <c r="B79" t="str">
        <f>DataNameProd3 &amp; " Innovation "&amp;DataNameProd3Seg2</f>
        <v>NCB Innovation Escendia</v>
      </c>
      <c r="C79" t="s">
        <v>3414</v>
      </c>
      <c r="D79" s="11">
        <v>0</v>
      </c>
      <c r="E79" s="11">
        <f t="shared" si="26"/>
        <v>0</v>
      </c>
      <c r="F79" s="11">
        <f t="shared" si="26"/>
        <v>0</v>
      </c>
      <c r="G79" s="11">
        <f t="shared" si="26"/>
        <v>0</v>
      </c>
      <c r="H79" s="11">
        <f t="shared" si="26"/>
        <v>0</v>
      </c>
      <c r="I79" s="11">
        <f t="shared" si="26"/>
        <v>0</v>
      </c>
      <c r="J79" t="s">
        <v>844</v>
      </c>
      <c r="L79" s="10"/>
      <c r="N79" s="99"/>
      <c r="O79" s="99"/>
      <c r="P79" s="99"/>
      <c r="Q79" s="99"/>
      <c r="R79" s="99"/>
      <c r="T79" s="99"/>
      <c r="U79" s="99"/>
      <c r="V79" s="99"/>
      <c r="W79" s="99"/>
      <c r="X79" s="99"/>
      <c r="Z79">
        <f>SUMIF(adj!$C$2:$C$1127,$A79,adj!E$2:E$1127)</f>
        <v>0</v>
      </c>
      <c r="AA79">
        <f>SUMIF(adj!$C$2:$C$1127,$A79,adj!F$2:F$1127)</f>
        <v>0</v>
      </c>
      <c r="AB79">
        <f>SUMIF(adj!$C$2:$C$1127,$A79,adj!G$2:G$1127)</f>
        <v>0</v>
      </c>
      <c r="AC79">
        <f>SUMIF(adj!$C$2:$C$1127,$A79,adj!H$2:H$1127)</f>
        <v>0</v>
      </c>
      <c r="AD79">
        <f>SUMIF(adj!$C$2:$C$1127,$A79,adj!I$2:I$1127)</f>
        <v>0</v>
      </c>
    </row>
    <row r="80" spans="1:30" ht="10.5" customHeight="1">
      <c r="A80" s="573">
        <v>57</v>
      </c>
      <c r="D80">
        <v>0</v>
      </c>
      <c r="E80">
        <f t="shared" si="22"/>
        <v>0</v>
      </c>
      <c r="F80">
        <f t="shared" si="23"/>
        <v>0</v>
      </c>
      <c r="G80">
        <f t="shared" si="19"/>
        <v>0</v>
      </c>
      <c r="H80">
        <f t="shared" si="20"/>
        <v>0</v>
      </c>
      <c r="I80">
        <f t="shared" si="21"/>
        <v>0</v>
      </c>
      <c r="L80" s="10"/>
      <c r="N80" s="99"/>
      <c r="O80" s="99"/>
      <c r="P80" s="99"/>
      <c r="Q80" s="99"/>
      <c r="R80" s="99"/>
      <c r="T80" s="99"/>
      <c r="U80" s="99"/>
      <c r="V80" s="99"/>
      <c r="W80" s="99"/>
      <c r="X80" s="99"/>
      <c r="Z80">
        <f>SUMIF(adj!$C$2:$C$1127,$A80,adj!E$2:E$1127)</f>
        <v>0</v>
      </c>
      <c r="AA80">
        <f>SUMIF(adj!$C$2:$C$1127,$A80,adj!F$2:F$1127)</f>
        <v>0</v>
      </c>
      <c r="AB80">
        <f>SUMIF(adj!$C$2:$C$1127,$A80,adj!G$2:G$1127)</f>
        <v>0</v>
      </c>
      <c r="AC80">
        <f>SUMIF(adj!$C$2:$C$1127,$A80,adj!H$2:H$1127)</f>
        <v>0</v>
      </c>
      <c r="AD80">
        <f>SUMIF(adj!$C$2:$C$1127,$A80,adj!I$2:I$1127)</f>
        <v>0</v>
      </c>
    </row>
    <row r="81" spans="1:30" ht="10.5" customHeight="1">
      <c r="A81" s="573">
        <v>58</v>
      </c>
      <c r="B81" s="2" t="str">
        <f>DataNameProd4 &amp; " Paramaters"</f>
        <v>F&amp;S Paramaters</v>
      </c>
      <c r="D81" s="130"/>
      <c r="E81" s="2"/>
      <c r="L81" s="10"/>
      <c r="N81" s="99"/>
      <c r="O81" s="99"/>
      <c r="P81" s="99"/>
      <c r="Q81" s="99"/>
      <c r="R81" s="99"/>
      <c r="T81" s="99"/>
      <c r="U81" s="99"/>
      <c r="V81" s="99"/>
      <c r="W81" s="99"/>
      <c r="X81" s="99"/>
      <c r="Z81">
        <f>SUMIF(adj!$C$2:$C$1127,$A81,adj!E$2:E$1127)</f>
        <v>0</v>
      </c>
      <c r="AA81">
        <f>SUMIF(adj!$C$2:$C$1127,$A81,adj!F$2:F$1127)</f>
        <v>0</v>
      </c>
      <c r="AB81">
        <f>SUMIF(adj!$C$2:$C$1127,$A81,adj!G$2:G$1127)</f>
        <v>0</v>
      </c>
      <c r="AC81">
        <f>SUMIF(adj!$C$2:$C$1127,$A81,adj!H$2:H$1127)</f>
        <v>0</v>
      </c>
      <c r="AD81">
        <f>SUMIF(adj!$C$2:$C$1127,$A81,adj!I$2:I$1127)</f>
        <v>0</v>
      </c>
    </row>
    <row r="82" spans="1:30" ht="10.5" customHeight="1">
      <c r="A82" s="573">
        <v>59</v>
      </c>
      <c r="B82" t="str">
        <f>DataNameProd4 &amp; " Cycle Time"</f>
        <v>F&amp;S Cycle Time</v>
      </c>
      <c r="C82" t="s">
        <v>1483</v>
      </c>
      <c r="D82">
        <v>0.4</v>
      </c>
      <c r="E82" s="397">
        <f>$D82*(1+T82+Z82*($C82="R"))+N82+Z82*($C82="A")</f>
        <v>0.43296963200000005</v>
      </c>
      <c r="F82" s="397">
        <f>$D82*(1+U82+AA82*($C82="R"))+O82+AA82*($C82="A")</f>
        <v>0.43296963200000005</v>
      </c>
      <c r="G82" s="397">
        <f t="shared" ref="G82:G103" si="27">$D82*(1+V82+AB82*($C82="R"))+P82+AB82*($C82="A")</f>
        <v>0.43296963200000005</v>
      </c>
      <c r="H82" s="397">
        <f t="shared" ref="H82:H103" si="28">$D82*(1+W82+AC82*($C82="R"))+Q82+AC82*($C82="A")</f>
        <v>0.43296963200000005</v>
      </c>
      <c r="I82" s="397">
        <f t="shared" ref="I82:I103" si="29">$D82*(1+X82+AD82*($C82="R"))+R82+AD82*($C82="A")</f>
        <v>0.43296963200000005</v>
      </c>
      <c r="J82" t="s">
        <v>2838</v>
      </c>
      <c r="L82" s="10"/>
      <c r="N82" s="99"/>
      <c r="O82" s="99"/>
      <c r="P82" s="99"/>
      <c r="Q82" s="99"/>
      <c r="R82" s="99"/>
      <c r="T82" s="99"/>
      <c r="U82" s="99"/>
      <c r="V82" s="99"/>
      <c r="W82" s="99"/>
      <c r="X82" s="99"/>
      <c r="Z82">
        <f>SUMIF(adj!$C$2:$C$1127,$A82,adj!E$2:E$1127)</f>
        <v>8.2424079999999997E-2</v>
      </c>
      <c r="AA82">
        <f>SUMIF(adj!$C$2:$C$1127,$A82,adj!F$2:F$1127)</f>
        <v>8.2424079999999997E-2</v>
      </c>
      <c r="AB82">
        <f>SUMIF(adj!$C$2:$C$1127,$A82,adj!G$2:G$1127)</f>
        <v>8.2424079999999997E-2</v>
      </c>
      <c r="AC82">
        <f>SUMIF(adj!$C$2:$C$1127,$A82,adj!H$2:H$1127)</f>
        <v>8.2424079999999997E-2</v>
      </c>
      <c r="AD82">
        <f>SUMIF(adj!$C$2:$C$1127,$A82,adj!I$2:I$1127)</f>
        <v>8.2424079999999997E-2</v>
      </c>
    </row>
    <row r="83" spans="1:30" s="1422" customFormat="1" ht="10.5" customHeight="1">
      <c r="A83" s="1421">
        <v>60</v>
      </c>
      <c r="B83" s="1422" t="str">
        <f>DataNameProd4 &amp; " Royalty Cost Per Unit"</f>
        <v>F&amp;S Royalty Cost Per Unit</v>
      </c>
      <c r="C83" s="1422" t="s">
        <v>1483</v>
      </c>
      <c r="D83" s="1423">
        <v>24</v>
      </c>
      <c r="E83" s="1422">
        <f t="shared" ref="E83:E103" si="30">$D83*(1+T83+Z83*($C83="R"))+N83+Z83*($C83="A")</f>
        <v>24</v>
      </c>
      <c r="F83" s="1422">
        <f t="shared" ref="F83:F103" si="31">$D83*(1+U83+AA83*($C83="R"))+O83+AA83*($C83="A")</f>
        <v>24</v>
      </c>
      <c r="G83" s="1422">
        <f t="shared" si="27"/>
        <v>24</v>
      </c>
      <c r="H83" s="1422">
        <f t="shared" si="28"/>
        <v>24</v>
      </c>
      <c r="I83" s="1422">
        <f t="shared" si="29"/>
        <v>24</v>
      </c>
      <c r="J83" s="1422" t="s">
        <v>1502</v>
      </c>
      <c r="L83" s="1424"/>
      <c r="N83" s="1425"/>
      <c r="O83" s="1425"/>
      <c r="P83" s="1425"/>
      <c r="Q83" s="1425"/>
      <c r="R83" s="1425"/>
      <c r="T83" s="1425"/>
      <c r="U83" s="1425"/>
      <c r="V83" s="1425"/>
      <c r="W83" s="1425"/>
      <c r="X83" s="1425"/>
      <c r="Z83" s="1422">
        <f>SUMIF(adj!$C$2:$C$1127,$A83,adj!E$2:E$1127)</f>
        <v>0</v>
      </c>
      <c r="AA83" s="1422">
        <f>SUMIF(adj!$C$2:$C$1127,$A83,adj!F$2:F$1127)</f>
        <v>0</v>
      </c>
      <c r="AB83" s="1422">
        <f>SUMIF(adj!$C$2:$C$1127,$A83,adj!G$2:G$1127)</f>
        <v>0</v>
      </c>
      <c r="AC83" s="1422">
        <f>SUMIF(adj!$C$2:$C$1127,$A83,adj!H$2:H$1127)</f>
        <v>0</v>
      </c>
      <c r="AD83" s="1422">
        <f>SUMIF(adj!$C$2:$C$1127,$A83,adj!I$2:I$1127)</f>
        <v>0</v>
      </c>
    </row>
    <row r="84" spans="1:30" s="1422" customFormat="1" ht="10.5" customHeight="1">
      <c r="A84" s="1421">
        <v>61</v>
      </c>
      <c r="B84" s="1422" t="str">
        <f>DataNameProd4 &amp; " Minimum Family Brand"</f>
        <v>F&amp;S Minimum Family Brand</v>
      </c>
      <c r="C84" s="1422" t="s">
        <v>1483</v>
      </c>
      <c r="D84" s="1426">
        <v>0.2</v>
      </c>
      <c r="E84" s="1422">
        <f t="shared" ref="E84:I89" si="32">$D84*(1+T84+Z84*($C84="R"))+N84+Z84*($C84="A")</f>
        <v>0.2</v>
      </c>
      <c r="F84" s="1422">
        <f t="shared" si="32"/>
        <v>0.2</v>
      </c>
      <c r="G84" s="1422">
        <f t="shared" si="32"/>
        <v>0.2</v>
      </c>
      <c r="H84" s="1422">
        <f t="shared" si="32"/>
        <v>0.2</v>
      </c>
      <c r="I84" s="1422">
        <f t="shared" si="32"/>
        <v>0.2</v>
      </c>
      <c r="J84" s="1422" t="s">
        <v>2252</v>
      </c>
      <c r="L84" s="1424"/>
      <c r="N84" s="1425"/>
      <c r="O84" s="1425"/>
      <c r="P84" s="1425"/>
      <c r="Q84" s="1425"/>
      <c r="R84" s="1425"/>
      <c r="T84" s="1425"/>
      <c r="U84" s="1425"/>
      <c r="V84" s="1425"/>
      <c r="W84" s="1425"/>
      <c r="X84" s="1425"/>
      <c r="Z84" s="1422">
        <f>SUMIF(adj!$C$2:$C$1127,$A84,adj!E$2:E$1127)</f>
        <v>0</v>
      </c>
      <c r="AA84" s="1422">
        <f>SUMIF(adj!$C$2:$C$1127,$A84,adj!F$2:F$1127)</f>
        <v>0</v>
      </c>
      <c r="AB84" s="1422">
        <f>SUMIF(adj!$C$2:$C$1127,$A84,adj!G$2:G$1127)</f>
        <v>0</v>
      </c>
      <c r="AC84" s="1422">
        <f>SUMIF(adj!$C$2:$C$1127,$A84,adj!H$2:H$1127)</f>
        <v>0</v>
      </c>
      <c r="AD84" s="1422">
        <f>SUMIF(adj!$C$2:$C$1127,$A84,adj!I$2:I$1127)</f>
        <v>0</v>
      </c>
    </row>
    <row r="85" spans="1:30" s="33" customFormat="1" ht="10.5" customHeight="1">
      <c r="A85" s="576">
        <v>62</v>
      </c>
      <c r="B85" s="33" t="str">
        <f>DataNameProd4 &amp; " Speciality Brand Material Cost Per Unit"</f>
        <v>F&amp;S Speciality Brand Material Cost Per Unit</v>
      </c>
      <c r="C85" s="33" t="s">
        <v>1483</v>
      </c>
      <c r="D85" s="462">
        <v>1.75</v>
      </c>
      <c r="E85" s="33">
        <f t="shared" si="32"/>
        <v>1.75</v>
      </c>
      <c r="F85" s="33">
        <f t="shared" si="32"/>
        <v>1.75</v>
      </c>
      <c r="G85" s="33">
        <f t="shared" si="32"/>
        <v>1.75</v>
      </c>
      <c r="H85" s="33">
        <f t="shared" si="32"/>
        <v>1.75</v>
      </c>
      <c r="I85" s="33">
        <f t="shared" si="32"/>
        <v>1.75</v>
      </c>
      <c r="J85" s="33" t="s">
        <v>464</v>
      </c>
      <c r="L85" s="142"/>
      <c r="N85" s="99"/>
      <c r="O85" s="99"/>
      <c r="P85" s="99"/>
      <c r="Q85" s="99"/>
      <c r="R85" s="99"/>
      <c r="S85"/>
      <c r="T85" s="917"/>
      <c r="U85" s="99"/>
      <c r="V85" s="917"/>
      <c r="W85" s="99"/>
      <c r="X85" s="99"/>
      <c r="Z85">
        <f>SUMIF(adj!$C$2:$C$1127,$A85,adj!E$2:E$1127)</f>
        <v>0</v>
      </c>
      <c r="AA85">
        <f>SUMIF(adj!$C$2:$C$1127,$A85,adj!F$2:F$1127)</f>
        <v>0</v>
      </c>
      <c r="AB85">
        <f>SUMIF(adj!$C$2:$C$1127,$A85,adj!G$2:G$1127)</f>
        <v>0</v>
      </c>
      <c r="AC85">
        <f>SUMIF(adj!$C$2:$C$1127,$A85,adj!H$2:H$1127)</f>
        <v>0</v>
      </c>
      <c r="AD85">
        <f>SUMIF(adj!$C$2:$C$1127,$A85,adj!I$2:I$1127)</f>
        <v>0</v>
      </c>
    </row>
    <row r="86" spans="1:30" ht="10.5" customHeight="1">
      <c r="A86" s="573">
        <v>63</v>
      </c>
      <c r="B86" t="str">
        <f>DataNameProd4 &amp; " % FG Retained Units"</f>
        <v>F&amp;S % FG Retained Units</v>
      </c>
      <c r="C86" t="s">
        <v>3414</v>
      </c>
      <c r="D86">
        <v>0.2</v>
      </c>
      <c r="E86">
        <f t="shared" si="32"/>
        <v>0.2</v>
      </c>
      <c r="F86">
        <f t="shared" si="32"/>
        <v>0.2</v>
      </c>
      <c r="G86">
        <f t="shared" si="32"/>
        <v>0.2</v>
      </c>
      <c r="H86">
        <f t="shared" si="32"/>
        <v>0.2</v>
      </c>
      <c r="I86">
        <f t="shared" si="32"/>
        <v>0.2</v>
      </c>
      <c r="J86" t="s">
        <v>485</v>
      </c>
      <c r="L86" s="10"/>
      <c r="N86" s="99"/>
      <c r="O86" s="99"/>
      <c r="P86" s="99"/>
      <c r="Q86" s="99"/>
      <c r="R86" s="99"/>
      <c r="T86" s="99"/>
      <c r="U86" s="99"/>
      <c r="V86" s="99"/>
      <c r="W86" s="99"/>
      <c r="X86" s="99"/>
      <c r="Z86">
        <f>SUMIF(adj!$C$2:$C$1127,$A86,adj!E$2:E$1127)</f>
        <v>0</v>
      </c>
      <c r="AA86">
        <f>SUMIF(adj!$C$2:$C$1127,$A86,adj!F$2:F$1127)</f>
        <v>0</v>
      </c>
      <c r="AB86">
        <f>SUMIF(adj!$C$2:$C$1127,$A86,adj!G$2:G$1127)</f>
        <v>0</v>
      </c>
      <c r="AC86">
        <f>SUMIF(adj!$C$2:$C$1127,$A86,adj!H$2:H$1127)</f>
        <v>0</v>
      </c>
      <c r="AD86">
        <f>SUMIF(adj!$C$2:$C$1127,$A86,adj!I$2:I$1127)</f>
        <v>0</v>
      </c>
    </row>
    <row r="87" spans="1:30" ht="10.5" customHeight="1">
      <c r="A87" s="573">
        <v>64</v>
      </c>
      <c r="B87" t="str">
        <f>DataNameProd4 &amp; " Material Cost Per Unit"</f>
        <v>F&amp;S Material Cost Per Unit</v>
      </c>
      <c r="C87" t="s">
        <v>1483</v>
      </c>
      <c r="D87">
        <v>2.95</v>
      </c>
      <c r="E87" s="397">
        <f t="shared" si="30"/>
        <v>3.3147265540000004</v>
      </c>
      <c r="F87" s="397">
        <f t="shared" si="32"/>
        <v>3.3147265540000004</v>
      </c>
      <c r="G87" s="397">
        <f t="shared" si="32"/>
        <v>3.3147265540000004</v>
      </c>
      <c r="H87" s="397">
        <f t="shared" si="32"/>
        <v>3.3147265540000004</v>
      </c>
      <c r="I87" s="397">
        <f t="shared" si="32"/>
        <v>3.3147265540000004</v>
      </c>
      <c r="J87" t="s">
        <v>2839</v>
      </c>
      <c r="L87" s="10"/>
      <c r="M87" s="18"/>
      <c r="N87" s="99"/>
      <c r="O87" s="99"/>
      <c r="P87" s="99"/>
      <c r="Q87" s="99"/>
      <c r="R87" s="99"/>
      <c r="S87" s="358" t="s">
        <v>1529</v>
      </c>
      <c r="T87" s="917"/>
      <c r="U87" s="99"/>
      <c r="V87" s="917"/>
      <c r="W87" s="99"/>
      <c r="X87" s="99"/>
      <c r="Z87">
        <f>SUMIF(adj!$C$2:$C$1127,$A87,adj!E$2:E$1127)</f>
        <v>0.12363611999999999</v>
      </c>
      <c r="AA87">
        <f>SUMIF(adj!$C$2:$C$1127,$A87,adj!F$2:F$1127)</f>
        <v>0.12363611999999999</v>
      </c>
      <c r="AB87">
        <f>SUMIF(adj!$C$2:$C$1127,$A87,adj!G$2:G$1127)</f>
        <v>0.12363611999999999</v>
      </c>
      <c r="AC87">
        <f>SUMIF(adj!$C$2:$C$1127,$A87,adj!H$2:H$1127)</f>
        <v>0.12363611999999999</v>
      </c>
      <c r="AD87">
        <f>SUMIF(adj!$C$2:$C$1127,$A87,adj!I$2:I$1127)</f>
        <v>0.12363611999999999</v>
      </c>
    </row>
    <row r="88" spans="1:30">
      <c r="A88" s="573">
        <v>64.099999999999994</v>
      </c>
      <c r="B88" t="str">
        <f>DataNameProd4 &amp; " Disposal Cost As % of Mat Cost"</f>
        <v>F&amp;S Disposal Cost As % of Mat Cost</v>
      </c>
      <c r="C88" t="s">
        <v>1483</v>
      </c>
      <c r="D88" s="15">
        <v>1</v>
      </c>
      <c r="E88" s="15">
        <f t="shared" si="30"/>
        <v>1</v>
      </c>
      <c r="F88" s="15">
        <f t="shared" si="32"/>
        <v>1</v>
      </c>
      <c r="G88" s="15">
        <f t="shared" si="32"/>
        <v>1</v>
      </c>
      <c r="H88" s="15">
        <f t="shared" si="32"/>
        <v>1</v>
      </c>
      <c r="I88" s="15">
        <f t="shared" si="32"/>
        <v>1</v>
      </c>
      <c r="J88" t="s">
        <v>2863</v>
      </c>
      <c r="L88" s="10"/>
      <c r="M88" s="18"/>
      <c r="N88" s="99"/>
      <c r="O88" s="99"/>
      <c r="P88" s="99"/>
      <c r="Q88" s="99"/>
      <c r="R88" s="99"/>
      <c r="S88" s="358"/>
      <c r="T88" s="917"/>
      <c r="U88" s="99"/>
      <c r="V88" s="917"/>
      <c r="W88" s="99"/>
      <c r="X88" s="99"/>
      <c r="Z88">
        <f>SUMIF(adj!$C$2:$C$1127,$A88,adj!E$2:E$1127)</f>
        <v>0</v>
      </c>
      <c r="AA88">
        <f>SUMIF(adj!$C$2:$C$1127,$A88,adj!F$2:F$1127)</f>
        <v>0</v>
      </c>
      <c r="AB88">
        <f>SUMIF(adj!$C$2:$C$1127,$A88,adj!G$2:G$1127)</f>
        <v>0</v>
      </c>
      <c r="AC88">
        <f>SUMIF(adj!$C$2:$C$1127,$A88,adj!H$2:H$1127)</f>
        <v>0</v>
      </c>
      <c r="AD88">
        <f>SUMIF(adj!$C$2:$C$1127,$A88,adj!I$2:I$1127)</f>
        <v>0</v>
      </c>
    </row>
    <row r="89" spans="1:30">
      <c r="A89" s="573">
        <v>64.2</v>
      </c>
      <c r="B89" t="str">
        <f>DataNameProd4 &amp; " Reg1 Disposal Cost As % of Mat Cost"</f>
        <v>F&amp;S Reg1 Disposal Cost As % of Mat Cost</v>
      </c>
      <c r="C89" t="s">
        <v>1483</v>
      </c>
      <c r="D89" s="15">
        <v>0.5</v>
      </c>
      <c r="E89" s="15">
        <f t="shared" si="30"/>
        <v>0.5</v>
      </c>
      <c r="F89" s="15">
        <f t="shared" si="32"/>
        <v>0.5</v>
      </c>
      <c r="G89" s="15">
        <f t="shared" si="32"/>
        <v>0.5</v>
      </c>
      <c r="H89" s="15">
        <f t="shared" si="32"/>
        <v>0.5</v>
      </c>
      <c r="I89" s="15">
        <f t="shared" si="32"/>
        <v>0.5</v>
      </c>
      <c r="J89" t="s">
        <v>2864</v>
      </c>
      <c r="L89" s="10"/>
      <c r="M89" s="18"/>
      <c r="N89" s="99"/>
      <c r="O89" s="99"/>
      <c r="P89" s="99"/>
      <c r="Q89" s="99"/>
      <c r="R89" s="99"/>
      <c r="S89" s="358"/>
      <c r="T89" s="917"/>
      <c r="U89" s="99"/>
      <c r="V89" s="917"/>
      <c r="W89" s="99"/>
      <c r="X89" s="99"/>
      <c r="Z89">
        <f>SUMIF(adj!$C$2:$C$1127,$A89,adj!E$2:E$1127)</f>
        <v>0</v>
      </c>
      <c r="AA89">
        <f>SUMIF(adj!$C$2:$C$1127,$A89,adj!F$2:F$1127)</f>
        <v>0</v>
      </c>
      <c r="AB89">
        <f>SUMIF(adj!$C$2:$C$1127,$A89,adj!G$2:G$1127)</f>
        <v>0</v>
      </c>
      <c r="AC89">
        <f>SUMIF(adj!$C$2:$C$1127,$A89,adj!H$2:H$1127)</f>
        <v>0</v>
      </c>
      <c r="AD89">
        <f>SUMIF(adj!$C$2:$C$1127,$A89,adj!I$2:I$1127)</f>
        <v>0</v>
      </c>
    </row>
    <row r="90" spans="1:30" ht="10.5" customHeight="1">
      <c r="A90" s="573">
        <v>65</v>
      </c>
      <c r="B90" t="str">
        <f>DataNameProd4 &amp; " Materials Inventory As % of Production"</f>
        <v>F&amp;S Materials Inventory As % of Production</v>
      </c>
      <c r="C90" t="s">
        <v>1483</v>
      </c>
      <c r="D90" s="12">
        <v>0.12</v>
      </c>
      <c r="E90" s="12">
        <f t="shared" si="30"/>
        <v>0.1249454448</v>
      </c>
      <c r="F90" s="12">
        <f t="shared" si="31"/>
        <v>0.1249454448</v>
      </c>
      <c r="G90" s="12">
        <f t="shared" si="27"/>
        <v>0.1249454448</v>
      </c>
      <c r="H90" s="12">
        <f t="shared" si="28"/>
        <v>0.1249454448</v>
      </c>
      <c r="I90" s="12">
        <f t="shared" si="29"/>
        <v>0.1249454448</v>
      </c>
      <c r="J90" t="s">
        <v>2840</v>
      </c>
      <c r="L90" s="10"/>
      <c r="N90" s="99"/>
      <c r="O90" s="99"/>
      <c r="P90" s="99"/>
      <c r="Q90" s="99"/>
      <c r="R90" s="99"/>
      <c r="T90" s="917"/>
      <c r="U90" s="99"/>
      <c r="V90" s="917"/>
      <c r="W90" s="99"/>
      <c r="X90" s="99"/>
      <c r="Z90">
        <f>SUMIF(adj!$C$2:$C$1127,$A90,adj!E$2:E$1127)</f>
        <v>4.1212039999999998E-2</v>
      </c>
      <c r="AA90">
        <f>SUMIF(adj!$C$2:$C$1127,$A90,adj!F$2:F$1127)</f>
        <v>4.1212039999999998E-2</v>
      </c>
      <c r="AB90">
        <f>SUMIF(adj!$C$2:$C$1127,$A90,adj!G$2:G$1127)</f>
        <v>4.1212039999999998E-2</v>
      </c>
      <c r="AC90">
        <f>SUMIF(adj!$C$2:$C$1127,$A90,adj!H$2:H$1127)</f>
        <v>4.1212039999999998E-2</v>
      </c>
      <c r="AD90">
        <f>SUMIF(adj!$C$2:$C$1127,$A90,adj!I$2:I$1127)</f>
        <v>4.1212039999999998E-2</v>
      </c>
    </row>
    <row r="91" spans="1:30" ht="10.5" customHeight="1">
      <c r="A91" s="573">
        <v>66</v>
      </c>
      <c r="B91" t="str">
        <f>DataNameProd4 &amp; " Labor Hours Req. Per Unit"</f>
        <v>F&amp;S Labor Hours Req. Per Unit</v>
      </c>
      <c r="C91" t="s">
        <v>1483</v>
      </c>
      <c r="D91">
        <v>8.1000000000000003E-2</v>
      </c>
      <c r="E91" s="1101">
        <f t="shared" si="30"/>
        <v>8.4338175240000007E-2</v>
      </c>
      <c r="F91" s="1101">
        <f t="shared" si="31"/>
        <v>8.4338175240000007E-2</v>
      </c>
      <c r="G91" s="1101">
        <f t="shared" si="27"/>
        <v>8.4338175240000007E-2</v>
      </c>
      <c r="H91" s="1101">
        <f t="shared" si="28"/>
        <v>8.4338175240000007E-2</v>
      </c>
      <c r="I91" s="1101">
        <f t="shared" si="29"/>
        <v>8.4338175240000007E-2</v>
      </c>
      <c r="J91" t="s">
        <v>1736</v>
      </c>
      <c r="L91" s="10"/>
      <c r="M91" s="18"/>
      <c r="N91" s="99"/>
      <c r="O91" s="99"/>
      <c r="P91" s="99"/>
      <c r="Q91" s="99"/>
      <c r="R91" s="99"/>
      <c r="T91" s="917"/>
      <c r="U91" s="99"/>
      <c r="V91" s="917"/>
      <c r="W91" s="99"/>
      <c r="X91" s="99"/>
      <c r="Z91">
        <f>SUMIF(adj!$C$2:$C$1127,$A91,adj!E$2:E$1127)</f>
        <v>4.1212039999999998E-2</v>
      </c>
      <c r="AA91">
        <f>SUMIF(adj!$C$2:$C$1127,$A91,adj!F$2:F$1127)</f>
        <v>4.1212039999999998E-2</v>
      </c>
      <c r="AB91">
        <f>SUMIF(adj!$C$2:$C$1127,$A91,adj!G$2:G$1127)</f>
        <v>4.1212039999999998E-2</v>
      </c>
      <c r="AC91">
        <f>SUMIF(adj!$C$2:$C$1127,$A91,adj!H$2:H$1127)</f>
        <v>4.1212039999999998E-2</v>
      </c>
      <c r="AD91">
        <f>SUMIF(adj!$C$2:$C$1127,$A91,adj!I$2:I$1127)</f>
        <v>4.1212039999999998E-2</v>
      </c>
    </row>
    <row r="92" spans="1:30" ht="10.5" customHeight="1">
      <c r="A92" s="573">
        <v>67</v>
      </c>
      <c r="B92" t="str">
        <f>DataNameProd4 &amp; " Machinery Hours Req. Per Unit"</f>
        <v>F&amp;S Machinery Hours Req. Per Unit</v>
      </c>
      <c r="C92" t="s">
        <v>1483</v>
      </c>
      <c r="D92">
        <v>1.8E-3</v>
      </c>
      <c r="E92" s="1101">
        <f t="shared" si="30"/>
        <v>1.8741816719999999E-3</v>
      </c>
      <c r="F92" s="1101">
        <f t="shared" si="31"/>
        <v>1.8741816719999999E-3</v>
      </c>
      <c r="G92" s="1101">
        <f t="shared" si="27"/>
        <v>1.8741816719999999E-3</v>
      </c>
      <c r="H92" s="1101">
        <f t="shared" si="28"/>
        <v>1.8741816719999999E-3</v>
      </c>
      <c r="I92" s="1101">
        <f t="shared" si="29"/>
        <v>1.8741816719999999E-3</v>
      </c>
      <c r="J92" t="s">
        <v>1737</v>
      </c>
      <c r="L92" s="10"/>
      <c r="M92" s="18"/>
      <c r="N92" s="99"/>
      <c r="O92" s="99"/>
      <c r="P92" s="99"/>
      <c r="Q92" s="99"/>
      <c r="R92" s="99"/>
      <c r="T92" s="917"/>
      <c r="U92" s="99"/>
      <c r="V92" s="917"/>
      <c r="W92" s="99"/>
      <c r="X92" s="99"/>
      <c r="Z92">
        <f>SUMIF(adj!$C$2:$C$1127,$A92,adj!E$2:E$1127)</f>
        <v>4.1212039999999998E-2</v>
      </c>
      <c r="AA92">
        <f>SUMIF(adj!$C$2:$C$1127,$A92,adj!F$2:F$1127)</f>
        <v>4.1212039999999998E-2</v>
      </c>
      <c r="AB92">
        <f>SUMIF(adj!$C$2:$C$1127,$A92,adj!G$2:G$1127)</f>
        <v>4.1212039999999998E-2</v>
      </c>
      <c r="AC92">
        <f>SUMIF(adj!$C$2:$C$1127,$A92,adj!H$2:H$1127)</f>
        <v>4.1212039999999998E-2</v>
      </c>
      <c r="AD92">
        <f>SUMIF(adj!$C$2:$C$1127,$A92,adj!I$2:I$1127)</f>
        <v>4.1212039999999998E-2</v>
      </c>
    </row>
    <row r="93" spans="1:30" ht="10.5" customHeight="1">
      <c r="A93" s="573">
        <v>68</v>
      </c>
      <c r="B93" t="str">
        <f>DataNameProd4 &amp; " Engineers Required"</f>
        <v>F&amp;S Engineers Required</v>
      </c>
      <c r="C93" t="s">
        <v>1483</v>
      </c>
      <c r="D93">
        <v>50</v>
      </c>
      <c r="E93">
        <f t="shared" si="30"/>
        <v>50</v>
      </c>
      <c r="F93">
        <f t="shared" si="31"/>
        <v>50</v>
      </c>
      <c r="G93">
        <f t="shared" si="27"/>
        <v>50</v>
      </c>
      <c r="H93">
        <f t="shared" si="28"/>
        <v>50</v>
      </c>
      <c r="I93">
        <f t="shared" si="29"/>
        <v>50</v>
      </c>
      <c r="J93" t="s">
        <v>278</v>
      </c>
      <c r="L93" s="10"/>
      <c r="N93" s="99"/>
      <c r="O93" s="99"/>
      <c r="P93" s="99"/>
      <c r="Q93" s="99"/>
      <c r="R93" s="99"/>
      <c r="T93" s="917"/>
      <c r="U93" s="99"/>
      <c r="V93" s="99"/>
      <c r="W93" s="99"/>
      <c r="X93" s="99"/>
      <c r="Z93">
        <f>SUMIF(adj!$C$2:$C$1127,$A93,adj!E$2:E$1127)</f>
        <v>0</v>
      </c>
      <c r="AA93">
        <f>SUMIF(adj!$C$2:$C$1127,$A93,adj!F$2:F$1127)</f>
        <v>0</v>
      </c>
      <c r="AB93">
        <f>SUMIF(adj!$C$2:$C$1127,$A93,adj!G$2:G$1127)</f>
        <v>0</v>
      </c>
      <c r="AC93">
        <f>SUMIF(adj!$C$2:$C$1127,$A93,adj!H$2:H$1127)</f>
        <v>0</v>
      </c>
      <c r="AD93">
        <f>SUMIF(adj!$C$2:$C$1127,$A93,adj!I$2:I$1127)</f>
        <v>0</v>
      </c>
    </row>
    <row r="94" spans="1:30" ht="10.5" customHeight="1">
      <c r="A94" s="573">
        <v>69</v>
      </c>
      <c r="B94" t="str">
        <f>DataNameProd4 &amp; " Inventory Handling % of Closing Value"</f>
        <v>F&amp;S Inventory Handling % of Closing Value</v>
      </c>
      <c r="C94" t="s">
        <v>1483</v>
      </c>
      <c r="D94" s="12">
        <v>0.15</v>
      </c>
      <c r="E94" s="12">
        <f t="shared" si="30"/>
        <v>0.15</v>
      </c>
      <c r="F94" s="12">
        <f t="shared" si="31"/>
        <v>0.15</v>
      </c>
      <c r="G94" s="12">
        <f t="shared" si="27"/>
        <v>0.15</v>
      </c>
      <c r="H94" s="12">
        <f t="shared" si="28"/>
        <v>0.15</v>
      </c>
      <c r="I94" s="12">
        <f t="shared" si="29"/>
        <v>0.15</v>
      </c>
      <c r="J94" t="s">
        <v>279</v>
      </c>
      <c r="L94" s="10"/>
      <c r="N94" s="99"/>
      <c r="O94" s="99"/>
      <c r="P94" s="99"/>
      <c r="Q94" s="99"/>
      <c r="R94" s="99"/>
      <c r="T94" s="917"/>
      <c r="U94" s="99"/>
      <c r="V94" s="917"/>
      <c r="W94" s="99"/>
      <c r="X94" s="99"/>
      <c r="Z94">
        <f>SUMIF(adj!$C$2:$C$1127,$A94,adj!E$2:E$1127)</f>
        <v>0</v>
      </c>
      <c r="AA94">
        <f>SUMIF(adj!$C$2:$C$1127,$A94,adj!F$2:F$1127)</f>
        <v>0</v>
      </c>
      <c r="AB94">
        <f>SUMIF(adj!$C$2:$C$1127,$A94,adj!G$2:G$1127)</f>
        <v>0</v>
      </c>
      <c r="AC94">
        <f>SUMIF(adj!$C$2:$C$1127,$A94,adj!H$2:H$1127)</f>
        <v>0</v>
      </c>
      <c r="AD94">
        <f>SUMIF(adj!$C$2:$C$1127,$A94,adj!I$2:I$1127)</f>
        <v>0</v>
      </c>
    </row>
    <row r="95" spans="1:30" ht="10.5" customHeight="1">
      <c r="A95" s="573">
        <v>70</v>
      </c>
      <c r="B95" t="str">
        <f>DataNameProd4 &amp; " Distribution Costs for Reg. 1"</f>
        <v>F&amp;S Distribution Costs for Reg. 1</v>
      </c>
      <c r="C95" t="s">
        <v>1483</v>
      </c>
      <c r="D95" s="431">
        <v>0.82352941176470995</v>
      </c>
      <c r="E95" s="1427">
        <f t="shared" si="30"/>
        <v>0.88214336000000437</v>
      </c>
      <c r="F95" s="1427">
        <f t="shared" si="31"/>
        <v>0.88214336000000437</v>
      </c>
      <c r="G95" s="1427">
        <f t="shared" si="27"/>
        <v>0.88214336000000437</v>
      </c>
      <c r="H95" s="1427">
        <f t="shared" si="28"/>
        <v>0.88214336000000437</v>
      </c>
      <c r="I95" s="1427">
        <f t="shared" si="29"/>
        <v>0.88214336000000437</v>
      </c>
      <c r="J95" t="s">
        <v>1985</v>
      </c>
      <c r="L95" s="10"/>
      <c r="M95" s="18"/>
      <c r="N95" s="99"/>
      <c r="O95" s="99"/>
      <c r="P95" s="99"/>
      <c r="Q95" s="99"/>
      <c r="R95" s="99"/>
      <c r="S95" s="358" t="s">
        <v>1529</v>
      </c>
      <c r="T95" s="919"/>
      <c r="U95" s="99"/>
      <c r="V95" s="99"/>
      <c r="W95" s="99"/>
      <c r="X95" s="99"/>
      <c r="Z95">
        <f>SUMIF(adj!$C$2:$C$1127,$A95,adj!E$2:E$1127)</f>
        <v>7.1174080000000001E-2</v>
      </c>
      <c r="AA95">
        <f>SUMIF(adj!$C$2:$C$1127,$A95,adj!F$2:F$1127)</f>
        <v>7.1174080000000001E-2</v>
      </c>
      <c r="AB95">
        <f>SUMIF(adj!$C$2:$C$1127,$A95,adj!G$2:G$1127)</f>
        <v>7.1174080000000001E-2</v>
      </c>
      <c r="AC95">
        <f>SUMIF(adj!$C$2:$C$1127,$A95,adj!H$2:H$1127)</f>
        <v>7.1174080000000001E-2</v>
      </c>
      <c r="AD95">
        <f>SUMIF(adj!$C$2:$C$1127,$A95,adj!I$2:I$1127)</f>
        <v>7.1174080000000001E-2</v>
      </c>
    </row>
    <row r="96" spans="1:30" ht="10.5" customHeight="1">
      <c r="A96" s="573">
        <v>71</v>
      </c>
      <c r="B96" t="str">
        <f>DataNameProd4 &amp; " Distribution Costs for Reg. 2"</f>
        <v>F&amp;S Distribution Costs for Reg. 2</v>
      </c>
      <c r="C96" t="s">
        <v>1483</v>
      </c>
      <c r="D96" s="431">
        <v>0.91764705882353004</v>
      </c>
      <c r="E96" s="1427">
        <f>$D96*(1+T96+Z96*($C96="R"))+N96+Z96*($C96="A")</f>
        <v>1.0740132734117653</v>
      </c>
      <c r="F96" s="1427">
        <f>$D96*(1+U96+AA96*($C96="R"))+O96+AA96*($C96="A")</f>
        <v>1.0740132734117653</v>
      </c>
      <c r="G96" s="1427">
        <f>$D96*(1+V96+AB96*($C96="R"))+P96+AB96*($C96="A")</f>
        <v>1.0740132734117653</v>
      </c>
      <c r="H96" s="1427">
        <f>$D96*(1+W96+AC96*($C96="R"))+Q96+AC96*($C96="A")</f>
        <v>1.0740132734117653</v>
      </c>
      <c r="I96" s="1427">
        <f>$D96*(1+X96+AD96*($C96="R"))+R96+AD96*($C96="A")</f>
        <v>1.0740132734117653</v>
      </c>
      <c r="J96" t="s">
        <v>1986</v>
      </c>
      <c r="L96" s="10"/>
      <c r="M96" s="18"/>
      <c r="N96" s="99"/>
      <c r="O96" s="99"/>
      <c r="P96" s="99"/>
      <c r="Q96" s="99"/>
      <c r="R96" s="99"/>
      <c r="S96" s="358" t="s">
        <v>1529</v>
      </c>
      <c r="T96" s="919"/>
      <c r="U96" s="99"/>
      <c r="V96" s="99"/>
      <c r="W96" s="99"/>
      <c r="X96" s="99"/>
      <c r="Z96">
        <f>SUMIF(adj!$C$2:$C$1127,$A96,adj!E$2:E$1127)</f>
        <v>0.17039907999999998</v>
      </c>
      <c r="AA96">
        <f>SUMIF(adj!$C$2:$C$1127,$A96,adj!F$2:F$1127)</f>
        <v>0.17039907999999998</v>
      </c>
      <c r="AB96">
        <f>SUMIF(adj!$C$2:$C$1127,$A96,adj!G$2:G$1127)</f>
        <v>0.17039907999999998</v>
      </c>
      <c r="AC96">
        <f>SUMIF(adj!$C$2:$C$1127,$A96,adj!H$2:H$1127)</f>
        <v>0.17039907999999998</v>
      </c>
      <c r="AD96">
        <f>SUMIF(adj!$C$2:$C$1127,$A96,adj!I$2:I$1127)</f>
        <v>0.17039907999999998</v>
      </c>
    </row>
    <row r="97" spans="1:30" ht="10.5" customHeight="1">
      <c r="A97" s="573">
        <v>72</v>
      </c>
      <c r="B97" s="33" t="str">
        <f>DataNameProd4 &amp; " Reg. 1 Sales Force Hrs. Required"</f>
        <v>F&amp;S Reg. 1 Sales Force Hrs. Required</v>
      </c>
      <c r="C97" s="33" t="s">
        <v>1483</v>
      </c>
      <c r="D97" s="1420">
        <v>7.4999999999999997E-3</v>
      </c>
      <c r="E97" s="1428">
        <f t="shared" ref="E97:I98" si="33">$D97*(1+T97+Z97*($C97="R"))+N97+Z97*($C97="A")</f>
        <v>7.4999999999999997E-3</v>
      </c>
      <c r="F97" s="1428">
        <f t="shared" si="33"/>
        <v>7.4999999999999997E-3</v>
      </c>
      <c r="G97" s="1428">
        <f t="shared" si="33"/>
        <v>7.4999999999999997E-3</v>
      </c>
      <c r="H97" s="1428">
        <f t="shared" si="33"/>
        <v>7.4999999999999997E-3</v>
      </c>
      <c r="I97" s="1428">
        <f t="shared" si="33"/>
        <v>7.4999999999999997E-3</v>
      </c>
      <c r="J97" s="33" t="s">
        <v>3500</v>
      </c>
      <c r="L97" s="10"/>
      <c r="N97" s="99"/>
      <c r="O97" s="99"/>
      <c r="P97" s="99"/>
      <c r="Q97" s="99"/>
      <c r="R97" s="99"/>
      <c r="T97" s="99"/>
      <c r="U97" s="99"/>
      <c r="V97" s="99"/>
      <c r="W97" s="99"/>
      <c r="X97" s="99"/>
      <c r="Z97">
        <f>SUMIF(adj!$C$2:$C$1127,$A97,adj!E$2:E$1127)</f>
        <v>0</v>
      </c>
      <c r="AA97">
        <f>SUMIF(adj!$C$2:$C$1127,$A97,adj!F$2:F$1127)</f>
        <v>0</v>
      </c>
      <c r="AB97">
        <f>SUMIF(adj!$C$2:$C$1127,$A97,adj!G$2:G$1127)</f>
        <v>0</v>
      </c>
      <c r="AC97">
        <f>SUMIF(adj!$C$2:$C$1127,$A97,adj!H$2:H$1127)</f>
        <v>0</v>
      </c>
      <c r="AD97">
        <f>SUMIF(adj!$C$2:$C$1127,$A97,adj!I$2:I$1127)</f>
        <v>0</v>
      </c>
    </row>
    <row r="98" spans="1:30" ht="10.5" customHeight="1">
      <c r="A98" s="573">
        <v>73</v>
      </c>
      <c r="B98" s="33" t="str">
        <f>DataNameProd4 &amp; " Reg. 2 Sales Force Hrs. Required"</f>
        <v>F&amp;S Reg. 2 Sales Force Hrs. Required</v>
      </c>
      <c r="C98" s="33" t="s">
        <v>1483</v>
      </c>
      <c r="D98" s="1420">
        <v>7.7999999999999996E-3</v>
      </c>
      <c r="E98" s="1428">
        <f t="shared" si="33"/>
        <v>9.0412529999999991E-3</v>
      </c>
      <c r="F98" s="1428">
        <f t="shared" si="33"/>
        <v>9.0412529999999991E-3</v>
      </c>
      <c r="G98" s="1428">
        <f t="shared" si="33"/>
        <v>9.0412529999999991E-3</v>
      </c>
      <c r="H98" s="1428">
        <f t="shared" si="33"/>
        <v>9.0412529999999991E-3</v>
      </c>
      <c r="I98" s="1428">
        <f t="shared" si="33"/>
        <v>9.0412529999999991E-3</v>
      </c>
      <c r="J98" s="33" t="s">
        <v>3501</v>
      </c>
      <c r="L98" s="10"/>
      <c r="N98" s="99"/>
      <c r="O98" s="99"/>
      <c r="P98" s="99"/>
      <c r="Q98" s="99"/>
      <c r="R98" s="99"/>
      <c r="T98" s="99"/>
      <c r="U98" s="99"/>
      <c r="V98" s="99"/>
      <c r="W98" s="99"/>
      <c r="X98" s="99"/>
      <c r="Z98">
        <f>SUMIF(adj!$C$2:$C$1127,$A98,adj!E$2:E$1127)</f>
        <v>0.15913500000000003</v>
      </c>
      <c r="AA98">
        <f>SUMIF(adj!$C$2:$C$1127,$A98,adj!F$2:F$1127)</f>
        <v>0.15913500000000003</v>
      </c>
      <c r="AB98">
        <f>SUMIF(adj!$C$2:$C$1127,$A98,adj!G$2:G$1127)</f>
        <v>0.15913500000000003</v>
      </c>
      <c r="AC98">
        <f>SUMIF(adj!$C$2:$C$1127,$A98,adj!H$2:H$1127)</f>
        <v>0.15913500000000003</v>
      </c>
      <c r="AD98">
        <f>SUMIF(adj!$C$2:$C$1127,$A98,adj!I$2:I$1127)</f>
        <v>0.15913500000000003</v>
      </c>
    </row>
    <row r="99" spans="1:30" ht="10.5" customHeight="1">
      <c r="A99" s="573">
        <v>74</v>
      </c>
      <c r="B99" t="str">
        <f>DataNameProd4 &amp; " Admin Costs"</f>
        <v>F&amp;S Admin Costs</v>
      </c>
      <c r="C99" t="s">
        <v>1483</v>
      </c>
      <c r="D99" s="11">
        <v>74000000</v>
      </c>
      <c r="E99" s="11">
        <f t="shared" si="30"/>
        <v>88328625.920000002</v>
      </c>
      <c r="F99" s="11">
        <f t="shared" si="31"/>
        <v>88328625.920000002</v>
      </c>
      <c r="G99" s="11">
        <f t="shared" si="27"/>
        <v>88328625.920000002</v>
      </c>
      <c r="H99" s="11">
        <f t="shared" si="28"/>
        <v>88328625.920000002</v>
      </c>
      <c r="I99" s="11">
        <f t="shared" si="29"/>
        <v>88328625.920000002</v>
      </c>
      <c r="J99" t="s">
        <v>280</v>
      </c>
      <c r="L99" s="10"/>
      <c r="N99" s="99"/>
      <c r="O99" s="99"/>
      <c r="P99" s="99"/>
      <c r="Q99" s="99"/>
      <c r="R99" s="99"/>
      <c r="T99" s="99"/>
      <c r="U99" s="99"/>
      <c r="V99" s="99"/>
      <c r="W99" s="99"/>
      <c r="X99" s="99"/>
      <c r="Z99">
        <f>SUMIF(adj!$C$2:$C$1127,$A99,adj!E$2:E$1127)</f>
        <v>0.19363007999999998</v>
      </c>
      <c r="AA99">
        <f>SUMIF(adj!$C$2:$C$1127,$A99,adj!F$2:F$1127)</f>
        <v>0.19363007999999998</v>
      </c>
      <c r="AB99">
        <f>SUMIF(adj!$C$2:$C$1127,$A99,adj!G$2:G$1127)</f>
        <v>0.19363007999999998</v>
      </c>
      <c r="AC99">
        <f>SUMIF(adj!$C$2:$C$1127,$A99,adj!H$2:H$1127)</f>
        <v>0.19363007999999998</v>
      </c>
      <c r="AD99">
        <f>SUMIF(adj!$C$2:$C$1127,$A99,adj!I$2:I$1127)</f>
        <v>0.19363007999999998</v>
      </c>
    </row>
    <row r="100" spans="1:30" ht="10.5" customHeight="1">
      <c r="A100" s="573">
        <v>75</v>
      </c>
      <c r="B100" t="str">
        <f>DataNameProd4 &amp; " R&amp;D per New Family Brand"</f>
        <v>F&amp;S R&amp;D per New Family Brand</v>
      </c>
      <c r="C100" t="s">
        <v>1483</v>
      </c>
      <c r="D100" s="11">
        <v>9000000</v>
      </c>
      <c r="E100" s="11">
        <f t="shared" si="30"/>
        <v>9000000</v>
      </c>
      <c r="F100" s="11">
        <f t="shared" si="31"/>
        <v>9000000</v>
      </c>
      <c r="G100" s="11">
        <f t="shared" si="27"/>
        <v>9000000</v>
      </c>
      <c r="H100" s="11">
        <f t="shared" si="28"/>
        <v>9000000</v>
      </c>
      <c r="I100" s="11">
        <f t="shared" si="29"/>
        <v>9000000</v>
      </c>
      <c r="J100" t="s">
        <v>2707</v>
      </c>
      <c r="L100" s="10"/>
      <c r="N100" s="99"/>
      <c r="O100" s="99"/>
      <c r="P100" s="99"/>
      <c r="Q100" s="99"/>
      <c r="R100" s="99"/>
      <c r="T100" s="99"/>
      <c r="U100" s="99"/>
      <c r="V100" s="99"/>
      <c r="W100" s="99"/>
      <c r="X100" s="99"/>
      <c r="Z100">
        <f>SUMIF(adj!$C$2:$C$1127,$A100,adj!E$2:E$1127)</f>
        <v>0</v>
      </c>
      <c r="AA100">
        <f>SUMIF(adj!$C$2:$C$1127,$A100,adj!F$2:F$1127)</f>
        <v>0</v>
      </c>
      <c r="AB100">
        <f>SUMIF(adj!$C$2:$C$1127,$A100,adj!G$2:G$1127)</f>
        <v>0</v>
      </c>
      <c r="AC100">
        <f>SUMIF(adj!$C$2:$C$1127,$A100,adj!H$2:H$1127)</f>
        <v>0</v>
      </c>
      <c r="AD100">
        <f>SUMIF(adj!$C$2:$C$1127,$A100,adj!I$2:I$1127)</f>
        <v>0</v>
      </c>
    </row>
    <row r="101" spans="1:30" ht="10.5" customHeight="1">
      <c r="A101" s="573">
        <v>75.099999999999994</v>
      </c>
      <c r="B101" t="str">
        <f>DataNameProd4 &amp; " R&amp;D per New Partner Brand"</f>
        <v>F&amp;S R&amp;D per New Partner Brand</v>
      </c>
      <c r="C101" t="s">
        <v>1483</v>
      </c>
      <c r="D101" s="11">
        <v>4500000</v>
      </c>
      <c r="E101" s="11">
        <f t="shared" ref="E101:I102" si="34">$D101*(1+T101+Z101*($C101="R"))+N101+Z101*($C101="A")</f>
        <v>4500000</v>
      </c>
      <c r="F101" s="11">
        <f t="shared" si="34"/>
        <v>4500000</v>
      </c>
      <c r="G101" s="11">
        <f t="shared" si="34"/>
        <v>4500000</v>
      </c>
      <c r="H101" s="11">
        <f t="shared" si="34"/>
        <v>4500000</v>
      </c>
      <c r="I101" s="11">
        <f t="shared" si="34"/>
        <v>4500000</v>
      </c>
      <c r="J101" t="s">
        <v>615</v>
      </c>
      <c r="L101" s="10"/>
      <c r="N101" s="99"/>
      <c r="O101" s="99"/>
      <c r="P101" s="99"/>
      <c r="Q101" s="99"/>
      <c r="R101" s="99"/>
      <c r="T101" s="99"/>
      <c r="U101" s="99"/>
      <c r="V101" s="99"/>
      <c r="W101" s="99"/>
      <c r="X101" s="99"/>
      <c r="Z101">
        <f>SUMIF(adj!$C$2:$C$1127,$A101,adj!E$2:E$1127)</f>
        <v>0</v>
      </c>
      <c r="AA101">
        <f>SUMIF(adj!$C$2:$C$1127,$A101,adj!F$2:F$1127)</f>
        <v>0</v>
      </c>
      <c r="AB101">
        <f>SUMIF(adj!$C$2:$C$1127,$A101,adj!G$2:G$1127)</f>
        <v>0</v>
      </c>
      <c r="AC101">
        <f>SUMIF(adj!$C$2:$C$1127,$A101,adj!H$2:H$1127)</f>
        <v>0</v>
      </c>
      <c r="AD101">
        <f>SUMIF(adj!$C$2:$C$1127,$A101,adj!I$2:I$1127)</f>
        <v>0</v>
      </c>
    </row>
    <row r="102" spans="1:30" ht="10.5" customHeight="1">
      <c r="A102" s="573">
        <v>75.2</v>
      </c>
      <c r="B102" t="str">
        <f>DataNameProd4 &amp; " R&amp;D per New Package Level"</f>
        <v>F&amp;S R&amp;D per New Package Level</v>
      </c>
      <c r="C102" t="s">
        <v>1483</v>
      </c>
      <c r="D102" s="11">
        <v>7500000</v>
      </c>
      <c r="E102" s="11">
        <f t="shared" si="34"/>
        <v>7500000</v>
      </c>
      <c r="F102" s="11">
        <f t="shared" si="34"/>
        <v>7500000</v>
      </c>
      <c r="G102" s="11">
        <f t="shared" si="34"/>
        <v>7500000</v>
      </c>
      <c r="H102" s="11">
        <f t="shared" si="34"/>
        <v>7500000</v>
      </c>
      <c r="I102" s="11">
        <f t="shared" si="34"/>
        <v>7500000</v>
      </c>
      <c r="J102" t="s">
        <v>616</v>
      </c>
      <c r="L102" s="10"/>
      <c r="N102" s="99"/>
      <c r="O102" s="99"/>
      <c r="P102" s="99"/>
      <c r="Q102" s="99"/>
      <c r="R102" s="99"/>
      <c r="T102" s="99"/>
      <c r="U102" s="99"/>
      <c r="V102" s="99"/>
      <c r="W102" s="99"/>
      <c r="X102" s="99"/>
      <c r="Z102">
        <f>SUMIF(adj!$C$2:$C$1127,$A102,adj!E$2:E$1127)</f>
        <v>0</v>
      </c>
      <c r="AA102">
        <f>SUMIF(adj!$C$2:$C$1127,$A102,adj!F$2:F$1127)</f>
        <v>0</v>
      </c>
      <c r="AB102">
        <f>SUMIF(adj!$C$2:$C$1127,$A102,adj!G$2:G$1127)</f>
        <v>0</v>
      </c>
      <c r="AC102">
        <f>SUMIF(adj!$C$2:$C$1127,$A102,adj!H$2:H$1127)</f>
        <v>0</v>
      </c>
      <c r="AD102">
        <f>SUMIF(adj!$C$2:$C$1127,$A102,adj!I$2:I$1127)</f>
        <v>0</v>
      </c>
    </row>
    <row r="103" spans="1:30" ht="10.5" customHeight="1">
      <c r="A103" s="573">
        <v>76</v>
      </c>
      <c r="B103" s="33" t="str">
        <f>DataNameProd4 &amp; " Region A Marketing Spend Effectiveness"</f>
        <v>F&amp;S Region A Marketing Spend Effectiveness</v>
      </c>
      <c r="C103" t="s">
        <v>1483</v>
      </c>
      <c r="D103">
        <v>1</v>
      </c>
      <c r="E103" s="15">
        <f t="shared" si="30"/>
        <v>1</v>
      </c>
      <c r="F103" s="15">
        <f t="shared" si="31"/>
        <v>1</v>
      </c>
      <c r="G103" s="15">
        <f t="shared" si="27"/>
        <v>1</v>
      </c>
      <c r="H103" s="15">
        <f t="shared" si="28"/>
        <v>1</v>
      </c>
      <c r="I103" s="15">
        <f t="shared" si="29"/>
        <v>1</v>
      </c>
      <c r="J103" s="33" t="s">
        <v>2561</v>
      </c>
      <c r="L103" s="10"/>
      <c r="N103" s="99"/>
      <c r="O103" s="99"/>
      <c r="P103" s="99"/>
      <c r="Q103" s="99"/>
      <c r="R103" s="99"/>
      <c r="T103" s="99"/>
      <c r="U103" s="99"/>
      <c r="V103" s="99"/>
      <c r="W103" s="99"/>
      <c r="X103" s="99"/>
      <c r="Z103">
        <f>SUMIF(adj!$C$2:$C$1127,$A103,adj!E$2:E$1127)</f>
        <v>0</v>
      </c>
      <c r="AA103">
        <f>SUMIF(adj!$C$2:$C$1127,$A103,adj!F$2:F$1127)</f>
        <v>0</v>
      </c>
      <c r="AB103">
        <f>SUMIF(adj!$C$2:$C$1127,$A103,adj!G$2:G$1127)</f>
        <v>0</v>
      </c>
      <c r="AC103">
        <f>SUMIF(adj!$C$2:$C$1127,$A103,adj!H$2:H$1127)</f>
        <v>0</v>
      </c>
      <c r="AD103">
        <f>SUMIF(adj!$C$2:$C$1127,$A103,adj!I$2:I$1127)</f>
        <v>0</v>
      </c>
    </row>
    <row r="104" spans="1:30" ht="10.5" customHeight="1">
      <c r="A104" s="573">
        <v>76.099999999999994</v>
      </c>
      <c r="B104" s="33" t="str">
        <f>DataNameProd4 &amp; " Region B Marketing Spend Effectiveness"</f>
        <v>F&amp;S Region B Marketing Spend Effectiveness</v>
      </c>
      <c r="C104" t="s">
        <v>1483</v>
      </c>
      <c r="D104">
        <v>1</v>
      </c>
      <c r="E104" s="15">
        <f t="shared" ref="E104:I106" si="35">$D104*(1+T104+Z104*($C104="R"))+N104+Z104*($C104="A")</f>
        <v>1</v>
      </c>
      <c r="F104" s="15">
        <f t="shared" si="35"/>
        <v>1</v>
      </c>
      <c r="G104" s="15">
        <f t="shared" si="35"/>
        <v>1</v>
      </c>
      <c r="H104" s="15">
        <f t="shared" si="35"/>
        <v>1</v>
      </c>
      <c r="I104" s="15">
        <f t="shared" si="35"/>
        <v>1</v>
      </c>
      <c r="J104" s="33" t="s">
        <v>2467</v>
      </c>
      <c r="L104" s="10"/>
      <c r="N104" s="99"/>
      <c r="O104" s="99"/>
      <c r="P104" s="99"/>
      <c r="Q104" s="99"/>
      <c r="R104" s="99"/>
      <c r="T104" s="99"/>
      <c r="U104" s="99"/>
      <c r="V104" s="99"/>
      <c r="W104" s="99"/>
      <c r="X104" s="99"/>
      <c r="Z104">
        <f>SUMIF(adj!$C$2:$C$1127,$A104,adj!E$2:E$1127)</f>
        <v>0</v>
      </c>
      <c r="AA104">
        <f>SUMIF(adj!$C$2:$C$1127,$A104,adj!F$2:F$1127)</f>
        <v>0</v>
      </c>
      <c r="AB104">
        <f>SUMIF(adj!$C$2:$C$1127,$A104,adj!G$2:G$1127)</f>
        <v>0</v>
      </c>
      <c r="AC104">
        <f>SUMIF(adj!$C$2:$C$1127,$A104,adj!H$2:H$1127)</f>
        <v>0</v>
      </c>
      <c r="AD104">
        <f>SUMIF(adj!$C$2:$C$1127,$A104,adj!I$2:I$1127)</f>
        <v>0</v>
      </c>
    </row>
    <row r="105" spans="1:30" ht="10.5" customHeight="1">
      <c r="A105" s="573">
        <v>76.2</v>
      </c>
      <c r="B105" t="str">
        <f>DataNameProd4 &amp; " Innovation "&amp;DataNameProd4Seg1</f>
        <v>F&amp;S Innovation Vetera</v>
      </c>
      <c r="C105" t="s">
        <v>3414</v>
      </c>
      <c r="D105" s="11">
        <v>0</v>
      </c>
      <c r="E105" s="11">
        <f t="shared" si="35"/>
        <v>0</v>
      </c>
      <c r="F105" s="11">
        <f t="shared" si="35"/>
        <v>0</v>
      </c>
      <c r="G105" s="11">
        <f t="shared" si="35"/>
        <v>0</v>
      </c>
      <c r="H105" s="11">
        <f t="shared" si="35"/>
        <v>0</v>
      </c>
      <c r="I105" s="11">
        <f t="shared" si="35"/>
        <v>0</v>
      </c>
      <c r="J105" t="s">
        <v>978</v>
      </c>
      <c r="L105" s="10"/>
      <c r="N105" s="99"/>
      <c r="O105" s="99"/>
      <c r="P105" s="99"/>
      <c r="Q105" s="99"/>
      <c r="R105" s="99"/>
      <c r="T105" s="99"/>
      <c r="U105" s="99"/>
      <c r="V105" s="99"/>
      <c r="W105" s="99"/>
      <c r="X105" s="99"/>
      <c r="Z105">
        <f>SUMIF(adj!$C$2:$C$1127,$A105,adj!E$2:E$1127)</f>
        <v>0</v>
      </c>
      <c r="AA105">
        <f>SUMIF(adj!$C$2:$C$1127,$A105,adj!F$2:F$1127)</f>
        <v>0</v>
      </c>
      <c r="AB105">
        <f>SUMIF(adj!$C$2:$C$1127,$A105,adj!G$2:G$1127)</f>
        <v>0</v>
      </c>
      <c r="AC105">
        <f>SUMIF(adj!$C$2:$C$1127,$A105,adj!H$2:H$1127)</f>
        <v>0</v>
      </c>
      <c r="AD105">
        <f>SUMIF(adj!$C$2:$C$1127,$A105,adj!I$2:I$1127)</f>
        <v>0</v>
      </c>
    </row>
    <row r="106" spans="1:30" ht="10.5" customHeight="1">
      <c r="A106" s="573">
        <v>76.3</v>
      </c>
      <c r="B106" t="str">
        <f>DataNameProd4 &amp; " Innovation "&amp;DataNameProd4Seg2</f>
        <v>F&amp;S Innovation Escendia</v>
      </c>
      <c r="C106" t="s">
        <v>3414</v>
      </c>
      <c r="D106" s="11">
        <v>0</v>
      </c>
      <c r="E106" s="11">
        <f t="shared" si="35"/>
        <v>0</v>
      </c>
      <c r="F106" s="11">
        <f t="shared" si="35"/>
        <v>0</v>
      </c>
      <c r="G106" s="11">
        <f t="shared" si="35"/>
        <v>0</v>
      </c>
      <c r="H106" s="11">
        <f t="shared" si="35"/>
        <v>0</v>
      </c>
      <c r="I106" s="11">
        <f t="shared" si="35"/>
        <v>0</v>
      </c>
      <c r="J106" t="s">
        <v>979</v>
      </c>
      <c r="L106" s="10"/>
      <c r="N106" s="99"/>
      <c r="O106" s="99"/>
      <c r="P106" s="99"/>
      <c r="Q106" s="99"/>
      <c r="R106" s="99"/>
      <c r="T106" s="99"/>
      <c r="U106" s="99"/>
      <c r="V106" s="99"/>
      <c r="W106" s="99"/>
      <c r="X106" s="99"/>
      <c r="Z106">
        <f>SUMIF(adj!$C$2:$C$1127,$A106,adj!E$2:E$1127)</f>
        <v>0</v>
      </c>
      <c r="AA106">
        <f>SUMIF(adj!$C$2:$C$1127,$A106,adj!F$2:F$1127)</f>
        <v>0</v>
      </c>
      <c r="AB106">
        <f>SUMIF(adj!$C$2:$C$1127,$A106,adj!G$2:G$1127)</f>
        <v>0</v>
      </c>
      <c r="AC106">
        <f>SUMIF(adj!$C$2:$C$1127,$A106,adj!H$2:H$1127)</f>
        <v>0</v>
      </c>
      <c r="AD106">
        <f>SUMIF(adj!$C$2:$C$1127,$A106,adj!I$2:I$1127)</f>
        <v>0</v>
      </c>
    </row>
    <row r="107" spans="1:30" ht="10.5" customHeight="1">
      <c r="A107" s="573">
        <v>77.010000000000005</v>
      </c>
      <c r="B107" s="33"/>
      <c r="E107" s="15"/>
      <c r="F107" s="15"/>
      <c r="G107" s="15"/>
      <c r="H107" s="15"/>
      <c r="I107" s="15"/>
      <c r="J107" s="33"/>
      <c r="L107" s="10"/>
      <c r="N107" s="99"/>
      <c r="O107" s="99"/>
      <c r="P107" s="99"/>
      <c r="Q107" s="99"/>
      <c r="R107" s="99"/>
      <c r="T107" s="99"/>
      <c r="U107" s="99"/>
      <c r="V107" s="99"/>
      <c r="W107" s="99"/>
      <c r="X107" s="99"/>
      <c r="Z107">
        <f>SUMIF(adj!$C$2:$C$1127,$A107,adj!E$2:E$1127)</f>
        <v>0</v>
      </c>
      <c r="AA107">
        <f>SUMIF(adj!$C$2:$C$1127,$A107,adj!F$2:F$1127)</f>
        <v>0</v>
      </c>
      <c r="AB107">
        <f>SUMIF(adj!$C$2:$C$1127,$A107,adj!G$2:G$1127)</f>
        <v>0</v>
      </c>
      <c r="AC107">
        <f>SUMIF(adj!$C$2:$C$1127,$A107,adj!H$2:H$1127)</f>
        <v>0</v>
      </c>
      <c r="AD107">
        <f>SUMIF(adj!$C$2:$C$1127,$A107,adj!I$2:I$1127)</f>
        <v>0</v>
      </c>
    </row>
    <row r="108" spans="1:30" ht="11.25" hidden="1" customHeight="1">
      <c r="A108" s="573">
        <v>77</v>
      </c>
      <c r="B108" s="2" t="str">
        <f>DataNameProd5 &amp; " Paramaters"</f>
        <v>Product Five Paramaters</v>
      </c>
      <c r="D108" s="130"/>
      <c r="E108" s="2"/>
      <c r="L108" s="10"/>
      <c r="N108" s="99"/>
      <c r="O108" s="99"/>
      <c r="P108" s="99"/>
      <c r="Q108" s="99"/>
      <c r="R108" s="99"/>
      <c r="T108" s="99"/>
      <c r="U108" s="99"/>
      <c r="V108" s="99"/>
      <c r="W108" s="99"/>
      <c r="X108" s="99"/>
      <c r="Z108">
        <f>SUMIF(adj!$C$2:$C$1127,$A108,adj!E$2:E$1127)</f>
        <v>0</v>
      </c>
      <c r="AA108">
        <f>SUMIF(adj!$C$2:$C$1127,$A108,adj!F$2:F$1127)</f>
        <v>0</v>
      </c>
      <c r="AB108">
        <f>SUMIF(adj!$C$2:$C$1127,$A108,adj!G$2:G$1127)</f>
        <v>0</v>
      </c>
      <c r="AC108">
        <f>SUMIF(adj!$C$2:$C$1127,$A108,adj!H$2:H$1127)</f>
        <v>0</v>
      </c>
      <c r="AD108">
        <f>SUMIF(adj!$C$2:$C$1127,$A108,adj!I$2:I$1127)</f>
        <v>0</v>
      </c>
    </row>
    <row r="109" spans="1:30" ht="11.25" hidden="1" customHeight="1">
      <c r="A109" s="573">
        <v>78</v>
      </c>
      <c r="B109" t="str">
        <f>DataNameProd5 &amp; " Cycle Time"</f>
        <v>Product Five Cycle Time</v>
      </c>
      <c r="C109" t="s">
        <v>3414</v>
      </c>
      <c r="D109">
        <v>30</v>
      </c>
      <c r="J109" t="s">
        <v>281</v>
      </c>
      <c r="L109" s="10"/>
      <c r="N109" s="99"/>
      <c r="O109" s="99"/>
      <c r="P109" s="99"/>
      <c r="Q109" s="99"/>
      <c r="R109" s="99"/>
      <c r="T109" s="99"/>
      <c r="U109" s="99"/>
      <c r="V109" s="99"/>
      <c r="W109" s="99"/>
      <c r="X109" s="99"/>
      <c r="Z109">
        <f>SUMIF(adj!$C$2:$C$1127,$A109,adj!E$2:E$1127)</f>
        <v>0</v>
      </c>
      <c r="AA109">
        <f>SUMIF(adj!$C$2:$C$1127,$A109,adj!F$2:F$1127)</f>
        <v>0</v>
      </c>
      <c r="AB109">
        <f>SUMIF(adj!$C$2:$C$1127,$A109,adj!G$2:G$1127)</f>
        <v>0</v>
      </c>
      <c r="AC109">
        <f>SUMIF(adj!$C$2:$C$1127,$A109,adj!H$2:H$1127)</f>
        <v>0</v>
      </c>
      <c r="AD109">
        <f>SUMIF(adj!$C$2:$C$1127,$A109,adj!I$2:I$1127)</f>
        <v>0</v>
      </c>
    </row>
    <row r="110" spans="1:30" ht="11.25" hidden="1" customHeight="1">
      <c r="A110" s="573">
        <v>79</v>
      </c>
      <c r="B110" t="str">
        <f>DataNameProd5 &amp; " Feature Material Cost Per Unit Per Level"</f>
        <v>Product Five Feature Material Cost Per Unit Per Level</v>
      </c>
      <c r="C110" t="s">
        <v>1483</v>
      </c>
      <c r="D110">
        <v>10</v>
      </c>
      <c r="J110" t="s">
        <v>1880</v>
      </c>
      <c r="L110" s="10"/>
      <c r="N110" s="99"/>
      <c r="O110" s="99"/>
      <c r="P110" s="99"/>
      <c r="Q110" s="99"/>
      <c r="R110" s="99"/>
      <c r="T110" s="99"/>
      <c r="U110" s="99"/>
      <c r="V110" s="99"/>
      <c r="W110" s="99"/>
      <c r="X110" s="99"/>
      <c r="Z110">
        <f>SUMIF(adj!$C$2:$C$1127,$A110,adj!E$2:E$1127)</f>
        <v>0</v>
      </c>
      <c r="AA110">
        <f>SUMIF(adj!$C$2:$C$1127,$A110,adj!F$2:F$1127)</f>
        <v>0</v>
      </c>
      <c r="AB110">
        <f>SUMIF(adj!$C$2:$C$1127,$A110,adj!G$2:G$1127)</f>
        <v>0</v>
      </c>
      <c r="AC110">
        <f>SUMIF(adj!$C$2:$C$1127,$A110,adj!H$2:H$1127)</f>
        <v>0</v>
      </c>
      <c r="AD110">
        <f>SUMIF(adj!$C$2:$C$1127,$A110,adj!I$2:I$1127)</f>
        <v>0</v>
      </c>
    </row>
    <row r="111" spans="1:30" ht="11.25" hidden="1" customHeight="1">
      <c r="A111" s="573">
        <v>80</v>
      </c>
      <c r="B111" t="str">
        <f>DataNameProd5 &amp; " Material Cost Per Unit"</f>
        <v>Product Five Material Cost Per Unit</v>
      </c>
      <c r="C111" t="s">
        <v>1483</v>
      </c>
      <c r="D111">
        <v>0</v>
      </c>
      <c r="J111" t="s">
        <v>1881</v>
      </c>
      <c r="L111" s="10"/>
      <c r="N111" s="99"/>
      <c r="O111" s="99"/>
      <c r="P111" s="99"/>
      <c r="Q111" s="99"/>
      <c r="R111" s="99"/>
      <c r="T111" s="99"/>
      <c r="U111" s="99"/>
      <c r="V111" s="99"/>
      <c r="W111" s="99"/>
      <c r="X111" s="99"/>
      <c r="Z111">
        <f>SUMIF(adj!$C$2:$C$1127,$A111,adj!E$2:E$1127)</f>
        <v>0</v>
      </c>
      <c r="AA111">
        <f>SUMIF(adj!$C$2:$C$1127,$A111,adj!F$2:F$1127)</f>
        <v>0</v>
      </c>
      <c r="AB111">
        <f>SUMIF(adj!$C$2:$C$1127,$A111,adj!G$2:G$1127)</f>
        <v>0</v>
      </c>
      <c r="AC111">
        <f>SUMIF(adj!$C$2:$C$1127,$A111,adj!H$2:H$1127)</f>
        <v>0</v>
      </c>
      <c r="AD111">
        <f>SUMIF(adj!$C$2:$C$1127,$A111,adj!I$2:I$1127)</f>
        <v>0</v>
      </c>
    </row>
    <row r="112" spans="1:30" ht="11.25" hidden="1" customHeight="1">
      <c r="A112" s="573">
        <v>81</v>
      </c>
      <c r="B112" t="str">
        <f>DataNameProd5 &amp; " Materials Inventory As % of Production"</f>
        <v>Product Five Materials Inventory As % of Production</v>
      </c>
      <c r="C112" t="s">
        <v>1483</v>
      </c>
      <c r="D112" s="12">
        <v>0.1</v>
      </c>
      <c r="E112" s="12"/>
      <c r="F112" s="12"/>
      <c r="G112" s="12"/>
      <c r="H112" s="12"/>
      <c r="I112" s="12"/>
      <c r="J112" t="s">
        <v>1882</v>
      </c>
      <c r="L112" s="10"/>
      <c r="N112" s="99"/>
      <c r="O112" s="99"/>
      <c r="P112" s="99"/>
      <c r="Q112" s="99"/>
      <c r="R112" s="99"/>
      <c r="T112" s="99"/>
      <c r="U112" s="99"/>
      <c r="V112" s="99"/>
      <c r="W112" s="99"/>
      <c r="X112" s="99"/>
      <c r="Z112">
        <f>SUMIF(adj!$C$2:$C$1127,$A112,adj!E$2:E$1127)</f>
        <v>0</v>
      </c>
      <c r="AA112">
        <f>SUMIF(adj!$C$2:$C$1127,$A112,adj!F$2:F$1127)</f>
        <v>0</v>
      </c>
      <c r="AB112">
        <f>SUMIF(adj!$C$2:$C$1127,$A112,adj!G$2:G$1127)</f>
        <v>0</v>
      </c>
      <c r="AC112">
        <f>SUMIF(adj!$C$2:$C$1127,$A112,adj!H$2:H$1127)</f>
        <v>0</v>
      </c>
      <c r="AD112">
        <f>SUMIF(adj!$C$2:$C$1127,$A112,adj!I$2:I$1127)</f>
        <v>0</v>
      </c>
    </row>
    <row r="113" spans="1:30" ht="11.25" hidden="1" customHeight="1">
      <c r="A113" s="573">
        <v>82</v>
      </c>
      <c r="B113" t="str">
        <f>DataNameProd5 &amp; " Labor Hours Req. Per Unit"</f>
        <v>Product Five Labor Hours Req. Per Unit</v>
      </c>
      <c r="C113" t="s">
        <v>1483</v>
      </c>
      <c r="D113">
        <v>5</v>
      </c>
      <c r="J113" t="s">
        <v>1883</v>
      </c>
      <c r="L113" s="10"/>
      <c r="N113" s="99"/>
      <c r="O113" s="99"/>
      <c r="P113" s="99"/>
      <c r="Q113" s="99"/>
      <c r="R113" s="99"/>
      <c r="T113" s="99"/>
      <c r="U113" s="99"/>
      <c r="V113" s="99"/>
      <c r="W113" s="99"/>
      <c r="X113" s="99"/>
      <c r="Z113">
        <f>SUMIF(adj!$C$2:$C$1127,$A113,adj!E$2:E$1127)</f>
        <v>0</v>
      </c>
      <c r="AA113">
        <f>SUMIF(adj!$C$2:$C$1127,$A113,adj!F$2:F$1127)</f>
        <v>0</v>
      </c>
      <c r="AB113">
        <f>SUMIF(adj!$C$2:$C$1127,$A113,adj!G$2:G$1127)</f>
        <v>0</v>
      </c>
      <c r="AC113">
        <f>SUMIF(adj!$C$2:$C$1127,$A113,adj!H$2:H$1127)</f>
        <v>0</v>
      </c>
      <c r="AD113">
        <f>SUMIF(adj!$C$2:$C$1127,$A113,adj!I$2:I$1127)</f>
        <v>0</v>
      </c>
    </row>
    <row r="114" spans="1:30" ht="11.25" hidden="1" customHeight="1">
      <c r="A114" s="573">
        <v>83</v>
      </c>
      <c r="B114" t="str">
        <f>DataNameProd5 &amp; " Machinery Hours Req. Per Unit"</f>
        <v>Product Five Machinery Hours Req. Per Unit</v>
      </c>
      <c r="C114" t="s">
        <v>1483</v>
      </c>
      <c r="D114">
        <v>5</v>
      </c>
      <c r="J114" t="s">
        <v>1884</v>
      </c>
      <c r="L114" s="10"/>
      <c r="N114" s="99"/>
      <c r="O114" s="99"/>
      <c r="P114" s="99"/>
      <c r="Q114" s="99"/>
      <c r="R114" s="99"/>
      <c r="T114" s="99"/>
      <c r="U114" s="99"/>
      <c r="V114" s="99"/>
      <c r="W114" s="99"/>
      <c r="X114" s="99"/>
      <c r="Z114">
        <f>SUMIF(adj!$C$2:$C$1127,$A114,adj!E$2:E$1127)</f>
        <v>0</v>
      </c>
      <c r="AA114">
        <f>SUMIF(adj!$C$2:$C$1127,$A114,adj!F$2:F$1127)</f>
        <v>0</v>
      </c>
      <c r="AB114">
        <f>SUMIF(adj!$C$2:$C$1127,$A114,adj!G$2:G$1127)</f>
        <v>0</v>
      </c>
      <c r="AC114">
        <f>SUMIF(adj!$C$2:$C$1127,$A114,adj!H$2:H$1127)</f>
        <v>0</v>
      </c>
      <c r="AD114">
        <f>SUMIF(adj!$C$2:$C$1127,$A114,adj!I$2:I$1127)</f>
        <v>0</v>
      </c>
    </row>
    <row r="115" spans="1:30" ht="11.25" hidden="1" customHeight="1">
      <c r="A115" s="573">
        <v>84</v>
      </c>
      <c r="B115" t="str">
        <f>DataNameProd5 &amp; " Engineers Required"</f>
        <v>Product Five Engineers Required</v>
      </c>
      <c r="C115" t="s">
        <v>1483</v>
      </c>
      <c r="D115">
        <v>50</v>
      </c>
      <c r="J115" t="s">
        <v>1885</v>
      </c>
      <c r="L115" s="10"/>
      <c r="N115" s="99"/>
      <c r="O115" s="99"/>
      <c r="P115" s="99"/>
      <c r="Q115" s="99"/>
      <c r="R115" s="99"/>
      <c r="T115" s="99"/>
      <c r="U115" s="99"/>
      <c r="V115" s="99"/>
      <c r="W115" s="99"/>
      <c r="X115" s="99"/>
      <c r="Z115">
        <f>SUMIF(adj!$C$2:$C$1127,$A115,adj!E$2:E$1127)</f>
        <v>0</v>
      </c>
      <c r="AA115">
        <f>SUMIF(adj!$C$2:$C$1127,$A115,adj!F$2:F$1127)</f>
        <v>0</v>
      </c>
      <c r="AB115">
        <f>SUMIF(adj!$C$2:$C$1127,$A115,adj!G$2:G$1127)</f>
        <v>0</v>
      </c>
      <c r="AC115">
        <f>SUMIF(adj!$C$2:$C$1127,$A115,adj!H$2:H$1127)</f>
        <v>0</v>
      </c>
      <c r="AD115">
        <f>SUMIF(adj!$C$2:$C$1127,$A115,adj!I$2:I$1127)</f>
        <v>0</v>
      </c>
    </row>
    <row r="116" spans="1:30" ht="11.25" hidden="1" customHeight="1">
      <c r="A116" s="573">
        <v>85</v>
      </c>
      <c r="B116" t="str">
        <f>DataNameProd5 &amp; " Inventory Handling % of Closing Value"</f>
        <v>Product Five Inventory Handling % of Closing Value</v>
      </c>
      <c r="C116" t="s">
        <v>1483</v>
      </c>
      <c r="D116" s="12">
        <v>0.1</v>
      </c>
      <c r="E116" s="12"/>
      <c r="F116" s="12"/>
      <c r="G116" s="12"/>
      <c r="H116" s="12"/>
      <c r="I116" s="12"/>
      <c r="J116" t="s">
        <v>2037</v>
      </c>
      <c r="L116" s="10"/>
      <c r="N116" s="99"/>
      <c r="O116" s="99"/>
      <c r="P116" s="99"/>
      <c r="Q116" s="99"/>
      <c r="R116" s="99"/>
      <c r="T116" s="99"/>
      <c r="U116" s="99"/>
      <c r="V116" s="99"/>
      <c r="W116" s="99"/>
      <c r="X116" s="99"/>
      <c r="Z116">
        <f>SUMIF(adj!$C$2:$C$1127,$A116,adj!E$2:E$1127)</f>
        <v>0</v>
      </c>
      <c r="AA116">
        <f>SUMIF(adj!$C$2:$C$1127,$A116,adj!F$2:F$1127)</f>
        <v>0</v>
      </c>
      <c r="AB116">
        <f>SUMIF(adj!$C$2:$C$1127,$A116,adj!G$2:G$1127)</f>
        <v>0</v>
      </c>
      <c r="AC116">
        <f>SUMIF(adj!$C$2:$C$1127,$A116,adj!H$2:H$1127)</f>
        <v>0</v>
      </c>
      <c r="AD116">
        <f>SUMIF(adj!$C$2:$C$1127,$A116,adj!I$2:I$1127)</f>
        <v>0</v>
      </c>
    </row>
    <row r="117" spans="1:30" ht="11.25" hidden="1" customHeight="1">
      <c r="A117" s="573">
        <v>86</v>
      </c>
      <c r="B117" t="str">
        <f>DataNameProd5 &amp; " Distribution Costs"</f>
        <v>Product Five Distribution Costs</v>
      </c>
      <c r="C117" t="s">
        <v>1483</v>
      </c>
      <c r="D117" s="10">
        <v>40</v>
      </c>
      <c r="E117" s="10"/>
      <c r="F117" s="10"/>
      <c r="G117" s="10"/>
      <c r="H117" s="10"/>
      <c r="I117" s="10"/>
      <c r="J117" t="s">
        <v>2038</v>
      </c>
      <c r="L117" s="10"/>
      <c r="N117" s="99"/>
      <c r="O117" s="99"/>
      <c r="P117" s="99"/>
      <c r="Q117" s="99"/>
      <c r="R117" s="99"/>
      <c r="T117" s="99"/>
      <c r="U117" s="99"/>
      <c r="V117" s="99"/>
      <c r="W117" s="99"/>
      <c r="X117" s="99"/>
      <c r="Z117">
        <f>SUMIF(adj!$C$2:$C$1127,$A117,adj!E$2:E$1127)</f>
        <v>0</v>
      </c>
      <c r="AA117">
        <f>SUMIF(adj!$C$2:$C$1127,$A117,adj!F$2:F$1127)</f>
        <v>0</v>
      </c>
      <c r="AB117">
        <f>SUMIF(adj!$C$2:$C$1127,$A117,adj!G$2:G$1127)</f>
        <v>0</v>
      </c>
      <c r="AC117">
        <f>SUMIF(adj!$C$2:$C$1127,$A117,adj!H$2:H$1127)</f>
        <v>0</v>
      </c>
      <c r="AD117">
        <f>SUMIF(adj!$C$2:$C$1127,$A117,adj!I$2:I$1127)</f>
        <v>0</v>
      </c>
    </row>
    <row r="118" spans="1:30" ht="11.25" hidden="1" customHeight="1">
      <c r="A118" s="573">
        <v>87</v>
      </c>
      <c r="B118" t="str">
        <f>DataNameProd5 &amp; " Admin Costs"</f>
        <v>Product Five Admin Costs</v>
      </c>
      <c r="C118" t="s">
        <v>1483</v>
      </c>
      <c r="D118" s="11">
        <v>1000000</v>
      </c>
      <c r="E118" s="11"/>
      <c r="F118" s="11"/>
      <c r="G118" s="11"/>
      <c r="H118" s="11"/>
      <c r="I118" s="11"/>
      <c r="J118" t="s">
        <v>2039</v>
      </c>
      <c r="L118" s="10"/>
      <c r="N118" s="99"/>
      <c r="O118" s="99"/>
      <c r="P118" s="99"/>
      <c r="Q118" s="99"/>
      <c r="R118" s="99"/>
      <c r="T118" s="99"/>
      <c r="U118" s="99"/>
      <c r="V118" s="99"/>
      <c r="W118" s="99"/>
      <c r="X118" s="99"/>
      <c r="Z118">
        <f>SUMIF(adj!$C$2:$C$1127,$A118,adj!E$2:E$1127)</f>
        <v>0</v>
      </c>
      <c r="AA118">
        <f>SUMIF(adj!$C$2:$C$1127,$A118,adj!F$2:F$1127)</f>
        <v>0</v>
      </c>
      <c r="AB118">
        <f>SUMIF(adj!$C$2:$C$1127,$A118,adj!G$2:G$1127)</f>
        <v>0</v>
      </c>
      <c r="AC118">
        <f>SUMIF(adj!$C$2:$C$1127,$A118,adj!H$2:H$1127)</f>
        <v>0</v>
      </c>
      <c r="AD118">
        <f>SUMIF(adj!$C$2:$C$1127,$A118,adj!I$2:I$1127)</f>
        <v>0</v>
      </c>
    </row>
    <row r="119" spans="1:30" ht="11.25" hidden="1" customHeight="1">
      <c r="A119" s="573">
        <v>88</v>
      </c>
      <c r="B119" t="str">
        <f>DataNameProd5 &amp; " Other Costs"</f>
        <v>Product Five Other Costs</v>
      </c>
      <c r="C119" t="s">
        <v>1483</v>
      </c>
      <c r="D119" s="11">
        <v>50000</v>
      </c>
      <c r="E119" s="11"/>
      <c r="F119" s="11"/>
      <c r="G119" s="11"/>
      <c r="H119" s="11"/>
      <c r="I119" s="11"/>
      <c r="J119" t="s">
        <v>2040</v>
      </c>
      <c r="L119" s="10"/>
      <c r="N119" s="99"/>
      <c r="O119" s="99"/>
      <c r="P119" s="99"/>
      <c r="Q119" s="99"/>
      <c r="R119" s="99"/>
      <c r="T119" s="99"/>
      <c r="U119" s="99"/>
      <c r="V119" s="99"/>
      <c r="W119" s="99"/>
      <c r="X119" s="99"/>
      <c r="Z119">
        <f>SUMIF(adj!$C$2:$C$1127,$A119,adj!E$2:E$1127)</f>
        <v>0</v>
      </c>
      <c r="AA119">
        <f>SUMIF(adj!$C$2:$C$1127,$A119,adj!F$2:F$1127)</f>
        <v>0</v>
      </c>
      <c r="AB119">
        <f>SUMIF(adj!$C$2:$C$1127,$A119,adj!G$2:G$1127)</f>
        <v>0</v>
      </c>
      <c r="AC119">
        <f>SUMIF(adj!$C$2:$C$1127,$A119,adj!H$2:H$1127)</f>
        <v>0</v>
      </c>
      <c r="AD119">
        <f>SUMIF(adj!$C$2:$C$1127,$A119,adj!I$2:I$1127)</f>
        <v>0</v>
      </c>
    </row>
    <row r="120" spans="1:30" ht="11.25" hidden="1" customHeight="1">
      <c r="A120" s="573">
        <v>89</v>
      </c>
      <c r="D120">
        <v>0</v>
      </c>
      <c r="L120" s="10"/>
      <c r="N120" s="99"/>
      <c r="O120" s="99"/>
      <c r="P120" s="99"/>
      <c r="Q120" s="99"/>
      <c r="R120" s="99"/>
      <c r="T120" s="99"/>
      <c r="U120" s="99"/>
      <c r="V120" s="99"/>
      <c r="W120" s="99"/>
      <c r="X120" s="99"/>
      <c r="Z120">
        <f>SUMIF(adj!$C$2:$C$1127,$A120,adj!E$2:E$1127)</f>
        <v>0</v>
      </c>
      <c r="AA120">
        <f>SUMIF(adj!$C$2:$C$1127,$A120,adj!F$2:F$1127)</f>
        <v>0</v>
      </c>
      <c r="AB120">
        <f>SUMIF(adj!$C$2:$C$1127,$A120,adj!G$2:G$1127)</f>
        <v>0</v>
      </c>
      <c r="AC120">
        <f>SUMIF(adj!$C$2:$C$1127,$A120,adj!H$2:H$1127)</f>
        <v>0</v>
      </c>
      <c r="AD120">
        <f>SUMIF(adj!$C$2:$C$1127,$A120,adj!I$2:I$1127)</f>
        <v>0</v>
      </c>
    </row>
    <row r="121" spans="1:30" ht="11.25" hidden="1" customHeight="1">
      <c r="A121" s="573">
        <v>90</v>
      </c>
      <c r="B121" s="2" t="str">
        <f>DataNameProd6 &amp; " Paramaters"</f>
        <v>Product Six Paramaters</v>
      </c>
      <c r="D121" s="130"/>
      <c r="E121" s="2"/>
      <c r="L121" s="10"/>
      <c r="N121" s="99"/>
      <c r="O121" s="99"/>
      <c r="P121" s="99"/>
      <c r="Q121" s="99"/>
      <c r="R121" s="99"/>
      <c r="T121" s="99"/>
      <c r="U121" s="99"/>
      <c r="V121" s="99"/>
      <c r="W121" s="99"/>
      <c r="X121" s="99"/>
      <c r="Z121">
        <f>SUMIF(adj!$C$2:$C$1127,$A121,adj!E$2:E$1127)</f>
        <v>0</v>
      </c>
      <c r="AA121">
        <f>SUMIF(adj!$C$2:$C$1127,$A121,adj!F$2:F$1127)</f>
        <v>0</v>
      </c>
      <c r="AB121">
        <f>SUMIF(adj!$C$2:$C$1127,$A121,adj!G$2:G$1127)</f>
        <v>0</v>
      </c>
      <c r="AC121">
        <f>SUMIF(adj!$C$2:$C$1127,$A121,adj!H$2:H$1127)</f>
        <v>0</v>
      </c>
      <c r="AD121">
        <f>SUMIF(adj!$C$2:$C$1127,$A121,adj!I$2:I$1127)</f>
        <v>0</v>
      </c>
    </row>
    <row r="122" spans="1:30" ht="11.25" hidden="1" customHeight="1">
      <c r="A122" s="573">
        <v>91</v>
      </c>
      <c r="B122" t="str">
        <f>DataNameProd6 &amp; " Cycle Time"</f>
        <v>Product Six Cycle Time</v>
      </c>
      <c r="C122" t="s">
        <v>3414</v>
      </c>
      <c r="D122">
        <v>30</v>
      </c>
      <c r="J122" t="s">
        <v>3113</v>
      </c>
      <c r="L122" s="10"/>
      <c r="N122" s="99"/>
      <c r="O122" s="99"/>
      <c r="P122" s="99"/>
      <c r="Q122" s="99"/>
      <c r="R122" s="99"/>
      <c r="T122" s="99"/>
      <c r="U122" s="99"/>
      <c r="V122" s="99"/>
      <c r="W122" s="99"/>
      <c r="X122" s="99"/>
      <c r="Z122">
        <f>SUMIF(adj!$C$2:$C$1127,$A122,adj!E$2:E$1127)</f>
        <v>0</v>
      </c>
      <c r="AA122">
        <f>SUMIF(adj!$C$2:$C$1127,$A122,adj!F$2:F$1127)</f>
        <v>0</v>
      </c>
      <c r="AB122">
        <f>SUMIF(adj!$C$2:$C$1127,$A122,adj!G$2:G$1127)</f>
        <v>0</v>
      </c>
      <c r="AC122">
        <f>SUMIF(adj!$C$2:$C$1127,$A122,adj!H$2:H$1127)</f>
        <v>0</v>
      </c>
      <c r="AD122">
        <f>SUMIF(adj!$C$2:$C$1127,$A122,adj!I$2:I$1127)</f>
        <v>0</v>
      </c>
    </row>
    <row r="123" spans="1:30" ht="11.25" hidden="1" customHeight="1">
      <c r="A123" s="573">
        <v>92</v>
      </c>
      <c r="B123" t="str">
        <f>DataNameProd6 &amp; " Feature Material Cost Per Unit Per Level"</f>
        <v>Product Six Feature Material Cost Per Unit Per Level</v>
      </c>
      <c r="C123" t="s">
        <v>1483</v>
      </c>
      <c r="D123">
        <v>10</v>
      </c>
      <c r="J123" t="s">
        <v>3114</v>
      </c>
      <c r="L123" s="10"/>
      <c r="N123" s="99"/>
      <c r="O123" s="99"/>
      <c r="P123" s="99"/>
      <c r="Q123" s="99"/>
      <c r="R123" s="99"/>
      <c r="T123" s="99"/>
      <c r="U123" s="99"/>
      <c r="V123" s="99"/>
      <c r="W123" s="99"/>
      <c r="X123" s="99"/>
      <c r="Z123">
        <f>SUMIF(adj!$C$2:$C$1127,$A123,adj!E$2:E$1127)</f>
        <v>0</v>
      </c>
      <c r="AA123">
        <f>SUMIF(adj!$C$2:$C$1127,$A123,adj!F$2:F$1127)</f>
        <v>0</v>
      </c>
      <c r="AB123">
        <f>SUMIF(adj!$C$2:$C$1127,$A123,adj!G$2:G$1127)</f>
        <v>0</v>
      </c>
      <c r="AC123">
        <f>SUMIF(adj!$C$2:$C$1127,$A123,adj!H$2:H$1127)</f>
        <v>0</v>
      </c>
      <c r="AD123">
        <f>SUMIF(adj!$C$2:$C$1127,$A123,adj!I$2:I$1127)</f>
        <v>0</v>
      </c>
    </row>
    <row r="124" spans="1:30" ht="11.25" hidden="1" customHeight="1">
      <c r="A124" s="573">
        <v>93</v>
      </c>
      <c r="B124" t="str">
        <f>DataNameProd6 &amp; " Material Cost Per Unit"</f>
        <v>Product Six Material Cost Per Unit</v>
      </c>
      <c r="C124" t="s">
        <v>1483</v>
      </c>
      <c r="D124">
        <v>0</v>
      </c>
      <c r="J124" t="s">
        <v>1440</v>
      </c>
      <c r="L124" s="10"/>
      <c r="N124" s="99"/>
      <c r="O124" s="99"/>
      <c r="P124" s="99"/>
      <c r="Q124" s="99"/>
      <c r="R124" s="99"/>
      <c r="T124" s="99"/>
      <c r="U124" s="99"/>
      <c r="V124" s="99"/>
      <c r="W124" s="99"/>
      <c r="X124" s="99"/>
      <c r="Z124">
        <f>SUMIF(adj!$C$2:$C$1127,$A124,adj!E$2:E$1127)</f>
        <v>0</v>
      </c>
      <c r="AA124">
        <f>SUMIF(adj!$C$2:$C$1127,$A124,adj!F$2:F$1127)</f>
        <v>0</v>
      </c>
      <c r="AB124">
        <f>SUMIF(adj!$C$2:$C$1127,$A124,adj!G$2:G$1127)</f>
        <v>0</v>
      </c>
      <c r="AC124">
        <f>SUMIF(adj!$C$2:$C$1127,$A124,adj!H$2:H$1127)</f>
        <v>0</v>
      </c>
      <c r="AD124">
        <f>SUMIF(adj!$C$2:$C$1127,$A124,adj!I$2:I$1127)</f>
        <v>0</v>
      </c>
    </row>
    <row r="125" spans="1:30" ht="11.25" hidden="1" customHeight="1">
      <c r="A125" s="573">
        <v>94</v>
      </c>
      <c r="B125" t="str">
        <f>DataNameProd6 &amp; " Materials Inventory As % of Production"</f>
        <v>Product Six Materials Inventory As % of Production</v>
      </c>
      <c r="C125" t="s">
        <v>1483</v>
      </c>
      <c r="D125" s="12">
        <v>0.1</v>
      </c>
      <c r="E125" s="12"/>
      <c r="F125" s="12"/>
      <c r="G125" s="12"/>
      <c r="H125" s="12"/>
      <c r="I125" s="12"/>
      <c r="J125" t="s">
        <v>1441</v>
      </c>
      <c r="L125" s="10"/>
      <c r="N125" s="99"/>
      <c r="O125" s="99"/>
      <c r="P125" s="99"/>
      <c r="Q125" s="99"/>
      <c r="R125" s="99"/>
      <c r="T125" s="99"/>
      <c r="U125" s="99"/>
      <c r="V125" s="99"/>
      <c r="W125" s="99"/>
      <c r="X125" s="99"/>
      <c r="Z125">
        <f>SUMIF(adj!$C$2:$C$1127,$A125,adj!E$2:E$1127)</f>
        <v>0</v>
      </c>
      <c r="AA125">
        <f>SUMIF(adj!$C$2:$C$1127,$A125,adj!F$2:F$1127)</f>
        <v>0</v>
      </c>
      <c r="AB125">
        <f>SUMIF(adj!$C$2:$C$1127,$A125,adj!G$2:G$1127)</f>
        <v>0</v>
      </c>
      <c r="AC125">
        <f>SUMIF(adj!$C$2:$C$1127,$A125,adj!H$2:H$1127)</f>
        <v>0</v>
      </c>
      <c r="AD125">
        <f>SUMIF(adj!$C$2:$C$1127,$A125,adj!I$2:I$1127)</f>
        <v>0</v>
      </c>
    </row>
    <row r="126" spans="1:30" ht="11.25" hidden="1" customHeight="1">
      <c r="A126" s="573">
        <v>95</v>
      </c>
      <c r="B126" t="str">
        <f>DataNameProd6 &amp; " Labor Hours Req. Per Unit"</f>
        <v>Product Six Labor Hours Req. Per Unit</v>
      </c>
      <c r="C126" t="s">
        <v>1483</v>
      </c>
      <c r="D126">
        <v>5</v>
      </c>
      <c r="J126" t="s">
        <v>1047</v>
      </c>
      <c r="L126" s="10"/>
      <c r="N126" s="99"/>
      <c r="O126" s="99"/>
      <c r="P126" s="99"/>
      <c r="Q126" s="99"/>
      <c r="R126" s="99"/>
      <c r="T126" s="99"/>
      <c r="U126" s="99"/>
      <c r="V126" s="99"/>
      <c r="W126" s="99"/>
      <c r="X126" s="99"/>
      <c r="Z126">
        <f>SUMIF(adj!$C$2:$C$1127,$A126,adj!E$2:E$1127)</f>
        <v>0</v>
      </c>
      <c r="AA126">
        <f>SUMIF(adj!$C$2:$C$1127,$A126,adj!F$2:F$1127)</f>
        <v>0</v>
      </c>
      <c r="AB126">
        <f>SUMIF(adj!$C$2:$C$1127,$A126,adj!G$2:G$1127)</f>
        <v>0</v>
      </c>
      <c r="AC126">
        <f>SUMIF(adj!$C$2:$C$1127,$A126,adj!H$2:H$1127)</f>
        <v>0</v>
      </c>
      <c r="AD126">
        <f>SUMIF(adj!$C$2:$C$1127,$A126,adj!I$2:I$1127)</f>
        <v>0</v>
      </c>
    </row>
    <row r="127" spans="1:30" ht="11.25" hidden="1" customHeight="1">
      <c r="A127" s="573">
        <v>96</v>
      </c>
      <c r="B127" t="str">
        <f>DataNameProd6 &amp; " Machinery Hours Req. Per Unit"</f>
        <v>Product Six Machinery Hours Req. Per Unit</v>
      </c>
      <c r="C127" t="s">
        <v>1483</v>
      </c>
      <c r="D127">
        <v>5</v>
      </c>
      <c r="J127" t="s">
        <v>1048</v>
      </c>
      <c r="L127" s="10"/>
      <c r="N127" s="99"/>
      <c r="O127" s="99"/>
      <c r="P127" s="99"/>
      <c r="Q127" s="99"/>
      <c r="R127" s="99"/>
      <c r="T127" s="99"/>
      <c r="U127" s="99"/>
      <c r="V127" s="99"/>
      <c r="W127" s="99"/>
      <c r="X127" s="99"/>
      <c r="Z127">
        <f>SUMIF(adj!$C$2:$C$1127,$A127,adj!E$2:E$1127)</f>
        <v>0</v>
      </c>
      <c r="AA127">
        <f>SUMIF(adj!$C$2:$C$1127,$A127,adj!F$2:F$1127)</f>
        <v>0</v>
      </c>
      <c r="AB127">
        <f>SUMIF(adj!$C$2:$C$1127,$A127,adj!G$2:G$1127)</f>
        <v>0</v>
      </c>
      <c r="AC127">
        <f>SUMIF(adj!$C$2:$C$1127,$A127,adj!H$2:H$1127)</f>
        <v>0</v>
      </c>
      <c r="AD127">
        <f>SUMIF(adj!$C$2:$C$1127,$A127,adj!I$2:I$1127)</f>
        <v>0</v>
      </c>
    </row>
    <row r="128" spans="1:30" ht="11.25" hidden="1" customHeight="1">
      <c r="A128" s="573">
        <v>97</v>
      </c>
      <c r="B128" t="str">
        <f>DataNameProd6 &amp; " Engineers Required"</f>
        <v>Product Six Engineers Required</v>
      </c>
      <c r="C128" t="s">
        <v>1483</v>
      </c>
      <c r="D128">
        <v>50</v>
      </c>
      <c r="J128" t="s">
        <v>1049</v>
      </c>
      <c r="L128" s="10"/>
      <c r="N128" s="99"/>
      <c r="O128" s="99"/>
      <c r="P128" s="99"/>
      <c r="Q128" s="99"/>
      <c r="R128" s="99"/>
      <c r="T128" s="99"/>
      <c r="U128" s="99"/>
      <c r="V128" s="99"/>
      <c r="W128" s="99"/>
      <c r="X128" s="99"/>
      <c r="Z128">
        <f>SUMIF(adj!$C$2:$C$1127,$A128,adj!E$2:E$1127)</f>
        <v>0</v>
      </c>
      <c r="AA128">
        <f>SUMIF(adj!$C$2:$C$1127,$A128,adj!F$2:F$1127)</f>
        <v>0</v>
      </c>
      <c r="AB128">
        <f>SUMIF(adj!$C$2:$C$1127,$A128,adj!G$2:G$1127)</f>
        <v>0</v>
      </c>
      <c r="AC128">
        <f>SUMIF(adj!$C$2:$C$1127,$A128,adj!H$2:H$1127)</f>
        <v>0</v>
      </c>
      <c r="AD128">
        <f>SUMIF(adj!$C$2:$C$1127,$A128,adj!I$2:I$1127)</f>
        <v>0</v>
      </c>
    </row>
    <row r="129" spans="1:30" ht="11.25" hidden="1" customHeight="1">
      <c r="A129" s="573">
        <v>98</v>
      </c>
      <c r="B129" t="str">
        <f>DataNameProd6 &amp; " Inventory Handling % of Closing Value"</f>
        <v>Product Six Inventory Handling % of Closing Value</v>
      </c>
      <c r="C129" t="s">
        <v>1483</v>
      </c>
      <c r="D129" s="12">
        <v>0.1</v>
      </c>
      <c r="E129" s="12"/>
      <c r="F129" s="12"/>
      <c r="G129" s="12"/>
      <c r="H129" s="12"/>
      <c r="I129" s="12"/>
      <c r="J129" t="s">
        <v>1050</v>
      </c>
      <c r="L129" s="10"/>
      <c r="N129" s="99"/>
      <c r="O129" s="99"/>
      <c r="P129" s="99"/>
      <c r="Q129" s="99"/>
      <c r="R129" s="99"/>
      <c r="T129" s="99"/>
      <c r="U129" s="99"/>
      <c r="V129" s="99"/>
      <c r="W129" s="99"/>
      <c r="X129" s="99"/>
      <c r="Z129">
        <f>SUMIF(adj!$C$2:$C$1127,$A129,adj!E$2:E$1127)</f>
        <v>0</v>
      </c>
      <c r="AA129">
        <f>SUMIF(adj!$C$2:$C$1127,$A129,adj!F$2:F$1127)</f>
        <v>0</v>
      </c>
      <c r="AB129">
        <f>SUMIF(adj!$C$2:$C$1127,$A129,adj!G$2:G$1127)</f>
        <v>0</v>
      </c>
      <c r="AC129">
        <f>SUMIF(adj!$C$2:$C$1127,$A129,adj!H$2:H$1127)</f>
        <v>0</v>
      </c>
      <c r="AD129">
        <f>SUMIF(adj!$C$2:$C$1127,$A129,adj!I$2:I$1127)</f>
        <v>0</v>
      </c>
    </row>
    <row r="130" spans="1:30" ht="11.25" hidden="1" customHeight="1">
      <c r="A130" s="573">
        <v>99</v>
      </c>
      <c r="B130" t="str">
        <f>DataNameProd6 &amp; " Distribution Costs"</f>
        <v>Product Six Distribution Costs</v>
      </c>
      <c r="C130" t="s">
        <v>1483</v>
      </c>
      <c r="D130" s="10">
        <v>40</v>
      </c>
      <c r="E130" s="10"/>
      <c r="F130" s="10"/>
      <c r="G130" s="10"/>
      <c r="H130" s="10"/>
      <c r="I130" s="10"/>
      <c r="J130" t="s">
        <v>1051</v>
      </c>
      <c r="L130" s="10"/>
      <c r="N130" s="99"/>
      <c r="O130" s="99"/>
      <c r="P130" s="99"/>
      <c r="Q130" s="99"/>
      <c r="R130" s="99"/>
      <c r="T130" s="99"/>
      <c r="U130" s="99"/>
      <c r="V130" s="99"/>
      <c r="W130" s="99"/>
      <c r="X130" s="99"/>
      <c r="Z130">
        <f>SUMIF(adj!$C$2:$C$1127,$A130,adj!E$2:E$1127)</f>
        <v>0</v>
      </c>
      <c r="AA130">
        <f>SUMIF(adj!$C$2:$C$1127,$A130,adj!F$2:F$1127)</f>
        <v>0</v>
      </c>
      <c r="AB130">
        <f>SUMIF(adj!$C$2:$C$1127,$A130,adj!G$2:G$1127)</f>
        <v>0</v>
      </c>
      <c r="AC130">
        <f>SUMIF(adj!$C$2:$C$1127,$A130,adj!H$2:H$1127)</f>
        <v>0</v>
      </c>
      <c r="AD130">
        <f>SUMIF(adj!$C$2:$C$1127,$A130,adj!I$2:I$1127)</f>
        <v>0</v>
      </c>
    </row>
    <row r="131" spans="1:30" ht="11.25" hidden="1" customHeight="1">
      <c r="A131" s="573">
        <v>100</v>
      </c>
      <c r="B131" t="str">
        <f>DataNameProd6 &amp; " Admin Costs"</f>
        <v>Product Six Admin Costs</v>
      </c>
      <c r="C131" t="s">
        <v>1483</v>
      </c>
      <c r="D131" s="11">
        <v>1000000</v>
      </c>
      <c r="E131" s="11"/>
      <c r="F131" s="11"/>
      <c r="G131" s="11"/>
      <c r="H131" s="11"/>
      <c r="I131" s="11"/>
      <c r="J131" t="s">
        <v>1052</v>
      </c>
      <c r="L131" s="10"/>
      <c r="N131" s="99"/>
      <c r="O131" s="99"/>
      <c r="P131" s="99"/>
      <c r="Q131" s="99"/>
      <c r="R131" s="99"/>
      <c r="T131" s="99"/>
      <c r="U131" s="99"/>
      <c r="V131" s="99"/>
      <c r="W131" s="99"/>
      <c r="X131" s="99"/>
      <c r="Z131">
        <f>SUMIF(adj!$C$2:$C$1127,$A131,adj!E$2:E$1127)</f>
        <v>0</v>
      </c>
      <c r="AA131">
        <f>SUMIF(adj!$C$2:$C$1127,$A131,adj!F$2:F$1127)</f>
        <v>0</v>
      </c>
      <c r="AB131">
        <f>SUMIF(adj!$C$2:$C$1127,$A131,adj!G$2:G$1127)</f>
        <v>0</v>
      </c>
      <c r="AC131">
        <f>SUMIF(adj!$C$2:$C$1127,$A131,adj!H$2:H$1127)</f>
        <v>0</v>
      </c>
      <c r="AD131">
        <f>SUMIF(adj!$C$2:$C$1127,$A131,adj!I$2:I$1127)</f>
        <v>0</v>
      </c>
    </row>
    <row r="132" spans="1:30" ht="11.25" hidden="1" customHeight="1">
      <c r="A132" s="573">
        <v>101</v>
      </c>
      <c r="B132" t="str">
        <f>DataNameProd6 &amp; " Other Costs"</f>
        <v>Product Six Other Costs</v>
      </c>
      <c r="C132" t="s">
        <v>1483</v>
      </c>
      <c r="D132" s="11">
        <v>50000</v>
      </c>
      <c r="E132" s="11"/>
      <c r="F132" s="11"/>
      <c r="G132" s="11"/>
      <c r="H132" s="11"/>
      <c r="I132" s="11"/>
      <c r="J132" t="s">
        <v>1053</v>
      </c>
      <c r="L132" s="10"/>
      <c r="N132" s="99"/>
      <c r="O132" s="99"/>
      <c r="P132" s="99"/>
      <c r="Q132" s="99"/>
      <c r="R132" s="99"/>
      <c r="T132" s="99"/>
      <c r="U132" s="99"/>
      <c r="V132" s="99"/>
      <c r="W132" s="99"/>
      <c r="X132" s="99"/>
      <c r="Z132">
        <f>SUMIF(adj!$C$2:$C$1127,$A132,adj!E$2:E$1127)</f>
        <v>0</v>
      </c>
      <c r="AA132">
        <f>SUMIF(adj!$C$2:$C$1127,$A132,adj!F$2:F$1127)</f>
        <v>0</v>
      </c>
      <c r="AB132">
        <f>SUMIF(adj!$C$2:$C$1127,$A132,adj!G$2:G$1127)</f>
        <v>0</v>
      </c>
      <c r="AC132">
        <f>SUMIF(adj!$C$2:$C$1127,$A132,adj!H$2:H$1127)</f>
        <v>0</v>
      </c>
      <c r="AD132">
        <f>SUMIF(adj!$C$2:$C$1127,$A132,adj!I$2:I$1127)</f>
        <v>0</v>
      </c>
    </row>
    <row r="133" spans="1:30" ht="11.25" hidden="1" customHeight="1">
      <c r="A133" s="573">
        <v>102</v>
      </c>
      <c r="D133">
        <v>0</v>
      </c>
      <c r="L133" s="10"/>
      <c r="N133" s="99"/>
      <c r="O133" s="99"/>
      <c r="P133" s="99"/>
      <c r="Q133" s="99"/>
      <c r="R133" s="99"/>
      <c r="T133" s="99"/>
      <c r="U133" s="99"/>
      <c r="V133" s="99"/>
      <c r="W133" s="99"/>
      <c r="X133" s="99"/>
      <c r="Z133">
        <f>SUMIF(adj!$C$2:$C$1127,$A133,adj!E$2:E$1127)</f>
        <v>0</v>
      </c>
      <c r="AA133">
        <f>SUMIF(adj!$C$2:$C$1127,$A133,adj!F$2:F$1127)</f>
        <v>0</v>
      </c>
      <c r="AB133">
        <f>SUMIF(adj!$C$2:$C$1127,$A133,adj!G$2:G$1127)</f>
        <v>0</v>
      </c>
      <c r="AC133">
        <f>SUMIF(adj!$C$2:$C$1127,$A133,adj!H$2:H$1127)</f>
        <v>0</v>
      </c>
      <c r="AD133">
        <f>SUMIF(adj!$C$2:$C$1127,$A133,adj!I$2:I$1127)</f>
        <v>0</v>
      </c>
    </row>
    <row r="134" spans="1:30">
      <c r="A134" s="573">
        <v>103</v>
      </c>
      <c r="B134" s="2" t="str">
        <f>DataNameEmp1 &amp; " Parameters"</f>
        <v>Lower Region Sales Force Parameters</v>
      </c>
      <c r="L134" s="10"/>
      <c r="N134" s="99"/>
      <c r="O134" s="99"/>
      <c r="P134" s="99"/>
      <c r="Q134" s="99"/>
      <c r="R134" s="99"/>
      <c r="T134" s="99"/>
      <c r="U134" s="99"/>
      <c r="V134" s="99"/>
      <c r="W134" s="99"/>
      <c r="X134" s="99"/>
      <c r="Z134">
        <f>SUMIF(adj!$C$2:$C$1127,$A134,adj!E$2:E$1127)</f>
        <v>0</v>
      </c>
      <c r="AA134">
        <f>SUMIF(adj!$C$2:$C$1127,$A134,adj!F$2:F$1127)</f>
        <v>0</v>
      </c>
      <c r="AB134">
        <f>SUMIF(adj!$C$2:$C$1127,$A134,adj!G$2:G$1127)</f>
        <v>0</v>
      </c>
      <c r="AC134">
        <f>SUMIF(adj!$C$2:$C$1127,$A134,adj!H$2:H$1127)</f>
        <v>0</v>
      </c>
      <c r="AD134">
        <f>SUMIF(adj!$C$2:$C$1127,$A134,adj!I$2:I$1127)</f>
        <v>0</v>
      </c>
    </row>
    <row r="135" spans="1:30">
      <c r="A135" s="573">
        <v>104</v>
      </c>
      <c r="B135" t="str">
        <f>DataNameEmp1 &amp; " Attrition rate"</f>
        <v>Lower Region Sales Force Attrition rate</v>
      </c>
      <c r="C135" t="s">
        <v>3414</v>
      </c>
      <c r="D135" s="12">
        <v>0.1</v>
      </c>
      <c r="E135" s="15">
        <f t="shared" ref="E135:F142" si="36">$D135*(1+T135+Z135*($C135="R"))+N135+Z135*($C135="A")</f>
        <v>0.1</v>
      </c>
      <c r="F135" s="15">
        <f t="shared" si="36"/>
        <v>0.1</v>
      </c>
      <c r="G135" s="15">
        <f t="shared" ref="G135:I142" si="37">$D135*(1+V135+AB135*($C135="R"))+P135+AB135*($C135="A")</f>
        <v>0.1</v>
      </c>
      <c r="H135" s="15">
        <f t="shared" si="37"/>
        <v>0.1</v>
      </c>
      <c r="I135" s="15">
        <f t="shared" si="37"/>
        <v>0.1</v>
      </c>
      <c r="J135" t="s">
        <v>985</v>
      </c>
      <c r="L135" s="10"/>
      <c r="N135" s="99"/>
      <c r="O135" s="99"/>
      <c r="P135" s="99"/>
      <c r="Q135" s="99"/>
      <c r="R135" s="99"/>
      <c r="T135" s="99"/>
      <c r="U135" s="99"/>
      <c r="V135" s="99"/>
      <c r="W135" s="99"/>
      <c r="X135" s="99"/>
      <c r="Z135">
        <f>SUMIF(adj!$C$2:$C$1127,$A135,adj!E$2:E$1127)</f>
        <v>0</v>
      </c>
      <c r="AA135">
        <f>SUMIF(adj!$C$2:$C$1127,$A135,adj!F$2:F$1127)</f>
        <v>0</v>
      </c>
      <c r="AB135">
        <f>SUMIF(adj!$C$2:$C$1127,$A135,adj!G$2:G$1127)</f>
        <v>0</v>
      </c>
      <c r="AC135">
        <f>SUMIF(adj!$C$2:$C$1127,$A135,adj!H$2:H$1127)</f>
        <v>0</v>
      </c>
      <c r="AD135">
        <f>SUMIF(adj!$C$2:$C$1127,$A135,adj!I$2:I$1127)</f>
        <v>0</v>
      </c>
    </row>
    <row r="136" spans="1:30">
      <c r="A136" s="573">
        <v>105</v>
      </c>
      <c r="B136" t="str">
        <f>DataNameEmp1 &amp; " Salary"</f>
        <v>Lower Region Sales Force Salary</v>
      </c>
      <c r="C136" t="s">
        <v>1483</v>
      </c>
      <c r="D136" s="16">
        <v>80000</v>
      </c>
      <c r="E136" s="16">
        <f t="shared" si="36"/>
        <v>80000</v>
      </c>
      <c r="F136" s="16">
        <f t="shared" si="36"/>
        <v>80000</v>
      </c>
      <c r="G136" s="16">
        <f t="shared" si="37"/>
        <v>80000</v>
      </c>
      <c r="H136" s="16">
        <f t="shared" si="37"/>
        <v>80000</v>
      </c>
      <c r="I136" s="16">
        <f t="shared" si="37"/>
        <v>80000</v>
      </c>
      <c r="J136" t="s">
        <v>986</v>
      </c>
      <c r="L136" s="10"/>
      <c r="N136" s="99"/>
      <c r="O136" s="99"/>
      <c r="P136" s="99"/>
      <c r="Q136" s="99"/>
      <c r="R136" s="99"/>
      <c r="T136" s="917"/>
      <c r="U136" s="99"/>
      <c r="V136" s="99"/>
      <c r="W136" s="99"/>
      <c r="X136" s="99"/>
      <c r="Z136">
        <f>SUMIF(adj!$C$2:$C$1127,$A136,adj!E$2:E$1127)</f>
        <v>0</v>
      </c>
      <c r="AA136">
        <f>SUMIF(adj!$C$2:$C$1127,$A136,adj!F$2:F$1127)</f>
        <v>0</v>
      </c>
      <c r="AB136">
        <f>SUMIF(adj!$C$2:$C$1127,$A136,adj!G$2:G$1127)</f>
        <v>0</v>
      </c>
      <c r="AC136">
        <f>SUMIF(adj!$C$2:$C$1127,$A136,adj!H$2:H$1127)</f>
        <v>0</v>
      </c>
      <c r="AD136">
        <f>SUMIF(adj!$C$2:$C$1127,$A136,adj!I$2:I$1127)</f>
        <v>0</v>
      </c>
    </row>
    <row r="137" spans="1:30" ht="12" customHeight="1">
      <c r="A137" s="573">
        <v>106</v>
      </c>
      <c r="B137" t="str">
        <f>DataNameEmp1 &amp; " Recruit/Dismissal Cost"</f>
        <v>Lower Region Sales Force Recruit/Dismissal Cost</v>
      </c>
      <c r="C137" t="s">
        <v>1483</v>
      </c>
      <c r="D137" s="12">
        <v>0.38</v>
      </c>
      <c r="E137" s="12">
        <f t="shared" si="36"/>
        <v>0.38</v>
      </c>
      <c r="F137" s="12">
        <f t="shared" si="36"/>
        <v>0.38</v>
      </c>
      <c r="G137" s="12">
        <f t="shared" si="37"/>
        <v>0.38</v>
      </c>
      <c r="H137" s="12">
        <f t="shared" si="37"/>
        <v>0.38</v>
      </c>
      <c r="I137" s="12">
        <f t="shared" si="37"/>
        <v>0.38</v>
      </c>
      <c r="J137" t="s">
        <v>3546</v>
      </c>
      <c r="L137" s="10"/>
      <c r="N137" s="99"/>
      <c r="O137" s="99"/>
      <c r="P137" s="99"/>
      <c r="Q137" s="99"/>
      <c r="R137" s="99"/>
      <c r="T137" s="917"/>
      <c r="U137" s="99"/>
      <c r="V137" s="99"/>
      <c r="W137" s="99"/>
      <c r="X137" s="99"/>
      <c r="Z137">
        <f>SUMIF(adj!$C$2:$C$1127,$A137,adj!E$2:E$1127)</f>
        <v>0</v>
      </c>
      <c r="AA137">
        <f>SUMIF(adj!$C$2:$C$1127,$A137,adj!F$2:F$1127)</f>
        <v>0</v>
      </c>
      <c r="AB137">
        <f>SUMIF(adj!$C$2:$C$1127,$A137,adj!G$2:G$1127)</f>
        <v>0</v>
      </c>
      <c r="AC137">
        <f>SUMIF(adj!$C$2:$C$1127,$A137,adj!H$2:H$1127)</f>
        <v>0</v>
      </c>
      <c r="AD137">
        <f>SUMIF(adj!$C$2:$C$1127,$A137,adj!I$2:I$1127)</f>
        <v>0</v>
      </c>
    </row>
    <row r="138" spans="1:30">
      <c r="A138" s="573">
        <v>107</v>
      </c>
      <c r="B138" t="str">
        <f>DataNameEmp1 &amp; " Admin Cost as Pct of Salary"</f>
        <v>Lower Region Sales Force Admin Cost as Pct of Salary</v>
      </c>
      <c r="C138" t="s">
        <v>1483</v>
      </c>
      <c r="D138" s="12">
        <v>0.2</v>
      </c>
      <c r="E138" s="12">
        <f t="shared" si="36"/>
        <v>0.2</v>
      </c>
      <c r="F138" s="12">
        <f t="shared" si="36"/>
        <v>0.2</v>
      </c>
      <c r="G138" s="12">
        <f t="shared" si="37"/>
        <v>0.2</v>
      </c>
      <c r="H138" s="12">
        <f t="shared" si="37"/>
        <v>0.2</v>
      </c>
      <c r="I138" s="12">
        <f t="shared" si="37"/>
        <v>0.2</v>
      </c>
      <c r="J138" t="s">
        <v>984</v>
      </c>
      <c r="L138" s="10"/>
      <c r="N138" s="99"/>
      <c r="O138" s="99"/>
      <c r="P138" s="99"/>
      <c r="Q138" s="99"/>
      <c r="R138" s="99"/>
      <c r="T138" s="917"/>
      <c r="U138" s="99"/>
      <c r="V138" s="99"/>
      <c r="W138" s="99"/>
      <c r="X138" s="99"/>
      <c r="Z138">
        <f>SUMIF(adj!$C$2:$C$1127,$A138,adj!E$2:E$1127)</f>
        <v>0</v>
      </c>
      <c r="AA138">
        <f>SUMIF(adj!$C$2:$C$1127,$A138,adj!F$2:F$1127)</f>
        <v>0</v>
      </c>
      <c r="AB138">
        <f>SUMIF(adj!$C$2:$C$1127,$A138,adj!G$2:G$1127)</f>
        <v>0</v>
      </c>
      <c r="AC138">
        <f>SUMIF(adj!$C$2:$C$1127,$A138,adj!H$2:H$1127)</f>
        <v>0</v>
      </c>
      <c r="AD138">
        <f>SUMIF(adj!$C$2:$C$1127,$A138,adj!I$2:I$1127)</f>
        <v>0</v>
      </c>
    </row>
    <row r="139" spans="1:30">
      <c r="A139" s="573">
        <v>108</v>
      </c>
      <c r="B139" t="str">
        <f>DataNameEmp1 &amp; " Overtime Rate"</f>
        <v>Lower Region Sales Force Overtime Rate</v>
      </c>
      <c r="C139" t="s">
        <v>1483</v>
      </c>
      <c r="D139" s="12">
        <v>0</v>
      </c>
      <c r="E139" s="12">
        <f t="shared" si="36"/>
        <v>0</v>
      </c>
      <c r="F139" s="12">
        <f t="shared" si="36"/>
        <v>0</v>
      </c>
      <c r="G139" s="12">
        <f t="shared" si="37"/>
        <v>0</v>
      </c>
      <c r="H139" s="12">
        <f t="shared" si="37"/>
        <v>0</v>
      </c>
      <c r="I139" s="12">
        <f t="shared" si="37"/>
        <v>0</v>
      </c>
      <c r="J139" t="s">
        <v>598</v>
      </c>
      <c r="L139" s="10"/>
      <c r="N139" s="99"/>
      <c r="O139" s="99"/>
      <c r="P139" s="99"/>
      <c r="Q139" s="99"/>
      <c r="R139" s="99"/>
      <c r="T139" s="99"/>
      <c r="U139" s="99"/>
      <c r="V139" s="99"/>
      <c r="W139" s="99"/>
      <c r="X139" s="99"/>
      <c r="Z139">
        <f>SUMIF(adj!$C$2:$C$1127,$A139,adj!E$2:E$1127)</f>
        <v>0</v>
      </c>
      <c r="AA139">
        <f>SUMIF(adj!$C$2:$C$1127,$A139,adj!F$2:F$1127)</f>
        <v>0</v>
      </c>
      <c r="AB139">
        <f>SUMIF(adj!$C$2:$C$1127,$A139,adj!G$2:G$1127)</f>
        <v>0</v>
      </c>
      <c r="AC139">
        <f>SUMIF(adj!$C$2:$C$1127,$A139,adj!H$2:H$1127)</f>
        <v>0</v>
      </c>
      <c r="AD139">
        <f>SUMIF(adj!$C$2:$C$1127,$A139,adj!I$2:I$1127)</f>
        <v>0</v>
      </c>
    </row>
    <row r="140" spans="1:30">
      <c r="A140" s="573">
        <v>109</v>
      </c>
      <c r="B140" t="str">
        <f>DataNameEmp1 &amp; " Hours Per Year"</f>
        <v>Lower Region Sales Force Hours Per Year</v>
      </c>
      <c r="C140" t="s">
        <v>1483</v>
      </c>
      <c r="D140" s="11">
        <v>3000</v>
      </c>
      <c r="E140" s="11">
        <f t="shared" ref="E140:I141" si="38">$D140*(1+T140+Z140*($C140="R"))+N140+Z140*($C140="A")</f>
        <v>3000</v>
      </c>
      <c r="F140" s="11">
        <f t="shared" si="38"/>
        <v>3000</v>
      </c>
      <c r="G140" s="11">
        <f t="shared" si="38"/>
        <v>3000</v>
      </c>
      <c r="H140" s="11">
        <f t="shared" si="38"/>
        <v>3000</v>
      </c>
      <c r="I140" s="11">
        <f t="shared" si="38"/>
        <v>3000</v>
      </c>
      <c r="J140" t="s">
        <v>3992</v>
      </c>
      <c r="L140" s="10"/>
      <c r="N140" s="99"/>
      <c r="O140" s="99"/>
      <c r="P140" s="99"/>
      <c r="Q140" s="99"/>
      <c r="R140" s="99"/>
      <c r="T140" s="99"/>
      <c r="U140" s="99"/>
      <c r="V140" s="99"/>
      <c r="W140" s="99"/>
      <c r="X140" s="99"/>
      <c r="Z140">
        <f>SUMIF(adj!$C$2:$C$1127,$A140,adj!E$2:E$1127)</f>
        <v>0</v>
      </c>
      <c r="AA140">
        <f>SUMIF(adj!$C$2:$C$1127,$A140,adj!F$2:F$1127)</f>
        <v>0</v>
      </c>
      <c r="AB140">
        <f>SUMIF(adj!$C$2:$C$1127,$A140,adj!G$2:G$1127)</f>
        <v>0</v>
      </c>
      <c r="AC140">
        <f>SUMIF(adj!$C$2:$C$1127,$A140,adj!H$2:H$1127)</f>
        <v>0</v>
      </c>
      <c r="AD140">
        <f>SUMIF(adj!$C$2:$C$1127,$A140,adj!I$2:I$1127)</f>
        <v>0</v>
      </c>
    </row>
    <row r="141" spans="1:30">
      <c r="A141" s="573">
        <v>109.1</v>
      </c>
      <c r="B141" t="s">
        <v>608</v>
      </c>
      <c r="C141" t="s">
        <v>1483</v>
      </c>
      <c r="D141" s="12">
        <v>1</v>
      </c>
      <c r="E141" s="12">
        <f t="shared" si="38"/>
        <v>1.4762031618481963</v>
      </c>
      <c r="F141" s="12">
        <f t="shared" si="38"/>
        <v>1.4762031618481963</v>
      </c>
      <c r="G141" s="12">
        <f t="shared" si="38"/>
        <v>1.4762031618481963</v>
      </c>
      <c r="H141" s="12">
        <f t="shared" si="38"/>
        <v>1.4762031618481963</v>
      </c>
      <c r="I141" s="12">
        <f t="shared" si="38"/>
        <v>1.4762031618481963</v>
      </c>
      <c r="J141" t="s">
        <v>609</v>
      </c>
      <c r="L141" s="10"/>
      <c r="N141" s="99"/>
      <c r="O141" s="99"/>
      <c r="P141" s="99"/>
      <c r="Q141" s="99"/>
      <c r="R141" s="99"/>
      <c r="T141" s="99"/>
      <c r="U141" s="99"/>
      <c r="V141" s="99"/>
      <c r="W141" s="99"/>
      <c r="X141" s="99"/>
      <c r="Z141">
        <f>SUMIF(adj!$C$2:$C$1127,$A141,adj!E$2:E$1127)</f>
        <v>0.47620316184819628</v>
      </c>
      <c r="AA141">
        <f>SUMIF(adj!$C$2:$C$1127,$A141,adj!F$2:F$1127)</f>
        <v>0.47620316184819628</v>
      </c>
      <c r="AB141">
        <f>SUMIF(adj!$C$2:$C$1127,$A141,adj!G$2:G$1127)</f>
        <v>0.47620316184819628</v>
      </c>
      <c r="AC141">
        <f>SUMIF(adj!$C$2:$C$1127,$A141,adj!H$2:H$1127)</f>
        <v>0.47620316184819628</v>
      </c>
      <c r="AD141">
        <f>SUMIF(adj!$C$2:$C$1127,$A141,adj!I$2:I$1127)</f>
        <v>0.47620316184819628</v>
      </c>
    </row>
    <row r="142" spans="1:30">
      <c r="A142" s="573">
        <v>110</v>
      </c>
      <c r="D142">
        <v>0</v>
      </c>
      <c r="E142">
        <f t="shared" si="36"/>
        <v>0</v>
      </c>
      <c r="F142">
        <f t="shared" si="36"/>
        <v>0</v>
      </c>
      <c r="G142">
        <f t="shared" si="37"/>
        <v>0</v>
      </c>
      <c r="H142">
        <f t="shared" si="37"/>
        <v>0</v>
      </c>
      <c r="I142">
        <f t="shared" si="37"/>
        <v>0</v>
      </c>
      <c r="L142" s="10"/>
      <c r="N142" s="99"/>
      <c r="O142" s="99"/>
      <c r="P142" s="99"/>
      <c r="Q142" s="99"/>
      <c r="R142" s="99"/>
      <c r="T142" s="99"/>
      <c r="U142" s="99"/>
      <c r="V142" s="99"/>
      <c r="W142" s="99"/>
      <c r="X142" s="99"/>
      <c r="Z142">
        <f>SUMIF(adj!$C$2:$C$1127,$A142,adj!E$2:E$1127)</f>
        <v>0</v>
      </c>
      <c r="AA142">
        <f>SUMIF(adj!$C$2:$C$1127,$A142,adj!F$2:F$1127)</f>
        <v>0</v>
      </c>
      <c r="AB142">
        <f>SUMIF(adj!$C$2:$C$1127,$A142,adj!G$2:G$1127)</f>
        <v>0</v>
      </c>
      <c r="AC142">
        <f>SUMIF(adj!$C$2:$C$1127,$A142,adj!H$2:H$1127)</f>
        <v>0</v>
      </c>
      <c r="AD142">
        <f>SUMIF(adj!$C$2:$C$1127,$A142,adj!I$2:I$1127)</f>
        <v>0</v>
      </c>
    </row>
    <row r="143" spans="1:30">
      <c r="A143" s="573">
        <v>111</v>
      </c>
      <c r="B143" s="2" t="str">
        <f>DataNameEmp2 &amp; " Parameters"</f>
        <v>Upper Region Sales Force Parameters</v>
      </c>
      <c r="L143" s="10"/>
      <c r="N143" s="99"/>
      <c r="O143" s="99"/>
      <c r="P143" s="99"/>
      <c r="Q143" s="99"/>
      <c r="R143" s="99"/>
      <c r="T143" s="99"/>
      <c r="U143" s="99"/>
      <c r="V143" s="99"/>
      <c r="W143" s="99"/>
      <c r="X143" s="99"/>
      <c r="Z143">
        <f>SUMIF(adj!$C$2:$C$1127,$A143,adj!E$2:E$1127)</f>
        <v>0</v>
      </c>
      <c r="AA143">
        <f>SUMIF(adj!$C$2:$C$1127,$A143,adj!F$2:F$1127)</f>
        <v>0</v>
      </c>
      <c r="AB143">
        <f>SUMIF(adj!$C$2:$C$1127,$A143,adj!G$2:G$1127)</f>
        <v>0</v>
      </c>
      <c r="AC143">
        <f>SUMIF(adj!$C$2:$C$1127,$A143,adj!H$2:H$1127)</f>
        <v>0</v>
      </c>
      <c r="AD143">
        <f>SUMIF(adj!$C$2:$C$1127,$A143,adj!I$2:I$1127)</f>
        <v>0</v>
      </c>
    </row>
    <row r="144" spans="1:30">
      <c r="A144" s="573">
        <v>112</v>
      </c>
      <c r="B144" t="str">
        <f>DataNameEmp2 &amp; " Attrition rate"</f>
        <v>Upper Region Sales Force Attrition rate</v>
      </c>
      <c r="C144" t="s">
        <v>3414</v>
      </c>
      <c r="D144" s="12">
        <v>0.1</v>
      </c>
      <c r="E144" s="12">
        <f t="shared" ref="E144:I149" si="39">$D144*(1+T144+Z144*($C144="R"))+N144+Z144*($C144="A")</f>
        <v>0.1165375</v>
      </c>
      <c r="F144" s="12">
        <f t="shared" si="39"/>
        <v>0.1165375</v>
      </c>
      <c r="G144" s="12">
        <f t="shared" si="39"/>
        <v>0.1165375</v>
      </c>
      <c r="H144" s="12">
        <f t="shared" si="39"/>
        <v>0.1165375</v>
      </c>
      <c r="I144" s="12">
        <f t="shared" si="39"/>
        <v>0.1165375</v>
      </c>
      <c r="J144" t="s">
        <v>3548</v>
      </c>
      <c r="L144" s="10"/>
      <c r="N144" s="99"/>
      <c r="O144" s="99"/>
      <c r="P144" s="99"/>
      <c r="Q144" s="99"/>
      <c r="R144" s="99"/>
      <c r="T144" s="99"/>
      <c r="U144" s="99"/>
      <c r="V144" s="99"/>
      <c r="W144" s="99"/>
      <c r="X144" s="99"/>
      <c r="Z144">
        <f>SUMIF(adj!$C$2:$C$1127,$A144,adj!E$2:E$1127)</f>
        <v>1.65375E-2</v>
      </c>
      <c r="AA144">
        <f>SUMIF(adj!$C$2:$C$1127,$A144,adj!F$2:F$1127)</f>
        <v>1.65375E-2</v>
      </c>
      <c r="AB144">
        <f>SUMIF(adj!$C$2:$C$1127,$A144,adj!G$2:G$1127)</f>
        <v>1.65375E-2</v>
      </c>
      <c r="AC144">
        <f>SUMIF(adj!$C$2:$C$1127,$A144,adj!H$2:H$1127)</f>
        <v>1.65375E-2</v>
      </c>
      <c r="AD144">
        <f>SUMIF(adj!$C$2:$C$1127,$A144,adj!I$2:I$1127)</f>
        <v>1.65375E-2</v>
      </c>
    </row>
    <row r="145" spans="1:30">
      <c r="A145" s="573">
        <v>113</v>
      </c>
      <c r="B145" t="str">
        <f>DataNameEmp2 &amp; " Salary"</f>
        <v>Upper Region Sales Force Salary</v>
      </c>
      <c r="C145" t="s">
        <v>1483</v>
      </c>
      <c r="D145" s="16">
        <v>55000</v>
      </c>
      <c r="E145" s="16">
        <f t="shared" si="39"/>
        <v>55000</v>
      </c>
      <c r="F145" s="16">
        <f t="shared" si="39"/>
        <v>55000</v>
      </c>
      <c r="G145" s="16">
        <f t="shared" si="39"/>
        <v>55000</v>
      </c>
      <c r="H145" s="16">
        <f t="shared" si="39"/>
        <v>55000</v>
      </c>
      <c r="I145" s="16">
        <f t="shared" si="39"/>
        <v>55000</v>
      </c>
      <c r="J145" t="s">
        <v>3549</v>
      </c>
      <c r="L145" s="10"/>
      <c r="N145" s="99"/>
      <c r="O145" s="99"/>
      <c r="P145" s="99"/>
      <c r="Q145" s="99"/>
      <c r="R145" s="99"/>
      <c r="T145" s="917"/>
      <c r="U145" s="99"/>
      <c r="V145" s="99"/>
      <c r="W145" s="99"/>
      <c r="X145" s="99"/>
      <c r="Z145">
        <f>SUMIF(adj!$C$2:$C$1127,$A145,adj!E$2:E$1127)</f>
        <v>0</v>
      </c>
      <c r="AA145">
        <f>SUMIF(adj!$C$2:$C$1127,$A145,adj!F$2:F$1127)</f>
        <v>0</v>
      </c>
      <c r="AB145">
        <f>SUMIF(adj!$C$2:$C$1127,$A145,adj!G$2:G$1127)</f>
        <v>0</v>
      </c>
      <c r="AC145">
        <f>SUMIF(adj!$C$2:$C$1127,$A145,adj!H$2:H$1127)</f>
        <v>0</v>
      </c>
      <c r="AD145">
        <f>SUMIF(adj!$C$2:$C$1127,$A145,adj!I$2:I$1127)</f>
        <v>0</v>
      </c>
    </row>
    <row r="146" spans="1:30">
      <c r="A146" s="573">
        <v>114</v>
      </c>
      <c r="B146" t="str">
        <f>DataNameEmp2 &amp; " Recruit/Dismissal Cost"</f>
        <v>Upper Region Sales Force Recruit/Dismissal Cost</v>
      </c>
      <c r="C146" t="s">
        <v>1483</v>
      </c>
      <c r="D146" s="12">
        <v>0.38</v>
      </c>
      <c r="E146" s="12">
        <f t="shared" si="39"/>
        <v>0.38</v>
      </c>
      <c r="F146" s="12">
        <f t="shared" si="39"/>
        <v>0.38</v>
      </c>
      <c r="G146" s="12">
        <f t="shared" si="39"/>
        <v>0.38</v>
      </c>
      <c r="H146" s="12">
        <f t="shared" si="39"/>
        <v>0.38</v>
      </c>
      <c r="I146" s="12">
        <f t="shared" si="39"/>
        <v>0.38</v>
      </c>
      <c r="J146" t="s">
        <v>1001</v>
      </c>
      <c r="L146" s="10"/>
      <c r="N146" s="99"/>
      <c r="O146" s="99"/>
      <c r="P146" s="99"/>
      <c r="Q146" s="99"/>
      <c r="R146" s="99"/>
      <c r="T146" s="917"/>
      <c r="U146" s="99"/>
      <c r="V146" s="99"/>
      <c r="W146" s="99"/>
      <c r="X146" s="99"/>
      <c r="Z146">
        <f>SUMIF(adj!$C$2:$C$1127,$A146,adj!E$2:E$1127)</f>
        <v>0</v>
      </c>
      <c r="AA146">
        <f>SUMIF(adj!$C$2:$C$1127,$A146,adj!F$2:F$1127)</f>
        <v>0</v>
      </c>
      <c r="AB146">
        <f>SUMIF(adj!$C$2:$C$1127,$A146,adj!G$2:G$1127)</f>
        <v>0</v>
      </c>
      <c r="AC146">
        <f>SUMIF(adj!$C$2:$C$1127,$A146,adj!H$2:H$1127)</f>
        <v>0</v>
      </c>
      <c r="AD146">
        <f>SUMIF(adj!$C$2:$C$1127,$A146,adj!I$2:I$1127)</f>
        <v>0</v>
      </c>
    </row>
    <row r="147" spans="1:30">
      <c r="A147" s="573">
        <v>115</v>
      </c>
      <c r="B147" t="str">
        <f>DataNameEmp2 &amp; " Admin Cost as Pct of Salary"</f>
        <v>Upper Region Sales Force Admin Cost as Pct of Salary</v>
      </c>
      <c r="C147" t="s">
        <v>1483</v>
      </c>
      <c r="D147" s="12">
        <v>0.17</v>
      </c>
      <c r="E147" s="12">
        <f t="shared" si="39"/>
        <v>0.17</v>
      </c>
      <c r="F147" s="12">
        <f t="shared" si="39"/>
        <v>0.17</v>
      </c>
      <c r="G147" s="12">
        <f t="shared" si="39"/>
        <v>0.17</v>
      </c>
      <c r="H147" s="12">
        <f t="shared" si="39"/>
        <v>0.17</v>
      </c>
      <c r="I147" s="12">
        <f t="shared" si="39"/>
        <v>0.17</v>
      </c>
      <c r="J147" t="s">
        <v>3547</v>
      </c>
      <c r="L147" s="10"/>
      <c r="N147" s="99"/>
      <c r="O147" s="99"/>
      <c r="P147" s="99"/>
      <c r="Q147" s="99"/>
      <c r="R147" s="99"/>
      <c r="T147" s="917"/>
      <c r="U147" s="99"/>
      <c r="V147" s="99"/>
      <c r="W147" s="99"/>
      <c r="X147" s="99"/>
      <c r="Z147">
        <f>SUMIF(adj!$C$2:$C$1127,$A147,adj!E$2:E$1127)</f>
        <v>0</v>
      </c>
      <c r="AA147">
        <f>SUMIF(adj!$C$2:$C$1127,$A147,adj!F$2:F$1127)</f>
        <v>0</v>
      </c>
      <c r="AB147">
        <f>SUMIF(adj!$C$2:$C$1127,$A147,adj!G$2:G$1127)</f>
        <v>0</v>
      </c>
      <c r="AC147">
        <f>SUMIF(adj!$C$2:$C$1127,$A147,adj!H$2:H$1127)</f>
        <v>0</v>
      </c>
      <c r="AD147">
        <f>SUMIF(adj!$C$2:$C$1127,$A147,adj!I$2:I$1127)</f>
        <v>0</v>
      </c>
    </row>
    <row r="148" spans="1:30">
      <c r="A148" s="573">
        <v>116</v>
      </c>
      <c r="B148" t="str">
        <f>DataNameEmp2 &amp; " Overtime Rate"</f>
        <v>Upper Region Sales Force Overtime Rate</v>
      </c>
      <c r="C148" t="s">
        <v>1483</v>
      </c>
      <c r="D148" s="12">
        <v>0</v>
      </c>
      <c r="E148" s="12">
        <f t="shared" si="39"/>
        <v>0</v>
      </c>
      <c r="F148" s="12">
        <f t="shared" si="39"/>
        <v>0</v>
      </c>
      <c r="G148" s="12">
        <f t="shared" si="39"/>
        <v>0</v>
      </c>
      <c r="H148" s="12">
        <f t="shared" si="39"/>
        <v>0</v>
      </c>
      <c r="I148" s="12">
        <f t="shared" si="39"/>
        <v>0</v>
      </c>
      <c r="J148" t="s">
        <v>1000</v>
      </c>
      <c r="L148" s="10"/>
      <c r="N148" s="99"/>
      <c r="O148" s="99"/>
      <c r="P148" s="99"/>
      <c r="Q148" s="99"/>
      <c r="R148" s="99"/>
      <c r="T148" s="99"/>
      <c r="U148" s="99"/>
      <c r="V148" s="99"/>
      <c r="W148" s="99"/>
      <c r="X148" s="99"/>
      <c r="Z148">
        <f>SUMIF(adj!$C$2:$C$1127,$A148,adj!E$2:E$1127)</f>
        <v>-8.7602611940298475E-2</v>
      </c>
      <c r="AA148">
        <f>SUMIF(adj!$C$2:$C$1127,$A148,adj!F$2:F$1127)</f>
        <v>-8.7602611940298475E-2</v>
      </c>
      <c r="AB148">
        <f>SUMIF(adj!$C$2:$C$1127,$A148,adj!G$2:G$1127)</f>
        <v>-8.7602611940298475E-2</v>
      </c>
      <c r="AC148">
        <f>SUMIF(adj!$C$2:$C$1127,$A148,adj!H$2:H$1127)</f>
        <v>-8.7602611940298475E-2</v>
      </c>
      <c r="AD148">
        <f>SUMIF(adj!$C$2:$C$1127,$A148,adj!I$2:I$1127)</f>
        <v>-8.7602611940298475E-2</v>
      </c>
    </row>
    <row r="149" spans="1:30">
      <c r="A149" s="573">
        <v>117</v>
      </c>
      <c r="B149" t="str">
        <f>DataNameEmp2 &amp; " Hours Per Year"</f>
        <v>Upper Region Sales Force Hours Per Year</v>
      </c>
      <c r="C149" t="s">
        <v>1483</v>
      </c>
      <c r="D149" s="11">
        <v>3000</v>
      </c>
      <c r="E149" s="11">
        <f t="shared" si="39"/>
        <v>3000</v>
      </c>
      <c r="F149" s="11">
        <f t="shared" si="39"/>
        <v>3000</v>
      </c>
      <c r="G149" s="11">
        <f t="shared" si="39"/>
        <v>3000</v>
      </c>
      <c r="H149" s="11">
        <f t="shared" si="39"/>
        <v>3000</v>
      </c>
      <c r="I149" s="11">
        <f t="shared" si="39"/>
        <v>3000</v>
      </c>
      <c r="J149" t="s">
        <v>999</v>
      </c>
      <c r="L149" s="10"/>
      <c r="N149" s="99"/>
      <c r="O149" s="99"/>
      <c r="P149" s="99"/>
      <c r="Q149" s="99"/>
      <c r="R149" s="99"/>
      <c r="T149" s="99"/>
      <c r="U149" s="99"/>
      <c r="V149" s="99"/>
      <c r="W149" s="99"/>
      <c r="X149" s="99"/>
      <c r="Z149">
        <f>SUMIF(adj!$C$2:$C$1127,$A149,adj!E$2:E$1127)</f>
        <v>0</v>
      </c>
      <c r="AA149">
        <f>SUMIF(adj!$C$2:$C$1127,$A149,adj!F$2:F$1127)</f>
        <v>0</v>
      </c>
      <c r="AB149">
        <f>SUMIF(adj!$C$2:$C$1127,$A149,adj!G$2:G$1127)</f>
        <v>0</v>
      </c>
      <c r="AC149">
        <f>SUMIF(adj!$C$2:$C$1127,$A149,adj!H$2:H$1127)</f>
        <v>0</v>
      </c>
      <c r="AD149">
        <f>SUMIF(adj!$C$2:$C$1127,$A149,adj!I$2:I$1127)</f>
        <v>0</v>
      </c>
    </row>
    <row r="150" spans="1:30">
      <c r="A150" s="573">
        <v>117.1</v>
      </c>
      <c r="B150" t="s">
        <v>607</v>
      </c>
      <c r="C150" t="s">
        <v>1483</v>
      </c>
      <c r="D150" s="12">
        <v>1</v>
      </c>
      <c r="E150" s="12">
        <f>$D150*(1+T150+Z150*($C150="R"))+N150+Z150*($C150="A")</f>
        <v>1.0562031618481964</v>
      </c>
      <c r="F150" s="12">
        <f>$D150*(1+U150+AA150*($C150="R"))+O150+AA150*($C150="A")</f>
        <v>1.0562031618481964</v>
      </c>
      <c r="G150" s="12">
        <f>$D150*(1+V150+AB150*($C150="R"))+P150+AB150*($C150="A")</f>
        <v>1.0562031618481964</v>
      </c>
      <c r="H150" s="12">
        <f>$D150*(1+W150+AC150*($C150="R"))+Q150+AC150*($C150="A")</f>
        <v>1.0562031618481964</v>
      </c>
      <c r="I150" s="12">
        <f>$D150*(1+X150+AD150*($C150="R"))+R150+AD150*($C150="A")</f>
        <v>1.0562031618481964</v>
      </c>
      <c r="J150" t="s">
        <v>610</v>
      </c>
      <c r="L150" s="10"/>
      <c r="N150" s="99"/>
      <c r="O150" s="99"/>
      <c r="P150" s="99"/>
      <c r="Q150" s="99"/>
      <c r="R150" s="99"/>
      <c r="T150" s="99"/>
      <c r="U150" s="99"/>
      <c r="V150" s="99"/>
      <c r="W150" s="99"/>
      <c r="X150" s="99"/>
      <c r="Z150">
        <f>SUMIF(adj!$C$2:$C$1127,$A150,adj!E$2:E$1127)</f>
        <v>5.6203161848196348E-2</v>
      </c>
      <c r="AA150">
        <f>SUMIF(adj!$C$2:$C$1127,$A150,adj!F$2:F$1127)</f>
        <v>5.6203161848196348E-2</v>
      </c>
      <c r="AB150">
        <f>SUMIF(adj!$C$2:$C$1127,$A150,adj!G$2:G$1127)</f>
        <v>5.6203161848196348E-2</v>
      </c>
      <c r="AC150">
        <f>SUMIF(adj!$C$2:$C$1127,$A150,adj!H$2:H$1127)</f>
        <v>5.6203161848196348E-2</v>
      </c>
      <c r="AD150">
        <f>SUMIF(adj!$C$2:$C$1127,$A150,adj!I$2:I$1127)</f>
        <v>5.6203161848196348E-2</v>
      </c>
    </row>
    <row r="151" spans="1:30">
      <c r="A151" s="573">
        <v>118</v>
      </c>
      <c r="L151" s="10"/>
      <c r="N151" s="99"/>
      <c r="O151" s="99"/>
      <c r="P151" s="99"/>
      <c r="Q151" s="99"/>
      <c r="R151" s="99"/>
      <c r="T151" s="99"/>
      <c r="U151" s="99"/>
      <c r="V151" s="99"/>
      <c r="W151" s="99"/>
      <c r="X151" s="99"/>
      <c r="Z151">
        <f>SUMIF(adj!$C$2:$C$1127,$A151,adj!E$2:E$1127)</f>
        <v>0</v>
      </c>
      <c r="AA151">
        <f>SUMIF(adj!$C$2:$C$1127,$A151,adj!F$2:F$1127)</f>
        <v>0</v>
      </c>
      <c r="AB151">
        <f>SUMIF(adj!$C$2:$C$1127,$A151,adj!G$2:G$1127)</f>
        <v>0</v>
      </c>
      <c r="AC151">
        <f>SUMIF(adj!$C$2:$C$1127,$A151,adj!H$2:H$1127)</f>
        <v>0</v>
      </c>
      <c r="AD151">
        <f>SUMIF(adj!$C$2:$C$1127,$A151,adj!I$2:I$1127)</f>
        <v>0</v>
      </c>
    </row>
    <row r="152" spans="1:30">
      <c r="A152" s="573">
        <v>119</v>
      </c>
      <c r="B152" s="2" t="str">
        <f>DataNameEmp3 &amp; " Parameters"</f>
        <v>Labor Parameters</v>
      </c>
      <c r="L152" s="10"/>
      <c r="N152" s="99"/>
      <c r="O152" s="99"/>
      <c r="P152" s="99"/>
      <c r="Q152" s="99"/>
      <c r="R152" s="99"/>
      <c r="T152" s="99"/>
      <c r="U152" s="99"/>
      <c r="V152" s="99"/>
      <c r="W152" s="99"/>
      <c r="X152" s="99"/>
      <c r="Z152">
        <f>SUMIF(adj!$C$2:$C$1127,$A152,adj!E$2:E$1127)</f>
        <v>0</v>
      </c>
      <c r="AA152">
        <f>SUMIF(adj!$C$2:$C$1127,$A152,adj!F$2:F$1127)</f>
        <v>0</v>
      </c>
      <c r="AB152">
        <f>SUMIF(adj!$C$2:$C$1127,$A152,adj!G$2:G$1127)</f>
        <v>0</v>
      </c>
      <c r="AC152">
        <f>SUMIF(adj!$C$2:$C$1127,$A152,adj!H$2:H$1127)</f>
        <v>0</v>
      </c>
      <c r="AD152">
        <f>SUMIF(adj!$C$2:$C$1127,$A152,adj!I$2:I$1127)</f>
        <v>0</v>
      </c>
    </row>
    <row r="153" spans="1:30">
      <c r="A153" s="573">
        <v>120</v>
      </c>
      <c r="B153" t="str">
        <f>DataNameEmp3 &amp; " Attrition rate"</f>
        <v>Labor Attrition rate</v>
      </c>
      <c r="C153" t="s">
        <v>3414</v>
      </c>
      <c r="D153" s="442">
        <v>0.1</v>
      </c>
      <c r="E153" s="442">
        <f t="shared" ref="E153:I159" si="40">$D153*(1+T153+Z153*($C153="R"))+N153+Z153*($C153="A")</f>
        <v>0.1</v>
      </c>
      <c r="F153" s="442">
        <f t="shared" si="40"/>
        <v>0.1</v>
      </c>
      <c r="G153" s="442">
        <f t="shared" si="40"/>
        <v>0.1</v>
      </c>
      <c r="H153" s="442">
        <f t="shared" si="40"/>
        <v>0.1</v>
      </c>
      <c r="I153" s="442">
        <f t="shared" si="40"/>
        <v>0.1</v>
      </c>
      <c r="J153" t="s">
        <v>1003</v>
      </c>
      <c r="L153" s="10"/>
      <c r="N153" s="99"/>
      <c r="O153" s="99"/>
      <c r="P153" s="99"/>
      <c r="Q153" s="99"/>
      <c r="R153" s="99"/>
      <c r="T153" s="99"/>
      <c r="U153" s="99"/>
      <c r="V153" s="99"/>
      <c r="W153" s="99"/>
      <c r="X153" s="99"/>
      <c r="Z153">
        <f>SUMIF(adj!$C$2:$C$1127,$A153,adj!E$2:E$1127)</f>
        <v>0</v>
      </c>
      <c r="AA153">
        <f>SUMIF(adj!$C$2:$C$1127,$A153,adj!F$2:F$1127)</f>
        <v>0</v>
      </c>
      <c r="AB153">
        <f>SUMIF(adj!$C$2:$C$1127,$A153,adj!G$2:G$1127)</f>
        <v>0</v>
      </c>
      <c r="AC153">
        <f>SUMIF(adj!$C$2:$C$1127,$A153,adj!H$2:H$1127)</f>
        <v>0</v>
      </c>
      <c r="AD153">
        <f>SUMIF(adj!$C$2:$C$1127,$A153,adj!I$2:I$1127)</f>
        <v>0</v>
      </c>
    </row>
    <row r="154" spans="1:30">
      <c r="A154" s="573">
        <v>121</v>
      </c>
      <c r="B154" t="str">
        <f>DataNameEmp3 &amp; " Salary Region 1"</f>
        <v>Labor Salary Region 1</v>
      </c>
      <c r="C154" t="s">
        <v>1483</v>
      </c>
      <c r="D154" s="16">
        <v>50000</v>
      </c>
      <c r="E154" s="16">
        <f t="shared" si="40"/>
        <v>52480.625</v>
      </c>
      <c r="F154" s="16">
        <f t="shared" si="40"/>
        <v>52480.625</v>
      </c>
      <c r="G154" s="16">
        <f t="shared" si="40"/>
        <v>52480.625</v>
      </c>
      <c r="H154" s="16">
        <f t="shared" si="40"/>
        <v>52480.625</v>
      </c>
      <c r="I154" s="16">
        <f t="shared" si="40"/>
        <v>52480.625</v>
      </c>
      <c r="J154" t="s">
        <v>1079</v>
      </c>
      <c r="L154" s="10"/>
      <c r="N154" s="99"/>
      <c r="O154" s="99"/>
      <c r="P154" s="99"/>
      <c r="Q154" s="99"/>
      <c r="R154" s="99"/>
      <c r="T154" s="917"/>
      <c r="U154" s="99"/>
      <c r="V154" s="99"/>
      <c r="W154" s="99"/>
      <c r="X154" s="99"/>
      <c r="Z154">
        <f>SUMIF(adj!$C$2:$C$1127,$A154,adj!E$2:E$1127)</f>
        <v>4.9612499999999997E-2</v>
      </c>
      <c r="AA154">
        <f>SUMIF(adj!$C$2:$C$1127,$A154,adj!F$2:F$1127)</f>
        <v>4.9612499999999997E-2</v>
      </c>
      <c r="AB154">
        <f>SUMIF(adj!$C$2:$C$1127,$A154,adj!G$2:G$1127)</f>
        <v>4.9612499999999997E-2</v>
      </c>
      <c r="AC154">
        <f>SUMIF(adj!$C$2:$C$1127,$A154,adj!H$2:H$1127)</f>
        <v>4.9612499999999997E-2</v>
      </c>
      <c r="AD154">
        <f>SUMIF(adj!$C$2:$C$1127,$A154,adj!I$2:I$1127)</f>
        <v>4.9612499999999997E-2</v>
      </c>
    </row>
    <row r="155" spans="1:30">
      <c r="A155" s="573">
        <f>A154+0.5</f>
        <v>121.5</v>
      </c>
      <c r="B155" t="str">
        <f>DataNameEmp3 &amp; " Salary Region 2"</f>
        <v>Labor Salary Region 2</v>
      </c>
      <c r="C155" t="s">
        <v>1483</v>
      </c>
      <c r="D155" s="16">
        <f>2366*6</f>
        <v>14196</v>
      </c>
      <c r="E155" s="16">
        <f>$D155*(1+T155+Z155*($C155="R"))+N155+Z155*($C155="A")</f>
        <v>14196</v>
      </c>
      <c r="F155" s="16">
        <f>$D155*(1+U155+AA155*($C155="R"))+O155+AA155*($C155="A")</f>
        <v>14196</v>
      </c>
      <c r="G155" s="16">
        <f>$D155*(1+V155+AB155*($C155="R"))+P155+AB155*($C155="A")</f>
        <v>14196</v>
      </c>
      <c r="H155" s="16">
        <f>$D155*(1+W155+AC155*($C155="R"))+Q155+AC155*($C155="A")</f>
        <v>14196</v>
      </c>
      <c r="I155" s="16">
        <f>$D155*(1+X155+AD155*($C155="R"))+R155+AD155*($C155="A")</f>
        <v>14196</v>
      </c>
      <c r="J155" t="s">
        <v>1080</v>
      </c>
      <c r="K155" s="1370"/>
      <c r="L155" s="16"/>
      <c r="N155" s="99"/>
      <c r="O155" s="99"/>
      <c r="P155" s="99"/>
      <c r="Q155" s="99"/>
      <c r="R155" s="99"/>
      <c r="T155" s="917"/>
      <c r="U155" s="99"/>
      <c r="V155" s="99"/>
      <c r="W155" s="99"/>
      <c r="X155" s="99"/>
      <c r="Z155">
        <f>SUMIF(adj!$C$2:$C$1127,$A155,adj!E$2:E$1127)</f>
        <v>0</v>
      </c>
      <c r="AA155">
        <f>SUMIF(adj!$C$2:$C$1127,$A155,adj!F$2:F$1127)</f>
        <v>0</v>
      </c>
      <c r="AB155">
        <f>SUMIF(adj!$C$2:$C$1127,$A155,adj!G$2:G$1127)</f>
        <v>0</v>
      </c>
      <c r="AC155">
        <f>SUMIF(adj!$C$2:$C$1127,$A155,adj!H$2:H$1127)</f>
        <v>0</v>
      </c>
      <c r="AD155">
        <f>SUMIF(adj!$C$2:$C$1127,$A155,adj!I$2:I$1127)</f>
        <v>0</v>
      </c>
    </row>
    <row r="156" spans="1:30">
      <c r="A156" s="573">
        <v>122</v>
      </c>
      <c r="B156" t="str">
        <f>DataNameEmp3 &amp; " Recruit/Dismissal Cost"</f>
        <v>Labor Recruit/Dismissal Cost</v>
      </c>
      <c r="C156" t="s">
        <v>1483</v>
      </c>
      <c r="D156" s="12">
        <v>0.38</v>
      </c>
      <c r="E156" s="12">
        <f t="shared" si="40"/>
        <v>0.38</v>
      </c>
      <c r="F156" s="12">
        <f t="shared" si="40"/>
        <v>0.38</v>
      </c>
      <c r="G156" s="12">
        <f t="shared" si="40"/>
        <v>0.38</v>
      </c>
      <c r="H156" s="12">
        <f t="shared" si="40"/>
        <v>0.38</v>
      </c>
      <c r="I156" s="12">
        <f t="shared" si="40"/>
        <v>0.38</v>
      </c>
      <c r="J156" t="s">
        <v>1004</v>
      </c>
      <c r="L156" s="10"/>
      <c r="N156" s="99"/>
      <c r="O156" s="99"/>
      <c r="P156" s="99"/>
      <c r="Q156" s="99"/>
      <c r="R156" s="99"/>
      <c r="T156" s="99"/>
      <c r="U156" s="99"/>
      <c r="V156" s="99"/>
      <c r="W156" s="99"/>
      <c r="X156" s="99"/>
      <c r="Z156">
        <f>SUMIF(adj!$C$2:$C$1127,$A156,adj!E$2:E$1127)</f>
        <v>0</v>
      </c>
      <c r="AA156">
        <f>SUMIF(adj!$C$2:$C$1127,$A156,adj!F$2:F$1127)</f>
        <v>0</v>
      </c>
      <c r="AB156">
        <f>SUMIF(adj!$C$2:$C$1127,$A156,adj!G$2:G$1127)</f>
        <v>0</v>
      </c>
      <c r="AC156">
        <f>SUMIF(adj!$C$2:$C$1127,$A156,adj!H$2:H$1127)</f>
        <v>0</v>
      </c>
      <c r="AD156">
        <f>SUMIF(adj!$C$2:$C$1127,$A156,adj!I$2:I$1127)</f>
        <v>0</v>
      </c>
    </row>
    <row r="157" spans="1:30">
      <c r="A157" s="573">
        <v>123</v>
      </c>
      <c r="B157" t="str">
        <f>DataNameEmp3 &amp; " Admin Cost as Pct of Salary"</f>
        <v>Labor Admin Cost as Pct of Salary</v>
      </c>
      <c r="C157" t="s">
        <v>1483</v>
      </c>
      <c r="D157" s="12">
        <v>0.17</v>
      </c>
      <c r="E157" s="12">
        <f t="shared" si="40"/>
        <v>0.17</v>
      </c>
      <c r="F157" s="12">
        <f t="shared" si="40"/>
        <v>0.17</v>
      </c>
      <c r="G157" s="12">
        <f t="shared" si="40"/>
        <v>0.17</v>
      </c>
      <c r="H157" s="12">
        <f t="shared" si="40"/>
        <v>0.17</v>
      </c>
      <c r="I157" s="12">
        <f t="shared" si="40"/>
        <v>0.17</v>
      </c>
      <c r="J157" t="s">
        <v>1002</v>
      </c>
      <c r="L157" s="10"/>
      <c r="N157" s="99"/>
      <c r="O157" s="99"/>
      <c r="P157" s="99"/>
      <c r="Q157" s="99"/>
      <c r="R157" s="99"/>
      <c r="T157" s="917"/>
      <c r="U157" s="99"/>
      <c r="V157" s="99"/>
      <c r="W157" s="99"/>
      <c r="X157" s="99"/>
      <c r="Z157">
        <f>SUMIF(adj!$C$2:$C$1127,$A157,adj!E$2:E$1127)</f>
        <v>0</v>
      </c>
      <c r="AA157">
        <f>SUMIF(adj!$C$2:$C$1127,$A157,adj!F$2:F$1127)</f>
        <v>0</v>
      </c>
      <c r="AB157">
        <f>SUMIF(adj!$C$2:$C$1127,$A157,adj!G$2:G$1127)</f>
        <v>0</v>
      </c>
      <c r="AC157">
        <f>SUMIF(adj!$C$2:$C$1127,$A157,adj!H$2:H$1127)</f>
        <v>0</v>
      </c>
      <c r="AD157">
        <f>SUMIF(adj!$C$2:$C$1127,$A157,adj!I$2:I$1127)</f>
        <v>0</v>
      </c>
    </row>
    <row r="158" spans="1:30">
      <c r="A158" s="573">
        <v>124</v>
      </c>
      <c r="B158" t="str">
        <f>DataNameEmp3 &amp; " Overtime Rate"</f>
        <v>Labor Overtime Rate</v>
      </c>
      <c r="C158" t="s">
        <v>1483</v>
      </c>
      <c r="D158" s="12">
        <v>1.5</v>
      </c>
      <c r="E158" s="12">
        <f t="shared" si="40"/>
        <v>1.5</v>
      </c>
      <c r="F158" s="12">
        <f t="shared" si="40"/>
        <v>1.5</v>
      </c>
      <c r="G158" s="12">
        <f t="shared" si="40"/>
        <v>1.5</v>
      </c>
      <c r="H158" s="12">
        <f t="shared" si="40"/>
        <v>1.5</v>
      </c>
      <c r="I158" s="12">
        <f t="shared" si="40"/>
        <v>1.5</v>
      </c>
      <c r="J158" t="s">
        <v>597</v>
      </c>
      <c r="L158" s="10"/>
      <c r="N158" s="99"/>
      <c r="O158" s="99"/>
      <c r="P158" s="99"/>
      <c r="Q158" s="99"/>
      <c r="R158" s="99"/>
      <c r="T158" s="917"/>
      <c r="U158" s="99"/>
      <c r="V158" s="99"/>
      <c r="W158" s="99"/>
      <c r="X158" s="99"/>
      <c r="Z158">
        <f>SUMIF(adj!$C$2:$C$1127,$A158,adj!E$2:E$1127)</f>
        <v>0</v>
      </c>
      <c r="AA158">
        <f>SUMIF(adj!$C$2:$C$1127,$A158,adj!F$2:F$1127)</f>
        <v>0</v>
      </c>
      <c r="AB158">
        <f>SUMIF(adj!$C$2:$C$1127,$A158,adj!G$2:G$1127)</f>
        <v>0</v>
      </c>
      <c r="AC158">
        <f>SUMIF(adj!$C$2:$C$1127,$A158,adj!H$2:H$1127)</f>
        <v>0</v>
      </c>
      <c r="AD158">
        <f>SUMIF(adj!$C$2:$C$1127,$A158,adj!I$2:I$1127)</f>
        <v>0</v>
      </c>
    </row>
    <row r="159" spans="1:30">
      <c r="A159" s="573">
        <v>125</v>
      </c>
      <c r="B159" t="str">
        <f>DataNameEmp3 &amp; " Hours Per Year"</f>
        <v>Labor Hours Per Year</v>
      </c>
      <c r="C159" t="s">
        <v>1483</v>
      </c>
      <c r="D159" s="11">
        <v>2800</v>
      </c>
      <c r="E159" s="11">
        <f t="shared" si="40"/>
        <v>2891</v>
      </c>
      <c r="F159" s="11">
        <f t="shared" si="40"/>
        <v>2891</v>
      </c>
      <c r="G159" s="11">
        <f t="shared" si="40"/>
        <v>2891</v>
      </c>
      <c r="H159" s="11">
        <f t="shared" si="40"/>
        <v>2891</v>
      </c>
      <c r="I159" s="11">
        <f t="shared" si="40"/>
        <v>2891</v>
      </c>
      <c r="J159" t="s">
        <v>1387</v>
      </c>
      <c r="L159" s="10"/>
      <c r="N159" s="99"/>
      <c r="O159" s="99"/>
      <c r="P159" s="99"/>
      <c r="Q159" s="99"/>
      <c r="R159" s="99"/>
      <c r="T159" s="99"/>
      <c r="U159" s="99"/>
      <c r="V159" s="99"/>
      <c r="W159" s="99"/>
      <c r="X159" s="99"/>
      <c r="Z159">
        <f>SUMIF(adj!$C$2:$C$1127,$A159,adj!E$2:E$1127)</f>
        <v>3.2500000000000001E-2</v>
      </c>
      <c r="AA159">
        <f>SUMIF(adj!$C$2:$C$1127,$A159,adj!F$2:F$1127)</f>
        <v>3.2500000000000001E-2</v>
      </c>
      <c r="AB159">
        <f>SUMIF(adj!$C$2:$C$1127,$A159,adj!G$2:G$1127)</f>
        <v>3.2500000000000001E-2</v>
      </c>
      <c r="AC159">
        <f>SUMIF(adj!$C$2:$C$1127,$A159,adj!H$2:H$1127)</f>
        <v>3.2500000000000001E-2</v>
      </c>
      <c r="AD159">
        <f>SUMIF(adj!$C$2:$C$1127,$A159,adj!I$2:I$1127)</f>
        <v>3.2500000000000001E-2</v>
      </c>
    </row>
    <row r="160" spans="1:30">
      <c r="A160" s="573">
        <v>126</v>
      </c>
      <c r="D160" s="16">
        <v>0</v>
      </c>
      <c r="E160" s="422">
        <f>$D160*(1+T160+Z160*($C160="R"))+N160+Z160*($C160="A")</f>
        <v>0</v>
      </c>
      <c r="F160" s="422">
        <f>$D160*(1+U160+AA160*($C160="R"))+O160+AA160*($C160="A")</f>
        <v>0</v>
      </c>
      <c r="G160" s="422">
        <f>$D160*(1+V160+AB160*($C160="R"))+P160+AB160*($C160="A")</f>
        <v>0</v>
      </c>
      <c r="H160" s="422">
        <f>$D160*(1+W160+AC160*($C160="R"))+Q160+AC160*($C160="A")</f>
        <v>0</v>
      </c>
      <c r="I160" s="422">
        <f>$D160*(1+X160+AD160*($C160="R"))+R160+AD160*($C160="A")</f>
        <v>0</v>
      </c>
      <c r="L160" s="10"/>
      <c r="N160" s="99"/>
      <c r="O160" s="99"/>
      <c r="P160" s="99"/>
      <c r="Q160" s="99"/>
      <c r="R160" s="99"/>
      <c r="T160" s="99"/>
      <c r="U160" s="99"/>
      <c r="V160" s="99"/>
      <c r="W160" s="99"/>
      <c r="X160" s="99"/>
      <c r="Z160">
        <f>SUMIF(adj!$C$2:$C$1127,$A160,adj!E$2:E$1127)</f>
        <v>0</v>
      </c>
      <c r="AA160">
        <f>SUMIF(adj!$C$2:$C$1127,$A160,adj!F$2:F$1127)</f>
        <v>0</v>
      </c>
      <c r="AB160">
        <f>SUMIF(adj!$C$2:$C$1127,$A160,adj!G$2:G$1127)</f>
        <v>0</v>
      </c>
      <c r="AC160">
        <f>SUMIF(adj!$C$2:$C$1127,$A160,adj!H$2:H$1127)</f>
        <v>0</v>
      </c>
      <c r="AD160">
        <f>SUMIF(adj!$C$2:$C$1127,$A160,adj!I$2:I$1127)</f>
        <v>0</v>
      </c>
    </row>
    <row r="161" spans="1:30">
      <c r="A161" s="573">
        <v>127</v>
      </c>
      <c r="B161" s="2" t="str">
        <f>DataNameEmp10&amp; " Parameters"</f>
        <v>MTU Parameters</v>
      </c>
      <c r="L161" s="10"/>
      <c r="N161" s="99"/>
      <c r="O161" s="99"/>
      <c r="P161" s="99"/>
      <c r="Q161" s="99"/>
      <c r="R161" s="99"/>
      <c r="T161" s="99"/>
      <c r="U161" s="99"/>
      <c r="V161" s="99"/>
      <c r="W161" s="99"/>
      <c r="X161" s="99"/>
      <c r="Z161">
        <f>SUMIF(adj!$C$2:$C$1127,$A161,adj!E$2:E$1127)</f>
        <v>0</v>
      </c>
      <c r="AA161">
        <f>SUMIF(adj!$C$2:$C$1127,$A161,adj!F$2:F$1127)</f>
        <v>0</v>
      </c>
      <c r="AB161">
        <f>SUMIF(adj!$C$2:$C$1127,$A161,adj!G$2:G$1127)</f>
        <v>0</v>
      </c>
      <c r="AC161">
        <f>SUMIF(adj!$C$2:$C$1127,$A161,adj!H$2:H$1127)</f>
        <v>0</v>
      </c>
      <c r="AD161">
        <f>SUMIF(adj!$C$2:$C$1127,$A161,adj!I$2:I$1127)</f>
        <v>0</v>
      </c>
    </row>
    <row r="162" spans="1:30">
      <c r="A162" s="573">
        <v>128</v>
      </c>
      <c r="B162" t="str">
        <f>DataNameEmp10 &amp; " Attrition rate"</f>
        <v>MTU Attrition rate</v>
      </c>
      <c r="C162" t="s">
        <v>1483</v>
      </c>
      <c r="D162" s="12">
        <v>0.15</v>
      </c>
      <c r="E162" s="15">
        <f>$D162*(1+T162+Z162*($C162="R"))+N162+Z162*($C162="A")</f>
        <v>0.14444444444444446</v>
      </c>
      <c r="F162" s="15">
        <f>$D162*(1+U162+AA162*($C162="R"))+O162+AA162*($C162="A")</f>
        <v>0.14444444444444446</v>
      </c>
      <c r="G162" s="15">
        <f>$D162*(1+V162+AB162*($C162="R"))+P162+AB162*($C162="A")</f>
        <v>0.14444444444444446</v>
      </c>
      <c r="H162" s="15">
        <f>$D162*(1+W162+AC162*($C162="R"))+Q162+AC162*($C162="A")</f>
        <v>0.14444444444444446</v>
      </c>
      <c r="I162" s="15">
        <f>$D162*(1+X162+AD162*($C162="R"))+R162+AD162*($C162="A")</f>
        <v>0.14444444444444446</v>
      </c>
      <c r="J162" t="s">
        <v>2667</v>
      </c>
      <c r="L162" s="10"/>
      <c r="N162" s="99"/>
      <c r="O162" s="99"/>
      <c r="P162" s="99"/>
      <c r="Q162" s="99"/>
      <c r="R162" s="99"/>
      <c r="T162" s="99"/>
      <c r="U162" s="99"/>
      <c r="V162" s="99"/>
      <c r="W162" s="99"/>
      <c r="X162" s="99"/>
      <c r="Z162">
        <f>SUMIF(adj!$C$2:$C$1127,$A162,adj!E$2:E$1127)</f>
        <v>-3.7037037037037035E-2</v>
      </c>
      <c r="AA162">
        <f>SUMIF(adj!$C$2:$C$1127,$A162,adj!F$2:F$1127)</f>
        <v>-3.7037037037037035E-2</v>
      </c>
      <c r="AB162">
        <f>SUMIF(adj!$C$2:$C$1127,$A162,adj!G$2:G$1127)</f>
        <v>-3.7037037037037035E-2</v>
      </c>
      <c r="AC162">
        <f>SUMIF(adj!$C$2:$C$1127,$A162,adj!H$2:H$1127)</f>
        <v>-3.7037037037037035E-2</v>
      </c>
      <c r="AD162">
        <f>SUMIF(adj!$C$2:$C$1127,$A162,adj!I$2:I$1127)</f>
        <v>-3.7037037037037035E-2</v>
      </c>
    </row>
    <row r="163" spans="1:30">
      <c r="A163" s="573">
        <v>129</v>
      </c>
      <c r="B163" t="str">
        <f>DataNameEmp10 &amp; " Salary"</f>
        <v>MTU Salary</v>
      </c>
      <c r="C163" t="s">
        <v>1483</v>
      </c>
      <c r="D163" s="16">
        <v>60000</v>
      </c>
      <c r="E163" s="16">
        <f t="shared" ref="E163:F165" si="41">$D163*(1+T163+Z163*($C163="R"))+N163+Z163*($C163="A")</f>
        <v>60000</v>
      </c>
      <c r="F163" s="16">
        <f t="shared" si="41"/>
        <v>60000</v>
      </c>
      <c r="G163" s="16">
        <f t="shared" ref="G163:I165" si="42">$D163*(1+V163+AB163*($C163="R"))+P163+AB163*($C163="A")</f>
        <v>60000</v>
      </c>
      <c r="H163" s="16">
        <f t="shared" si="42"/>
        <v>60000</v>
      </c>
      <c r="I163" s="16">
        <f t="shared" si="42"/>
        <v>60000</v>
      </c>
      <c r="J163" t="s">
        <v>2668</v>
      </c>
      <c r="L163" s="10"/>
      <c r="N163" s="99"/>
      <c r="O163" s="99"/>
      <c r="P163" s="99"/>
      <c r="Q163" s="99"/>
      <c r="R163" s="99"/>
      <c r="T163" s="99"/>
      <c r="U163" s="99"/>
      <c r="V163" s="99"/>
      <c r="W163" s="99"/>
      <c r="X163" s="99"/>
      <c r="Z163">
        <f>SUMIF(adj!$C$2:$C$1127,$A163,adj!E$2:E$1127)</f>
        <v>0</v>
      </c>
      <c r="AA163">
        <f>SUMIF(adj!$C$2:$C$1127,$A163,adj!F$2:F$1127)</f>
        <v>0</v>
      </c>
      <c r="AB163">
        <f>SUMIF(adj!$C$2:$C$1127,$A163,adj!G$2:G$1127)</f>
        <v>0</v>
      </c>
      <c r="AC163">
        <f>SUMIF(adj!$C$2:$C$1127,$A163,adj!H$2:H$1127)</f>
        <v>0</v>
      </c>
      <c r="AD163">
        <f>SUMIF(adj!$C$2:$C$1127,$A163,adj!I$2:I$1127)</f>
        <v>0</v>
      </c>
    </row>
    <row r="164" spans="1:30">
      <c r="A164" s="573">
        <v>130</v>
      </c>
      <c r="B164" t="str">
        <f>DataNameEmp10 &amp; " Recruit/Dismissal Cost"</f>
        <v>MTU Recruit/Dismissal Cost</v>
      </c>
      <c r="C164" t="s">
        <v>1483</v>
      </c>
      <c r="D164" s="12">
        <v>0.5</v>
      </c>
      <c r="E164" s="12">
        <f t="shared" si="41"/>
        <v>0.5</v>
      </c>
      <c r="F164" s="12">
        <f t="shared" si="41"/>
        <v>0.5</v>
      </c>
      <c r="G164" s="12">
        <f t="shared" si="42"/>
        <v>0.5</v>
      </c>
      <c r="H164" s="12">
        <f t="shared" si="42"/>
        <v>0.5</v>
      </c>
      <c r="I164" s="12">
        <f t="shared" si="42"/>
        <v>0.5</v>
      </c>
      <c r="J164" t="s">
        <v>2669</v>
      </c>
      <c r="L164" s="10"/>
      <c r="N164" s="99"/>
      <c r="O164" s="99"/>
      <c r="P164" s="99"/>
      <c r="Q164" s="99"/>
      <c r="R164" s="99"/>
      <c r="T164" s="99"/>
      <c r="U164" s="99"/>
      <c r="V164" s="99"/>
      <c r="W164" s="99"/>
      <c r="X164" s="99"/>
      <c r="Z164">
        <f>SUMIF(adj!$C$2:$C$1127,$A164,adj!E$2:E$1127)</f>
        <v>0</v>
      </c>
      <c r="AA164">
        <f>SUMIF(adj!$C$2:$C$1127,$A164,adj!F$2:F$1127)</f>
        <v>0</v>
      </c>
      <c r="AB164">
        <f>SUMIF(adj!$C$2:$C$1127,$A164,adj!G$2:G$1127)</f>
        <v>0</v>
      </c>
      <c r="AC164">
        <f>SUMIF(adj!$C$2:$C$1127,$A164,adj!H$2:H$1127)</f>
        <v>0</v>
      </c>
      <c r="AD164">
        <f>SUMIF(adj!$C$2:$C$1127,$A164,adj!I$2:I$1127)</f>
        <v>0</v>
      </c>
    </row>
    <row r="165" spans="1:30">
      <c r="A165" s="573">
        <v>131</v>
      </c>
      <c r="B165" t="str">
        <f>DataNameEmp10 &amp; " Admin Cost as Pct of Salary"</f>
        <v>MTU Admin Cost as Pct of Salary</v>
      </c>
      <c r="C165" t="s">
        <v>1483</v>
      </c>
      <c r="D165" s="12">
        <v>0.2</v>
      </c>
      <c r="E165" s="12">
        <f t="shared" si="41"/>
        <v>0.2</v>
      </c>
      <c r="F165" s="12">
        <f t="shared" si="41"/>
        <v>0.2</v>
      </c>
      <c r="G165" s="12">
        <f t="shared" si="42"/>
        <v>0.2</v>
      </c>
      <c r="H165" s="12">
        <f t="shared" si="42"/>
        <v>0.2</v>
      </c>
      <c r="I165" s="12">
        <f t="shared" si="42"/>
        <v>0.2</v>
      </c>
      <c r="J165" t="s">
        <v>2670</v>
      </c>
      <c r="L165" s="10"/>
      <c r="N165" s="99"/>
      <c r="O165" s="99"/>
      <c r="P165" s="99"/>
      <c r="Q165" s="99"/>
      <c r="R165" s="99"/>
      <c r="T165" s="99"/>
      <c r="U165" s="99"/>
      <c r="V165" s="99"/>
      <c r="W165" s="99"/>
      <c r="X165" s="99"/>
      <c r="Z165">
        <f>SUMIF(adj!$C$2:$C$1127,$A165,adj!E$2:E$1127)</f>
        <v>0</v>
      </c>
      <c r="AA165">
        <f>SUMIF(adj!$C$2:$C$1127,$A165,adj!F$2:F$1127)</f>
        <v>0</v>
      </c>
      <c r="AB165">
        <f>SUMIF(adj!$C$2:$C$1127,$A165,adj!G$2:G$1127)</f>
        <v>0</v>
      </c>
      <c r="AC165">
        <f>SUMIF(adj!$C$2:$C$1127,$A165,adj!H$2:H$1127)</f>
        <v>0</v>
      </c>
      <c r="AD165">
        <f>SUMIF(adj!$C$2:$C$1127,$A165,adj!I$2:I$1127)</f>
        <v>0</v>
      </c>
    </row>
    <row r="166" spans="1:30">
      <c r="A166" s="573">
        <v>132</v>
      </c>
      <c r="B166" t="str">
        <f>DataNameEmp10 &amp; " Overtime Rate"</f>
        <v>MTU Overtime Rate</v>
      </c>
      <c r="C166" t="s">
        <v>1483</v>
      </c>
      <c r="D166" s="12">
        <v>0</v>
      </c>
      <c r="E166" s="12">
        <f t="shared" ref="E166:E178" si="43">$D166*(1+T166+Z166*($C166="R"))+N166+Z166*($C166="A")</f>
        <v>0</v>
      </c>
      <c r="F166" s="12">
        <f>$D166*(1+U166+AA166*($C166="R"))+O166+AA166*($C166="A")</f>
        <v>0</v>
      </c>
      <c r="G166" s="12">
        <f t="shared" ref="G166:G178" si="44">$D166*(1+V166+AB166*($C166="R"))+P166+AB166*($C166="A")</f>
        <v>0</v>
      </c>
      <c r="H166" s="12">
        <f t="shared" ref="H166:H178" si="45">$D166*(1+W166+AC166*($C166="R"))+Q166+AC166*($C166="A")</f>
        <v>0</v>
      </c>
      <c r="I166" s="12">
        <f t="shared" ref="I166:I178" si="46">$D166*(1+X166+AD166*($C166="R"))+R166+AD166*($C166="A")</f>
        <v>0</v>
      </c>
      <c r="J166" t="s">
        <v>933</v>
      </c>
      <c r="L166" s="10"/>
      <c r="N166" s="99"/>
      <c r="O166" s="99"/>
      <c r="P166" s="99"/>
      <c r="Q166" s="99"/>
      <c r="R166" s="99"/>
      <c r="T166" s="99"/>
      <c r="U166" s="99"/>
      <c r="V166" s="99"/>
      <c r="W166" s="99"/>
      <c r="X166" s="99"/>
      <c r="Z166">
        <f>SUMIF(adj!$C$2:$C$1127,$A166,adj!E$2:E$1127)</f>
        <v>0</v>
      </c>
      <c r="AA166">
        <f>SUMIF(adj!$C$2:$C$1127,$A166,adj!F$2:F$1127)</f>
        <v>0</v>
      </c>
      <c r="AB166">
        <f>SUMIF(adj!$C$2:$C$1127,$A166,adj!G$2:G$1127)</f>
        <v>0</v>
      </c>
      <c r="AC166">
        <f>SUMIF(adj!$C$2:$C$1127,$A166,adj!H$2:H$1127)</f>
        <v>0</v>
      </c>
      <c r="AD166">
        <f>SUMIF(adj!$C$2:$C$1127,$A166,adj!I$2:I$1127)</f>
        <v>0</v>
      </c>
    </row>
    <row r="167" spans="1:30">
      <c r="A167" s="573">
        <v>133</v>
      </c>
      <c r="B167" t="str">
        <f>DataNameEmp10 &amp; " Productivity Coefficient"</f>
        <v>MTU Productivity Coefficient</v>
      </c>
      <c r="C167" t="s">
        <v>1483</v>
      </c>
      <c r="D167" s="15">
        <v>1</v>
      </c>
      <c r="E167" s="15">
        <f t="shared" si="43"/>
        <v>1.0812263214938251</v>
      </c>
      <c r="F167" s="15">
        <f>$D167*(1+U167+AA167*($C167="R"))+O167+AA167*($C167="A")</f>
        <v>1.0812263214938251</v>
      </c>
      <c r="G167" s="15">
        <f t="shared" si="44"/>
        <v>1.0812263214938251</v>
      </c>
      <c r="H167" s="15">
        <f t="shared" si="45"/>
        <v>1.0812263214938251</v>
      </c>
      <c r="I167" s="15">
        <f t="shared" si="46"/>
        <v>1.0812263214938251</v>
      </c>
      <c r="J167" t="s">
        <v>1911</v>
      </c>
      <c r="L167" s="10"/>
      <c r="N167" s="99"/>
      <c r="O167" s="99"/>
      <c r="P167" s="99"/>
      <c r="Q167" s="99"/>
      <c r="R167" s="99"/>
      <c r="T167" s="99"/>
      <c r="U167" s="99"/>
      <c r="V167" s="99"/>
      <c r="W167" s="99"/>
      <c r="X167" s="99"/>
      <c r="Z167">
        <f>SUMIF(adj!$C$2:$C$1127,$A167,adj!E$2:E$1127)</f>
        <v>8.1226321493825041E-2</v>
      </c>
      <c r="AA167">
        <f>SUMIF(adj!$C$2:$C$1127,$A167,adj!F$2:F$1127)</f>
        <v>8.1226321493825041E-2</v>
      </c>
      <c r="AB167">
        <f>SUMIF(adj!$C$2:$C$1127,$A167,adj!G$2:G$1127)</f>
        <v>8.1226321493825041E-2</v>
      </c>
      <c r="AC167">
        <f>SUMIF(adj!$C$2:$C$1127,$A167,adj!H$2:H$1127)</f>
        <v>8.1226321493825041E-2</v>
      </c>
      <c r="AD167">
        <f>SUMIF(adj!$C$2:$C$1127,$A167,adj!I$2:I$1127)</f>
        <v>8.1226321493825041E-2</v>
      </c>
    </row>
    <row r="168" spans="1:30">
      <c r="A168" s="573">
        <v>133.5</v>
      </c>
      <c r="B168" t="str">
        <f>DataNameEmp10 &amp; " Initiatives Allocation"</f>
        <v>MTU Initiatives Allocation</v>
      </c>
      <c r="C168" t="s">
        <v>3414</v>
      </c>
      <c r="D168" s="398">
        <v>0</v>
      </c>
      <c r="E168" s="398">
        <f>$D168*(1+T168+Z168*($C168="R"))+N168+Z168*($C168="A")</f>
        <v>0</v>
      </c>
      <c r="F168" s="398">
        <f>$D168*(1+U168+AA168*($C168="R"))+O168+AA168*($C168="A")</f>
        <v>0</v>
      </c>
      <c r="G168" s="398">
        <f t="shared" ref="G168:I170" si="47">$D168*(1+V168+AB168*($C168="R"))+P168+AB168*($C168="A")</f>
        <v>0</v>
      </c>
      <c r="H168" s="398">
        <f t="shared" si="47"/>
        <v>0</v>
      </c>
      <c r="I168" s="398">
        <f t="shared" si="47"/>
        <v>0</v>
      </c>
      <c r="J168" t="s">
        <v>2918</v>
      </c>
      <c r="L168" s="10"/>
      <c r="N168" s="99"/>
      <c r="O168" s="99"/>
      <c r="P168" s="99"/>
      <c r="Q168" s="99"/>
      <c r="R168" s="99"/>
      <c r="T168" s="99"/>
      <c r="U168" s="99"/>
      <c r="V168" s="99"/>
      <c r="W168" s="99"/>
      <c r="X168" s="99"/>
      <c r="Z168">
        <f>SUMIF(adj!$C$2:$C$1127,$A168,adj!E$2:E$1127)</f>
        <v>0</v>
      </c>
      <c r="AA168">
        <f>SUMIF(adj!$C$2:$C$1127,$A168,adj!F$2:F$1127)</f>
        <v>0</v>
      </c>
      <c r="AB168">
        <f>SUMIF(adj!$C$2:$C$1127,$A168,adj!G$2:G$1127)</f>
        <v>0</v>
      </c>
      <c r="AC168">
        <f>SUMIF(adj!$C$2:$C$1127,$A168,adj!H$2:H$1127)</f>
        <v>0</v>
      </c>
      <c r="AD168">
        <f>SUMIF(adj!$C$2:$C$1127,$A168,adj!I$2:I$1127)</f>
        <v>0</v>
      </c>
    </row>
    <row r="169" spans="1:30">
      <c r="A169" s="573">
        <v>133.6</v>
      </c>
      <c r="B169" s="905" t="s">
        <v>4784</v>
      </c>
      <c r="C169" t="s">
        <v>3414</v>
      </c>
      <c r="D169" s="398">
        <v>0</v>
      </c>
      <c r="E169" s="398">
        <f>$D169*(1+T169+Z169*($C169="R"))+N169+Z169*($C169="A")</f>
        <v>6</v>
      </c>
      <c r="F169" s="398">
        <f>$D169*(1+U169+AA169*($C169="R"))+O169+AA169*($C169="A")</f>
        <v>6</v>
      </c>
      <c r="G169" s="398">
        <f t="shared" si="47"/>
        <v>6</v>
      </c>
      <c r="H169" s="398">
        <f t="shared" si="47"/>
        <v>6</v>
      </c>
      <c r="I169" s="398">
        <f t="shared" si="47"/>
        <v>6</v>
      </c>
      <c r="J169" t="s">
        <v>2621</v>
      </c>
      <c r="L169" s="10"/>
      <c r="N169" s="99"/>
      <c r="O169" s="99"/>
      <c r="P169" s="99"/>
      <c r="Q169" s="99"/>
      <c r="R169" s="99"/>
      <c r="T169" s="99"/>
      <c r="U169" s="99"/>
      <c r="V169" s="99"/>
      <c r="W169" s="99"/>
      <c r="X169" s="99"/>
      <c r="Z169">
        <f>SUMIF(adj!$C$2:$C$1127,$A169,adj!E$2:E$1127)</f>
        <v>6</v>
      </c>
      <c r="AA169">
        <f>SUMIF(adj!$C$2:$C$1127,$A169,adj!F$2:F$1127)</f>
        <v>6</v>
      </c>
      <c r="AB169">
        <f>SUMIF(adj!$C$2:$C$1127,$A169,adj!G$2:G$1127)</f>
        <v>6</v>
      </c>
      <c r="AC169">
        <f>SUMIF(adj!$C$2:$C$1127,$A169,adj!H$2:H$1127)</f>
        <v>6</v>
      </c>
      <c r="AD169">
        <f>SUMIF(adj!$C$2:$C$1127,$A169,adj!I$2:I$1127)</f>
        <v>6</v>
      </c>
    </row>
    <row r="170" spans="1:30">
      <c r="A170" s="573">
        <v>133.69999999999999</v>
      </c>
      <c r="B170" t="s">
        <v>2620</v>
      </c>
      <c r="C170" t="s">
        <v>3414</v>
      </c>
      <c r="D170" s="398">
        <v>0</v>
      </c>
      <c r="E170" s="398">
        <f>$D170*(1+T170+Z170*($C170="R"))+N170+Z170*($C170="A")</f>
        <v>0</v>
      </c>
      <c r="F170" s="398">
        <f>$D170*(1+U170+AA170*($C170="R"))+O170+AA170*($C170="A")</f>
        <v>0</v>
      </c>
      <c r="G170" s="398">
        <f t="shared" si="47"/>
        <v>0</v>
      </c>
      <c r="H170" s="398">
        <f t="shared" si="47"/>
        <v>0</v>
      </c>
      <c r="I170" s="398">
        <f t="shared" si="47"/>
        <v>0</v>
      </c>
      <c r="J170" t="s">
        <v>2201</v>
      </c>
      <c r="L170" s="10"/>
      <c r="N170" s="99"/>
      <c r="O170" s="99"/>
      <c r="P170" s="99"/>
      <c r="Q170" s="99"/>
      <c r="R170" s="99"/>
      <c r="T170" s="99"/>
      <c r="U170" s="99"/>
      <c r="V170" s="99"/>
      <c r="W170" s="99"/>
      <c r="X170" s="99"/>
      <c r="Z170">
        <f>SUMIF(adj!$C$2:$C$1127,$A170,adj!E$2:E$1127)</f>
        <v>0</v>
      </c>
      <c r="AA170">
        <f>SUMIF(adj!$C$2:$C$1127,$A170,adj!F$2:F$1127)</f>
        <v>0</v>
      </c>
      <c r="AB170">
        <f>SUMIF(adj!$C$2:$C$1127,$A170,adj!G$2:G$1127)</f>
        <v>0</v>
      </c>
      <c r="AC170">
        <f>SUMIF(adj!$C$2:$C$1127,$A170,adj!H$2:H$1127)</f>
        <v>0</v>
      </c>
      <c r="AD170">
        <f>SUMIF(adj!$C$2:$C$1127,$A170,adj!I$2:I$1127)</f>
        <v>0</v>
      </c>
    </row>
    <row r="171" spans="1:30">
      <c r="A171" s="573">
        <v>134</v>
      </c>
      <c r="D171" s="16"/>
      <c r="E171" s="16"/>
      <c r="F171" s="16"/>
      <c r="G171" s="16"/>
      <c r="H171" s="16"/>
      <c r="I171" s="16"/>
      <c r="L171" s="10"/>
      <c r="N171" s="99"/>
      <c r="O171" s="99"/>
      <c r="P171" s="99"/>
      <c r="Q171" s="99"/>
      <c r="R171" s="99"/>
      <c r="T171" s="99"/>
      <c r="U171" s="99"/>
      <c r="V171" s="99"/>
      <c r="W171" s="99"/>
      <c r="X171" s="99"/>
      <c r="Z171">
        <f>SUMIF(adj!$C$2:$C$1127,$A171,adj!E$2:E$1127)</f>
        <v>0</v>
      </c>
      <c r="AA171">
        <f>SUMIF(adj!$C$2:$C$1127,$A171,adj!F$2:F$1127)</f>
        <v>0</v>
      </c>
      <c r="AB171">
        <f>SUMIF(adj!$C$2:$C$1127,$A171,adj!G$2:G$1127)</f>
        <v>0</v>
      </c>
      <c r="AC171">
        <f>SUMIF(adj!$C$2:$C$1127,$A171,adj!H$2:H$1127)</f>
        <v>0</v>
      </c>
      <c r="AD171">
        <f>SUMIF(adj!$C$2:$C$1127,$A171,adj!I$2:I$1127)</f>
        <v>0</v>
      </c>
    </row>
    <row r="172" spans="1:30">
      <c r="A172" s="573">
        <v>135</v>
      </c>
      <c r="B172" s="2" t="str">
        <f>DataNamePlant1 &amp; " Parameters"</f>
        <v>Plant Parameters</v>
      </c>
      <c r="L172" s="10"/>
      <c r="N172" s="99"/>
      <c r="O172" s="99"/>
      <c r="P172" s="99"/>
      <c r="Q172" s="99"/>
      <c r="R172" s="99"/>
      <c r="T172" s="99"/>
      <c r="U172" s="99"/>
      <c r="V172" s="99"/>
      <c r="W172" s="99"/>
      <c r="X172" s="99"/>
      <c r="Z172">
        <f>SUMIF(adj!$C$2:$C$1127,$A172,adj!E$2:E$1127)</f>
        <v>0</v>
      </c>
      <c r="AA172">
        <f>SUMIF(adj!$C$2:$C$1127,$A172,adj!F$2:F$1127)</f>
        <v>0</v>
      </c>
      <c r="AB172">
        <f>SUMIF(adj!$C$2:$C$1127,$A172,adj!G$2:G$1127)</f>
        <v>0</v>
      </c>
      <c r="AC172">
        <f>SUMIF(adj!$C$2:$C$1127,$A172,adj!H$2:H$1127)</f>
        <v>0</v>
      </c>
      <c r="AD172">
        <f>SUMIF(adj!$C$2:$C$1127,$A172,adj!I$2:I$1127)</f>
        <v>0</v>
      </c>
    </row>
    <row r="173" spans="1:30">
      <c r="A173" s="573">
        <v>136</v>
      </c>
      <c r="B173" t="str">
        <f>DataNamePlant1 &amp; " Proceeds Per Unit Sold"</f>
        <v>Plant Proceeds Per Unit Sold</v>
      </c>
      <c r="C173" t="s">
        <v>1483</v>
      </c>
      <c r="D173" s="16">
        <v>2000000</v>
      </c>
      <c r="E173" s="16">
        <f t="shared" si="43"/>
        <v>2000000</v>
      </c>
      <c r="F173" s="16">
        <f t="shared" ref="F173:F178" si="48">$D173*(1+U173+AA173*($C173="R"))+O173+AA173*($C173="A")</f>
        <v>2000000</v>
      </c>
      <c r="G173" s="16">
        <f t="shared" si="44"/>
        <v>2000000</v>
      </c>
      <c r="H173" s="16">
        <f t="shared" si="45"/>
        <v>2000000</v>
      </c>
      <c r="I173" s="16">
        <f t="shared" si="46"/>
        <v>2000000</v>
      </c>
      <c r="J173" t="s">
        <v>2568</v>
      </c>
      <c r="L173" s="10"/>
      <c r="N173" s="99"/>
      <c r="O173" s="99"/>
      <c r="P173" s="99"/>
      <c r="Q173" s="99"/>
      <c r="R173" s="99"/>
      <c r="T173" s="99"/>
      <c r="U173" s="99"/>
      <c r="V173" s="99"/>
      <c r="W173" s="99"/>
      <c r="X173" s="99"/>
      <c r="Z173">
        <f>SUMIF(adj!$C$2:$C$1127,$A173,adj!E$2:E$1127)</f>
        <v>0</v>
      </c>
      <c r="AA173">
        <f>SUMIF(adj!$C$2:$C$1127,$A173,adj!F$2:F$1127)</f>
        <v>0</v>
      </c>
      <c r="AB173">
        <f>SUMIF(adj!$C$2:$C$1127,$A173,adj!G$2:G$1127)</f>
        <v>0</v>
      </c>
      <c r="AC173">
        <f>SUMIF(adj!$C$2:$C$1127,$A173,adj!H$2:H$1127)</f>
        <v>0</v>
      </c>
      <c r="AD173">
        <f>SUMIF(adj!$C$2:$C$1127,$A173,adj!I$2:I$1127)</f>
        <v>0</v>
      </c>
    </row>
    <row r="174" spans="1:30">
      <c r="A174" s="573">
        <v>137</v>
      </c>
      <c r="B174" t="str">
        <f>DataNamePlant1&amp;" Investment Cost Per Unit"</f>
        <v>Plant Investment Cost Per Unit</v>
      </c>
      <c r="C174" t="s">
        <v>1483</v>
      </c>
      <c r="D174" s="16">
        <v>8000000</v>
      </c>
      <c r="E174" s="16">
        <f t="shared" si="43"/>
        <v>8000000</v>
      </c>
      <c r="F174" s="16">
        <f t="shared" si="48"/>
        <v>8000000</v>
      </c>
      <c r="G174" s="16">
        <f t="shared" si="44"/>
        <v>8000000</v>
      </c>
      <c r="H174" s="16">
        <f t="shared" si="45"/>
        <v>8000000</v>
      </c>
      <c r="I174" s="16">
        <f t="shared" si="46"/>
        <v>8000000</v>
      </c>
      <c r="J174" t="s">
        <v>2569</v>
      </c>
      <c r="L174" s="10"/>
      <c r="N174" s="99"/>
      <c r="O174" s="99"/>
      <c r="P174" s="99"/>
      <c r="Q174" s="99"/>
      <c r="R174" s="99"/>
      <c r="T174" s="99"/>
      <c r="U174" s="99"/>
      <c r="V174" s="99"/>
      <c r="W174" s="99"/>
      <c r="X174" s="99"/>
      <c r="Z174">
        <f>SUMIF(adj!$C$2:$C$1127,$A174,adj!E$2:E$1127)</f>
        <v>0</v>
      </c>
      <c r="AA174">
        <f>SUMIF(adj!$C$2:$C$1127,$A174,adj!F$2:F$1127)</f>
        <v>0</v>
      </c>
      <c r="AB174">
        <f>SUMIF(adj!$C$2:$C$1127,$A174,adj!G$2:G$1127)</f>
        <v>0</v>
      </c>
      <c r="AC174">
        <f>SUMIF(adj!$C$2:$C$1127,$A174,adj!H$2:H$1127)</f>
        <v>0</v>
      </c>
      <c r="AD174">
        <f>SUMIF(adj!$C$2:$C$1127,$A174,adj!I$2:I$1127)</f>
        <v>0</v>
      </c>
    </row>
    <row r="175" spans="1:30">
      <c r="A175" s="573">
        <v>138</v>
      </c>
      <c r="B175" t="str">
        <f>DataNamePlant1 &amp; " Machine Hours Per Plant Unit"</f>
        <v>Plant Machine Hours Per Plant Unit</v>
      </c>
      <c r="C175" t="s">
        <v>1483</v>
      </c>
      <c r="D175" s="16">
        <v>6000</v>
      </c>
      <c r="E175" s="16">
        <f t="shared" si="43"/>
        <v>6000</v>
      </c>
      <c r="F175" s="16">
        <f t="shared" si="48"/>
        <v>6000</v>
      </c>
      <c r="G175" s="16">
        <f t="shared" si="44"/>
        <v>6000</v>
      </c>
      <c r="H175" s="16">
        <f t="shared" si="45"/>
        <v>6000</v>
      </c>
      <c r="I175" s="16">
        <f t="shared" si="46"/>
        <v>6000</v>
      </c>
      <c r="J175" t="s">
        <v>2570</v>
      </c>
      <c r="L175" s="10"/>
      <c r="N175" s="99"/>
      <c r="O175" s="99"/>
      <c r="P175" s="99"/>
      <c r="Q175" s="99"/>
      <c r="R175" s="99"/>
      <c r="T175" s="99"/>
      <c r="U175" s="99"/>
      <c r="V175" s="99"/>
      <c r="W175" s="99"/>
      <c r="X175" s="99"/>
      <c r="Z175">
        <f>SUMIF(adj!$C$2:$C$1127,$A175,adj!E$2:E$1127)</f>
        <v>0</v>
      </c>
      <c r="AA175">
        <f>SUMIF(adj!$C$2:$C$1127,$A175,adj!F$2:F$1127)</f>
        <v>0</v>
      </c>
      <c r="AB175">
        <f>SUMIF(adj!$C$2:$C$1127,$A175,adj!G$2:G$1127)</f>
        <v>0</v>
      </c>
      <c r="AC175">
        <f>SUMIF(adj!$C$2:$C$1127,$A175,adj!H$2:H$1127)</f>
        <v>0</v>
      </c>
      <c r="AD175">
        <f>SUMIF(adj!$C$2:$C$1127,$A175,adj!I$2:I$1127)</f>
        <v>0</v>
      </c>
    </row>
    <row r="176" spans="1:30">
      <c r="A176" s="573">
        <v>139</v>
      </c>
      <c r="B176" t="str">
        <f>DataNamePlant1 &amp; " Machinery Cost Per Hour"</f>
        <v>Plant Machinery Cost Per Hour</v>
      </c>
      <c r="C176" t="s">
        <v>1483</v>
      </c>
      <c r="D176" s="10">
        <v>1</v>
      </c>
      <c r="E176" s="10">
        <f t="shared" si="43"/>
        <v>1</v>
      </c>
      <c r="F176" s="10">
        <f t="shared" si="48"/>
        <v>1</v>
      </c>
      <c r="G176" s="10">
        <f t="shared" si="44"/>
        <v>1</v>
      </c>
      <c r="H176" s="10">
        <f t="shared" si="45"/>
        <v>1</v>
      </c>
      <c r="I176" s="10">
        <f t="shared" si="46"/>
        <v>1</v>
      </c>
      <c r="J176" t="s">
        <v>2572</v>
      </c>
      <c r="L176" s="10"/>
      <c r="N176" s="99"/>
      <c r="O176" s="99"/>
      <c r="P176" s="99"/>
      <c r="Q176" s="99"/>
      <c r="R176" s="99"/>
      <c r="T176" s="917"/>
      <c r="U176" s="99"/>
      <c r="V176" s="99"/>
      <c r="W176" s="99"/>
      <c r="X176" s="99"/>
      <c r="Z176">
        <f>SUMIF(adj!$C$2:$C$1127,$A176,adj!E$2:E$1127)</f>
        <v>0</v>
      </c>
      <c r="AA176">
        <f>SUMIF(adj!$C$2:$C$1127,$A176,adj!F$2:F$1127)</f>
        <v>0</v>
      </c>
      <c r="AB176">
        <f>SUMIF(adj!$C$2:$C$1127,$A176,adj!G$2:G$1127)</f>
        <v>0</v>
      </c>
      <c r="AC176">
        <f>SUMIF(adj!$C$2:$C$1127,$A176,adj!H$2:H$1127)</f>
        <v>0</v>
      </c>
      <c r="AD176">
        <f>SUMIF(adj!$C$2:$C$1127,$A176,adj!I$2:I$1127)</f>
        <v>0</v>
      </c>
    </row>
    <row r="177" spans="1:30">
      <c r="A177" s="573">
        <v>140</v>
      </c>
      <c r="B177" t="str">
        <f>DataNamePlant1 &amp; " Deprecation Rate"</f>
        <v>Plant Deprecation Rate</v>
      </c>
      <c r="C177" t="s">
        <v>1483</v>
      </c>
      <c r="D177" s="442">
        <f>1/8</f>
        <v>0.125</v>
      </c>
      <c r="E177" s="442">
        <f t="shared" si="43"/>
        <v>0.125</v>
      </c>
      <c r="F177" s="442">
        <f t="shared" si="48"/>
        <v>0.125</v>
      </c>
      <c r="G177" s="442">
        <f t="shared" si="44"/>
        <v>0.125</v>
      </c>
      <c r="H177" s="442">
        <f t="shared" si="45"/>
        <v>0.125</v>
      </c>
      <c r="I177" s="442">
        <f t="shared" si="46"/>
        <v>0.125</v>
      </c>
      <c r="J177" t="s">
        <v>2573</v>
      </c>
      <c r="L177" s="10"/>
      <c r="N177" s="99"/>
      <c r="O177" s="99"/>
      <c r="P177" s="99"/>
      <c r="Q177" s="99"/>
      <c r="R177" s="99"/>
      <c r="T177" s="99"/>
      <c r="U177" s="99"/>
      <c r="V177" s="99"/>
      <c r="W177" s="99"/>
      <c r="X177" s="99"/>
      <c r="Z177">
        <f>SUMIF(adj!$C$2:$C$1127,$A177,adj!E$2:E$1127)</f>
        <v>0</v>
      </c>
      <c r="AA177">
        <f>SUMIF(adj!$C$2:$C$1127,$A177,adj!F$2:F$1127)</f>
        <v>0</v>
      </c>
      <c r="AB177">
        <f>SUMIF(adj!$C$2:$C$1127,$A177,adj!G$2:G$1127)</f>
        <v>0</v>
      </c>
      <c r="AC177">
        <f>SUMIF(adj!$C$2:$C$1127,$A177,adj!H$2:H$1127)</f>
        <v>0</v>
      </c>
      <c r="AD177">
        <f>SUMIF(adj!$C$2:$C$1127,$A177,adj!I$2:I$1127)</f>
        <v>0</v>
      </c>
    </row>
    <row r="178" spans="1:30">
      <c r="A178" s="573">
        <v>141</v>
      </c>
      <c r="B178" t="str">
        <f>DataNamePlant1 &amp; " Ramp Up Pct"</f>
        <v>Plant Ramp Up Pct</v>
      </c>
      <c r="C178" t="s">
        <v>1483</v>
      </c>
      <c r="D178" s="12">
        <v>1</v>
      </c>
      <c r="E178" s="15">
        <f t="shared" si="43"/>
        <v>1</v>
      </c>
      <c r="F178" s="15">
        <f t="shared" si="48"/>
        <v>1</v>
      </c>
      <c r="G178" s="15">
        <f t="shared" si="44"/>
        <v>1</v>
      </c>
      <c r="H178" s="15">
        <f t="shared" si="45"/>
        <v>1</v>
      </c>
      <c r="I178" s="15">
        <f t="shared" si="46"/>
        <v>1</v>
      </c>
      <c r="J178" t="s">
        <v>2468</v>
      </c>
      <c r="L178" s="10"/>
      <c r="N178" s="99"/>
      <c r="O178" s="99"/>
      <c r="P178" s="99"/>
      <c r="Q178" s="99"/>
      <c r="R178" s="99"/>
      <c r="T178" s="99"/>
      <c r="U178" s="99"/>
      <c r="V178" s="99"/>
      <c r="W178" s="99"/>
      <c r="X178" s="99"/>
      <c r="Z178">
        <f>SUMIF(adj!$C$2:$C$1127,$A178,adj!E$2:E$1127)</f>
        <v>0</v>
      </c>
      <c r="AA178">
        <f>SUMIF(adj!$C$2:$C$1127,$A178,adj!F$2:F$1127)</f>
        <v>0</v>
      </c>
      <c r="AB178">
        <f>SUMIF(adj!$C$2:$C$1127,$A178,adj!G$2:G$1127)</f>
        <v>0</v>
      </c>
      <c r="AC178">
        <f>SUMIF(adj!$C$2:$C$1127,$A178,adj!H$2:H$1127)</f>
        <v>0</v>
      </c>
      <c r="AD178">
        <f>SUMIF(adj!$C$2:$C$1127,$A178,adj!I$2:I$1127)</f>
        <v>0</v>
      </c>
    </row>
    <row r="179" spans="1:30">
      <c r="A179" s="573">
        <v>142</v>
      </c>
      <c r="B179" t="s">
        <v>3968</v>
      </c>
      <c r="C179" t="s">
        <v>3414</v>
      </c>
      <c r="D179" s="15">
        <v>0.75</v>
      </c>
      <c r="E179" s="435">
        <f t="shared" ref="E179:I180" ca="1" si="49">ROUNDDOWN($D179*(1+T179+Z179*($C179="R"))+N179+Z179*($C179="A"),3)</f>
        <v>0.76500000000000001</v>
      </c>
      <c r="F179" s="435">
        <f t="shared" ca="1" si="49"/>
        <v>0.76500000000000001</v>
      </c>
      <c r="G179" s="435">
        <f t="shared" ca="1" si="49"/>
        <v>0.76500000000000001</v>
      </c>
      <c r="H179" s="435">
        <f t="shared" ca="1" si="49"/>
        <v>0.76500000000000001</v>
      </c>
      <c r="I179" s="435">
        <f t="shared" ca="1" si="49"/>
        <v>0.76500000000000001</v>
      </c>
      <c r="J179" t="s">
        <v>3167</v>
      </c>
      <c r="L179" s="10"/>
      <c r="N179" s="99"/>
      <c r="O179" s="99"/>
      <c r="P179" s="99"/>
      <c r="Q179" s="99"/>
      <c r="R179" s="99"/>
      <c r="T179" s="99"/>
      <c r="U179" s="99"/>
      <c r="V179" s="99"/>
      <c r="W179" s="99"/>
      <c r="X179" s="99"/>
      <c r="Z179">
        <f ca="1">SUMIF(adj!$C$2:$C$1127,$A179,adj!E$2:E$1127)</f>
        <v>1.5931531699400002E-2</v>
      </c>
      <c r="AA179">
        <f ca="1">SUMIF(adj!$C$2:$C$1127,$A179,adj!F$2:F$1127)</f>
        <v>1.5931531699400002E-2</v>
      </c>
      <c r="AB179">
        <f ca="1">SUMIF(adj!$C$2:$C$1127,$A179,adj!G$2:G$1127)</f>
        <v>1.5931531699400002E-2</v>
      </c>
      <c r="AC179">
        <f ca="1">SUMIF(adj!$C$2:$C$1127,$A179,adj!H$2:H$1127)</f>
        <v>1.5931531699400002E-2</v>
      </c>
      <c r="AD179">
        <f ca="1">SUMIF(adj!$C$2:$C$1127,$A179,adj!I$2:I$1127)</f>
        <v>1.5931531699400002E-2</v>
      </c>
    </row>
    <row r="180" spans="1:30">
      <c r="A180" s="573">
        <v>142.5</v>
      </c>
      <c r="B180" t="s">
        <v>2778</v>
      </c>
      <c r="C180" t="s">
        <v>3414</v>
      </c>
      <c r="D180" s="15">
        <v>1</v>
      </c>
      <c r="E180" s="435">
        <f t="shared" si="49"/>
        <v>1</v>
      </c>
      <c r="F180" s="435">
        <f t="shared" si="49"/>
        <v>1</v>
      </c>
      <c r="G180" s="435">
        <f t="shared" si="49"/>
        <v>1</v>
      </c>
      <c r="H180" s="435">
        <f t="shared" si="49"/>
        <v>1</v>
      </c>
      <c r="I180" s="435">
        <f t="shared" si="49"/>
        <v>1</v>
      </c>
      <c r="J180" t="s">
        <v>2779</v>
      </c>
      <c r="L180" s="10"/>
      <c r="N180" s="99"/>
      <c r="O180" s="99"/>
      <c r="P180" s="99"/>
      <c r="Q180" s="99"/>
      <c r="R180" s="99"/>
      <c r="T180" s="99"/>
      <c r="U180" s="99"/>
      <c r="V180" s="99"/>
      <c r="W180" s="99"/>
      <c r="X180" s="99"/>
      <c r="Z180">
        <f>SUMIF(adj!$C$2:$C$1127,$A180,adj!E$2:E$1127)</f>
        <v>0</v>
      </c>
      <c r="AA180">
        <f>SUMIF(adj!$C$2:$C$1127,$A180,adj!F$2:F$1127)</f>
        <v>0</v>
      </c>
      <c r="AB180">
        <f>SUMIF(adj!$C$2:$C$1127,$A180,adj!G$2:G$1127)</f>
        <v>0</v>
      </c>
      <c r="AC180">
        <f>SUMIF(adj!$C$2:$C$1127,$A180,adj!H$2:H$1127)</f>
        <v>0</v>
      </c>
      <c r="AD180">
        <f>SUMIF(adj!$C$2:$C$1127,$A180,adj!I$2:I$1127)</f>
        <v>0</v>
      </c>
    </row>
    <row r="181" spans="1:30">
      <c r="A181" s="573">
        <v>143</v>
      </c>
      <c r="B181" t="s">
        <v>3294</v>
      </c>
      <c r="C181" t="s">
        <v>1483</v>
      </c>
      <c r="D181" s="398">
        <v>1500000</v>
      </c>
      <c r="E181" s="516">
        <f t="shared" ref="E181:I182" si="50">$D181*(1+T181+Z181*($C181="R"))+N181+Z181*($C181="A")</f>
        <v>1500000</v>
      </c>
      <c r="F181" s="516">
        <f t="shared" si="50"/>
        <v>1500000</v>
      </c>
      <c r="G181" s="516">
        <f t="shared" si="50"/>
        <v>1500000</v>
      </c>
      <c r="H181" s="516">
        <f t="shared" si="50"/>
        <v>1500000</v>
      </c>
      <c r="I181" s="516">
        <f t="shared" si="50"/>
        <v>1500000</v>
      </c>
      <c r="J181" t="s">
        <v>3295</v>
      </c>
      <c r="L181" s="10"/>
      <c r="N181" s="99"/>
      <c r="O181" s="99"/>
      <c r="P181" s="99"/>
      <c r="Q181" s="99"/>
      <c r="R181" s="99"/>
      <c r="T181" s="99"/>
      <c r="U181" s="99"/>
      <c r="V181" s="99"/>
      <c r="W181" s="99"/>
      <c r="X181" s="99"/>
      <c r="Z181">
        <f>SUMIF(adj!$C$2:$C$1127,$A181,adj!E$2:E$1127)</f>
        <v>0</v>
      </c>
      <c r="AA181">
        <f>SUMIF(adj!$C$2:$C$1127,$A181,adj!F$2:F$1127)</f>
        <v>0</v>
      </c>
      <c r="AB181">
        <f>SUMIF(adj!$C$2:$C$1127,$A181,adj!G$2:G$1127)</f>
        <v>0</v>
      </c>
      <c r="AC181">
        <f>SUMIF(adj!$C$2:$C$1127,$A181,adj!H$2:H$1127)</f>
        <v>0</v>
      </c>
      <c r="AD181">
        <f>SUMIF(adj!$C$2:$C$1127,$A181,adj!I$2:I$1127)</f>
        <v>0</v>
      </c>
    </row>
    <row r="182" spans="1:30">
      <c r="A182" s="573">
        <v>143.1</v>
      </c>
      <c r="B182" t="s">
        <v>1274</v>
      </c>
      <c r="C182" t="s">
        <v>3414</v>
      </c>
      <c r="D182" s="445">
        <v>0</v>
      </c>
      <c r="E182" s="505">
        <f t="shared" si="50"/>
        <v>0</v>
      </c>
      <c r="F182" s="505">
        <f t="shared" si="50"/>
        <v>0</v>
      </c>
      <c r="G182" s="505">
        <f t="shared" si="50"/>
        <v>0</v>
      </c>
      <c r="H182" s="505">
        <f t="shared" si="50"/>
        <v>0</v>
      </c>
      <c r="I182" s="505">
        <f t="shared" si="50"/>
        <v>0</v>
      </c>
      <c r="J182" t="s">
        <v>1275</v>
      </c>
      <c r="L182" s="10"/>
      <c r="N182" s="99"/>
      <c r="O182" s="99"/>
      <c r="P182" s="99"/>
      <c r="Q182" s="99"/>
      <c r="R182" s="99"/>
      <c r="T182" s="99"/>
      <c r="U182" s="99"/>
      <c r="V182" s="99"/>
      <c r="W182" s="99"/>
      <c r="X182" s="99"/>
      <c r="Z182">
        <f>SUMIF(adj!$C$2:$C$1127,$A182,adj!E$2:E$1127)</f>
        <v>0</v>
      </c>
      <c r="AA182">
        <f>SUMIF(adj!$C$2:$C$1127,$A182,adj!F$2:F$1127)</f>
        <v>0</v>
      </c>
      <c r="AB182">
        <f>SUMIF(adj!$C$2:$C$1127,$A182,adj!G$2:G$1127)</f>
        <v>0</v>
      </c>
      <c r="AC182">
        <f>SUMIF(adj!$C$2:$C$1127,$A182,adj!H$2:H$1127)</f>
        <v>0</v>
      </c>
      <c r="AD182">
        <f>SUMIF(adj!$C$2:$C$1127,$A182,adj!I$2:I$1127)</f>
        <v>0</v>
      </c>
    </row>
    <row r="183" spans="1:30">
      <c r="A183" s="573">
        <v>144</v>
      </c>
      <c r="B183" s="2" t="str">
        <f>DataNamePlant2 &amp; " Parameters"</f>
        <v>Plant 2 Parameters</v>
      </c>
      <c r="D183" s="16"/>
      <c r="E183" s="16"/>
      <c r="F183" s="16"/>
      <c r="G183" s="16"/>
      <c r="H183" s="16"/>
      <c r="I183" s="16"/>
      <c r="L183" s="10"/>
      <c r="N183" s="99"/>
      <c r="O183" s="99"/>
      <c r="P183" s="99"/>
      <c r="Q183" s="99"/>
      <c r="R183" s="99"/>
      <c r="T183" s="99"/>
      <c r="U183" s="99"/>
      <c r="V183" s="99"/>
      <c r="W183" s="99"/>
      <c r="X183" s="99"/>
      <c r="Z183">
        <f>SUMIF(adj!$C$2:$C$1127,$A183,adj!E$2:E$1127)</f>
        <v>0</v>
      </c>
      <c r="AA183">
        <f>SUMIF(adj!$C$2:$C$1127,$A183,adj!F$2:F$1127)</f>
        <v>0</v>
      </c>
      <c r="AB183">
        <f>SUMIF(adj!$C$2:$C$1127,$A183,adj!G$2:G$1127)</f>
        <v>0</v>
      </c>
      <c r="AC183">
        <f>SUMIF(adj!$C$2:$C$1127,$A183,adj!H$2:H$1127)</f>
        <v>0</v>
      </c>
      <c r="AD183">
        <f>SUMIF(adj!$C$2:$C$1127,$A183,adj!I$2:I$1127)</f>
        <v>0</v>
      </c>
    </row>
    <row r="184" spans="1:30">
      <c r="A184" s="573">
        <v>145</v>
      </c>
      <c r="B184" t="str">
        <f>DataNamePlant2 &amp; " Revenues Per Unit Sold"</f>
        <v>Plant 2 Revenues Per Unit Sold</v>
      </c>
      <c r="C184" t="s">
        <v>1483</v>
      </c>
      <c r="D184" s="16"/>
      <c r="E184" s="16"/>
      <c r="F184" s="16"/>
      <c r="G184" s="16"/>
      <c r="H184" s="16"/>
      <c r="I184" s="16"/>
      <c r="J184" t="s">
        <v>3944</v>
      </c>
      <c r="L184" s="10"/>
      <c r="N184" s="99"/>
      <c r="O184" s="99"/>
      <c r="P184" s="99"/>
      <c r="Q184" s="99"/>
      <c r="R184" s="99"/>
      <c r="T184" s="99"/>
      <c r="U184" s="99"/>
      <c r="V184" s="99"/>
      <c r="W184" s="99"/>
      <c r="X184" s="99"/>
      <c r="Z184">
        <f>SUMIF(adj!$C$2:$C$1127,$A184,adj!E$2:E$1127)</f>
        <v>0</v>
      </c>
      <c r="AA184">
        <f>SUMIF(adj!$C$2:$C$1127,$A184,adj!F$2:F$1127)</f>
        <v>0</v>
      </c>
      <c r="AB184">
        <f>SUMIF(adj!$C$2:$C$1127,$A184,adj!G$2:G$1127)</f>
        <v>0</v>
      </c>
      <c r="AC184">
        <f>SUMIF(adj!$C$2:$C$1127,$A184,adj!H$2:H$1127)</f>
        <v>0</v>
      </c>
      <c r="AD184">
        <f>SUMIF(adj!$C$2:$C$1127,$A184,adj!I$2:I$1127)</f>
        <v>0</v>
      </c>
    </row>
    <row r="185" spans="1:30">
      <c r="A185" s="573">
        <v>146</v>
      </c>
      <c r="B185" t="str">
        <f>DataNamePlant2&amp;" Investment Cost Per Unit"</f>
        <v>Plant 2 Investment Cost Per Unit</v>
      </c>
      <c r="C185" t="s">
        <v>1483</v>
      </c>
      <c r="D185" s="16"/>
      <c r="E185" s="16"/>
      <c r="F185" s="16"/>
      <c r="G185" s="16"/>
      <c r="H185" s="16"/>
      <c r="I185" s="16"/>
      <c r="J185" t="s">
        <v>3945</v>
      </c>
      <c r="L185" s="10"/>
      <c r="N185" s="99"/>
      <c r="O185" s="99"/>
      <c r="P185" s="99"/>
      <c r="Q185" s="99"/>
      <c r="R185" s="99"/>
      <c r="T185" s="99"/>
      <c r="U185" s="99"/>
      <c r="V185" s="99"/>
      <c r="W185" s="99"/>
      <c r="X185" s="99"/>
      <c r="Z185">
        <f>SUMIF(adj!$C$2:$C$1127,$A185,adj!E$2:E$1127)</f>
        <v>0</v>
      </c>
      <c r="AA185">
        <f>SUMIF(adj!$C$2:$C$1127,$A185,adj!F$2:F$1127)</f>
        <v>0</v>
      </c>
      <c r="AB185">
        <f>SUMIF(adj!$C$2:$C$1127,$A185,adj!G$2:G$1127)</f>
        <v>0</v>
      </c>
      <c r="AC185">
        <f>SUMIF(adj!$C$2:$C$1127,$A185,adj!H$2:H$1127)</f>
        <v>0</v>
      </c>
      <c r="AD185">
        <f>SUMIF(adj!$C$2:$C$1127,$A185,adj!I$2:I$1127)</f>
        <v>0</v>
      </c>
    </row>
    <row r="186" spans="1:30">
      <c r="A186" s="573">
        <v>147</v>
      </c>
      <c r="B186" t="str">
        <f>DataNamePlant2 &amp; " Machine Hours Per Unit"</f>
        <v>Plant 2 Machine Hours Per Unit</v>
      </c>
      <c r="C186" t="s">
        <v>1483</v>
      </c>
      <c r="D186" s="10"/>
      <c r="E186" s="10"/>
      <c r="F186" s="10"/>
      <c r="G186" s="10"/>
      <c r="H186" s="10"/>
      <c r="I186" s="10"/>
      <c r="J186" t="s">
        <v>335</v>
      </c>
      <c r="L186" s="10"/>
      <c r="N186" s="99"/>
      <c r="O186" s="99"/>
      <c r="P186" s="99"/>
      <c r="Q186" s="99"/>
      <c r="R186" s="99"/>
      <c r="T186" s="99"/>
      <c r="U186" s="99"/>
      <c r="V186" s="99"/>
      <c r="W186" s="99"/>
      <c r="X186" s="99"/>
      <c r="Z186">
        <f>SUMIF(adj!$C$2:$C$1127,$A186,adj!E$2:E$1127)</f>
        <v>0</v>
      </c>
      <c r="AA186">
        <f>SUMIF(adj!$C$2:$C$1127,$A186,adj!F$2:F$1127)</f>
        <v>0</v>
      </c>
      <c r="AB186">
        <f>SUMIF(adj!$C$2:$C$1127,$A186,adj!G$2:G$1127)</f>
        <v>0</v>
      </c>
      <c r="AC186">
        <f>SUMIF(adj!$C$2:$C$1127,$A186,adj!H$2:H$1127)</f>
        <v>0</v>
      </c>
      <c r="AD186">
        <f>SUMIF(adj!$C$2:$C$1127,$A186,adj!I$2:I$1127)</f>
        <v>0</v>
      </c>
    </row>
    <row r="187" spans="1:30">
      <c r="A187" s="573">
        <v>148</v>
      </c>
      <c r="B187" t="str">
        <f>DataNamePlant2 &amp; " Machinery Cost Per Hour"</f>
        <v>Plant 2 Machinery Cost Per Hour</v>
      </c>
      <c r="C187" t="s">
        <v>1483</v>
      </c>
      <c r="D187" s="12"/>
      <c r="E187" s="12"/>
      <c r="F187" s="12"/>
      <c r="G187" s="12"/>
      <c r="H187" s="12"/>
      <c r="I187" s="12"/>
      <c r="J187" t="s">
        <v>336</v>
      </c>
      <c r="L187" s="10"/>
      <c r="N187" s="99"/>
      <c r="O187" s="99"/>
      <c r="P187" s="99"/>
      <c r="Q187" s="99"/>
      <c r="R187" s="99"/>
      <c r="T187" s="99"/>
      <c r="U187" s="99"/>
      <c r="V187" s="99"/>
      <c r="W187" s="99"/>
      <c r="X187" s="99"/>
      <c r="Z187">
        <f>SUMIF(adj!$C$2:$C$1127,$A187,adj!E$2:E$1127)</f>
        <v>0</v>
      </c>
      <c r="AA187">
        <f>SUMIF(adj!$C$2:$C$1127,$A187,adj!F$2:F$1127)</f>
        <v>0</v>
      </c>
      <c r="AB187">
        <f>SUMIF(adj!$C$2:$C$1127,$A187,adj!G$2:G$1127)</f>
        <v>0</v>
      </c>
      <c r="AC187">
        <f>SUMIF(adj!$C$2:$C$1127,$A187,adj!H$2:H$1127)</f>
        <v>0</v>
      </c>
      <c r="AD187">
        <f>SUMIF(adj!$C$2:$C$1127,$A187,adj!I$2:I$1127)</f>
        <v>0</v>
      </c>
    </row>
    <row r="188" spans="1:30">
      <c r="A188" s="573">
        <v>149</v>
      </c>
      <c r="B188" t="str">
        <f>DataNamePlant2 &amp; " Deprecation Rate"</f>
        <v>Plant 2 Deprecation Rate</v>
      </c>
      <c r="C188" t="s">
        <v>1483</v>
      </c>
      <c r="D188" s="12"/>
      <c r="E188" s="15"/>
      <c r="F188" s="15"/>
      <c r="G188" s="15"/>
      <c r="H188" s="15"/>
      <c r="I188" s="15"/>
      <c r="J188" t="s">
        <v>337</v>
      </c>
      <c r="L188" s="10"/>
      <c r="N188" s="99"/>
      <c r="O188" s="99"/>
      <c r="P188" s="99"/>
      <c r="Q188" s="99"/>
      <c r="R188" s="99"/>
      <c r="T188" s="99"/>
      <c r="U188" s="99"/>
      <c r="V188" s="99"/>
      <c r="W188" s="99"/>
      <c r="X188" s="99"/>
      <c r="Z188">
        <f>SUMIF(adj!$C$2:$C$1127,$A188,adj!E$2:E$1127)</f>
        <v>0</v>
      </c>
      <c r="AA188">
        <f>SUMIF(adj!$C$2:$C$1127,$A188,adj!F$2:F$1127)</f>
        <v>0</v>
      </c>
      <c r="AB188">
        <f>SUMIF(adj!$C$2:$C$1127,$A188,adj!G$2:G$1127)</f>
        <v>0</v>
      </c>
      <c r="AC188">
        <f>SUMIF(adj!$C$2:$C$1127,$A188,adj!H$2:H$1127)</f>
        <v>0</v>
      </c>
      <c r="AD188">
        <f>SUMIF(adj!$C$2:$C$1127,$A188,adj!I$2:I$1127)</f>
        <v>0</v>
      </c>
    </row>
    <row r="189" spans="1:30">
      <c r="A189" s="573">
        <v>150</v>
      </c>
      <c r="D189" s="12"/>
      <c r="E189" s="15"/>
      <c r="F189" s="15"/>
      <c r="G189" s="15"/>
      <c r="H189" s="15"/>
      <c r="I189" s="15"/>
      <c r="L189" s="10"/>
      <c r="N189" s="99"/>
      <c r="O189" s="99"/>
      <c r="P189" s="99"/>
      <c r="Q189" s="99"/>
      <c r="R189" s="99"/>
      <c r="T189" s="99"/>
      <c r="U189" s="99"/>
      <c r="V189" s="99"/>
      <c r="W189" s="99"/>
      <c r="X189" s="99"/>
      <c r="Z189">
        <f>SUMIF(adj!$C$2:$C$1127,$A189,adj!E$2:E$1127)</f>
        <v>0</v>
      </c>
      <c r="AA189">
        <f>SUMIF(adj!$C$2:$C$1127,$A189,adj!F$2:F$1127)</f>
        <v>0</v>
      </c>
      <c r="AB189">
        <f>SUMIF(adj!$C$2:$C$1127,$A189,adj!G$2:G$1127)</f>
        <v>0</v>
      </c>
      <c r="AC189">
        <f>SUMIF(adj!$C$2:$C$1127,$A189,adj!H$2:H$1127)</f>
        <v>0</v>
      </c>
      <c r="AD189">
        <f>SUMIF(adj!$C$2:$C$1127,$A189,adj!I$2:I$1127)</f>
        <v>0</v>
      </c>
    </row>
    <row r="190" spans="1:30">
      <c r="A190" s="573">
        <v>151</v>
      </c>
      <c r="B190" s="2" t="s">
        <v>2309</v>
      </c>
      <c r="L190" s="10"/>
      <c r="N190" s="99"/>
      <c r="O190" s="99"/>
      <c r="P190" s="99"/>
      <c r="Q190" s="99"/>
      <c r="R190" s="99"/>
      <c r="T190" s="99"/>
      <c r="U190" s="99"/>
      <c r="V190" s="99"/>
      <c r="W190" s="99"/>
      <c r="X190" s="99"/>
      <c r="Z190">
        <f>SUMIF(adj!$C$2:$C$1127,$A190,adj!E$2:E$1127)</f>
        <v>0</v>
      </c>
      <c r="AA190">
        <f>SUMIF(adj!$C$2:$C$1127,$A190,adj!F$2:F$1127)</f>
        <v>0</v>
      </c>
      <c r="AB190">
        <f>SUMIF(adj!$C$2:$C$1127,$A190,adj!G$2:G$1127)</f>
        <v>0</v>
      </c>
      <c r="AC190">
        <f>SUMIF(adj!$C$2:$C$1127,$A190,adj!H$2:H$1127)</f>
        <v>0</v>
      </c>
      <c r="AD190">
        <f>SUMIF(adj!$C$2:$C$1127,$A190,adj!I$2:I$1127)</f>
        <v>0</v>
      </c>
    </row>
    <row r="191" spans="1:30">
      <c r="A191" s="573">
        <v>152</v>
      </c>
      <c r="B191" t="s">
        <v>2310</v>
      </c>
      <c r="C191" t="s">
        <v>1483</v>
      </c>
      <c r="D191" s="12">
        <v>0.25</v>
      </c>
      <c r="E191" s="12">
        <f t="shared" ref="E191:E219" si="51">$D191*(1+T191+Z191*($C191="R"))+N191+Z191*($C191="A")</f>
        <v>0.25</v>
      </c>
      <c r="F191" s="12">
        <f t="shared" ref="F191:F200" si="52">$D191*(1+U191+AA191*($C191="R"))+O191+AA191*($C191="A")</f>
        <v>0.25</v>
      </c>
      <c r="G191" s="12">
        <f t="shared" ref="G191:G219" si="53">$D191*(1+V191+AB191*($C191="R"))+P191+AB191*($C191="A")</f>
        <v>0.25</v>
      </c>
      <c r="H191" s="12">
        <f t="shared" ref="H191:H219" si="54">$D191*(1+W191+AC191*($C191="R"))+Q191+AC191*($C191="A")</f>
        <v>0.25</v>
      </c>
      <c r="I191" s="12">
        <f t="shared" ref="I191:I219" si="55">$D191*(1+X191+AD191*($C191="R"))+R191+AD191*($C191="A")</f>
        <v>0.25</v>
      </c>
      <c r="J191" t="s">
        <v>1099</v>
      </c>
      <c r="L191" s="10"/>
      <c r="N191" s="99"/>
      <c r="O191" s="99"/>
      <c r="P191" s="99"/>
      <c r="Q191" s="99"/>
      <c r="R191" s="99"/>
      <c r="T191" s="99"/>
      <c r="U191" s="99"/>
      <c r="V191" s="99"/>
      <c r="W191" s="99"/>
      <c r="X191" s="99"/>
      <c r="Z191">
        <f>SUMIF(adj!$C$2:$C$1127,$A191,adj!E$2:E$1127)</f>
        <v>0</v>
      </c>
      <c r="AA191">
        <f>SUMIF(adj!$C$2:$C$1127,$A191,adj!F$2:F$1127)</f>
        <v>0</v>
      </c>
      <c r="AB191">
        <f>SUMIF(adj!$C$2:$C$1127,$A191,adj!G$2:G$1127)</f>
        <v>0</v>
      </c>
      <c r="AC191">
        <f>SUMIF(adj!$C$2:$C$1127,$A191,adj!H$2:H$1127)</f>
        <v>0</v>
      </c>
      <c r="AD191">
        <f>SUMIF(adj!$C$2:$C$1127,$A191,adj!I$2:I$1127)</f>
        <v>0</v>
      </c>
    </row>
    <row r="192" spans="1:30">
      <c r="A192" s="573">
        <v>153</v>
      </c>
      <c r="B192" t="s">
        <v>2865</v>
      </c>
      <c r="C192" t="s">
        <v>1483</v>
      </c>
      <c r="D192" s="12">
        <v>0.1</v>
      </c>
      <c r="E192" s="12">
        <f t="shared" si="51"/>
        <v>0.1</v>
      </c>
      <c r="F192" s="12">
        <f t="shared" si="52"/>
        <v>0.1</v>
      </c>
      <c r="G192" s="12">
        <f t="shared" si="53"/>
        <v>0.1</v>
      </c>
      <c r="H192" s="12">
        <f t="shared" si="54"/>
        <v>0.1</v>
      </c>
      <c r="I192" s="12">
        <f t="shared" si="55"/>
        <v>0.1</v>
      </c>
      <c r="J192" t="s">
        <v>3908</v>
      </c>
      <c r="L192" s="10"/>
      <c r="N192" s="99"/>
      <c r="O192" s="99"/>
      <c r="P192" s="99"/>
      <c r="Q192" s="99"/>
      <c r="R192" s="99"/>
      <c r="T192" s="99"/>
      <c r="U192" s="99"/>
      <c r="V192" s="99"/>
      <c r="W192" s="99"/>
      <c r="X192" s="99"/>
      <c r="Z192">
        <f>SUMIF(adj!$C$2:$C$1127,$A192,adj!E$2:E$1127)</f>
        <v>0</v>
      </c>
      <c r="AA192">
        <f>SUMIF(adj!$C$2:$C$1127,$A192,adj!F$2:F$1127)</f>
        <v>0</v>
      </c>
      <c r="AB192">
        <f>SUMIF(adj!$C$2:$C$1127,$A192,adj!G$2:G$1127)</f>
        <v>0</v>
      </c>
      <c r="AC192">
        <f>SUMIF(adj!$C$2:$C$1127,$A192,adj!H$2:H$1127)</f>
        <v>0</v>
      </c>
      <c r="AD192">
        <f>SUMIF(adj!$C$2:$C$1127,$A192,adj!I$2:I$1127)</f>
        <v>0</v>
      </c>
    </row>
    <row r="193" spans="1:30">
      <c r="A193" s="573">
        <v>154</v>
      </c>
      <c r="B193" t="s">
        <v>1097</v>
      </c>
      <c r="C193" t="s">
        <v>1483</v>
      </c>
      <c r="D193" s="12">
        <v>0.12</v>
      </c>
      <c r="E193" s="12">
        <f t="shared" si="51"/>
        <v>0.12</v>
      </c>
      <c r="F193" s="12">
        <f t="shared" si="52"/>
        <v>0.12</v>
      </c>
      <c r="G193" s="12">
        <f t="shared" si="53"/>
        <v>0.12</v>
      </c>
      <c r="H193" s="12">
        <f t="shared" si="54"/>
        <v>0.12</v>
      </c>
      <c r="I193" s="12">
        <f t="shared" si="55"/>
        <v>0.12</v>
      </c>
      <c r="J193" t="s">
        <v>1098</v>
      </c>
      <c r="L193" s="10"/>
      <c r="N193" s="99"/>
      <c r="O193" s="99"/>
      <c r="P193" s="99"/>
      <c r="Q193" s="99"/>
      <c r="R193" s="99"/>
      <c r="T193" s="99"/>
      <c r="U193" s="99"/>
      <c r="V193" s="99"/>
      <c r="W193" s="99"/>
      <c r="X193" s="99"/>
      <c r="Z193">
        <f>SUMIF(adj!$C$2:$C$1127,$A193,adj!E$2:E$1127)</f>
        <v>0</v>
      </c>
      <c r="AA193">
        <f>SUMIF(adj!$C$2:$C$1127,$A193,adj!F$2:F$1127)</f>
        <v>0</v>
      </c>
      <c r="AB193">
        <f>SUMIF(adj!$C$2:$C$1127,$A193,adj!G$2:G$1127)</f>
        <v>0</v>
      </c>
      <c r="AC193">
        <f>SUMIF(adj!$C$2:$C$1127,$A193,adj!H$2:H$1127)</f>
        <v>0</v>
      </c>
      <c r="AD193">
        <f>SUMIF(adj!$C$2:$C$1127,$A193,adj!I$2:I$1127)</f>
        <v>0</v>
      </c>
    </row>
    <row r="194" spans="1:30">
      <c r="A194" s="573">
        <v>155</v>
      </c>
      <c r="B194" t="s">
        <v>1471</v>
      </c>
      <c r="C194" t="s">
        <v>1483</v>
      </c>
      <c r="D194" s="12">
        <v>0.37</v>
      </c>
      <c r="E194" s="12">
        <f t="shared" si="51"/>
        <v>0.37</v>
      </c>
      <c r="F194" s="12">
        <f t="shared" si="52"/>
        <v>0.37</v>
      </c>
      <c r="G194" s="12">
        <f t="shared" si="53"/>
        <v>0.37</v>
      </c>
      <c r="H194" s="12">
        <f t="shared" si="54"/>
        <v>0.37</v>
      </c>
      <c r="I194" s="12">
        <f t="shared" si="55"/>
        <v>0.37</v>
      </c>
      <c r="J194" t="s">
        <v>3896</v>
      </c>
      <c r="L194" s="10"/>
      <c r="N194" s="99"/>
      <c r="O194" s="99"/>
      <c r="P194" s="99"/>
      <c r="Q194" s="99"/>
      <c r="R194" s="99"/>
      <c r="T194" s="99"/>
      <c r="U194" s="99"/>
      <c r="V194" s="99"/>
      <c r="W194" s="99"/>
      <c r="X194" s="99"/>
      <c r="Z194">
        <f>SUMIF(adj!$C$2:$C$1127,$A194,adj!E$2:E$1127)</f>
        <v>0</v>
      </c>
      <c r="AA194">
        <f>SUMIF(adj!$C$2:$C$1127,$A194,adj!F$2:F$1127)</f>
        <v>0</v>
      </c>
      <c r="AB194">
        <f>SUMIF(adj!$C$2:$C$1127,$A194,adj!G$2:G$1127)</f>
        <v>0</v>
      </c>
      <c r="AC194">
        <f>SUMIF(adj!$C$2:$C$1127,$A194,adj!H$2:H$1127)</f>
        <v>0</v>
      </c>
      <c r="AD194">
        <f>SUMIF(adj!$C$2:$C$1127,$A194,adj!I$2:I$1127)</f>
        <v>0</v>
      </c>
    </row>
    <row r="195" spans="1:30">
      <c r="A195" s="573">
        <v>156</v>
      </c>
      <c r="B195" t="s">
        <v>3779</v>
      </c>
      <c r="C195" t="s">
        <v>1483</v>
      </c>
      <c r="D195" s="10">
        <v>60</v>
      </c>
      <c r="E195" s="10">
        <f t="shared" si="51"/>
        <v>60</v>
      </c>
      <c r="F195" s="10">
        <f t="shared" si="52"/>
        <v>60</v>
      </c>
      <c r="G195" s="10">
        <f t="shared" si="53"/>
        <v>60</v>
      </c>
      <c r="H195" s="10">
        <f t="shared" si="54"/>
        <v>60</v>
      </c>
      <c r="I195" s="10">
        <f t="shared" si="55"/>
        <v>60</v>
      </c>
      <c r="J195" t="s">
        <v>3509</v>
      </c>
      <c r="L195" s="10"/>
      <c r="N195" s="99"/>
      <c r="O195" s="99"/>
      <c r="P195" s="99"/>
      <c r="Q195" s="99"/>
      <c r="R195" s="99"/>
      <c r="T195" s="99"/>
      <c r="U195" s="99"/>
      <c r="V195" s="99"/>
      <c r="W195" s="99"/>
      <c r="X195" s="99"/>
      <c r="Z195">
        <f>SUMIF(adj!$C$2:$C$1127,$A195,adj!E$2:E$1127)</f>
        <v>0</v>
      </c>
      <c r="AA195">
        <f>SUMIF(adj!$C$2:$C$1127,$A195,adj!F$2:F$1127)</f>
        <v>0</v>
      </c>
      <c r="AB195">
        <f>SUMIF(adj!$C$2:$C$1127,$A195,adj!G$2:G$1127)</f>
        <v>0</v>
      </c>
      <c r="AC195">
        <f>SUMIF(adj!$C$2:$C$1127,$A195,adj!H$2:H$1127)</f>
        <v>0</v>
      </c>
      <c r="AD195">
        <f>SUMIF(adj!$C$2:$C$1127,$A195,adj!I$2:I$1127)</f>
        <v>0</v>
      </c>
    </row>
    <row r="196" spans="1:30">
      <c r="A196" s="573">
        <v>156.1</v>
      </c>
      <c r="B196" t="s">
        <v>3508</v>
      </c>
      <c r="C196" t="s">
        <v>1483</v>
      </c>
      <c r="D196" s="10">
        <v>60</v>
      </c>
      <c r="E196" s="10">
        <f>$D196*(1+T196+Z196*($C196="R"))+N196+Z196*($C196="A")</f>
        <v>60</v>
      </c>
      <c r="F196" s="10">
        <f t="shared" si="52"/>
        <v>60</v>
      </c>
      <c r="G196" s="10">
        <f>$D196*(1+V196+AB196*($C196="R"))+P196+AB196*($C196="A")</f>
        <v>60</v>
      </c>
      <c r="H196" s="10">
        <f>$D196*(1+W196+AC196*($C196="R"))+Q196+AC196*($C196="A")</f>
        <v>60</v>
      </c>
      <c r="I196" s="10">
        <f>$D196*(1+X196+AD196*($C196="R"))+R196+AD196*($C196="A")</f>
        <v>60</v>
      </c>
      <c r="J196" t="s">
        <v>3510</v>
      </c>
      <c r="L196" s="10"/>
      <c r="N196" s="99"/>
      <c r="O196" s="99"/>
      <c r="P196" s="99"/>
      <c r="Q196" s="99"/>
      <c r="R196" s="99"/>
      <c r="T196" s="99"/>
      <c r="U196" s="99"/>
      <c r="V196" s="99"/>
      <c r="W196" s="99"/>
      <c r="X196" s="99"/>
      <c r="Z196">
        <f>SUMIF(adj!$C$2:$C$1127,$A196,adj!E$2:E$1127)</f>
        <v>0</v>
      </c>
      <c r="AA196">
        <f>SUMIF(adj!$C$2:$C$1127,$A196,adj!F$2:F$1127)</f>
        <v>0</v>
      </c>
      <c r="AB196">
        <f>SUMIF(adj!$C$2:$C$1127,$A196,adj!G$2:G$1127)</f>
        <v>0</v>
      </c>
      <c r="AC196">
        <f>SUMIF(adj!$C$2:$C$1127,$A196,adj!H$2:H$1127)</f>
        <v>0</v>
      </c>
      <c r="AD196">
        <f>SUMIF(adj!$C$2:$C$1127,$A196,adj!I$2:I$1127)</f>
        <v>0</v>
      </c>
    </row>
    <row r="197" spans="1:30">
      <c r="A197" s="573">
        <v>157</v>
      </c>
      <c r="B197" t="s">
        <v>1987</v>
      </c>
      <c r="C197" t="s">
        <v>1483</v>
      </c>
      <c r="D197" s="10">
        <v>45</v>
      </c>
      <c r="E197" s="10">
        <f t="shared" si="51"/>
        <v>45</v>
      </c>
      <c r="F197" s="10">
        <f t="shared" si="52"/>
        <v>45</v>
      </c>
      <c r="G197" s="10">
        <f t="shared" si="53"/>
        <v>45</v>
      </c>
      <c r="H197" s="10">
        <f t="shared" si="54"/>
        <v>45</v>
      </c>
      <c r="I197" s="10">
        <f t="shared" si="55"/>
        <v>45</v>
      </c>
      <c r="J197" t="s">
        <v>57</v>
      </c>
      <c r="L197" s="10"/>
      <c r="N197" s="99"/>
      <c r="O197" s="99"/>
      <c r="P197" s="99"/>
      <c r="Q197" s="99"/>
      <c r="R197" s="99"/>
      <c r="T197" s="99"/>
      <c r="U197" s="99"/>
      <c r="V197" s="99"/>
      <c r="W197" s="99"/>
      <c r="X197" s="99"/>
      <c r="Z197">
        <f>SUMIF(adj!$C$2:$C$1127,$A197,adj!E$2:E$1127)</f>
        <v>0</v>
      </c>
      <c r="AA197">
        <f>SUMIF(adj!$C$2:$C$1127,$A197,adj!F$2:F$1127)</f>
        <v>0</v>
      </c>
      <c r="AB197">
        <f>SUMIF(adj!$C$2:$C$1127,$A197,adj!G$2:G$1127)</f>
        <v>0</v>
      </c>
      <c r="AC197">
        <f>SUMIF(adj!$C$2:$C$1127,$A197,adj!H$2:H$1127)</f>
        <v>0</v>
      </c>
      <c r="AD197">
        <f>SUMIF(adj!$C$2:$C$1127,$A197,adj!I$2:I$1127)</f>
        <v>0</v>
      </c>
    </row>
    <row r="198" spans="1:30">
      <c r="A198" s="573">
        <v>158</v>
      </c>
      <c r="B198" t="s">
        <v>2099</v>
      </c>
      <c r="C198" t="s">
        <v>1483</v>
      </c>
      <c r="D198" s="10">
        <v>360</v>
      </c>
      <c r="E198" s="10">
        <f>$D198*(1+T198+Z198*($C198="R"))+N198+Z198*($C198="A")</f>
        <v>360</v>
      </c>
      <c r="F198" s="10">
        <f t="shared" si="52"/>
        <v>360</v>
      </c>
      <c r="G198" s="10">
        <f>$D198*(1+V198+AB198*($C198="R"))+P198+AB198*($C198="A")</f>
        <v>360</v>
      </c>
      <c r="H198" s="10">
        <f>$D198*(1+W198+AC198*($C198="R"))+Q198+AC198*($C198="A")</f>
        <v>360</v>
      </c>
      <c r="I198" s="10">
        <f>$D198*(1+X198+AD198*($C198="R"))+R198+AD198*($C198="A")</f>
        <v>360</v>
      </c>
      <c r="J198" t="s">
        <v>2100</v>
      </c>
      <c r="L198" s="10"/>
      <c r="N198" s="99"/>
      <c r="O198" s="99"/>
      <c r="P198" s="99"/>
      <c r="Q198" s="99"/>
      <c r="R198" s="99"/>
      <c r="T198" s="99"/>
      <c r="U198" s="99"/>
      <c r="V198" s="99"/>
      <c r="W198" s="99"/>
      <c r="X198" s="99"/>
      <c r="Z198">
        <f>SUMIF(adj!$C$2:$C$1127,$A198,adj!E$2:E$1127)</f>
        <v>0</v>
      </c>
      <c r="AA198">
        <f>SUMIF(adj!$C$2:$C$1127,$A198,adj!F$2:F$1127)</f>
        <v>0</v>
      </c>
      <c r="AB198">
        <f>SUMIF(adj!$C$2:$C$1127,$A198,adj!G$2:G$1127)</f>
        <v>0</v>
      </c>
      <c r="AC198">
        <f>SUMIF(adj!$C$2:$C$1127,$A198,adj!H$2:H$1127)</f>
        <v>0</v>
      </c>
      <c r="AD198">
        <f>SUMIF(adj!$C$2:$C$1127,$A198,adj!I$2:I$1127)</f>
        <v>0</v>
      </c>
    </row>
    <row r="199" spans="1:30">
      <c r="A199" s="573">
        <v>159</v>
      </c>
      <c r="B199" t="s">
        <v>1094</v>
      </c>
      <c r="C199" t="s">
        <v>1483</v>
      </c>
      <c r="D199" s="12">
        <v>0.1</v>
      </c>
      <c r="E199" s="15">
        <f t="shared" si="51"/>
        <v>0.1</v>
      </c>
      <c r="F199" s="15">
        <f t="shared" si="52"/>
        <v>0.1</v>
      </c>
      <c r="G199" s="15">
        <f t="shared" si="53"/>
        <v>0.1</v>
      </c>
      <c r="H199" s="15">
        <f t="shared" si="54"/>
        <v>0.1</v>
      </c>
      <c r="I199" s="15">
        <f t="shared" si="55"/>
        <v>0.1</v>
      </c>
      <c r="J199" t="s">
        <v>1095</v>
      </c>
      <c r="L199" s="10"/>
      <c r="N199" s="99"/>
      <c r="O199" s="99"/>
      <c r="P199" s="99"/>
      <c r="Q199" s="99"/>
      <c r="R199" s="99"/>
      <c r="T199" s="99"/>
      <c r="U199" s="99"/>
      <c r="V199" s="99"/>
      <c r="W199" s="99"/>
      <c r="X199" s="99"/>
      <c r="Z199">
        <f>SUMIF(adj!$C$2:$C$1127,$A199,adj!E$2:E$1127)</f>
        <v>0</v>
      </c>
      <c r="AA199">
        <f>SUMIF(adj!$C$2:$C$1127,$A199,adj!F$2:F$1127)</f>
        <v>0</v>
      </c>
      <c r="AB199">
        <f>SUMIF(adj!$C$2:$C$1127,$A199,adj!G$2:G$1127)</f>
        <v>0</v>
      </c>
      <c r="AC199">
        <f>SUMIF(adj!$C$2:$C$1127,$A199,adj!H$2:H$1127)</f>
        <v>0</v>
      </c>
      <c r="AD199">
        <f>SUMIF(adj!$C$2:$C$1127,$A199,adj!I$2:I$1127)</f>
        <v>0</v>
      </c>
    </row>
    <row r="200" spans="1:30">
      <c r="A200" s="573">
        <v>160</v>
      </c>
      <c r="B200" t="s">
        <v>3314</v>
      </c>
      <c r="C200" t="s">
        <v>1483</v>
      </c>
      <c r="D200" s="12">
        <v>1</v>
      </c>
      <c r="E200">
        <f t="shared" si="51"/>
        <v>1</v>
      </c>
      <c r="F200">
        <f t="shared" si="52"/>
        <v>1</v>
      </c>
      <c r="G200">
        <f t="shared" si="53"/>
        <v>1</v>
      </c>
      <c r="H200">
        <f t="shared" si="54"/>
        <v>1</v>
      </c>
      <c r="I200">
        <f t="shared" si="55"/>
        <v>1</v>
      </c>
      <c r="J200" t="s">
        <v>2722</v>
      </c>
      <c r="L200" s="10"/>
      <c r="N200" s="99"/>
      <c r="O200" s="99"/>
      <c r="P200" s="99"/>
      <c r="Q200" s="99"/>
      <c r="R200" s="99"/>
      <c r="T200" s="99"/>
      <c r="U200" s="99"/>
      <c r="V200" s="99"/>
      <c r="W200" s="99"/>
      <c r="X200" s="99"/>
      <c r="Z200">
        <f>SUMIF(adj!$C$2:$C$1127,$A200,adj!E$2:E$1127)</f>
        <v>0</v>
      </c>
      <c r="AA200">
        <f>SUMIF(adj!$C$2:$C$1127,$A200,adj!F$2:F$1127)</f>
        <v>0</v>
      </c>
      <c r="AB200">
        <f>SUMIF(adj!$C$2:$C$1127,$A200,adj!G$2:G$1127)</f>
        <v>0</v>
      </c>
      <c r="AC200">
        <f>SUMIF(adj!$C$2:$C$1127,$A200,adj!H$2:H$1127)</f>
        <v>0</v>
      </c>
      <c r="AD200">
        <f>SUMIF(adj!$C$2:$C$1127,$A200,adj!I$2:I$1127)</f>
        <v>0</v>
      </c>
    </row>
    <row r="201" spans="1:30">
      <c r="A201" s="573">
        <v>162</v>
      </c>
      <c r="B201" t="s">
        <v>3181</v>
      </c>
      <c r="C201" t="s">
        <v>1483</v>
      </c>
      <c r="D201" s="447">
        <v>10000000</v>
      </c>
      <c r="E201" s="398">
        <f t="shared" ref="E201:I202" si="56">$D201*(1+T201+Z201*($C201="R"))+N201+Z201*($C201="A")</f>
        <v>10000000</v>
      </c>
      <c r="F201" s="398">
        <f t="shared" si="56"/>
        <v>10000000</v>
      </c>
      <c r="G201" s="398">
        <f t="shared" si="56"/>
        <v>10000000</v>
      </c>
      <c r="H201" s="398">
        <f t="shared" si="56"/>
        <v>10000000</v>
      </c>
      <c r="I201" s="398">
        <f t="shared" si="56"/>
        <v>10000000</v>
      </c>
      <c r="J201" t="s">
        <v>2873</v>
      </c>
      <c r="L201" s="10"/>
      <c r="N201" s="99"/>
      <c r="O201" s="99"/>
      <c r="P201" s="99"/>
      <c r="Q201" s="99"/>
      <c r="R201" s="99"/>
      <c r="T201" s="99"/>
      <c r="U201" s="99"/>
      <c r="V201" s="99"/>
      <c r="W201" s="99"/>
      <c r="X201" s="99"/>
      <c r="Z201">
        <f>SUMIF(adj!$C$2:$C$1127,$A201,adj!E$2:E$1127)</f>
        <v>0</v>
      </c>
      <c r="AA201">
        <f>SUMIF(adj!$C$2:$C$1127,$A201,adj!F$2:F$1127)</f>
        <v>0</v>
      </c>
      <c r="AB201">
        <f>SUMIF(adj!$C$2:$C$1127,$A201,adj!G$2:G$1127)</f>
        <v>0</v>
      </c>
      <c r="AC201">
        <f>SUMIF(adj!$C$2:$C$1127,$A201,adj!H$2:H$1127)</f>
        <v>0</v>
      </c>
      <c r="AD201">
        <f>SUMIF(adj!$C$2:$C$1127,$A201,adj!I$2:I$1127)</f>
        <v>0</v>
      </c>
    </row>
    <row r="202" spans="1:30">
      <c r="A202" s="573">
        <v>163</v>
      </c>
      <c r="B202" t="s">
        <v>3166</v>
      </c>
      <c r="C202" t="s">
        <v>1483</v>
      </c>
      <c r="D202" s="12">
        <v>0.12</v>
      </c>
      <c r="E202" s="456">
        <f t="shared" si="56"/>
        <v>0.12</v>
      </c>
      <c r="F202" s="456">
        <f t="shared" si="56"/>
        <v>0.12</v>
      </c>
      <c r="G202" s="456">
        <f t="shared" si="56"/>
        <v>0.12</v>
      </c>
      <c r="H202" s="456">
        <f t="shared" si="56"/>
        <v>0.12</v>
      </c>
      <c r="I202" s="456">
        <f t="shared" si="56"/>
        <v>0.12</v>
      </c>
      <c r="J202" t="s">
        <v>463</v>
      </c>
      <c r="L202" s="10"/>
      <c r="N202" s="99"/>
      <c r="O202" s="99"/>
      <c r="P202" s="99"/>
      <c r="Q202" s="99"/>
      <c r="R202" s="99"/>
      <c r="T202" s="99"/>
      <c r="U202" s="99"/>
      <c r="V202" s="99"/>
      <c r="W202" s="99"/>
      <c r="X202" s="99"/>
      <c r="Z202">
        <f>SUMIF(adj!$C$2:$C$1127,$A202,adj!E$2:E$1127)</f>
        <v>0</v>
      </c>
      <c r="AA202">
        <f>SUMIF(adj!$C$2:$C$1127,$A202,adj!F$2:F$1127)</f>
        <v>0</v>
      </c>
      <c r="AB202">
        <f>SUMIF(adj!$C$2:$C$1127,$A202,adj!G$2:G$1127)</f>
        <v>0</v>
      </c>
      <c r="AC202">
        <f>SUMIF(adj!$C$2:$C$1127,$A202,adj!H$2:H$1127)</f>
        <v>0</v>
      </c>
      <c r="AD202">
        <f>SUMIF(adj!$C$2:$C$1127,$A202,adj!I$2:I$1127)</f>
        <v>0</v>
      </c>
    </row>
    <row r="203" spans="1:30">
      <c r="A203" s="573">
        <v>164</v>
      </c>
      <c r="B203" t="s">
        <v>3515</v>
      </c>
      <c r="C203" t="s">
        <v>1483</v>
      </c>
      <c r="D203" s="12">
        <v>0</v>
      </c>
      <c r="E203" s="456">
        <f t="shared" ref="E203:I204" si="57">$D203*(1+T203+Z203*($C203="R"))+N203+Z203*($C203="A")</f>
        <v>0</v>
      </c>
      <c r="F203" s="456">
        <f t="shared" si="57"/>
        <v>0</v>
      </c>
      <c r="G203" s="456">
        <f t="shared" si="57"/>
        <v>0</v>
      </c>
      <c r="H203" s="456">
        <f t="shared" si="57"/>
        <v>0</v>
      </c>
      <c r="I203" s="456">
        <f t="shared" si="57"/>
        <v>0</v>
      </c>
      <c r="J203" t="s">
        <v>1571</v>
      </c>
      <c r="L203" s="10"/>
      <c r="N203" s="99"/>
      <c r="O203" s="99"/>
      <c r="P203" s="99"/>
      <c r="Q203" s="99"/>
      <c r="R203" s="99"/>
      <c r="T203" s="99"/>
      <c r="U203" s="99"/>
      <c r="V203" s="99"/>
      <c r="W203" s="99"/>
      <c r="X203" s="99"/>
      <c r="Z203">
        <f>SUMIF(adj!$C$2:$C$1127,$A203,adj!E$2:E$1127)</f>
        <v>0</v>
      </c>
      <c r="AA203">
        <f>SUMIF(adj!$C$2:$C$1127,$A203,adj!F$2:F$1127)</f>
        <v>0</v>
      </c>
      <c r="AB203">
        <f>SUMIF(adj!$C$2:$C$1127,$A203,adj!G$2:G$1127)</f>
        <v>0</v>
      </c>
      <c r="AC203">
        <f>SUMIF(adj!$C$2:$C$1127,$A203,adj!H$2:H$1127)</f>
        <v>0</v>
      </c>
      <c r="AD203">
        <f>SUMIF(adj!$C$2:$C$1127,$A203,adj!I$2:I$1127)</f>
        <v>0</v>
      </c>
    </row>
    <row r="204" spans="1:30">
      <c r="A204" s="573">
        <v>164.1</v>
      </c>
      <c r="B204" t="s">
        <v>140</v>
      </c>
      <c r="C204" t="s">
        <v>1483</v>
      </c>
      <c r="D204" s="12">
        <v>1</v>
      </c>
      <c r="E204" s="456">
        <f t="shared" si="57"/>
        <v>0.96</v>
      </c>
      <c r="F204" s="456">
        <f t="shared" si="57"/>
        <v>0.96</v>
      </c>
      <c r="G204" s="456">
        <f t="shared" si="57"/>
        <v>0.96</v>
      </c>
      <c r="H204" s="456">
        <f t="shared" si="57"/>
        <v>0.96</v>
      </c>
      <c r="I204" s="456">
        <f t="shared" si="57"/>
        <v>0.96</v>
      </c>
      <c r="J204" t="s">
        <v>141</v>
      </c>
      <c r="L204" s="10"/>
      <c r="N204" s="99"/>
      <c r="O204" s="99"/>
      <c r="P204" s="99"/>
      <c r="Q204" s="99"/>
      <c r="R204" s="99"/>
      <c r="T204" s="99"/>
      <c r="U204" s="99"/>
      <c r="V204" s="99"/>
      <c r="W204" s="99"/>
      <c r="X204" s="99"/>
      <c r="Z204">
        <f>SUMIF(adj!$C$2:$C$1127,$A204,adj!E$2:E$1127)</f>
        <v>-0.04</v>
      </c>
      <c r="AA204">
        <f>SUMIF(adj!$C$2:$C$1127,$A204,adj!F$2:F$1127)</f>
        <v>-0.04</v>
      </c>
      <c r="AB204">
        <f>SUMIF(adj!$C$2:$C$1127,$A204,adj!G$2:G$1127)</f>
        <v>-0.04</v>
      </c>
      <c r="AC204">
        <f>SUMIF(adj!$C$2:$C$1127,$A204,adj!H$2:H$1127)</f>
        <v>-0.04</v>
      </c>
      <c r="AD204">
        <f>SUMIF(adj!$C$2:$C$1127,$A204,adj!I$2:I$1127)</f>
        <v>-0.04</v>
      </c>
    </row>
    <row r="205" spans="1:30">
      <c r="A205" s="573">
        <v>164.2</v>
      </c>
      <c r="B205" t="s">
        <v>1670</v>
      </c>
      <c r="C205" t="s">
        <v>3414</v>
      </c>
      <c r="D205" s="12"/>
      <c r="E205" s="398">
        <f>$D205*(1+T205+Z205*($C205="R"))+N205+Z205*($C205="A")</f>
        <v>0</v>
      </c>
      <c r="F205" s="398">
        <f>$D205*(1+U205+AA205*($C205="R"))+O205+AA205*($C205="A")</f>
        <v>0</v>
      </c>
      <c r="G205" s="398">
        <f>$D205*(1+V205+AB205*($C205="R"))+P205+AB205*($C205="A")</f>
        <v>0</v>
      </c>
      <c r="H205" s="398">
        <f>$D205*(1+W205+AC205*($C205="R"))+Q205+AC205*($C205="A")</f>
        <v>0</v>
      </c>
      <c r="I205" s="398">
        <f>$D205*(1+X205+AD205*($C205="R"))+R205+AD205*($C205="A")</f>
        <v>0</v>
      </c>
      <c r="J205" t="s">
        <v>1673</v>
      </c>
      <c r="L205" s="10"/>
      <c r="N205" s="99"/>
      <c r="O205" s="99"/>
      <c r="P205" s="99"/>
      <c r="Q205" s="99"/>
      <c r="R205" s="99"/>
      <c r="T205" s="99"/>
      <c r="U205" s="99"/>
      <c r="V205" s="99"/>
      <c r="W205" s="99"/>
      <c r="X205" s="99"/>
      <c r="Z205">
        <f>SUMIF(adj!$C$2:$C$1127,$A205,adj!E$2:E$1127)</f>
        <v>0</v>
      </c>
      <c r="AA205">
        <f>SUMIF(adj!$C$2:$C$1127,$A205,adj!F$2:F$1127)</f>
        <v>0</v>
      </c>
      <c r="AB205">
        <f>SUMIF(adj!$C$2:$C$1127,$A205,adj!G$2:G$1127)</f>
        <v>0</v>
      </c>
      <c r="AC205">
        <f>SUMIF(adj!$C$2:$C$1127,$A205,adj!H$2:H$1127)</f>
        <v>0</v>
      </c>
      <c r="AD205">
        <f>SUMIF(adj!$C$2:$C$1127,$A205,adj!I$2:I$1127)</f>
        <v>0</v>
      </c>
    </row>
    <row r="206" spans="1:30">
      <c r="A206" s="573">
        <v>165</v>
      </c>
      <c r="D206" s="12"/>
      <c r="E206" s="456"/>
      <c r="F206" s="456"/>
      <c r="G206" s="456"/>
      <c r="H206" s="456"/>
      <c r="I206" s="456"/>
      <c r="L206" s="10"/>
      <c r="N206" s="99"/>
      <c r="O206" s="99"/>
      <c r="P206" s="99"/>
      <c r="Q206" s="99"/>
      <c r="R206" s="99"/>
      <c r="T206" s="99"/>
      <c r="U206" s="99"/>
      <c r="V206" s="99"/>
      <c r="W206" s="99"/>
      <c r="X206" s="99"/>
      <c r="Z206">
        <f>SUMIF(adj!$C$2:$C$1127,$A206,adj!E$2:E$1127)</f>
        <v>0</v>
      </c>
      <c r="AA206">
        <f>SUMIF(adj!$C$2:$C$1127,$A206,adj!F$2:F$1127)</f>
        <v>0</v>
      </c>
      <c r="AB206">
        <f>SUMIF(adj!$C$2:$C$1127,$A206,adj!G$2:G$1127)</f>
        <v>0</v>
      </c>
      <c r="AC206">
        <f>SUMIF(adj!$C$2:$C$1127,$A206,adj!H$2:H$1127)</f>
        <v>0</v>
      </c>
      <c r="AD206">
        <f>SUMIF(adj!$C$2:$C$1127,$A206,adj!I$2:I$1127)</f>
        <v>0</v>
      </c>
    </row>
    <row r="207" spans="1:30">
      <c r="A207" s="573">
        <v>166</v>
      </c>
      <c r="B207" s="2" t="s">
        <v>1828</v>
      </c>
      <c r="E207">
        <f t="shared" si="51"/>
        <v>0</v>
      </c>
      <c r="F207">
        <f>$D207*(1+U207+AA207*($C207="R"))+O207+AA207*($C207="A")</f>
        <v>0</v>
      </c>
      <c r="G207">
        <f t="shared" si="53"/>
        <v>0</v>
      </c>
      <c r="H207">
        <f t="shared" si="54"/>
        <v>0</v>
      </c>
      <c r="I207">
        <f t="shared" si="55"/>
        <v>0</v>
      </c>
      <c r="L207" s="10"/>
      <c r="N207" s="99"/>
      <c r="O207" s="99"/>
      <c r="P207" s="99"/>
      <c r="Q207" s="99"/>
      <c r="R207" s="99"/>
      <c r="T207" s="99"/>
      <c r="U207" s="99"/>
      <c r="V207" s="99"/>
      <c r="W207" s="99"/>
      <c r="X207" s="99"/>
      <c r="Z207">
        <f>SUMIF(adj!$C$2:$C$1127,$A207,adj!E$2:E$1127)</f>
        <v>0</v>
      </c>
      <c r="AA207">
        <f>SUMIF(adj!$C$2:$C$1127,$A207,adj!F$2:F$1127)</f>
        <v>0</v>
      </c>
      <c r="AB207">
        <f>SUMIF(adj!$C$2:$C$1127,$A207,adj!G$2:G$1127)</f>
        <v>0</v>
      </c>
      <c r="AC207">
        <f>SUMIF(adj!$C$2:$C$1127,$A207,adj!H$2:H$1127)</f>
        <v>0</v>
      </c>
      <c r="AD207">
        <f>SUMIF(adj!$C$2:$C$1127,$A207,adj!I$2:I$1127)</f>
        <v>0</v>
      </c>
    </row>
    <row r="208" spans="1:30">
      <c r="A208" s="573">
        <v>167</v>
      </c>
      <c r="B208" s="3" t="s">
        <v>3413</v>
      </c>
      <c r="C208" t="s">
        <v>3414</v>
      </c>
      <c r="E208">
        <f t="shared" si="51"/>
        <v>0</v>
      </c>
      <c r="F208">
        <f>$D208*(1+U208+AA208*($C208="R"))+O208+AA208*($C208="A")</f>
        <v>0</v>
      </c>
      <c r="G208">
        <f t="shared" si="53"/>
        <v>0</v>
      </c>
      <c r="H208">
        <f t="shared" si="54"/>
        <v>0</v>
      </c>
      <c r="I208">
        <f t="shared" si="55"/>
        <v>0</v>
      </c>
      <c r="J208" t="s">
        <v>3412</v>
      </c>
      <c r="L208" s="10"/>
      <c r="N208" s="99"/>
      <c r="O208" s="99"/>
      <c r="P208" s="99"/>
      <c r="Q208" s="99"/>
      <c r="R208" s="99"/>
      <c r="T208" s="99"/>
      <c r="U208" s="99"/>
      <c r="V208" s="99"/>
      <c r="W208" s="99"/>
      <c r="X208" s="99"/>
      <c r="Z208">
        <f>SUMIF(adj!$C$2:$C$1127,$A208,adj!E$2:E$1127)</f>
        <v>0</v>
      </c>
      <c r="AA208">
        <f>SUMIF(adj!$C$2:$C$1127,$A208,adj!F$2:F$1127)</f>
        <v>0</v>
      </c>
      <c r="AB208">
        <f>SUMIF(adj!$C$2:$C$1127,$A208,adj!G$2:G$1127)</f>
        <v>0</v>
      </c>
      <c r="AC208">
        <f>SUMIF(adj!$C$2:$C$1127,$A208,adj!H$2:H$1127)</f>
        <v>0</v>
      </c>
      <c r="AD208">
        <f>SUMIF(adj!$C$2:$C$1127,$A208,adj!I$2:I$1127)</f>
        <v>0</v>
      </c>
    </row>
    <row r="209" spans="1:30">
      <c r="A209" s="573">
        <v>168</v>
      </c>
      <c r="B209" s="3" t="s">
        <v>149</v>
      </c>
      <c r="C209" t="s">
        <v>3414</v>
      </c>
      <c r="E209">
        <f t="shared" si="51"/>
        <v>0</v>
      </c>
      <c r="F209">
        <f>$D209*(1+U209+AA209*($C209="R"))+O209+AA209*($C209="A")</f>
        <v>0</v>
      </c>
      <c r="G209">
        <f t="shared" si="53"/>
        <v>0</v>
      </c>
      <c r="H209">
        <f t="shared" si="54"/>
        <v>0</v>
      </c>
      <c r="I209">
        <f t="shared" si="55"/>
        <v>0</v>
      </c>
      <c r="J209" t="s">
        <v>1424</v>
      </c>
      <c r="L209" s="10"/>
      <c r="N209" s="99"/>
      <c r="O209" s="99"/>
      <c r="P209" s="99"/>
      <c r="Q209" s="99"/>
      <c r="R209" s="99"/>
      <c r="T209" s="99"/>
      <c r="U209" s="99"/>
      <c r="V209" s="99"/>
      <c r="W209" s="99"/>
      <c r="X209" s="99"/>
      <c r="Z209">
        <f>SUMIF(adj!$C$2:$C$1127,$A209,adj!E$2:E$1127)</f>
        <v>0</v>
      </c>
      <c r="AA209">
        <f>SUMIF(adj!$C$2:$C$1127,$A209,adj!F$2:F$1127)</f>
        <v>0</v>
      </c>
      <c r="AB209">
        <f>SUMIF(adj!$C$2:$C$1127,$A209,adj!G$2:G$1127)</f>
        <v>0</v>
      </c>
      <c r="AC209">
        <f>SUMIF(adj!$C$2:$C$1127,$A209,adj!H$2:H$1127)</f>
        <v>0</v>
      </c>
      <c r="AD209">
        <f>SUMIF(adj!$C$2:$C$1127,$A209,adj!I$2:I$1127)</f>
        <v>0</v>
      </c>
    </row>
    <row r="210" spans="1:30">
      <c r="A210" s="573">
        <v>168.1</v>
      </c>
      <c r="B210" s="3" t="s">
        <v>3982</v>
      </c>
      <c r="C210" t="s">
        <v>3414</v>
      </c>
      <c r="E210">
        <f ca="1">$D210*(1+T210+Z210*($C210="R"))+N210+Z210*($C210="A")</f>
        <v>0</v>
      </c>
      <c r="F210">
        <f ca="1">$D210*(1+U210+AA210*($C210="R"))+O210+AA210*($C210="A")</f>
        <v>0</v>
      </c>
      <c r="G210">
        <f ca="1">$D210*(1+V210+AB210*($C210="R"))+P210+AB210*($C210="A")</f>
        <v>0</v>
      </c>
      <c r="H210">
        <f ca="1">$D210*(1+W210+AC210*($C210="R"))+Q210+AC210*($C210="A")</f>
        <v>0</v>
      </c>
      <c r="I210">
        <f ca="1">$D210*(1+X210+AD210*($C210="R"))+R210+AD210*($C210="A")</f>
        <v>0</v>
      </c>
      <c r="J210" t="s">
        <v>2199</v>
      </c>
      <c r="L210" s="10"/>
      <c r="N210" s="99"/>
      <c r="O210" s="99"/>
      <c r="P210" s="99"/>
      <c r="Q210" s="99"/>
      <c r="R210" s="99"/>
      <c r="T210" s="99"/>
      <c r="U210" s="99"/>
      <c r="V210" s="99"/>
      <c r="W210" s="99"/>
      <c r="X210" s="99"/>
      <c r="Z210">
        <f ca="1">SUMIF(adj!$C$2:$C$1127,$A210,adj!E$2:E$1127)</f>
        <v>0</v>
      </c>
      <c r="AA210">
        <f ca="1">SUMIF(adj!$C$2:$C$1127,$A210,adj!F$2:F$1127)</f>
        <v>0</v>
      </c>
      <c r="AB210">
        <f ca="1">SUMIF(adj!$C$2:$C$1127,$A210,adj!G$2:G$1127)</f>
        <v>0</v>
      </c>
      <c r="AC210">
        <f ca="1">SUMIF(adj!$C$2:$C$1127,$A210,adj!H$2:H$1127)</f>
        <v>0</v>
      </c>
      <c r="AD210">
        <f ca="1">SUMIF(adj!$C$2:$C$1127,$A210,adj!I$2:I$1127)</f>
        <v>0</v>
      </c>
    </row>
    <row r="211" spans="1:30">
      <c r="A211" s="573">
        <v>169</v>
      </c>
      <c r="B211" s="3" t="s">
        <v>3979</v>
      </c>
      <c r="C211" t="s">
        <v>3414</v>
      </c>
      <c r="E211">
        <f t="shared" ref="E211:I216" si="58">$D211*(1+T211+Z211*($C211="R"))+N211+Z211*($C211="A")</f>
        <v>0</v>
      </c>
      <c r="F211">
        <f t="shared" si="58"/>
        <v>0</v>
      </c>
      <c r="G211">
        <f t="shared" si="58"/>
        <v>0</v>
      </c>
      <c r="H211">
        <f t="shared" si="58"/>
        <v>0</v>
      </c>
      <c r="I211">
        <f t="shared" si="58"/>
        <v>0</v>
      </c>
      <c r="J211" t="s">
        <v>1425</v>
      </c>
      <c r="L211" s="10"/>
      <c r="N211" s="99"/>
      <c r="O211" s="99"/>
      <c r="P211" s="99"/>
      <c r="Q211" s="99"/>
      <c r="R211" s="99"/>
      <c r="T211" s="99"/>
      <c r="U211" s="99"/>
      <c r="V211" s="99"/>
      <c r="W211" s="99"/>
      <c r="X211" s="99"/>
      <c r="Z211">
        <f>SUMIF(adj!$C$2:$C$1127,$A211,adj!E$2:E$1127)</f>
        <v>0</v>
      </c>
      <c r="AA211">
        <f>SUMIF(adj!$C$2:$C$1127,$A211,adj!F$2:F$1127)</f>
        <v>0</v>
      </c>
      <c r="AB211">
        <f>SUMIF(adj!$C$2:$C$1127,$A211,adj!G$2:G$1127)</f>
        <v>0</v>
      </c>
      <c r="AC211">
        <f>SUMIF(adj!$C$2:$C$1127,$A211,adj!H$2:H$1127)</f>
        <v>0</v>
      </c>
      <c r="AD211">
        <f>SUMIF(adj!$C$2:$C$1127,$A211,adj!I$2:I$1127)</f>
        <v>0</v>
      </c>
    </row>
    <row r="212" spans="1:30">
      <c r="A212" s="573">
        <v>169.1</v>
      </c>
      <c r="B212" s="3" t="s">
        <v>3983</v>
      </c>
      <c r="C212" t="s">
        <v>3414</v>
      </c>
      <c r="E212">
        <f t="shared" ca="1" si="58"/>
        <v>0</v>
      </c>
      <c r="F212">
        <f t="shared" ca="1" si="58"/>
        <v>0</v>
      </c>
      <c r="G212">
        <f t="shared" ca="1" si="58"/>
        <v>0</v>
      </c>
      <c r="H212">
        <f t="shared" ca="1" si="58"/>
        <v>0</v>
      </c>
      <c r="I212">
        <f t="shared" ca="1" si="58"/>
        <v>0</v>
      </c>
      <c r="J212" t="s">
        <v>2200</v>
      </c>
      <c r="L212" s="10"/>
      <c r="N212" s="99"/>
      <c r="O212" s="99"/>
      <c r="P212" s="99"/>
      <c r="Q212" s="99"/>
      <c r="R212" s="99"/>
      <c r="T212" s="99"/>
      <c r="U212" s="99"/>
      <c r="V212" s="99"/>
      <c r="W212" s="99"/>
      <c r="X212" s="99"/>
      <c r="Z212">
        <f ca="1">SUMIF(adj!$C$2:$C$1127,$A212,adj!E$2:E$1127)</f>
        <v>0</v>
      </c>
      <c r="AA212">
        <f ca="1">SUMIF(adj!$C$2:$C$1127,$A212,adj!F$2:F$1127)</f>
        <v>0</v>
      </c>
      <c r="AB212">
        <f ca="1">SUMIF(adj!$C$2:$C$1127,$A212,adj!G$2:G$1127)</f>
        <v>0</v>
      </c>
      <c r="AC212">
        <f ca="1">SUMIF(adj!$C$2:$C$1127,$A212,adj!H$2:H$1127)</f>
        <v>0</v>
      </c>
      <c r="AD212">
        <f ca="1">SUMIF(adj!$C$2:$C$1127,$A212,adj!I$2:I$1127)</f>
        <v>0</v>
      </c>
    </row>
    <row r="213" spans="1:30">
      <c r="A213" s="573">
        <v>170</v>
      </c>
      <c r="B213" s="3" t="s">
        <v>3980</v>
      </c>
      <c r="C213" t="s">
        <v>3414</v>
      </c>
      <c r="E213">
        <f t="shared" si="58"/>
        <v>0</v>
      </c>
      <c r="F213">
        <f t="shared" si="58"/>
        <v>0</v>
      </c>
      <c r="G213">
        <f t="shared" si="58"/>
        <v>0</v>
      </c>
      <c r="H213">
        <f t="shared" si="58"/>
        <v>0</v>
      </c>
      <c r="I213">
        <f t="shared" si="58"/>
        <v>0</v>
      </c>
      <c r="J213" t="s">
        <v>2197</v>
      </c>
      <c r="L213" s="10"/>
      <c r="N213" s="99"/>
      <c r="O213" s="99"/>
      <c r="P213" s="99"/>
      <c r="Q213" s="99"/>
      <c r="R213" s="99"/>
      <c r="T213" s="99"/>
      <c r="U213" s="99"/>
      <c r="V213" s="99"/>
      <c r="W213" s="99"/>
      <c r="X213" s="99"/>
      <c r="Z213">
        <f>SUMIF(adj!$C$2:$C$1127,$A213,adj!E$2:E$1127)</f>
        <v>0</v>
      </c>
      <c r="AA213">
        <f>SUMIF(adj!$C$2:$C$1127,$A213,adj!F$2:F$1127)</f>
        <v>0</v>
      </c>
      <c r="AB213">
        <f>SUMIF(adj!$C$2:$C$1127,$A213,adj!G$2:G$1127)</f>
        <v>0</v>
      </c>
      <c r="AC213">
        <f>SUMIF(adj!$C$2:$C$1127,$A213,adj!H$2:H$1127)</f>
        <v>0</v>
      </c>
      <c r="AD213">
        <f>SUMIF(adj!$C$2:$C$1127,$A213,adj!I$2:I$1127)</f>
        <v>0</v>
      </c>
    </row>
    <row r="214" spans="1:30">
      <c r="A214" s="573">
        <v>170.1</v>
      </c>
      <c r="B214" s="3" t="s">
        <v>1886</v>
      </c>
      <c r="C214" t="s">
        <v>3414</v>
      </c>
      <c r="E214">
        <f t="shared" ca="1" si="58"/>
        <v>0</v>
      </c>
      <c r="F214">
        <f t="shared" ca="1" si="58"/>
        <v>0</v>
      </c>
      <c r="G214">
        <f t="shared" ca="1" si="58"/>
        <v>0</v>
      </c>
      <c r="H214">
        <f t="shared" ca="1" si="58"/>
        <v>0</v>
      </c>
      <c r="I214">
        <f t="shared" ca="1" si="58"/>
        <v>0</v>
      </c>
      <c r="J214" t="s">
        <v>147</v>
      </c>
      <c r="L214" s="10"/>
      <c r="N214" s="99"/>
      <c r="O214" s="99"/>
      <c r="P214" s="99"/>
      <c r="Q214" s="99"/>
      <c r="R214" s="99"/>
      <c r="T214" s="99"/>
      <c r="U214" s="99"/>
      <c r="V214" s="99"/>
      <c r="W214" s="99"/>
      <c r="X214" s="99"/>
      <c r="Z214">
        <f ca="1">SUMIF(adj!$C$2:$C$1127,$A214,adj!E$2:E$1127)</f>
        <v>0</v>
      </c>
      <c r="AA214">
        <f ca="1">SUMIF(adj!$C$2:$C$1127,$A214,adj!F$2:F$1127)</f>
        <v>0</v>
      </c>
      <c r="AB214">
        <f ca="1">SUMIF(adj!$C$2:$C$1127,$A214,adj!G$2:G$1127)</f>
        <v>0</v>
      </c>
      <c r="AC214">
        <f ca="1">SUMIF(adj!$C$2:$C$1127,$A214,adj!H$2:H$1127)</f>
        <v>0</v>
      </c>
      <c r="AD214">
        <f ca="1">SUMIF(adj!$C$2:$C$1127,$A214,adj!I$2:I$1127)</f>
        <v>0</v>
      </c>
    </row>
    <row r="215" spans="1:30">
      <c r="A215" s="573">
        <v>171</v>
      </c>
      <c r="B215" s="470" t="s">
        <v>3981</v>
      </c>
      <c r="C215" s="33" t="s">
        <v>3414</v>
      </c>
      <c r="D215" s="33"/>
      <c r="E215" s="33">
        <f t="shared" si="58"/>
        <v>0</v>
      </c>
      <c r="F215" s="33">
        <f t="shared" si="58"/>
        <v>0</v>
      </c>
      <c r="G215" s="33">
        <f t="shared" si="58"/>
        <v>0</v>
      </c>
      <c r="H215" s="33">
        <f t="shared" si="58"/>
        <v>0</v>
      </c>
      <c r="I215" s="33">
        <f t="shared" si="58"/>
        <v>0</v>
      </c>
      <c r="J215" s="33" t="s">
        <v>2198</v>
      </c>
      <c r="L215" s="10"/>
      <c r="N215" s="99"/>
      <c r="O215" s="99"/>
      <c r="P215" s="99"/>
      <c r="Q215" s="99"/>
      <c r="R215" s="99"/>
      <c r="T215" s="99"/>
      <c r="U215" s="99"/>
      <c r="V215" s="99"/>
      <c r="W215" s="99"/>
      <c r="X215" s="99"/>
      <c r="Z215">
        <f>SUMIF(adj!$C$2:$C$1127,$A215,adj!E$2:E$1127)</f>
        <v>0</v>
      </c>
      <c r="AA215">
        <f>SUMIF(adj!$C$2:$C$1127,$A215,adj!F$2:F$1127)</f>
        <v>0</v>
      </c>
      <c r="AB215">
        <f>SUMIF(adj!$C$2:$C$1127,$A215,adj!G$2:G$1127)</f>
        <v>0</v>
      </c>
      <c r="AC215">
        <f>SUMIF(adj!$C$2:$C$1127,$A215,adj!H$2:H$1127)</f>
        <v>0</v>
      </c>
      <c r="AD215">
        <f>SUMIF(adj!$C$2:$C$1127,$A215,adj!I$2:I$1127)</f>
        <v>0</v>
      </c>
    </row>
    <row r="216" spans="1:30">
      <c r="A216" s="573">
        <v>171.1</v>
      </c>
      <c r="B216" s="470" t="s">
        <v>3217</v>
      </c>
      <c r="C216" s="33" t="s">
        <v>3414</v>
      </c>
      <c r="D216" s="33"/>
      <c r="E216">
        <f t="shared" ca="1" si="58"/>
        <v>0</v>
      </c>
      <c r="F216">
        <f t="shared" ca="1" si="58"/>
        <v>0</v>
      </c>
      <c r="G216">
        <f t="shared" ca="1" si="58"/>
        <v>0</v>
      </c>
      <c r="H216">
        <f t="shared" ca="1" si="58"/>
        <v>0</v>
      </c>
      <c r="I216">
        <f t="shared" ca="1" si="58"/>
        <v>0</v>
      </c>
      <c r="J216" s="33" t="s">
        <v>148</v>
      </c>
      <c r="L216" s="10"/>
      <c r="N216" s="99"/>
      <c r="O216" s="99"/>
      <c r="P216" s="99"/>
      <c r="Q216" s="99"/>
      <c r="R216" s="99"/>
      <c r="T216" s="99"/>
      <c r="U216" s="99"/>
      <c r="V216" s="99"/>
      <c r="W216" s="99"/>
      <c r="X216" s="99"/>
      <c r="Z216">
        <f ca="1">SUMIF(adj!$C$2:$C$1127,$A216,adj!E$2:E$1127)</f>
        <v>0</v>
      </c>
      <c r="AA216">
        <f ca="1">SUMIF(adj!$C$2:$C$1127,$A216,adj!F$2:F$1127)</f>
        <v>0</v>
      </c>
      <c r="AB216">
        <f ca="1">SUMIF(adj!$C$2:$C$1127,$A216,adj!G$2:G$1127)</f>
        <v>0</v>
      </c>
      <c r="AC216">
        <f ca="1">SUMIF(adj!$C$2:$C$1127,$A216,adj!H$2:H$1127)</f>
        <v>0</v>
      </c>
      <c r="AD216">
        <f ca="1">SUMIF(adj!$C$2:$C$1127,$A216,adj!I$2:I$1127)</f>
        <v>0</v>
      </c>
    </row>
    <row r="217" spans="1:30">
      <c r="A217" s="573">
        <v>172</v>
      </c>
      <c r="B217" t="str">
        <f>"Region 1 Special Program Success " &amp; DataNameProd1</f>
        <v>Region 1 Special Program Success CSD</v>
      </c>
      <c r="C217" t="s">
        <v>3414</v>
      </c>
      <c r="E217" s="1517">
        <f t="shared" si="51"/>
        <v>0</v>
      </c>
      <c r="F217" s="1517">
        <f t="shared" ref="F217:F223" si="59">$D217*(1+U217+AA217*($C217="R"))+O217+AA217*($C217="A")</f>
        <v>0</v>
      </c>
      <c r="G217" s="1517">
        <f t="shared" si="53"/>
        <v>0</v>
      </c>
      <c r="H217" s="1517">
        <f t="shared" si="54"/>
        <v>0</v>
      </c>
      <c r="I217" s="1517">
        <f t="shared" si="55"/>
        <v>0</v>
      </c>
      <c r="J217" t="s">
        <v>1046</v>
      </c>
      <c r="L217" s="10"/>
      <c r="N217" s="99"/>
      <c r="O217" s="99"/>
      <c r="P217" s="99"/>
      <c r="Q217" s="99"/>
      <c r="R217" s="99"/>
      <c r="T217" s="99"/>
      <c r="U217" s="99"/>
      <c r="V217" s="99"/>
      <c r="W217" s="99"/>
      <c r="X217" s="99"/>
      <c r="Z217">
        <f>SUMIF(adj!$C$2:$C$1127,$A217,adj!E$2:E$1127)</f>
        <v>0</v>
      </c>
      <c r="AA217">
        <f>SUMIF(adj!$C$2:$C$1127,$A217,adj!F$2:F$1127)</f>
        <v>0</v>
      </c>
      <c r="AB217">
        <f>SUMIF(adj!$C$2:$C$1127,$A217,adj!G$2:G$1127)</f>
        <v>0</v>
      </c>
      <c r="AC217">
        <f>SUMIF(adj!$C$2:$C$1127,$A217,adj!H$2:H$1127)</f>
        <v>0</v>
      </c>
      <c r="AD217">
        <f>SUMIF(adj!$C$2:$C$1127,$A217,adj!I$2:I$1127)</f>
        <v>0</v>
      </c>
    </row>
    <row r="218" spans="1:30">
      <c r="A218" s="573">
        <v>174</v>
      </c>
      <c r="B218" t="str">
        <f>"Region 1 Special Program Success " &amp; DataNameProd3</f>
        <v>Region 1 Special Program Success NCB</v>
      </c>
      <c r="C218" t="s">
        <v>3414</v>
      </c>
      <c r="E218">
        <f t="shared" si="51"/>
        <v>0</v>
      </c>
      <c r="F218">
        <f t="shared" si="59"/>
        <v>0</v>
      </c>
      <c r="G218">
        <f t="shared" si="53"/>
        <v>0</v>
      </c>
      <c r="H218">
        <f t="shared" si="54"/>
        <v>0</v>
      </c>
      <c r="I218">
        <f t="shared" si="55"/>
        <v>0</v>
      </c>
      <c r="J218" t="s">
        <v>1774</v>
      </c>
      <c r="L218" s="10"/>
      <c r="N218" s="99"/>
      <c r="O218" s="99"/>
      <c r="P218" s="99"/>
      <c r="Q218" s="99"/>
      <c r="R218" s="99"/>
      <c r="T218" s="99"/>
      <c r="U218" s="99"/>
      <c r="V218" s="99"/>
      <c r="W218" s="99"/>
      <c r="X218" s="99"/>
      <c r="Z218">
        <f>SUMIF(adj!$C$2:$C$1127,$A218,adj!E$2:E$1127)</f>
        <v>0</v>
      </c>
      <c r="AA218">
        <f>SUMIF(adj!$C$2:$C$1127,$A218,adj!F$2:F$1127)</f>
        <v>0</v>
      </c>
      <c r="AB218">
        <f>SUMIF(adj!$C$2:$C$1127,$A218,adj!G$2:G$1127)</f>
        <v>0</v>
      </c>
      <c r="AC218">
        <f>SUMIF(adj!$C$2:$C$1127,$A218,adj!H$2:H$1127)</f>
        <v>0</v>
      </c>
      <c r="AD218">
        <f>SUMIF(adj!$C$2:$C$1127,$A218,adj!I$2:I$1127)</f>
        <v>0</v>
      </c>
    </row>
    <row r="219" spans="1:30">
      <c r="A219" s="573">
        <v>175</v>
      </c>
      <c r="B219" t="str">
        <f>"Region 1 Special Program Success " &amp; DataNameProd4</f>
        <v>Region 1 Special Program Success F&amp;S</v>
      </c>
      <c r="C219" t="s">
        <v>3414</v>
      </c>
      <c r="E219">
        <f t="shared" si="51"/>
        <v>0</v>
      </c>
      <c r="F219">
        <f t="shared" si="59"/>
        <v>0</v>
      </c>
      <c r="G219">
        <f t="shared" si="53"/>
        <v>0</v>
      </c>
      <c r="H219">
        <f t="shared" si="54"/>
        <v>0</v>
      </c>
      <c r="I219">
        <f t="shared" si="55"/>
        <v>0</v>
      </c>
      <c r="J219" t="s">
        <v>1775</v>
      </c>
      <c r="L219" s="10"/>
      <c r="N219" s="99"/>
      <c r="O219" s="99"/>
      <c r="P219" s="99"/>
      <c r="Q219" s="99"/>
      <c r="R219" s="99"/>
      <c r="T219" s="99"/>
      <c r="U219" s="99"/>
      <c r="V219" s="99"/>
      <c r="W219" s="99"/>
      <c r="X219" s="99"/>
      <c r="Z219">
        <f>SUMIF(adj!$C$2:$C$1127,$A219,adj!E$2:E$1127)</f>
        <v>0</v>
      </c>
      <c r="AA219">
        <f>SUMIF(adj!$C$2:$C$1127,$A219,adj!F$2:F$1127)</f>
        <v>0</v>
      </c>
      <c r="AB219">
        <f>SUMIF(adj!$C$2:$C$1127,$A219,adj!G$2:G$1127)</f>
        <v>0</v>
      </c>
      <c r="AC219">
        <f>SUMIF(adj!$C$2:$C$1127,$A219,adj!H$2:H$1127)</f>
        <v>0</v>
      </c>
      <c r="AD219">
        <f>SUMIF(adj!$C$2:$C$1127,$A219,adj!I$2:I$1127)</f>
        <v>0</v>
      </c>
    </row>
    <row r="220" spans="1:30">
      <c r="A220" s="573">
        <v>176</v>
      </c>
      <c r="B220" t="str">
        <f>"Region 2 Special Program Success " &amp; DataNameProd1</f>
        <v>Region 2 Special Program Success CSD</v>
      </c>
      <c r="C220" t="s">
        <v>3414</v>
      </c>
      <c r="E220">
        <f>$D220*(1+T220+Z220*($C220="R"))+N220+Z220*($C220="A")</f>
        <v>0</v>
      </c>
      <c r="F220">
        <f t="shared" si="59"/>
        <v>0</v>
      </c>
      <c r="G220">
        <f t="shared" ref="G220:I222" si="60">$D220*(1+V220+AB220*($C220="R"))+P220+AB220*($C220="A")</f>
        <v>0</v>
      </c>
      <c r="H220">
        <f t="shared" si="60"/>
        <v>0</v>
      </c>
      <c r="I220">
        <f t="shared" si="60"/>
        <v>0</v>
      </c>
      <c r="J220" t="s">
        <v>1063</v>
      </c>
      <c r="L220" s="10"/>
      <c r="N220" s="99"/>
      <c r="O220" s="99"/>
      <c r="P220" s="99"/>
      <c r="Q220" s="99"/>
      <c r="R220" s="99"/>
      <c r="T220" s="99"/>
      <c r="U220" s="99"/>
      <c r="V220" s="99"/>
      <c r="W220" s="99"/>
      <c r="X220" s="99"/>
      <c r="Z220">
        <f>SUMIF(adj!$C$2:$C$1127,$A220,adj!E$2:E$1127)</f>
        <v>0</v>
      </c>
      <c r="AA220">
        <f>SUMIF(adj!$C$2:$C$1127,$A220,adj!F$2:F$1127)</f>
        <v>0</v>
      </c>
      <c r="AB220">
        <f>SUMIF(adj!$C$2:$C$1127,$A220,adj!G$2:G$1127)</f>
        <v>0</v>
      </c>
      <c r="AC220">
        <f>SUMIF(adj!$C$2:$C$1127,$A220,adj!H$2:H$1127)</f>
        <v>0</v>
      </c>
      <c r="AD220">
        <f>SUMIF(adj!$C$2:$C$1127,$A220,adj!I$2:I$1127)</f>
        <v>0</v>
      </c>
    </row>
    <row r="221" spans="1:30">
      <c r="A221" s="573">
        <v>178</v>
      </c>
      <c r="B221" t="str">
        <f>"Region 2 Special Program Success " &amp; DataNameProd3</f>
        <v>Region 2 Special Program Success NCB</v>
      </c>
      <c r="C221" t="s">
        <v>3414</v>
      </c>
      <c r="E221">
        <f>$D221*(1+T221+Z221*($C221="R"))+N221+Z221*($C221="A")</f>
        <v>0</v>
      </c>
      <c r="F221">
        <f t="shared" si="59"/>
        <v>0</v>
      </c>
      <c r="G221">
        <f t="shared" si="60"/>
        <v>0</v>
      </c>
      <c r="H221">
        <f t="shared" si="60"/>
        <v>0</v>
      </c>
      <c r="I221">
        <f t="shared" si="60"/>
        <v>0</v>
      </c>
      <c r="J221" t="s">
        <v>1064</v>
      </c>
      <c r="L221" s="10"/>
      <c r="N221" s="99"/>
      <c r="O221" s="99"/>
      <c r="P221" s="99"/>
      <c r="Q221" s="99"/>
      <c r="R221" s="99"/>
      <c r="T221" s="99"/>
      <c r="U221" s="99"/>
      <c r="V221" s="99"/>
      <c r="W221" s="99"/>
      <c r="X221" s="99"/>
      <c r="Z221">
        <f>SUMIF(adj!$C$2:$C$1127,$A221,adj!E$2:E$1127)</f>
        <v>0</v>
      </c>
      <c r="AA221">
        <f>SUMIF(adj!$C$2:$C$1127,$A221,adj!F$2:F$1127)</f>
        <v>0</v>
      </c>
      <c r="AB221">
        <f>SUMIF(adj!$C$2:$C$1127,$A221,adj!G$2:G$1127)</f>
        <v>0</v>
      </c>
      <c r="AC221">
        <f>SUMIF(adj!$C$2:$C$1127,$A221,adj!H$2:H$1127)</f>
        <v>0</v>
      </c>
      <c r="AD221">
        <f>SUMIF(adj!$C$2:$C$1127,$A221,adj!I$2:I$1127)</f>
        <v>0</v>
      </c>
    </row>
    <row r="222" spans="1:30">
      <c r="A222" s="573">
        <v>179</v>
      </c>
      <c r="B222" t="str">
        <f>"Region 2 Special Program Success " &amp; DataNameProd4</f>
        <v>Region 2 Special Program Success F&amp;S</v>
      </c>
      <c r="C222" t="s">
        <v>3414</v>
      </c>
      <c r="E222">
        <f>$D222*(1+T222+Z222*($C222="R"))+N222+Z222*($C222="A")</f>
        <v>0</v>
      </c>
      <c r="F222">
        <f t="shared" si="59"/>
        <v>0</v>
      </c>
      <c r="G222">
        <f t="shared" si="60"/>
        <v>0</v>
      </c>
      <c r="H222">
        <f t="shared" si="60"/>
        <v>0</v>
      </c>
      <c r="I222">
        <f t="shared" si="60"/>
        <v>0</v>
      </c>
      <c r="J222" t="s">
        <v>1065</v>
      </c>
      <c r="L222" s="10"/>
      <c r="N222" s="99"/>
      <c r="O222" s="99"/>
      <c r="P222" s="99"/>
      <c r="Q222" s="99"/>
      <c r="R222" s="99"/>
      <c r="T222" s="99"/>
      <c r="U222" s="99"/>
      <c r="V222" s="99"/>
      <c r="W222" s="99"/>
      <c r="X222" s="99"/>
      <c r="Z222">
        <f>SUMIF(adj!$C$2:$C$1127,$A222,adj!E$2:E$1127)</f>
        <v>0</v>
      </c>
      <c r="AA222">
        <f>SUMIF(adj!$C$2:$C$1127,$A222,adj!F$2:F$1127)</f>
        <v>0</v>
      </c>
      <c r="AB222">
        <f>SUMIF(adj!$C$2:$C$1127,$A222,adj!G$2:G$1127)</f>
        <v>0</v>
      </c>
      <c r="AC222">
        <f>SUMIF(adj!$C$2:$C$1127,$A222,adj!H$2:H$1127)</f>
        <v>0</v>
      </c>
      <c r="AD222">
        <f>SUMIF(adj!$C$2:$C$1127,$A222,adj!I$2:I$1127)</f>
        <v>0</v>
      </c>
    </row>
    <row r="223" spans="1:30">
      <c r="A223" s="573">
        <v>179.5</v>
      </c>
      <c r="B223" t="str">
        <f>"Special Program Success " &amp; DataNameProd2</f>
        <v>Special Program Success Breakthrough</v>
      </c>
      <c r="C223" t="s">
        <v>3414</v>
      </c>
      <c r="E223">
        <f>$D223*(1+T223+Z223*($C223="R"))+N223+Z223*($C223="A")</f>
        <v>0</v>
      </c>
      <c r="F223">
        <f t="shared" si="59"/>
        <v>0</v>
      </c>
      <c r="G223">
        <f>$D223*(1+V223+AB223*($C223="R"))+P223+AB223*($C223="A")</f>
        <v>0</v>
      </c>
      <c r="H223">
        <f>$D223*(1+W223+AC223*($C223="R"))+Q223+AC223*($C223="A")</f>
        <v>0</v>
      </c>
      <c r="I223">
        <f>$D223*(1+X223+AD223*($C223="R"))+R223+AD223*($C223="A")</f>
        <v>0</v>
      </c>
      <c r="J223" t="s">
        <v>223</v>
      </c>
      <c r="L223" s="10"/>
      <c r="N223" s="99"/>
      <c r="O223" s="99"/>
      <c r="P223" s="99"/>
      <c r="Q223" s="99"/>
      <c r="R223" s="99"/>
      <c r="T223" s="99"/>
      <c r="U223" s="99"/>
      <c r="V223" s="99"/>
      <c r="W223" s="99"/>
      <c r="X223" s="99"/>
      <c r="Z223">
        <f>SUMIF(adj!$C$2:$C$1127,$A223,adj!E$2:E$1127)</f>
        <v>0</v>
      </c>
      <c r="AA223">
        <f>SUMIF(adj!$C$2:$C$1127,$A223,adj!F$2:F$1127)</f>
        <v>0</v>
      </c>
      <c r="AB223">
        <f>SUMIF(adj!$C$2:$C$1127,$A223,adj!G$2:G$1127)</f>
        <v>0</v>
      </c>
      <c r="AC223">
        <f>SUMIF(adj!$C$2:$C$1127,$A223,adj!H$2:H$1127)</f>
        <v>0</v>
      </c>
      <c r="AD223">
        <f>SUMIF(adj!$C$2:$C$1127,$A223,adj!I$2:I$1127)</f>
        <v>0</v>
      </c>
    </row>
    <row r="224" spans="1:30">
      <c r="A224" s="573">
        <v>179.9</v>
      </c>
      <c r="L224" s="10"/>
      <c r="N224" s="210"/>
      <c r="O224" s="210"/>
      <c r="P224" s="210"/>
      <c r="Q224" s="210"/>
      <c r="R224" s="210"/>
      <c r="T224" s="210"/>
      <c r="U224" s="210"/>
      <c r="V224" s="210"/>
      <c r="W224" s="210"/>
      <c r="X224" s="210"/>
    </row>
    <row r="225" spans="1:30">
      <c r="A225" s="573">
        <v>180</v>
      </c>
      <c r="B225" s="2" t="s">
        <v>37</v>
      </c>
      <c r="L225" s="10"/>
      <c r="Z225">
        <f>SUMIF(adj!$C$2:$C$1127,$A225,adj!E$2:E$1127)</f>
        <v>0</v>
      </c>
      <c r="AA225">
        <f>SUMIF(adj!$C$2:$C$1127,$A225,adj!F$2:F$1127)</f>
        <v>0</v>
      </c>
      <c r="AB225">
        <f>SUMIF(adj!$C$2:$C$1127,$A225,adj!G$2:G$1127)</f>
        <v>0</v>
      </c>
      <c r="AC225">
        <f>SUMIF(adj!$C$2:$C$1127,$A225,adj!H$2:H$1127)</f>
        <v>0</v>
      </c>
      <c r="AD225">
        <f>SUMIF(adj!$C$2:$C$1127,$A225,adj!I$2:I$1127)</f>
        <v>0</v>
      </c>
    </row>
    <row r="226" spans="1:30">
      <c r="A226" s="573">
        <v>181</v>
      </c>
      <c r="B226" t="s">
        <v>38</v>
      </c>
      <c r="C226" t="s">
        <v>3414</v>
      </c>
      <c r="E226" s="398">
        <f t="shared" ref="E226:I231" si="61">$D226*(1+T226+Z226*($C226="R"))+N226+Z226*($C226="A")</f>
        <v>32400000</v>
      </c>
      <c r="F226" s="398">
        <f t="shared" si="61"/>
        <v>32400000</v>
      </c>
      <c r="G226" s="398">
        <f t="shared" si="61"/>
        <v>32400000</v>
      </c>
      <c r="H226" s="398">
        <f t="shared" si="61"/>
        <v>32400000</v>
      </c>
      <c r="I226" s="398">
        <f t="shared" si="61"/>
        <v>32400000</v>
      </c>
      <c r="J226" t="s">
        <v>2234</v>
      </c>
      <c r="L226" s="10"/>
      <c r="N226" s="99"/>
      <c r="O226" s="99"/>
      <c r="P226" s="99"/>
      <c r="Q226" s="99"/>
      <c r="R226" s="99"/>
      <c r="T226" s="99"/>
      <c r="U226" s="99"/>
      <c r="V226" s="99"/>
      <c r="W226" s="99"/>
      <c r="X226" s="99"/>
      <c r="Z226">
        <f>SUMIF(adj!$C$2:$C$1127,$A226,adj!E$2:E$1127)</f>
        <v>32400000</v>
      </c>
      <c r="AA226">
        <f>SUMIF(adj!$C$2:$C$1127,$A226,adj!F$2:F$1127)</f>
        <v>32400000</v>
      </c>
      <c r="AB226">
        <f>SUMIF(adj!$C$2:$C$1127,$A226,adj!G$2:G$1127)</f>
        <v>32400000</v>
      </c>
      <c r="AC226">
        <f>SUMIF(adj!$C$2:$C$1127,$A226,adj!H$2:H$1127)</f>
        <v>32400000</v>
      </c>
      <c r="AD226">
        <f>SUMIF(adj!$C$2:$C$1127,$A226,adj!I$2:I$1127)</f>
        <v>32400000</v>
      </c>
    </row>
    <row r="227" spans="1:30">
      <c r="A227" s="573">
        <v>182</v>
      </c>
      <c r="B227" t="s">
        <v>2974</v>
      </c>
      <c r="C227" t="s">
        <v>3414</v>
      </c>
      <c r="E227" s="398">
        <f t="shared" si="61"/>
        <v>0</v>
      </c>
      <c r="F227" s="398">
        <f t="shared" si="61"/>
        <v>0</v>
      </c>
      <c r="G227" s="398">
        <f t="shared" si="61"/>
        <v>0</v>
      </c>
      <c r="H227" s="398">
        <f t="shared" si="61"/>
        <v>0</v>
      </c>
      <c r="I227" s="398">
        <f t="shared" si="61"/>
        <v>0</v>
      </c>
      <c r="J227" t="s">
        <v>2235</v>
      </c>
      <c r="L227" s="10"/>
      <c r="N227" s="99"/>
      <c r="O227" s="99"/>
      <c r="P227" s="99"/>
      <c r="Q227" s="99"/>
      <c r="R227" s="99"/>
      <c r="T227" s="99"/>
      <c r="U227" s="99"/>
      <c r="V227" s="99"/>
      <c r="W227" s="99"/>
      <c r="X227" s="99"/>
      <c r="Z227">
        <f>SUMIF(adj!$C$2:$C$1127,$A227,adj!E$2:E$1127)</f>
        <v>0</v>
      </c>
      <c r="AA227">
        <f>SUMIF(adj!$C$2:$C$1127,$A227,adj!F$2:F$1127)</f>
        <v>0</v>
      </c>
      <c r="AB227">
        <f>SUMIF(adj!$C$2:$C$1127,$A227,adj!G$2:G$1127)</f>
        <v>0</v>
      </c>
      <c r="AC227">
        <f>SUMIF(adj!$C$2:$C$1127,$A227,adj!H$2:H$1127)</f>
        <v>0</v>
      </c>
      <c r="AD227">
        <f>SUMIF(adj!$C$2:$C$1127,$A227,adj!I$2:I$1127)</f>
        <v>0</v>
      </c>
    </row>
    <row r="228" spans="1:30">
      <c r="A228" s="573">
        <v>184</v>
      </c>
      <c r="B228" s="905" t="s">
        <v>4741</v>
      </c>
      <c r="C228" t="s">
        <v>3414</v>
      </c>
      <c r="E228" s="398">
        <f t="shared" si="61"/>
        <v>5500000</v>
      </c>
      <c r="F228" s="398">
        <f t="shared" si="61"/>
        <v>5500000</v>
      </c>
      <c r="G228" s="398">
        <f t="shared" si="61"/>
        <v>5500000</v>
      </c>
      <c r="H228" s="398">
        <f t="shared" si="61"/>
        <v>5500000</v>
      </c>
      <c r="I228" s="398">
        <f t="shared" si="61"/>
        <v>5500000</v>
      </c>
      <c r="J228" t="s">
        <v>2236</v>
      </c>
      <c r="L228" s="10"/>
      <c r="N228" s="99"/>
      <c r="O228" s="99"/>
      <c r="P228" s="99"/>
      <c r="Q228" s="99"/>
      <c r="R228" s="99"/>
      <c r="T228" s="99"/>
      <c r="U228" s="99"/>
      <c r="V228" s="99"/>
      <c r="W228" s="99"/>
      <c r="X228" s="99"/>
      <c r="Z228">
        <f>SUMIF(adj!$C$2:$C$1127,$A228,adj!E$2:E$1127)</f>
        <v>5500000</v>
      </c>
      <c r="AA228">
        <f>SUMIF(adj!$C$2:$C$1127,$A228,adj!F$2:F$1127)</f>
        <v>5500000</v>
      </c>
      <c r="AB228">
        <f>SUMIF(adj!$C$2:$C$1127,$A228,adj!G$2:G$1127)</f>
        <v>5500000</v>
      </c>
      <c r="AC228">
        <f>SUMIF(adj!$C$2:$C$1127,$A228,adj!H$2:H$1127)</f>
        <v>5500000</v>
      </c>
      <c r="AD228">
        <f>SUMIF(adj!$C$2:$C$1127,$A228,adj!I$2:I$1127)</f>
        <v>5500000</v>
      </c>
    </row>
    <row r="229" spans="1:30">
      <c r="A229" s="573">
        <v>185</v>
      </c>
      <c r="B229" s="905" t="s">
        <v>4740</v>
      </c>
      <c r="C229" t="s">
        <v>3414</v>
      </c>
      <c r="E229" s="398">
        <f t="shared" ref="E229" si="62">$D229*(1+T229+Z229*($C229="R"))+N229+Z229*($C229="A")</f>
        <v>15972000.000000006</v>
      </c>
      <c r="F229" s="398">
        <f t="shared" ref="F229" si="63">$D229*(1+U229+AA229*($C229="R"))+O229+AA229*($C229="A")</f>
        <v>15972000.000000006</v>
      </c>
      <c r="G229" s="398">
        <f t="shared" ref="G229" si="64">$D229*(1+V229+AB229*($C229="R"))+P229+AB229*($C229="A")</f>
        <v>15972000.000000006</v>
      </c>
      <c r="H229" s="398">
        <f t="shared" ref="H229" si="65">$D229*(1+W229+AC229*($C229="R"))+Q229+AC229*($C229="A")</f>
        <v>15972000.000000006</v>
      </c>
      <c r="I229" s="398">
        <f t="shared" ref="I229" si="66">$D229*(1+X229+AD229*($C229="R"))+R229+AD229*($C229="A")</f>
        <v>15972000.000000006</v>
      </c>
      <c r="J229" s="905" t="s">
        <v>4742</v>
      </c>
      <c r="L229" s="10"/>
      <c r="N229" s="99"/>
      <c r="O229" s="99"/>
      <c r="P229" s="99"/>
      <c r="Q229" s="99"/>
      <c r="R229" s="99"/>
      <c r="T229" s="99"/>
      <c r="U229" s="99"/>
      <c r="V229" s="99"/>
      <c r="W229" s="99"/>
      <c r="X229" s="99"/>
      <c r="Z229">
        <f>SUMIF(adj!$C$2:$C$1127,$A229,adj!E$2:E$1127)</f>
        <v>15972000.000000006</v>
      </c>
      <c r="AA229">
        <f>SUMIF(adj!$C$2:$C$1127,$A229,adj!F$2:F$1127)</f>
        <v>15972000.000000006</v>
      </c>
      <c r="AB229">
        <f>SUMIF(adj!$C$2:$C$1127,$A229,adj!G$2:G$1127)</f>
        <v>15972000.000000006</v>
      </c>
      <c r="AC229">
        <f>SUMIF(adj!$C$2:$C$1127,$A229,adj!H$2:H$1127)</f>
        <v>15972000.000000006</v>
      </c>
      <c r="AD229">
        <f>SUMIF(adj!$C$2:$C$1127,$A229,adj!I$2:I$1127)</f>
        <v>15972000.000000006</v>
      </c>
    </row>
    <row r="230" spans="1:30">
      <c r="A230" s="573">
        <v>186</v>
      </c>
      <c r="B230" t="s">
        <v>2975</v>
      </c>
      <c r="C230" t="s">
        <v>3414</v>
      </c>
      <c r="D230" s="398"/>
      <c r="E230" s="398">
        <f t="shared" si="61"/>
        <v>7438016.5289256191</v>
      </c>
      <c r="F230" s="398">
        <f t="shared" si="61"/>
        <v>7438016.5289256191</v>
      </c>
      <c r="G230" s="398">
        <f t="shared" si="61"/>
        <v>7438016.5289256191</v>
      </c>
      <c r="H230" s="398">
        <f t="shared" si="61"/>
        <v>7438016.5289256191</v>
      </c>
      <c r="I230" s="398">
        <f t="shared" si="61"/>
        <v>7438016.5289256191</v>
      </c>
      <c r="J230" t="s">
        <v>2233</v>
      </c>
      <c r="L230" s="10"/>
      <c r="N230" s="99"/>
      <c r="O230" s="99"/>
      <c r="P230" s="99"/>
      <c r="Q230" s="99"/>
      <c r="R230" s="99"/>
      <c r="T230" s="99"/>
      <c r="U230" s="99"/>
      <c r="V230" s="99"/>
      <c r="W230" s="99"/>
      <c r="X230" s="99"/>
      <c r="Z230">
        <f>SUMIF(adj!$C$2:$C$1127,$A230,adj!E$2:E$1127)</f>
        <v>7438016.5289256191</v>
      </c>
      <c r="AA230">
        <f>SUMIF(adj!$C$2:$C$1127,$A230,adj!F$2:F$1127)</f>
        <v>7438016.5289256191</v>
      </c>
      <c r="AB230">
        <f>SUMIF(adj!$C$2:$C$1127,$A230,adj!G$2:G$1127)</f>
        <v>7438016.5289256191</v>
      </c>
      <c r="AC230">
        <f>SUMIF(adj!$C$2:$C$1127,$A230,adj!H$2:H$1127)</f>
        <v>7438016.5289256191</v>
      </c>
      <c r="AD230">
        <f>SUMIF(adj!$C$2:$C$1127,$A230,adj!I$2:I$1127)</f>
        <v>7438016.5289256191</v>
      </c>
    </row>
    <row r="231" spans="1:30">
      <c r="A231" s="573">
        <v>187</v>
      </c>
      <c r="B231" t="s">
        <v>2231</v>
      </c>
      <c r="C231" t="s">
        <v>3414</v>
      </c>
      <c r="E231" s="398">
        <f t="shared" si="61"/>
        <v>0</v>
      </c>
      <c r="F231" s="398">
        <f t="shared" si="61"/>
        <v>0</v>
      </c>
      <c r="G231" s="398">
        <f t="shared" si="61"/>
        <v>0</v>
      </c>
      <c r="H231" s="398">
        <f t="shared" si="61"/>
        <v>0</v>
      </c>
      <c r="I231" s="398">
        <f t="shared" si="61"/>
        <v>0</v>
      </c>
      <c r="J231" t="s">
        <v>2232</v>
      </c>
      <c r="L231" s="10"/>
      <c r="N231" s="99"/>
      <c r="O231" s="99"/>
      <c r="P231" s="99"/>
      <c r="Q231" s="99"/>
      <c r="R231" s="99"/>
      <c r="T231" s="99"/>
      <c r="U231" s="99"/>
      <c r="V231" s="99"/>
      <c r="W231" s="99"/>
      <c r="X231" s="99"/>
      <c r="Z231">
        <f>SUMIF(adj!$C$2:$C$1127,$A231,adj!E$2:E$1127)</f>
        <v>0</v>
      </c>
      <c r="AA231">
        <f>SUMIF(adj!$C$2:$C$1127,$A231,adj!F$2:F$1127)</f>
        <v>0</v>
      </c>
      <c r="AB231">
        <f>SUMIF(adj!$C$2:$C$1127,$A231,adj!G$2:G$1127)</f>
        <v>0</v>
      </c>
      <c r="AC231">
        <f>SUMIF(adj!$C$2:$C$1127,$A231,adj!H$2:H$1127)</f>
        <v>0</v>
      </c>
      <c r="AD231">
        <f>SUMIF(adj!$C$2:$C$1127,$A231,adj!I$2:I$1127)</f>
        <v>0</v>
      </c>
    </row>
    <row r="232" spans="1:30">
      <c r="A232" s="573">
        <v>187.1</v>
      </c>
      <c r="B232" t="s">
        <v>1664</v>
      </c>
      <c r="C232" t="s">
        <v>3414</v>
      </c>
      <c r="E232" s="398">
        <f>$D232*(1+T232+Z232*($C232="R"))+N232+Z232*($C232="A")</f>
        <v>0</v>
      </c>
      <c r="F232" s="398">
        <f>$D232*(1+U232+AA232*($C232="R"))+O232+AA232*($C232="A")</f>
        <v>0</v>
      </c>
      <c r="G232" s="398">
        <f>$D232*(1+V232+AB232*($C232="R"))+P232+AB232*($C232="A")</f>
        <v>0</v>
      </c>
      <c r="H232" s="398">
        <f>$D232*(1+W232+AC232*($C232="R"))+Q232+AC232*($C232="A")</f>
        <v>0</v>
      </c>
      <c r="I232" s="398">
        <f>$D232*(1+X232+AD232*($C232="R"))+R232+AD232*($C232="A")</f>
        <v>0</v>
      </c>
      <c r="J232" t="s">
        <v>1665</v>
      </c>
      <c r="L232" s="10"/>
      <c r="N232" s="210"/>
      <c r="O232" s="210"/>
      <c r="P232" s="210"/>
      <c r="Q232" s="210"/>
      <c r="R232" s="210"/>
      <c r="T232" s="210"/>
      <c r="U232" s="210"/>
      <c r="V232" s="210"/>
      <c r="W232" s="210"/>
      <c r="X232" s="210"/>
      <c r="Z232">
        <f>SUMIF(adj!$C$2:$C$1127,$A232,adj!E$2:E$1127)</f>
        <v>0</v>
      </c>
      <c r="AA232">
        <f>SUMIF(adj!$C$2:$C$1127,$A232,adj!F$2:F$1127)</f>
        <v>0</v>
      </c>
      <c r="AB232">
        <f>SUMIF(adj!$C$2:$C$1127,$A232,adj!G$2:G$1127)</f>
        <v>0</v>
      </c>
      <c r="AC232">
        <f>SUMIF(adj!$C$2:$C$1127,$A232,adj!H$2:H$1127)</f>
        <v>0</v>
      </c>
      <c r="AD232">
        <f>SUMIF(adj!$C$2:$C$1127,$A232,adj!I$2:I$1127)</f>
        <v>0</v>
      </c>
    </row>
    <row r="233" spans="1:30">
      <c r="A233" s="573">
        <f>A231+1</f>
        <v>188</v>
      </c>
      <c r="Z233">
        <f>SUMIF(adj!$C$2:$C$1127,$A233,adj!E$2:E$1127)</f>
        <v>0</v>
      </c>
      <c r="AA233">
        <f>SUMIF(adj!$C$2:$C$1127,$A233,adj!F$2:F$1127)</f>
        <v>0</v>
      </c>
      <c r="AB233">
        <f>SUMIF(adj!$C$2:$C$1127,$A233,adj!G$2:G$1127)</f>
        <v>0</v>
      </c>
      <c r="AC233">
        <f>SUMIF(adj!$C$2:$C$1127,$A233,adj!H$2:H$1127)</f>
        <v>0</v>
      </c>
      <c r="AD233">
        <f>SUMIF(adj!$C$2:$C$1127,$A233,adj!I$2:I$1127)</f>
        <v>0</v>
      </c>
    </row>
    <row r="234" spans="1:30">
      <c r="A234" s="573">
        <v>189</v>
      </c>
      <c r="B234" s="2" t="s">
        <v>3653</v>
      </c>
      <c r="D234" s="2"/>
      <c r="E234" s="1215">
        <f ca="1">AVERAGE(E235:E243)</f>
        <v>100.46404932205822</v>
      </c>
      <c r="F234" s="1215">
        <f ca="1">AVERAGE(F235:F243)</f>
        <v>100.46404932205822</v>
      </c>
      <c r="G234" s="1215">
        <f ca="1">AVERAGE(G235:G243)</f>
        <v>100.46404932205822</v>
      </c>
      <c r="H234" s="1215">
        <f ca="1">AVERAGE(H235:H243)</f>
        <v>100.46404932205822</v>
      </c>
      <c r="I234" s="1215">
        <f ca="1">AVERAGE(I235:I243)</f>
        <v>100.46404932205822</v>
      </c>
      <c r="J234" s="1070" t="s">
        <v>3654</v>
      </c>
      <c r="Z234">
        <f>SUMIF(adj!$C$2:$C$1127,$A234,adj!E$2:E$1127)</f>
        <v>0</v>
      </c>
      <c r="AA234">
        <f>SUMIF(adj!$C$2:$C$1127,$A234,adj!F$2:F$1127)</f>
        <v>0</v>
      </c>
      <c r="AB234">
        <f>SUMIF(adj!$C$2:$C$1127,$A234,adj!G$2:G$1127)</f>
        <v>0</v>
      </c>
      <c r="AC234">
        <f>SUMIF(adj!$C$2:$C$1127,$A234,adj!H$2:H$1127)</f>
        <v>0</v>
      </c>
      <c r="AD234">
        <f>SUMIF(adj!$C$2:$C$1127,$A234,adj!I$2:I$1127)</f>
        <v>0</v>
      </c>
    </row>
    <row r="235" spans="1:30">
      <c r="A235" s="573">
        <v>190</v>
      </c>
      <c r="B235" t="s">
        <v>2920</v>
      </c>
      <c r="C235" t="s">
        <v>1483</v>
      </c>
      <c r="D235">
        <v>100</v>
      </c>
      <c r="E235" s="398">
        <f t="shared" ref="E235:E241" si="67">MAX($D235*(1+T235+Z235*($C235="R"))+N235+Z235*($C235="A"),0)</f>
        <v>100</v>
      </c>
      <c r="F235" s="398">
        <f t="shared" ref="F235:F243" si="68">MAX($D235*(1+U235+AA235*($C235="R"))+O235+AA235*($C235="A"),0)</f>
        <v>100</v>
      </c>
      <c r="G235" s="398">
        <f t="shared" ref="G235:G243" si="69">MAX($D235*(1+V235+AB235*($C235="R"))+P235+AB235*($C235="A"),0)</f>
        <v>100</v>
      </c>
      <c r="H235" s="398">
        <f t="shared" ref="H235:H243" si="70">MAX($D235*(1+W235+AC235*($C235="R"))+Q235+AC235*($C235="A"),0)</f>
        <v>100</v>
      </c>
      <c r="I235" s="398">
        <f t="shared" ref="I235:I243" si="71">MAX($D235*(1+X235+AD235*($C235="R"))+R235+AD235*($C235="A"),0)</f>
        <v>100</v>
      </c>
      <c r="J235" t="s">
        <v>1800</v>
      </c>
      <c r="L235" s="10"/>
      <c r="N235" s="99"/>
      <c r="O235" s="99"/>
      <c r="P235" s="99"/>
      <c r="Q235" s="99"/>
      <c r="R235" s="99"/>
      <c r="T235" s="99"/>
      <c r="U235" s="99"/>
      <c r="V235" s="99"/>
      <c r="W235" s="99"/>
      <c r="X235" s="99"/>
      <c r="Z235">
        <f>SUMIF(adj!$C$2:$C$1127,$A235,adj!E$2:E$1127)</f>
        <v>0</v>
      </c>
      <c r="AA235">
        <f>SUMIF(adj!$C$2:$C$1127,$A235,adj!F$2:F$1127)</f>
        <v>0</v>
      </c>
      <c r="AB235">
        <f>SUMIF(adj!$C$2:$C$1127,$A235,adj!G$2:G$1127)</f>
        <v>0</v>
      </c>
      <c r="AC235">
        <f>SUMIF(adj!$C$2:$C$1127,$A235,adj!H$2:H$1127)</f>
        <v>0</v>
      </c>
      <c r="AD235">
        <f>SUMIF(adj!$C$2:$C$1127,$A235,adj!I$2:I$1127)</f>
        <v>0</v>
      </c>
    </row>
    <row r="236" spans="1:30">
      <c r="A236" s="573">
        <v>191</v>
      </c>
      <c r="B236" t="s">
        <v>2921</v>
      </c>
      <c r="C236" t="s">
        <v>1483</v>
      </c>
      <c r="D236">
        <v>100</v>
      </c>
      <c r="E236" s="398">
        <f t="shared" ca="1" si="67"/>
        <v>95.020544925599637</v>
      </c>
      <c r="F236" s="398">
        <f t="shared" ca="1" si="68"/>
        <v>95.020544925599637</v>
      </c>
      <c r="G236" s="398">
        <f t="shared" ca="1" si="69"/>
        <v>95.020544925599637</v>
      </c>
      <c r="H236" s="398">
        <f t="shared" ca="1" si="70"/>
        <v>95.020544925599637</v>
      </c>
      <c r="I236" s="398">
        <f t="shared" ca="1" si="71"/>
        <v>95.020544925599637</v>
      </c>
      <c r="J236" t="s">
        <v>1801</v>
      </c>
      <c r="L236" s="10"/>
      <c r="N236" s="99"/>
      <c r="O236" s="99"/>
      <c r="P236" s="99"/>
      <c r="Q236" s="99"/>
      <c r="R236" s="99"/>
      <c r="T236" s="99"/>
      <c r="U236" s="99"/>
      <c r="V236" s="99"/>
      <c r="W236" s="99"/>
      <c r="X236" s="99"/>
      <c r="Z236">
        <f ca="1">SUMIF(adj!$C$2:$C$1127,$A236,adj!E$2:E$1127)</f>
        <v>-4.9794550744003657E-2</v>
      </c>
      <c r="AA236">
        <f ca="1">SUMIF(adj!$C$2:$C$1127,$A236,adj!F$2:F$1127)</f>
        <v>-4.9794550744003657E-2</v>
      </c>
      <c r="AB236">
        <f ca="1">SUMIF(adj!$C$2:$C$1127,$A236,adj!G$2:G$1127)</f>
        <v>-4.9794550744003657E-2</v>
      </c>
      <c r="AC236">
        <f ca="1">SUMIF(adj!$C$2:$C$1127,$A236,adj!H$2:H$1127)</f>
        <v>-4.9794550744003657E-2</v>
      </c>
      <c r="AD236">
        <f ca="1">SUMIF(adj!$C$2:$C$1127,$A236,adj!I$2:I$1127)</f>
        <v>-4.9794550744003657E-2</v>
      </c>
    </row>
    <row r="237" spans="1:30">
      <c r="A237" s="573">
        <v>192</v>
      </c>
      <c r="B237" t="s">
        <v>2922</v>
      </c>
      <c r="C237" t="s">
        <v>1483</v>
      </c>
      <c r="D237">
        <v>100</v>
      </c>
      <c r="E237" s="398">
        <f t="shared" ca="1" si="67"/>
        <v>109.41041139347345</v>
      </c>
      <c r="F237" s="398">
        <f t="shared" ca="1" si="68"/>
        <v>109.41041139347345</v>
      </c>
      <c r="G237" s="398">
        <f t="shared" ca="1" si="69"/>
        <v>109.41041139347345</v>
      </c>
      <c r="H237" s="398">
        <f t="shared" ca="1" si="70"/>
        <v>109.41041139347345</v>
      </c>
      <c r="I237" s="398">
        <f t="shared" ca="1" si="71"/>
        <v>109.41041139347345</v>
      </c>
      <c r="J237" t="s">
        <v>1802</v>
      </c>
      <c r="L237" s="10"/>
      <c r="N237" s="99"/>
      <c r="O237" s="99"/>
      <c r="P237" s="99"/>
      <c r="Q237" s="99"/>
      <c r="R237" s="99"/>
      <c r="T237" s="99"/>
      <c r="U237" s="99"/>
      <c r="V237" s="99"/>
      <c r="W237" s="99"/>
      <c r="X237" s="99"/>
      <c r="Z237">
        <f ca="1">SUMIF(adj!$C$2:$C$1127,$A237,adj!E$2:E$1127)</f>
        <v>9.4104113934734418E-2</v>
      </c>
      <c r="AA237">
        <f ca="1">SUMIF(adj!$C$2:$C$1127,$A237,adj!F$2:F$1127)</f>
        <v>9.4104113934734418E-2</v>
      </c>
      <c r="AB237">
        <f ca="1">SUMIF(adj!$C$2:$C$1127,$A237,adj!G$2:G$1127)</f>
        <v>9.4104113934734418E-2</v>
      </c>
      <c r="AC237">
        <f ca="1">SUMIF(adj!$C$2:$C$1127,$A237,adj!H$2:H$1127)</f>
        <v>9.4104113934734418E-2</v>
      </c>
      <c r="AD237">
        <f ca="1">SUMIF(adj!$C$2:$C$1127,$A237,adj!I$2:I$1127)</f>
        <v>9.4104113934734418E-2</v>
      </c>
    </row>
    <row r="238" spans="1:30">
      <c r="A238" s="573">
        <v>193</v>
      </c>
      <c r="B238" t="s">
        <v>3560</v>
      </c>
      <c r="C238" t="s">
        <v>1483</v>
      </c>
      <c r="D238">
        <v>100</v>
      </c>
      <c r="E238" s="398">
        <f t="shared" si="67"/>
        <v>100</v>
      </c>
      <c r="F238" s="398">
        <f t="shared" si="68"/>
        <v>100</v>
      </c>
      <c r="G238" s="398">
        <f t="shared" si="69"/>
        <v>100</v>
      </c>
      <c r="H238" s="398">
        <f t="shared" si="70"/>
        <v>100</v>
      </c>
      <c r="I238" s="398">
        <f t="shared" si="71"/>
        <v>100</v>
      </c>
      <c r="J238" t="s">
        <v>1803</v>
      </c>
      <c r="L238" s="10"/>
      <c r="N238" s="99"/>
      <c r="O238" s="99"/>
      <c r="P238" s="99"/>
      <c r="Q238" s="99"/>
      <c r="R238" s="99"/>
      <c r="T238" s="99"/>
      <c r="U238" s="99"/>
      <c r="V238" s="99"/>
      <c r="W238" s="99"/>
      <c r="X238" s="99"/>
      <c r="Z238">
        <f>SUMIF(adj!$C$2:$C$1127,$A238,adj!E$2:E$1127)</f>
        <v>0</v>
      </c>
      <c r="AA238">
        <f>SUMIF(adj!$C$2:$C$1127,$A238,adj!F$2:F$1127)</f>
        <v>0</v>
      </c>
      <c r="AB238">
        <f>SUMIF(adj!$C$2:$C$1127,$A238,adj!G$2:G$1127)</f>
        <v>0</v>
      </c>
      <c r="AC238">
        <f>SUMIF(adj!$C$2:$C$1127,$A238,adj!H$2:H$1127)</f>
        <v>0</v>
      </c>
      <c r="AD238">
        <f>SUMIF(adj!$C$2:$C$1127,$A238,adj!I$2:I$1127)</f>
        <v>0</v>
      </c>
    </row>
    <row r="239" spans="1:30">
      <c r="A239" s="573">
        <v>194</v>
      </c>
      <c r="B239" t="s">
        <v>990</v>
      </c>
      <c r="C239" t="s">
        <v>1483</v>
      </c>
      <c r="D239">
        <v>100</v>
      </c>
      <c r="E239" s="398">
        <f t="shared" si="67"/>
        <v>100</v>
      </c>
      <c r="F239" s="398">
        <f t="shared" si="68"/>
        <v>100</v>
      </c>
      <c r="G239" s="398">
        <f t="shared" si="69"/>
        <v>100</v>
      </c>
      <c r="H239" s="398">
        <f t="shared" si="70"/>
        <v>100</v>
      </c>
      <c r="I239" s="398">
        <f t="shared" si="71"/>
        <v>100</v>
      </c>
      <c r="J239" t="s">
        <v>1143</v>
      </c>
      <c r="L239" s="10"/>
      <c r="N239" s="99"/>
      <c r="O239" s="99"/>
      <c r="P239" s="99"/>
      <c r="Q239" s="99"/>
      <c r="R239" s="99"/>
      <c r="T239" s="99"/>
      <c r="U239" s="99"/>
      <c r="V239" s="99"/>
      <c r="W239" s="99"/>
      <c r="X239" s="99"/>
      <c r="Z239">
        <f>SUMIF(adj!$C$2:$C$1127,$A239,adj!E$2:E$1127)</f>
        <v>0</v>
      </c>
      <c r="AA239">
        <f>SUMIF(adj!$C$2:$C$1127,$A239,adj!F$2:F$1127)</f>
        <v>0</v>
      </c>
      <c r="AB239">
        <f>SUMIF(adj!$C$2:$C$1127,$A239,adj!G$2:G$1127)</f>
        <v>0</v>
      </c>
      <c r="AC239">
        <f>SUMIF(adj!$C$2:$C$1127,$A239,adj!H$2:H$1127)</f>
        <v>0</v>
      </c>
      <c r="AD239">
        <f>SUMIF(adj!$C$2:$C$1127,$A239,adj!I$2:I$1127)</f>
        <v>0</v>
      </c>
    </row>
    <row r="240" spans="1:30">
      <c r="A240" s="573">
        <v>195</v>
      </c>
      <c r="B240" t="s">
        <v>991</v>
      </c>
      <c r="C240" t="s">
        <v>1483</v>
      </c>
      <c r="D240">
        <v>100</v>
      </c>
      <c r="E240" s="398">
        <f t="shared" si="67"/>
        <v>100</v>
      </c>
      <c r="F240" s="398">
        <f t="shared" si="68"/>
        <v>100</v>
      </c>
      <c r="G240" s="398">
        <f t="shared" si="69"/>
        <v>100</v>
      </c>
      <c r="H240" s="398">
        <f t="shared" si="70"/>
        <v>100</v>
      </c>
      <c r="I240" s="398">
        <f t="shared" si="71"/>
        <v>100</v>
      </c>
      <c r="J240" t="s">
        <v>1144</v>
      </c>
      <c r="L240" s="10"/>
      <c r="N240" s="99"/>
      <c r="O240" s="99"/>
      <c r="P240" s="99"/>
      <c r="Q240" s="99"/>
      <c r="R240" s="99"/>
      <c r="T240" s="99"/>
      <c r="U240" s="99"/>
      <c r="V240" s="99"/>
      <c r="W240" s="99"/>
      <c r="X240" s="99"/>
      <c r="Z240">
        <f>SUMIF(adj!$C$2:$C$1127,$A240,adj!E$2:E$1127)</f>
        <v>0</v>
      </c>
      <c r="AA240">
        <f>SUMIF(adj!$C$2:$C$1127,$A240,adj!F$2:F$1127)</f>
        <v>0</v>
      </c>
      <c r="AB240">
        <f>SUMIF(adj!$C$2:$C$1127,$A240,adj!G$2:G$1127)</f>
        <v>0</v>
      </c>
      <c r="AC240">
        <f>SUMIF(adj!$C$2:$C$1127,$A240,adj!H$2:H$1127)</f>
        <v>0</v>
      </c>
      <c r="AD240">
        <f>SUMIF(adj!$C$2:$C$1127,$A240,adj!I$2:I$1127)</f>
        <v>0</v>
      </c>
    </row>
    <row r="241" spans="1:30">
      <c r="A241" s="573">
        <v>196</v>
      </c>
      <c r="B241" t="s">
        <v>3561</v>
      </c>
      <c r="C241" t="s">
        <v>1483</v>
      </c>
      <c r="D241">
        <v>100</v>
      </c>
      <c r="E241" s="398">
        <f t="shared" si="67"/>
        <v>103.30749999999999</v>
      </c>
      <c r="F241" s="398">
        <f t="shared" si="68"/>
        <v>103.30749999999999</v>
      </c>
      <c r="G241" s="398">
        <f t="shared" si="69"/>
        <v>103.30749999999999</v>
      </c>
      <c r="H241" s="398">
        <f t="shared" si="70"/>
        <v>103.30749999999999</v>
      </c>
      <c r="I241" s="398">
        <f t="shared" si="71"/>
        <v>103.30749999999999</v>
      </c>
      <c r="J241" t="s">
        <v>1145</v>
      </c>
      <c r="L241" s="10"/>
      <c r="N241" s="99"/>
      <c r="O241" s="99"/>
      <c r="P241" s="99"/>
      <c r="Q241" s="99"/>
      <c r="R241" s="99"/>
      <c r="T241" s="99"/>
      <c r="U241" s="99"/>
      <c r="V241" s="99"/>
      <c r="W241" s="99"/>
      <c r="X241" s="99"/>
      <c r="Z241">
        <f>SUMIF(adj!$C$2:$C$1127,$A241,adj!E$2:E$1127)</f>
        <v>3.3075E-2</v>
      </c>
      <c r="AA241">
        <f>SUMIF(adj!$C$2:$C$1127,$A241,adj!F$2:F$1127)</f>
        <v>3.3075E-2</v>
      </c>
      <c r="AB241">
        <f>SUMIF(adj!$C$2:$C$1127,$A241,adj!G$2:G$1127)</f>
        <v>3.3075E-2</v>
      </c>
      <c r="AC241">
        <f>SUMIF(adj!$C$2:$C$1127,$A241,adj!H$2:H$1127)</f>
        <v>3.3075E-2</v>
      </c>
      <c r="AD241">
        <f>SUMIF(adj!$C$2:$C$1127,$A241,adj!I$2:I$1127)</f>
        <v>3.3075E-2</v>
      </c>
    </row>
    <row r="242" spans="1:30">
      <c r="A242" s="573">
        <v>197</v>
      </c>
      <c r="B242" t="s">
        <v>1798</v>
      </c>
      <c r="C242" t="s">
        <v>1483</v>
      </c>
      <c r="D242">
        <v>100</v>
      </c>
      <c r="E242" s="398">
        <f>MAX($D242*(1+T242+Z242*($C242="R"))+N242+Z242*($C242="A"),0)</f>
        <v>96.437987579450862</v>
      </c>
      <c r="F242" s="398">
        <f t="shared" si="68"/>
        <v>96.437987579450862</v>
      </c>
      <c r="G242" s="398">
        <f t="shared" si="69"/>
        <v>96.437987579450862</v>
      </c>
      <c r="H242" s="398">
        <f t="shared" si="70"/>
        <v>96.437987579450862</v>
      </c>
      <c r="I242" s="398">
        <f t="shared" si="71"/>
        <v>96.437987579450862</v>
      </c>
      <c r="J242" t="s">
        <v>536</v>
      </c>
      <c r="L242" s="10"/>
      <c r="N242" s="99"/>
      <c r="O242" s="99"/>
      <c r="P242" s="99"/>
      <c r="Q242" s="99"/>
      <c r="R242" s="99"/>
      <c r="T242" s="99"/>
      <c r="U242" s="99"/>
      <c r="V242" s="99"/>
      <c r="W242" s="99"/>
      <c r="X242" s="99"/>
      <c r="Z242">
        <f>SUMIF(adj!$C$2:$C$1127,$A242,adj!E$2:E$1127)</f>
        <v>-3.5620124205491488E-2</v>
      </c>
      <c r="AA242">
        <f>SUMIF(adj!$C$2:$C$1127,$A242,adj!F$2:F$1127)</f>
        <v>-3.5620124205491488E-2</v>
      </c>
      <c r="AB242">
        <f>SUMIF(adj!$C$2:$C$1127,$A242,adj!G$2:G$1127)</f>
        <v>-3.5620124205491488E-2</v>
      </c>
      <c r="AC242">
        <f>SUMIF(adj!$C$2:$C$1127,$A242,adj!H$2:H$1127)</f>
        <v>-3.5620124205491488E-2</v>
      </c>
      <c r="AD242">
        <f>SUMIF(adj!$C$2:$C$1127,$A242,adj!I$2:I$1127)</f>
        <v>-3.5620124205491488E-2</v>
      </c>
    </row>
    <row r="243" spans="1:30">
      <c r="A243" s="573">
        <v>198</v>
      </c>
      <c r="B243" t="s">
        <v>1799</v>
      </c>
      <c r="C243" t="s">
        <v>1483</v>
      </c>
      <c r="D243">
        <v>100</v>
      </c>
      <c r="E243" s="398">
        <f>MAX($D243*(1+T243+Z243*($C243="R"))+N243+Z243*($C243="A"),0)</f>
        <v>100</v>
      </c>
      <c r="F243" s="398">
        <f t="shared" si="68"/>
        <v>100</v>
      </c>
      <c r="G243" s="398">
        <f t="shared" si="69"/>
        <v>100</v>
      </c>
      <c r="H243" s="398">
        <f t="shared" si="70"/>
        <v>100</v>
      </c>
      <c r="I243" s="398">
        <f t="shared" si="71"/>
        <v>100</v>
      </c>
      <c r="J243" t="s">
        <v>537</v>
      </c>
      <c r="L243" s="10"/>
      <c r="N243" s="99"/>
      <c r="O243" s="99"/>
      <c r="P243" s="99"/>
      <c r="Q243" s="99"/>
      <c r="R243" s="99"/>
      <c r="T243" s="99"/>
      <c r="U243" s="99"/>
      <c r="V243" s="99"/>
      <c r="W243" s="99"/>
      <c r="X243" s="99"/>
      <c r="Z243">
        <f>SUMIF(adj!$C$2:$C$1127,$A243,adj!E$2:E$1127)</f>
        <v>0</v>
      </c>
      <c r="AA243">
        <f>SUMIF(adj!$C$2:$C$1127,$A243,adj!F$2:F$1127)</f>
        <v>0</v>
      </c>
      <c r="AB243">
        <f>SUMIF(adj!$C$2:$C$1127,$A243,adj!G$2:G$1127)</f>
        <v>0</v>
      </c>
      <c r="AC243">
        <f>SUMIF(adj!$C$2:$C$1127,$A243,adj!H$2:H$1127)</f>
        <v>0</v>
      </c>
      <c r="AD243">
        <f>SUMIF(adj!$C$2:$C$1127,$A243,adj!I$2:I$1127)</f>
        <v>0</v>
      </c>
    </row>
    <row r="244" spans="1:30">
      <c r="A244" s="573">
        <v>199</v>
      </c>
      <c r="B244" s="2" t="s">
        <v>3283</v>
      </c>
      <c r="L244" s="10"/>
      <c r="Z244">
        <f>SUMIF(adj!$C$2:$C$1127,$A244,adj!E$2:E$1127)</f>
        <v>0</v>
      </c>
      <c r="AA244">
        <f>SUMIF(adj!$C$2:$C$1127,$A244,adj!F$2:F$1127)</f>
        <v>0</v>
      </c>
      <c r="AB244">
        <f>SUMIF(adj!$C$2:$C$1127,$A244,adj!G$2:G$1127)</f>
        <v>0</v>
      </c>
      <c r="AC244">
        <f>SUMIF(adj!$C$2:$C$1127,$A244,adj!H$2:H$1127)</f>
        <v>0</v>
      </c>
      <c r="AD244">
        <f>SUMIF(adj!$C$2:$C$1127,$A244,adj!I$2:I$1127)</f>
        <v>0</v>
      </c>
    </row>
    <row r="245" spans="1:30">
      <c r="A245" s="573">
        <v>201</v>
      </c>
      <c r="B245" t="s">
        <v>4011</v>
      </c>
      <c r="C245" t="s">
        <v>3414</v>
      </c>
      <c r="D245">
        <v>0</v>
      </c>
      <c r="E245" s="398">
        <f t="shared" ref="E245:I247" si="72">$D245*(1+T245+Z245*($C245="R"))+N245+Z245*($C245="A")</f>
        <v>15</v>
      </c>
      <c r="F245" s="398">
        <f t="shared" si="72"/>
        <v>15</v>
      </c>
      <c r="G245" s="398">
        <f t="shared" si="72"/>
        <v>15</v>
      </c>
      <c r="H245" s="398">
        <f t="shared" si="72"/>
        <v>15</v>
      </c>
      <c r="I245" s="398">
        <f t="shared" si="72"/>
        <v>15</v>
      </c>
      <c r="J245" t="s">
        <v>3279</v>
      </c>
      <c r="L245" s="10"/>
      <c r="N245" s="99"/>
      <c r="O245" s="99"/>
      <c r="P245" s="99"/>
      <c r="Q245" s="99"/>
      <c r="R245" s="99"/>
      <c r="T245" s="99"/>
      <c r="U245" s="99"/>
      <c r="V245" s="99"/>
      <c r="W245" s="99"/>
      <c r="X245" s="99"/>
      <c r="Z245">
        <f>SUMIF(adj!$C$2:$C$1127,$A245,adj!E$2:E$1127)</f>
        <v>15</v>
      </c>
      <c r="AA245">
        <f>SUMIF(adj!$C$2:$C$1127,$A245,adj!F$2:F$1127)</f>
        <v>15</v>
      </c>
      <c r="AB245">
        <f>SUMIF(adj!$C$2:$C$1127,$A245,adj!G$2:G$1127)</f>
        <v>15</v>
      </c>
      <c r="AC245">
        <f>SUMIF(adj!$C$2:$C$1127,$A245,adj!H$2:H$1127)</f>
        <v>15</v>
      </c>
      <c r="AD245">
        <f>SUMIF(adj!$C$2:$C$1127,$A245,adj!I$2:I$1127)</f>
        <v>15</v>
      </c>
    </row>
    <row r="246" spans="1:30">
      <c r="A246" s="573">
        <v>202</v>
      </c>
      <c r="B246" s="905" t="s">
        <v>4093</v>
      </c>
      <c r="C246" t="s">
        <v>3414</v>
      </c>
      <c r="D246">
        <v>0</v>
      </c>
      <c r="E246" s="398">
        <f t="shared" si="72"/>
        <v>12.5</v>
      </c>
      <c r="F246" s="398">
        <f>$D246*(1+U246+AA246*($C246="R"))+O246+AA246*($C246="A")</f>
        <v>12.5</v>
      </c>
      <c r="G246" s="398">
        <f t="shared" si="72"/>
        <v>12.5</v>
      </c>
      <c r="H246" s="398">
        <f t="shared" si="72"/>
        <v>12.5</v>
      </c>
      <c r="I246" s="398">
        <f t="shared" si="72"/>
        <v>12.5</v>
      </c>
      <c r="J246" t="s">
        <v>3280</v>
      </c>
      <c r="N246" s="99"/>
      <c r="O246" s="99"/>
      <c r="P246" s="99"/>
      <c r="Q246" s="99"/>
      <c r="R246" s="99"/>
      <c r="T246" s="99"/>
      <c r="U246" s="99"/>
      <c r="V246" s="99"/>
      <c r="W246" s="99"/>
      <c r="X246" s="99"/>
      <c r="Z246">
        <f>SUMIF(adj!$C$2:$C$1127,$A246,adj!E$2:E$1127)</f>
        <v>12.5</v>
      </c>
      <c r="AA246">
        <f>SUMIF(adj!$C$2:$C$1127,$A246,adj!F$2:F$1127)</f>
        <v>12.5</v>
      </c>
      <c r="AB246">
        <f>SUMIF(adj!$C$2:$C$1127,$A246,adj!G$2:G$1127)</f>
        <v>12.5</v>
      </c>
      <c r="AC246">
        <f>SUMIF(adj!$C$2:$C$1127,$A246,adj!H$2:H$1127)</f>
        <v>12.5</v>
      </c>
      <c r="AD246">
        <f>SUMIF(adj!$C$2:$C$1127,$A246,adj!I$2:I$1127)</f>
        <v>12.5</v>
      </c>
    </row>
    <row r="247" spans="1:30">
      <c r="A247" s="573">
        <v>203</v>
      </c>
      <c r="B247" s="905" t="s">
        <v>4013</v>
      </c>
      <c r="C247" t="s">
        <v>3414</v>
      </c>
      <c r="D247">
        <v>0</v>
      </c>
      <c r="E247" s="398">
        <f t="shared" si="72"/>
        <v>24.5</v>
      </c>
      <c r="F247" s="398">
        <f t="shared" si="72"/>
        <v>24.5</v>
      </c>
      <c r="G247" s="398">
        <f t="shared" si="72"/>
        <v>24.5</v>
      </c>
      <c r="H247" s="398">
        <f t="shared" si="72"/>
        <v>24.5</v>
      </c>
      <c r="I247" s="398">
        <f t="shared" si="72"/>
        <v>24.5</v>
      </c>
      <c r="J247" t="s">
        <v>3281</v>
      </c>
      <c r="N247" s="99"/>
      <c r="O247" s="99"/>
      <c r="P247" s="99"/>
      <c r="Q247" s="99"/>
      <c r="R247" s="99"/>
      <c r="T247" s="99"/>
      <c r="U247" s="99"/>
      <c r="V247" s="99"/>
      <c r="W247" s="99"/>
      <c r="X247" s="99"/>
      <c r="Z247">
        <f>SUMIF(adj!$C$2:$C$1127,$A247,adj!E$2:E$1127)</f>
        <v>24.5</v>
      </c>
      <c r="AA247">
        <f>SUMIF(adj!$C$2:$C$1127,$A247,adj!F$2:F$1127)</f>
        <v>24.5</v>
      </c>
      <c r="AB247">
        <f>SUMIF(adj!$C$2:$C$1127,$A247,adj!G$2:G$1127)</f>
        <v>24.5</v>
      </c>
      <c r="AC247">
        <f>SUMIF(adj!$C$2:$C$1127,$A247,adj!H$2:H$1127)</f>
        <v>24.5</v>
      </c>
      <c r="AD247">
        <f>SUMIF(adj!$C$2:$C$1127,$A247,adj!I$2:I$1127)</f>
        <v>24.5</v>
      </c>
    </row>
    <row r="248" spans="1:30">
      <c r="A248" s="573">
        <v>204</v>
      </c>
      <c r="B248" s="905" t="s">
        <v>4012</v>
      </c>
      <c r="C248" t="s">
        <v>3414</v>
      </c>
      <c r="D248">
        <v>0</v>
      </c>
      <c r="E248" s="398">
        <f>$D248*(1+T248+Z248*($C248="R"))+N248+Z248*($C248="A")</f>
        <v>1</v>
      </c>
      <c r="F248" s="398">
        <f>$D248*(1+U248+AA248*($C248="R"))+O248+AA248*($C248="A")</f>
        <v>1</v>
      </c>
      <c r="G248" s="398">
        <f>$D248*(1+V248+AB248*($C248="R"))+P248+AB248*($C248="A")</f>
        <v>1</v>
      </c>
      <c r="H248" s="398">
        <f>$D248*(1+W248+AC248*($C248="R"))+Q248+AC248*($C248="A")</f>
        <v>1</v>
      </c>
      <c r="I248" s="398">
        <f>$D248*(1+X248+AD248*($C248="R"))+R248+AD248*($C248="A")</f>
        <v>1</v>
      </c>
      <c r="J248" s="905" t="s">
        <v>4094</v>
      </c>
      <c r="N248" s="99"/>
      <c r="O248" s="99"/>
      <c r="P248" s="99"/>
      <c r="Q248" s="99"/>
      <c r="R248" s="99"/>
      <c r="T248" s="99"/>
      <c r="U248" s="99"/>
      <c r="V248" s="99"/>
      <c r="W248" s="99"/>
      <c r="X248" s="99"/>
      <c r="Z248">
        <f>SUMIF(adj!$C$2:$C$1127,$A248,adj!E$2:E$1127)</f>
        <v>1</v>
      </c>
      <c r="AA248">
        <f>SUMIF(adj!$C$2:$C$1127,$A248,adj!F$2:F$1127)</f>
        <v>1</v>
      </c>
      <c r="AB248">
        <f>SUMIF(adj!$C$2:$C$1127,$A248,adj!G$2:G$1127)</f>
        <v>1</v>
      </c>
      <c r="AC248">
        <f>SUMIF(adj!$C$2:$C$1127,$A248,adj!H$2:H$1127)</f>
        <v>1</v>
      </c>
      <c r="AD248">
        <f>SUMIF(adj!$C$2:$C$1127,$A248,adj!I$2:I$1127)</f>
        <v>1</v>
      </c>
    </row>
    <row r="249" spans="1:30">
      <c r="Z249">
        <f>SUMIF(adj!$C$2:$C$1127,$A249,adj!E$2:E$1127)</f>
        <v>0</v>
      </c>
      <c r="AA249">
        <f>SUMIF(adj!$C$2:$C$1127,$A249,adj!F$2:F$1127)</f>
        <v>0</v>
      </c>
      <c r="AB249">
        <f>SUMIF(adj!$C$2:$C$1127,$A249,adj!G$2:G$1127)</f>
        <v>0</v>
      </c>
      <c r="AC249">
        <f>SUMIF(adj!$C$2:$C$1127,$A249,adj!H$2:H$1127)</f>
        <v>0</v>
      </c>
      <c r="AD249">
        <f>SUMIF(adj!$C$2:$C$1127,$A249,adj!I$2:I$1127)</f>
        <v>0</v>
      </c>
    </row>
    <row r="250" spans="1:30">
      <c r="Z250">
        <f>SUMIF(adj!$C$2:$C$1127,$A250,adj!E$2:E$1127)</f>
        <v>0</v>
      </c>
      <c r="AA250">
        <f>SUMIF(adj!$C$2:$C$1127,$A250,adj!F$2:F$1127)</f>
        <v>0</v>
      </c>
      <c r="AB250">
        <f>SUMIF(adj!$C$2:$C$1127,$A250,adj!G$2:G$1127)</f>
        <v>0</v>
      </c>
      <c r="AC250">
        <f>SUMIF(adj!$C$2:$C$1127,$A250,adj!H$2:H$1127)</f>
        <v>0</v>
      </c>
      <c r="AD250">
        <f>SUMIF(adj!$C$2:$C$1127,$A250,adj!I$2:I$1127)</f>
        <v>0</v>
      </c>
    </row>
    <row r="251" spans="1:30">
      <c r="Z251">
        <f>SUMIF(adj!$C$2:$C$1127,$A251,adj!E$2:E$1127)</f>
        <v>0</v>
      </c>
      <c r="AA251">
        <f>SUMIF(adj!$C$2:$C$1127,$A251,adj!F$2:F$1127)</f>
        <v>0</v>
      </c>
      <c r="AB251">
        <f>SUMIF(adj!$C$2:$C$1127,$A251,adj!G$2:G$1127)</f>
        <v>0</v>
      </c>
      <c r="AC251">
        <f>SUMIF(adj!$C$2:$C$1127,$A251,adj!H$2:H$1127)</f>
        <v>0</v>
      </c>
      <c r="AD251">
        <f>SUMIF(adj!$C$2:$C$1127,$A251,adj!I$2:I$1127)</f>
        <v>0</v>
      </c>
    </row>
    <row r="252" spans="1:30">
      <c r="Z252">
        <f>SUMIF(adj!$C$2:$C$1127,$A252,adj!E$2:E$1127)</f>
        <v>0</v>
      </c>
      <c r="AA252">
        <f>SUMIF(adj!$C$2:$C$1127,$A252,adj!F$2:F$1127)</f>
        <v>0</v>
      </c>
      <c r="AB252">
        <f>SUMIF(adj!$C$2:$C$1127,$A252,adj!G$2:G$1127)</f>
        <v>0</v>
      </c>
      <c r="AC252">
        <f>SUMIF(adj!$C$2:$C$1127,$A252,adj!H$2:H$1127)</f>
        <v>0</v>
      </c>
      <c r="AD252">
        <f>SUMIF(adj!$C$2:$C$1127,$A252,adj!I$2:I$1127)</f>
        <v>0</v>
      </c>
    </row>
    <row r="253" spans="1:30">
      <c r="Z253">
        <f>SUMIF(adj!$C$2:$C$1127,$A253,adj!E$2:E$1127)</f>
        <v>0</v>
      </c>
      <c r="AA253">
        <f>SUMIF(adj!$C$2:$C$1127,$A253,adj!F$2:F$1127)</f>
        <v>0</v>
      </c>
      <c r="AB253">
        <f>SUMIF(adj!$C$2:$C$1127,$A253,adj!G$2:G$1127)</f>
        <v>0</v>
      </c>
      <c r="AC253">
        <f>SUMIF(adj!$C$2:$C$1127,$A253,adj!H$2:H$1127)</f>
        <v>0</v>
      </c>
      <c r="AD253">
        <f>SUMIF(adj!$C$2:$C$1127,$A253,adj!I$2:I$1127)</f>
        <v>0</v>
      </c>
    </row>
    <row r="254" spans="1:30">
      <c r="Z254">
        <f>SUMIF(adj!$C$2:$C$1127,$A254,adj!E$2:E$1127)</f>
        <v>0</v>
      </c>
      <c r="AA254">
        <f>SUMIF(adj!$C$2:$C$1127,$A254,adj!F$2:F$1127)</f>
        <v>0</v>
      </c>
      <c r="AB254">
        <f>SUMIF(adj!$C$2:$C$1127,$A254,adj!G$2:G$1127)</f>
        <v>0</v>
      </c>
      <c r="AC254">
        <f>SUMIF(adj!$C$2:$C$1127,$A254,adj!H$2:H$1127)</f>
        <v>0</v>
      </c>
      <c r="AD254">
        <f>SUMIF(adj!$C$2:$C$1127,$A254,adj!I$2:I$1127)</f>
        <v>0</v>
      </c>
    </row>
    <row r="255" spans="1:30">
      <c r="Z255">
        <f>SUMIF(adj!$C$2:$C$1127,$A255,adj!E$2:E$1127)</f>
        <v>0</v>
      </c>
      <c r="AA255">
        <f>SUMIF(adj!$C$2:$C$1127,$A255,adj!F$2:F$1127)</f>
        <v>0</v>
      </c>
      <c r="AB255">
        <f>SUMIF(adj!$C$2:$C$1127,$A255,adj!G$2:G$1127)</f>
        <v>0</v>
      </c>
      <c r="AC255">
        <f>SUMIF(adj!$C$2:$C$1127,$A255,adj!H$2:H$1127)</f>
        <v>0</v>
      </c>
      <c r="AD255">
        <f>SUMIF(adj!$C$2:$C$1127,$A255,adj!I$2:I$1127)</f>
        <v>0</v>
      </c>
    </row>
    <row r="256" spans="1:30">
      <c r="Z256">
        <f>SUMIF(adj!$C$2:$C$1127,$A256,adj!E$2:E$1127)</f>
        <v>0</v>
      </c>
      <c r="AA256">
        <f>SUMIF(adj!$C$2:$C$1127,$A256,adj!F$2:F$1127)</f>
        <v>0</v>
      </c>
      <c r="AB256">
        <f>SUMIF(adj!$C$2:$C$1127,$A256,adj!G$2:G$1127)</f>
        <v>0</v>
      </c>
      <c r="AC256">
        <f>SUMIF(adj!$C$2:$C$1127,$A256,adj!H$2:H$1127)</f>
        <v>0</v>
      </c>
      <c r="AD256">
        <f>SUMIF(adj!$C$2:$C$1127,$A256,adj!I$2:I$1127)</f>
        <v>0</v>
      </c>
    </row>
    <row r="257" spans="1:30">
      <c r="Z257">
        <f>SUMIF(adj!$C$2:$C$1127,$A257,adj!E$2:E$1127)</f>
        <v>0</v>
      </c>
      <c r="AA257">
        <f>SUMIF(adj!$C$2:$C$1127,$A257,adj!F$2:F$1127)</f>
        <v>0</v>
      </c>
      <c r="AB257">
        <f>SUMIF(adj!$C$2:$C$1127,$A257,adj!G$2:G$1127)</f>
        <v>0</v>
      </c>
      <c r="AC257">
        <f>SUMIF(adj!$C$2:$C$1127,$A257,adj!H$2:H$1127)</f>
        <v>0</v>
      </c>
      <c r="AD257">
        <f>SUMIF(adj!$C$2:$C$1127,$A257,adj!I$2:I$1127)</f>
        <v>0</v>
      </c>
    </row>
    <row r="258" spans="1:30">
      <c r="Z258">
        <f>SUMIF(adj!$C$2:$C$1127,$A258,adj!E$2:E$1127)</f>
        <v>0</v>
      </c>
      <c r="AA258">
        <f>SUMIF(adj!$C$2:$C$1127,$A258,adj!F$2:F$1127)</f>
        <v>0</v>
      </c>
      <c r="AB258">
        <f>SUMIF(adj!$C$2:$C$1127,$A258,adj!G$2:G$1127)</f>
        <v>0</v>
      </c>
      <c r="AC258">
        <f>SUMIF(adj!$C$2:$C$1127,$A258,adj!H$2:H$1127)</f>
        <v>0</v>
      </c>
      <c r="AD258">
        <f>SUMIF(adj!$C$2:$C$1127,$A258,adj!I$2:I$1127)</f>
        <v>0</v>
      </c>
    </row>
    <row r="259" spans="1:30">
      <c r="Z259">
        <f>SUMIF(adj!$C$2:$C$1127,$A259,adj!E$2:E$1127)</f>
        <v>0</v>
      </c>
      <c r="AA259">
        <f>SUMIF(adj!$C$2:$C$1127,$A259,adj!F$2:F$1127)</f>
        <v>0</v>
      </c>
      <c r="AB259">
        <f>SUMIF(adj!$C$2:$C$1127,$A259,adj!G$2:G$1127)</f>
        <v>0</v>
      </c>
      <c r="AC259">
        <f>SUMIF(adj!$C$2:$C$1127,$A259,adj!H$2:H$1127)</f>
        <v>0</v>
      </c>
      <c r="AD259">
        <f>SUMIF(adj!$C$2:$C$1127,$A259,adj!I$2:I$1127)</f>
        <v>0</v>
      </c>
    </row>
    <row r="260" spans="1:30">
      <c r="A260" s="577"/>
      <c r="B260" s="128"/>
      <c r="C260" s="128"/>
      <c r="D260" s="128"/>
      <c r="E260" s="128"/>
      <c r="F260" s="128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T260" s="128"/>
      <c r="U260" s="128"/>
      <c r="V260" s="128"/>
      <c r="W260" s="128"/>
      <c r="X260" s="128"/>
      <c r="Y260" s="128"/>
      <c r="Z260" s="128"/>
      <c r="AA260" s="128"/>
      <c r="AB260" s="128"/>
      <c r="AC260" s="128"/>
      <c r="AD260" s="128"/>
    </row>
  </sheetData>
  <phoneticPr fontId="0" type="noConversion"/>
  <pageMargins left="0.5" right="0.5" top="0.5" bottom="0.5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sis">
    <tabColor indexed="8"/>
  </sheetPr>
  <dimension ref="A1:R901"/>
  <sheetViews>
    <sheetView topLeftCell="A157" zoomScaleNormal="100" zoomScaleSheetLayoutView="100" workbookViewId="0">
      <selection activeCell="E257" sqref="E257"/>
    </sheetView>
  </sheetViews>
  <sheetFormatPr defaultRowHeight="11.25"/>
  <cols>
    <col min="1" max="1" width="4.5" customWidth="1"/>
    <col min="2" max="2" width="17.6640625" customWidth="1"/>
    <col min="3" max="3" width="15.5" bestFit="1" customWidth="1"/>
    <col min="5" max="9" width="16.1640625" bestFit="1" customWidth="1"/>
    <col min="10" max="10" width="14.1640625" style="21" bestFit="1" customWidth="1"/>
    <col min="11" max="11" width="16.1640625" bestFit="1" customWidth="1"/>
    <col min="19" max="19" width="10.33203125" customWidth="1"/>
  </cols>
  <sheetData>
    <row r="1" spans="1:18" ht="15.75">
      <c r="A1" s="537" t="s">
        <v>3380</v>
      </c>
      <c r="B1" s="194"/>
      <c r="C1" s="194"/>
      <c r="D1" s="194"/>
      <c r="E1" s="194"/>
      <c r="F1" s="194"/>
      <c r="G1" s="194"/>
      <c r="H1" s="194"/>
      <c r="I1" s="194"/>
      <c r="J1" s="194"/>
      <c r="K1" s="788">
        <f ca="1">NOW()</f>
        <v>43261.730773379626</v>
      </c>
    </row>
    <row r="2" spans="1:18">
      <c r="A2" s="132"/>
      <c r="B2" s="21"/>
      <c r="C2" s="21"/>
      <c r="D2" s="21"/>
      <c r="E2" s="21"/>
      <c r="F2" s="21"/>
      <c r="G2" s="21"/>
      <c r="H2" s="21"/>
      <c r="I2" s="21"/>
      <c r="K2" s="133"/>
    </row>
    <row r="3" spans="1:18">
      <c r="A3" s="132"/>
      <c r="B3" s="21" t="s">
        <v>1400</v>
      </c>
      <c r="C3" s="21"/>
      <c r="D3" s="21"/>
      <c r="E3" s="730">
        <f>decTeamNumber</f>
        <v>1</v>
      </c>
      <c r="F3" s="730">
        <f>decTeamNumber</f>
        <v>1</v>
      </c>
      <c r="G3" s="730">
        <f>decTeamNumber</f>
        <v>1</v>
      </c>
      <c r="H3" s="730">
        <f>decTeamNumber</f>
        <v>1</v>
      </c>
      <c r="I3" s="730">
        <f>decTeamNumber</f>
        <v>1</v>
      </c>
      <c r="K3" s="133"/>
    </row>
    <row r="4" spans="1:18">
      <c r="A4" s="132"/>
      <c r="B4" s="21" t="s">
        <v>1401</v>
      </c>
      <c r="C4" s="21"/>
      <c r="D4" s="21"/>
      <c r="E4" s="21" t="str">
        <f>decTeamName</f>
        <v>Vivia</v>
      </c>
      <c r="F4" s="21" t="str">
        <f>decTeamName</f>
        <v>Vivia</v>
      </c>
      <c r="G4" s="21" t="str">
        <f>decTeamName</f>
        <v>Vivia</v>
      </c>
      <c r="H4" s="21" t="str">
        <f>decTeamName</f>
        <v>Vivia</v>
      </c>
      <c r="I4" s="21" t="str">
        <f>decTeamName</f>
        <v>Vivia</v>
      </c>
      <c r="K4" s="133"/>
    </row>
    <row r="5" spans="1:18" ht="5.0999999999999996" customHeight="1">
      <c r="A5" s="132"/>
      <c r="B5" s="21"/>
      <c r="C5" s="21"/>
      <c r="D5" s="21"/>
      <c r="E5" s="21"/>
      <c r="F5" s="21"/>
      <c r="G5" s="21"/>
      <c r="H5" s="21"/>
      <c r="I5" s="21"/>
      <c r="K5" s="133"/>
    </row>
    <row r="6" spans="1:18" ht="20.25">
      <c r="A6" s="538" t="s">
        <v>1042</v>
      </c>
      <c r="B6" s="539" t="s">
        <v>1042</v>
      </c>
      <c r="C6" s="539"/>
      <c r="D6" s="539"/>
      <c r="E6" s="539"/>
      <c r="F6" s="539"/>
      <c r="G6" s="539"/>
      <c r="H6" s="540"/>
      <c r="I6" s="789"/>
      <c r="J6" s="740"/>
      <c r="K6" s="799" t="str">
        <f>"Year:  " &amp; tlInputTeamYear</f>
        <v>Year:  1</v>
      </c>
    </row>
    <row r="7" spans="1:18" ht="15.75">
      <c r="A7" s="544" t="s">
        <v>1043</v>
      </c>
      <c r="B7" s="541"/>
      <c r="C7" s="541"/>
      <c r="D7" s="541"/>
      <c r="E7" s="21"/>
      <c r="F7" s="21"/>
      <c r="G7" s="1537" t="s">
        <v>3062</v>
      </c>
      <c r="H7" s="21"/>
      <c r="I7" s="21"/>
      <c r="K7" s="133"/>
    </row>
    <row r="8" spans="1:18" ht="12.75">
      <c r="A8" s="132"/>
      <c r="B8" s="1171" t="s">
        <v>974</v>
      </c>
      <c r="C8" s="1171" t="s">
        <v>1044</v>
      </c>
      <c r="D8" s="1171" t="s">
        <v>1484</v>
      </c>
      <c r="E8" s="94"/>
      <c r="F8" s="1171" t="s">
        <v>659</v>
      </c>
      <c r="G8" s="1171" t="s">
        <v>241</v>
      </c>
      <c r="H8" s="1171" t="s">
        <v>3164</v>
      </c>
      <c r="I8" s="1171" t="s">
        <v>1767</v>
      </c>
      <c r="J8" s="542"/>
      <c r="K8" s="133"/>
    </row>
    <row r="9" spans="1:18">
      <c r="A9" s="132"/>
      <c r="B9" s="88">
        <v>1</v>
      </c>
      <c r="C9" s="88" t="e">
        <f ca="1">MATCH(B9,analyrank,0)</f>
        <v>#N/A</v>
      </c>
      <c r="D9" s="38" t="e">
        <f ca="1">INDEX(decTeamName,,C9)</f>
        <v>#N/A</v>
      </c>
      <c r="F9" s="1406" t="e">
        <f ca="1">HLOOKUP($D9,feedbackTS!$E$470:$I$474,2+xxYear,0)</f>
        <v>#N/A</v>
      </c>
      <c r="G9" s="1304" t="e">
        <f ca="1">HLOOKUP($C9,$E$16:$I$28,5,0)</f>
        <v>#N/A</v>
      </c>
      <c r="H9" s="1304" t="e">
        <f ca="1">HLOOKUP($C9,$E$16:$I$28,8,0)</f>
        <v>#N/A</v>
      </c>
      <c r="I9" s="1172" t="e">
        <f ca="1">HLOOKUP($C9,$E$16:$I$28,12,0)</f>
        <v>#N/A</v>
      </c>
      <c r="J9" s="738"/>
      <c r="K9" s="133"/>
    </row>
    <row r="10" spans="1:18">
      <c r="A10" s="132"/>
      <c r="B10" s="88">
        <v>2</v>
      </c>
      <c r="C10" s="88" t="e">
        <f ca="1">MATCH(B10,analyrank,0)</f>
        <v>#N/A</v>
      </c>
      <c r="D10" s="38" t="e">
        <f ca="1">INDEX(decTeamName,,C10)</f>
        <v>#N/A</v>
      </c>
      <c r="F10" s="1406" t="e">
        <f ca="1">HLOOKUP($D10,feedbackTS!$E$470:$I$474,2+xxYear,0)</f>
        <v>#N/A</v>
      </c>
      <c r="G10" s="1304" t="e">
        <f ca="1">HLOOKUP($C10,$E$16:$I$28,5,0)</f>
        <v>#N/A</v>
      </c>
      <c r="H10" s="1304" t="e">
        <f ca="1">HLOOKUP($C10,$E$16:$I$28,8,0)</f>
        <v>#N/A</v>
      </c>
      <c r="I10" s="1172" t="e">
        <f ca="1">HLOOKUP($C10,$E$16:$I$28,12,0)</f>
        <v>#N/A</v>
      </c>
      <c r="J10" s="738"/>
      <c r="K10" s="133"/>
    </row>
    <row r="11" spans="1:18">
      <c r="A11" s="132"/>
      <c r="B11" s="88">
        <v>3</v>
      </c>
      <c r="C11" s="88" t="e">
        <f ca="1">MATCH(B11,analyrank,0)</f>
        <v>#N/A</v>
      </c>
      <c r="D11" s="38" t="e">
        <f ca="1">INDEX(decTeamName,,C11)</f>
        <v>#N/A</v>
      </c>
      <c r="F11" s="1406" t="e">
        <f ca="1">HLOOKUP($D11,feedbackTS!$E$470:$I$474,2+xxYear,0)</f>
        <v>#N/A</v>
      </c>
      <c r="G11" s="1304" t="e">
        <f ca="1">HLOOKUP($C11,$E$16:$I$28,5,0)</f>
        <v>#N/A</v>
      </c>
      <c r="H11" s="1304" t="e">
        <f ca="1">HLOOKUP($C11,$E$16:$I$28,8,0)</f>
        <v>#N/A</v>
      </c>
      <c r="I11" s="1172" t="e">
        <f ca="1">HLOOKUP($C11,$E$16:$I$28,12,0)</f>
        <v>#N/A</v>
      </c>
      <c r="J11" s="738"/>
      <c r="K11" s="133"/>
      <c r="L11" s="105"/>
    </row>
    <row r="12" spans="1:18">
      <c r="A12" s="132"/>
      <c r="B12" s="88">
        <v>4</v>
      </c>
      <c r="C12" s="88" t="e">
        <f ca="1">MATCH(B12,analyrank,0)</f>
        <v>#N/A</v>
      </c>
      <c r="D12" s="38" t="e">
        <f ca="1">INDEX(decTeamName,,C12)</f>
        <v>#N/A</v>
      </c>
      <c r="F12" s="1406" t="e">
        <f ca="1">HLOOKUP($D12,feedbackTS!$E$470:$I$474,2+xxYear,0)</f>
        <v>#N/A</v>
      </c>
      <c r="G12" s="1304" t="e">
        <f ca="1">HLOOKUP($C12,$E$16:$I$28,5,0)</f>
        <v>#N/A</v>
      </c>
      <c r="H12" s="1304" t="e">
        <f ca="1">HLOOKUP($C12,$E$16:$I$28,8,0)</f>
        <v>#N/A</v>
      </c>
      <c r="I12" s="1172" t="e">
        <f ca="1">HLOOKUP($C12,$E$16:$I$28,12,0)</f>
        <v>#N/A</v>
      </c>
      <c r="J12" s="738"/>
      <c r="K12" s="133"/>
    </row>
    <row r="13" spans="1:18">
      <c r="A13" s="132"/>
      <c r="B13" s="88">
        <v>5</v>
      </c>
      <c r="C13" s="88" t="e">
        <f ca="1">MATCH(B13,analyrank,0)</f>
        <v>#N/A</v>
      </c>
      <c r="D13" s="38" t="e">
        <f ca="1">INDEX(decTeamName,,C13)</f>
        <v>#N/A</v>
      </c>
      <c r="F13" s="1406" t="e">
        <f ca="1">HLOOKUP($D13,feedbackTS!$E$470:$I$474,2+xxYear,0)</f>
        <v>#N/A</v>
      </c>
      <c r="G13" s="1304" t="e">
        <f ca="1">HLOOKUP($C13,$E$16:$I$28,5,0)</f>
        <v>#N/A</v>
      </c>
      <c r="H13" s="1304" t="e">
        <f ca="1">HLOOKUP($C13,$E$16:$I$28,8,0)</f>
        <v>#N/A</v>
      </c>
      <c r="I13" s="1172" t="e">
        <f ca="1">HLOOKUP($C13,$E$16:$I$28,12,0)</f>
        <v>#N/A</v>
      </c>
      <c r="J13" s="738"/>
      <c r="K13" s="133"/>
    </row>
    <row r="14" spans="1:18">
      <c r="A14" s="132"/>
      <c r="B14" s="21"/>
      <c r="C14" s="21"/>
      <c r="D14" s="21"/>
      <c r="E14" s="21"/>
      <c r="F14" s="21"/>
      <c r="G14" s="21"/>
      <c r="H14" s="21"/>
      <c r="I14" s="21"/>
      <c r="K14" s="133"/>
      <c r="P14" s="12"/>
      <c r="R14" s="12"/>
    </row>
    <row r="15" spans="1:18" ht="15.75">
      <c r="A15" s="407" t="s">
        <v>1758</v>
      </c>
      <c r="B15" s="177"/>
      <c r="C15" s="177"/>
      <c r="D15" s="177"/>
      <c r="E15" s="731" t="str">
        <f>decTeamName</f>
        <v>Vivia</v>
      </c>
      <c r="F15" s="731" t="str">
        <f>decTeamName</f>
        <v>Vivia</v>
      </c>
      <c r="G15" s="731" t="str">
        <f>decTeamName</f>
        <v>Vivia</v>
      </c>
      <c r="H15" s="731" t="str">
        <f>decTeamName</f>
        <v>Vivia</v>
      </c>
      <c r="I15" s="731" t="str">
        <f>decTeamName</f>
        <v>Vivia</v>
      </c>
      <c r="J15" s="731"/>
      <c r="K15" s="790"/>
      <c r="P15" s="12"/>
      <c r="R15" s="12"/>
    </row>
    <row r="16" spans="1:18" s="33" customFormat="1" ht="15.75">
      <c r="A16" s="543"/>
      <c r="B16" s="181" t="s">
        <v>1400</v>
      </c>
      <c r="C16" s="176"/>
      <c r="D16" s="176"/>
      <c r="E16" s="181">
        <v>1</v>
      </c>
      <c r="F16" s="181">
        <v>2</v>
      </c>
      <c r="G16" s="181">
        <v>3</v>
      </c>
      <c r="H16" s="181">
        <v>4</v>
      </c>
      <c r="I16" s="181">
        <v>5</v>
      </c>
      <c r="J16" s="149"/>
      <c r="K16" s="791"/>
      <c r="P16" s="1545"/>
      <c r="R16" s="1545"/>
    </row>
    <row r="17" spans="1:13" s="33" customFormat="1" ht="11.25" customHeight="1">
      <c r="A17" s="1129"/>
      <c r="B17" s="150"/>
      <c r="C17" s="150"/>
      <c r="D17" s="150"/>
      <c r="E17" s="181"/>
      <c r="F17" s="181"/>
      <c r="G17" s="181"/>
      <c r="H17" s="181"/>
      <c r="I17" s="181"/>
      <c r="J17" s="150"/>
      <c r="K17" s="326"/>
    </row>
    <row r="18" spans="1:13" s="33" customFormat="1" ht="11.25" customHeight="1">
      <c r="A18" s="1129"/>
      <c r="B18" s="452" t="s">
        <v>427</v>
      </c>
      <c r="C18" s="150"/>
      <c r="D18" s="150"/>
      <c r="E18" s="181"/>
      <c r="F18" s="181"/>
      <c r="G18" s="181"/>
      <c r="H18" s="181"/>
      <c r="I18" s="181"/>
      <c r="J18" s="150"/>
      <c r="K18" s="326"/>
    </row>
    <row r="19" spans="1:13" s="33" customFormat="1" ht="11.25" customHeight="1">
      <c r="A19" s="1129"/>
      <c r="B19" s="150" t="s">
        <v>428</v>
      </c>
      <c r="C19" s="150"/>
      <c r="D19" s="150"/>
      <c r="E19" s="624">
        <f>finPNLNetRev/obalNetRev-1</f>
        <v>3.3954230875199443E-3</v>
      </c>
      <c r="F19" s="624">
        <f>finPNLNetRev/obalNetRev-1</f>
        <v>3.3954230875199443E-3</v>
      </c>
      <c r="G19" s="624">
        <f>finPNLNetRev/obalNetRev-1</f>
        <v>3.3954230875199443E-3</v>
      </c>
      <c r="H19" s="624">
        <f>finPNLNetRev/obalNetRev-1</f>
        <v>3.3954230875199443E-3</v>
      </c>
      <c r="I19" s="624">
        <f>finPNLNetRev/obalNetRev-1</f>
        <v>3.3954230875199443E-3</v>
      </c>
      <c r="J19" s="150"/>
      <c r="K19" s="326"/>
    </row>
    <row r="20" spans="1:13" s="33" customFormat="1" ht="11.25" customHeight="1">
      <c r="A20" s="1129"/>
      <c r="B20" s="33" t="s">
        <v>2107</v>
      </c>
      <c r="C20" s="150"/>
      <c r="D20" s="150"/>
      <c r="E20" s="624">
        <f t="array" ref="E20">INDEX(feedbackTS!E492:E495,xxYear+1)</f>
        <v>3.3954230875199443E-3</v>
      </c>
      <c r="F20" s="624">
        <f t="array" ref="F20">INDEX(feedbackTS!F492:F495,xxYear+1)</f>
        <v>3.3954230875199443E-3</v>
      </c>
      <c r="G20" s="624">
        <f t="array" ref="G20">INDEX(feedbackTS!G492:G495,xxYear+1)</f>
        <v>3.3954230875199443E-3</v>
      </c>
      <c r="H20" s="624">
        <f t="array" ref="H20">INDEX(feedbackTS!H492:H495,xxYear+1)</f>
        <v>3.3954230875199443E-3</v>
      </c>
      <c r="I20" s="624">
        <f t="array" ref="I20">INDEX(feedbackTS!I492:I495,xxYear+1)</f>
        <v>3.3954230875199443E-3</v>
      </c>
      <c r="J20" s="860"/>
      <c r="K20" s="326"/>
    </row>
    <row r="21" spans="1:13" s="33" customFormat="1" ht="11.25" customHeight="1">
      <c r="A21" s="1129"/>
      <c r="B21" s="150" t="s">
        <v>1762</v>
      </c>
      <c r="C21" s="150"/>
      <c r="D21" s="150"/>
      <c r="E21" s="150">
        <f>RANK(E20,$E20:$I20)</f>
        <v>1</v>
      </c>
      <c r="F21" s="150">
        <f>RANK(F20,$E20:$I20)</f>
        <v>1</v>
      </c>
      <c r="G21" s="150">
        <f>RANK(G20,$E20:$I20)</f>
        <v>1</v>
      </c>
      <c r="H21" s="150">
        <f>RANK(H20,$E20:$I20)</f>
        <v>1</v>
      </c>
      <c r="I21" s="150">
        <f>RANK(I20,$E20:$I20)</f>
        <v>1</v>
      </c>
      <c r="J21" s="150"/>
      <c r="K21" s="326"/>
    </row>
    <row r="22" spans="1:13" s="33" customFormat="1" ht="11.25" customHeight="1">
      <c r="A22" s="1129"/>
      <c r="B22" s="150"/>
      <c r="C22" s="150"/>
      <c r="D22" s="150"/>
      <c r="E22" s="150"/>
      <c r="F22" s="150"/>
      <c r="G22" s="150"/>
      <c r="H22" s="150"/>
      <c r="I22" s="150"/>
      <c r="J22" s="150"/>
      <c r="K22" s="326"/>
    </row>
    <row r="23" spans="1:13" s="33" customFormat="1" ht="11.25" customHeight="1">
      <c r="A23" s="1129"/>
      <c r="B23" s="452" t="s">
        <v>3164</v>
      </c>
      <c r="C23" s="150"/>
      <c r="D23" s="150"/>
      <c r="E23" s="624">
        <f ca="1">finROIC</f>
        <v>0.22933437001096038</v>
      </c>
      <c r="F23" s="624">
        <f ca="1">finROIC</f>
        <v>0.22933437001096038</v>
      </c>
      <c r="G23" s="624">
        <f ca="1">finROIC</f>
        <v>0.22933437001096038</v>
      </c>
      <c r="H23" s="624">
        <f ca="1">finROIC</f>
        <v>0.22933437001096038</v>
      </c>
      <c r="I23" s="624">
        <f ca="1">finROIC</f>
        <v>0.22933437001096038</v>
      </c>
      <c r="J23" s="150"/>
      <c r="K23" s="326"/>
    </row>
    <row r="24" spans="1:13" s="33" customFormat="1" ht="11.25" customHeight="1">
      <c r="A24" s="1129"/>
      <c r="B24" s="150" t="s">
        <v>974</v>
      </c>
      <c r="C24" s="150"/>
      <c r="D24" s="150"/>
      <c r="E24" s="150">
        <f ca="1">RANK(E23,$E23:$I23)</f>
        <v>1</v>
      </c>
      <c r="F24" s="150">
        <f ca="1">RANK(F23,$E23:$I23)</f>
        <v>1</v>
      </c>
      <c r="G24" s="150">
        <f ca="1">RANK(G23,$E23:$I23)</f>
        <v>1</v>
      </c>
      <c r="H24" s="150">
        <f ca="1">RANK(H23,$E23:$I23)</f>
        <v>1</v>
      </c>
      <c r="I24" s="150">
        <f ca="1">RANK(I23,$E23:$I23)</f>
        <v>1</v>
      </c>
      <c r="J24" s="150"/>
      <c r="K24" s="326"/>
    </row>
    <row r="25" spans="1:13" s="33" customFormat="1" ht="11.25" customHeight="1">
      <c r="A25" s="1129"/>
      <c r="B25" s="150" t="s">
        <v>347</v>
      </c>
      <c r="C25" s="150"/>
      <c r="D25" s="150"/>
      <c r="E25" s="624">
        <f ca="1">IF(xxYear=0,NA(),IF(xxYear=1,feedbackTS!E456,IF(xxYear=2,AVERAGE(feedbackTS!E456:E457),IF(xxYear=3,AVERAGE(feedbackTS!E456:E458,feedbackTS!E458)))))</f>
        <v>0.22933437001096038</v>
      </c>
      <c r="F25" s="624">
        <f ca="1">IF(xxYear=0,NA(),IF(xxYear=1,feedbackTS!F456,IF(xxYear=2,AVERAGE(feedbackTS!F456:F457),IF(xxYear=3,AVERAGE(feedbackTS!F456:F458,feedbackTS!F458)))))</f>
        <v>0.22933437001096038</v>
      </c>
      <c r="G25" s="624">
        <f ca="1">IF(xxYear=0,NA(),IF(xxYear=1,feedbackTS!G456,IF(xxYear=2,AVERAGE(feedbackTS!G456:G457),IF(xxYear=3,AVERAGE(feedbackTS!G456:G458,feedbackTS!G458)))))</f>
        <v>0.22933437001096038</v>
      </c>
      <c r="H25" s="624">
        <f ca="1">IF(xxYear=0,NA(),IF(xxYear=1,feedbackTS!H456,IF(xxYear=2,AVERAGE(feedbackTS!H456:H457),IF(xxYear=3,AVERAGE(feedbackTS!H456:H458,feedbackTS!H458)))))</f>
        <v>0.22933437001096038</v>
      </c>
      <c r="I25" s="624">
        <f ca="1">IF(xxYear=0,NA(),IF(xxYear=1,feedbackTS!I456,IF(xxYear=2,AVERAGE(feedbackTS!I456:I457),IF(xxYear=3,AVERAGE(feedbackTS!I456:I458,feedbackTS!I458)))))</f>
        <v>0.22933437001096038</v>
      </c>
      <c r="J25" s="150"/>
      <c r="K25" s="326"/>
    </row>
    <row r="26" spans="1:13" s="33" customFormat="1" ht="11.25" customHeight="1">
      <c r="A26" s="1129"/>
      <c r="B26" s="150"/>
      <c r="C26" s="150"/>
      <c r="D26" s="150"/>
      <c r="E26" s="1547" t="str">
        <f ca="1">IF(ISERROR(E25)=TRUE,"",IF(INDEX(feedbackTS!E498:E501,xxYear+1)=E25,"",INDEX(feedbackTS!E498:E501,xxYear+1)))</f>
        <v/>
      </c>
      <c r="F26" s="1547" t="str">
        <f ca="1">IF(ISERROR(F25)=TRUE,"",IF(INDEX(feedbackTS!F498:F501,xxYear+1)=F25,"",INDEX(feedbackTS!F498:F501,xxYear+1)))</f>
        <v/>
      </c>
      <c r="G26" s="1547" t="str">
        <f ca="1">IF(ISERROR(G25)=TRUE,"",IF(INDEX(feedbackTS!G498:G501,xxYear+1)=G25,"",INDEX(feedbackTS!G498:G501,xxYear+1)))</f>
        <v/>
      </c>
      <c r="H26" s="1547" t="str">
        <f ca="1">IF(ISERROR(H25)=TRUE,"",IF(INDEX(feedbackTS!H498:H501,xxYear+1)=H25,"",INDEX(feedbackTS!H498:H501,xxYear+1)))</f>
        <v/>
      </c>
      <c r="I26" s="1547" t="str">
        <f ca="1">IF(ISERROR(I25)=TRUE,"",IF(INDEX(feedbackTS!I498:I501,xxYear+1)=I25,"",INDEX(feedbackTS!I498:I501,xxYear+1)))</f>
        <v/>
      </c>
      <c r="J26" s="150"/>
      <c r="K26" s="326"/>
      <c r="M26" s="1448"/>
    </row>
    <row r="27" spans="1:13" s="33" customFormat="1" ht="11.25" customHeight="1">
      <c r="A27" s="1129"/>
      <c r="B27" s="452" t="s">
        <v>3653</v>
      </c>
      <c r="C27" s="150"/>
      <c r="D27" s="150"/>
      <c r="E27" s="1128">
        <f ca="1">paramSustainability</f>
        <v>100.46404932205822</v>
      </c>
      <c r="F27" s="1128">
        <f ca="1">paramSustainability</f>
        <v>100.46404932205822</v>
      </c>
      <c r="G27" s="1128">
        <f ca="1">paramSustainability</f>
        <v>100.46404932205822</v>
      </c>
      <c r="H27" s="1128">
        <f ca="1">paramSustainability</f>
        <v>100.46404932205822</v>
      </c>
      <c r="I27" s="1128">
        <f ca="1">paramSustainability</f>
        <v>100.46404932205822</v>
      </c>
      <c r="J27" s="150"/>
      <c r="K27" s="326"/>
    </row>
    <row r="28" spans="1:13" s="33" customFormat="1" ht="11.25" customHeight="1">
      <c r="A28" s="1129"/>
      <c r="B28" s="150" t="s">
        <v>974</v>
      </c>
      <c r="C28" s="150"/>
      <c r="D28" s="150"/>
      <c r="E28" s="150">
        <f ca="1">RANK(E27,$E27:$I27)</f>
        <v>1</v>
      </c>
      <c r="F28" s="150">
        <f ca="1">RANK(F27,$E27:$I27)</f>
        <v>1</v>
      </c>
      <c r="G28" s="150">
        <f ca="1">RANK(G27,$E27:$I27)</f>
        <v>1</v>
      </c>
      <c r="H28" s="150">
        <f ca="1">RANK(H27,$E27:$I27)</f>
        <v>1</v>
      </c>
      <c r="I28" s="150">
        <f ca="1">RANK(I27,$E27:$I27)</f>
        <v>1</v>
      </c>
      <c r="J28" s="150"/>
      <c r="K28" s="326"/>
    </row>
    <row r="29" spans="1:13" s="33" customFormat="1" ht="11.25" customHeight="1">
      <c r="A29" s="1129"/>
      <c r="B29" s="150" t="s">
        <v>2108</v>
      </c>
      <c r="C29" s="150"/>
      <c r="D29" s="150"/>
      <c r="E29" s="1547">
        <f ca="1">INDEX(feedbackTS!E504:E507,xxYear+1)</f>
        <v>100.62664254027544</v>
      </c>
      <c r="F29" s="1547">
        <f ca="1">INDEX(feedbackTS!F504:F507,xxYear+1)</f>
        <v>100.62664254027544</v>
      </c>
      <c r="G29" s="1547">
        <f ca="1">INDEX(feedbackTS!G504:G507,xxYear+1)</f>
        <v>100.62664254027544</v>
      </c>
      <c r="H29" s="1547">
        <f ca="1">INDEX(feedbackTS!H504:H507,xxYear+1)</f>
        <v>100.62664254027544</v>
      </c>
      <c r="I29" s="1547">
        <f ca="1">INDEX(feedbackTS!I504:I507,xxYear+1)</f>
        <v>100.62664254027544</v>
      </c>
      <c r="J29" s="150"/>
      <c r="K29" s="326"/>
    </row>
    <row r="30" spans="1:13" s="33" customFormat="1" ht="11.25" customHeight="1">
      <c r="A30" s="1129"/>
      <c r="C30" s="150"/>
      <c r="D30" s="150"/>
      <c r="F30" s="150"/>
      <c r="G30" s="150"/>
      <c r="H30" s="150"/>
      <c r="I30" s="150"/>
      <c r="J30" s="150"/>
      <c r="K30" s="1449" t="s">
        <v>3308</v>
      </c>
    </row>
    <row r="31" spans="1:13" s="33" customFormat="1" ht="11.25" customHeight="1">
      <c r="A31" s="1129"/>
      <c r="B31" s="150" t="s">
        <v>1759</v>
      </c>
      <c r="C31" s="150">
        <v>10</v>
      </c>
      <c r="D31" s="150"/>
      <c r="E31" s="1187" t="e">
        <f>NORMDIST(E19,AVERAGE($E19:$I19),HLOOKUP($K31,toolGraphData!$G$4:$I$7,2,0),TRUE)*$C31</f>
        <v>#NUM!</v>
      </c>
      <c r="F31" s="1187" t="e">
        <f>NORMDIST(F19,AVERAGE($E19:$I19),HLOOKUP($K31,toolGraphData!$G$4:$I$7,2,0),TRUE)*$C31</f>
        <v>#NUM!</v>
      </c>
      <c r="G31" s="1187" t="e">
        <f>NORMDIST(G19,AVERAGE($E19:$I19),HLOOKUP($K31,toolGraphData!$G$4:$I$7,2,0),TRUE)*$C31</f>
        <v>#NUM!</v>
      </c>
      <c r="H31" s="1187" t="e">
        <f>NORMDIST(H19,AVERAGE($E19:$I19),HLOOKUP($K31,toolGraphData!$G$4:$I$7,2,0),TRUE)*$C31</f>
        <v>#NUM!</v>
      </c>
      <c r="I31" s="1187" t="e">
        <f>NORMDIST(I19,AVERAGE($E19:$I19),HLOOKUP($K31,toolGraphData!$G$4:$I$7,2,0),TRUE)*$C31</f>
        <v>#NUM!</v>
      </c>
      <c r="J31" s="150"/>
      <c r="K31" s="1450" t="s">
        <v>289</v>
      </c>
      <c r="M31" s="1448"/>
    </row>
    <row r="32" spans="1:13" s="33" customFormat="1" ht="11.25" customHeight="1">
      <c r="A32" s="1129"/>
      <c r="B32" s="150" t="s">
        <v>1760</v>
      </c>
      <c r="C32" s="150">
        <v>10</v>
      </c>
      <c r="D32" s="150"/>
      <c r="E32" s="1187" t="e">
        <f ca="1">NORMDIST(E23,AVERAGE($E23:$I23),HLOOKUP($K32,toolGraphData!$G$4:$I$7,3,0),TRUE)*$C32</f>
        <v>#NUM!</v>
      </c>
      <c r="F32" s="1187" t="e">
        <f ca="1">NORMDIST(F23,AVERAGE($E23:$I23),HLOOKUP($K32,toolGraphData!$G$4:$I$7,3,0),TRUE)*$C32</f>
        <v>#NUM!</v>
      </c>
      <c r="G32" s="1187" t="e">
        <f ca="1">NORMDIST(G23,AVERAGE($E23:$I23),HLOOKUP($K32,toolGraphData!$G$4:$I$7,3,0),TRUE)*$C32</f>
        <v>#NUM!</v>
      </c>
      <c r="H32" s="1187" t="e">
        <f ca="1">NORMDIST(H23,AVERAGE($E23:$I23),HLOOKUP($K32,toolGraphData!$G$4:$I$7,3,0),TRUE)*$C32</f>
        <v>#NUM!</v>
      </c>
      <c r="I32" s="1187" t="e">
        <f ca="1">NORMDIST(I23,AVERAGE($E23:$I23),HLOOKUP($K32,toolGraphData!$G$4:$I$7,3,0),TRUE)*$C32</f>
        <v>#NUM!</v>
      </c>
      <c r="J32" s="150"/>
      <c r="K32" s="1450" t="s">
        <v>289</v>
      </c>
      <c r="M32" s="1448"/>
    </row>
    <row r="33" spans="1:17" s="33" customFormat="1" ht="11.25" customHeight="1">
      <c r="A33" s="1129"/>
      <c r="B33" s="150" t="s">
        <v>1761</v>
      </c>
      <c r="C33" s="150">
        <v>10</v>
      </c>
      <c r="D33" s="150"/>
      <c r="E33" s="1187" t="e">
        <f ca="1">NORMDIST(E27,AVERAGE($E27:$I27),HLOOKUP($K33,toolGraphData!$G$4:$I$7,4,0),TRUE)*$C33</f>
        <v>#NUM!</v>
      </c>
      <c r="F33" s="1187" t="e">
        <f ca="1">NORMDIST(F27,AVERAGE($E27:$I27),HLOOKUP($K33,toolGraphData!$G$4:$I$7,4,0),TRUE)*$C33</f>
        <v>#NUM!</v>
      </c>
      <c r="G33" s="1187" t="e">
        <f ca="1">NORMDIST(G27,AVERAGE($E27:$I27),HLOOKUP($K33,toolGraphData!$G$4:$I$7,4,0),TRUE)*$C33</f>
        <v>#NUM!</v>
      </c>
      <c r="H33" s="1187" t="e">
        <f ca="1">NORMDIST(H27,AVERAGE($E27:$I27),HLOOKUP($K33,toolGraphData!$G$4:$I$7,4,0),TRUE)*$C33</f>
        <v>#NUM!</v>
      </c>
      <c r="I33" s="1187" t="e">
        <f ca="1">NORMDIST(I27,AVERAGE($E27:$I27),HLOOKUP($K33,toolGraphData!$G$4:$I$7,4,0),TRUE)*$C33</f>
        <v>#NUM!</v>
      </c>
      <c r="J33" s="150"/>
      <c r="K33" s="1450" t="s">
        <v>289</v>
      </c>
      <c r="M33" s="1448"/>
    </row>
    <row r="34" spans="1:17" s="344" customFormat="1" ht="11.25" customHeight="1">
      <c r="A34" s="1129"/>
      <c r="B34" s="1173" t="s">
        <v>1763</v>
      </c>
      <c r="C34" s="1174"/>
      <c r="D34" s="1174"/>
      <c r="E34" s="1442" t="e">
        <f ca="1">ROUND(AVERAGE(E33,E32,E31),2)</f>
        <v>#NUM!</v>
      </c>
      <c r="F34" s="1442" t="e">
        <f ca="1">ROUND(AVERAGE(F33,F32,F31),2)</f>
        <v>#NUM!</v>
      </c>
      <c r="G34" s="1442" t="e">
        <f ca="1">ROUND(AVERAGE(G33,G32,G31),2)</f>
        <v>#NUM!</v>
      </c>
      <c r="H34" s="1442" t="e">
        <f ca="1">ROUND(AVERAGE(H33,H32,H31),2)</f>
        <v>#NUM!</v>
      </c>
      <c r="I34" s="1443" t="e">
        <f ca="1">ROUND(AVERAGE(I33,I32,I31),2)</f>
        <v>#NUM!</v>
      </c>
      <c r="J34" s="452"/>
      <c r="K34" s="1130"/>
    </row>
    <row r="35" spans="1:17" s="344" customFormat="1" ht="11.25" customHeight="1">
      <c r="A35" s="1129"/>
      <c r="B35" s="1444" t="s">
        <v>286</v>
      </c>
      <c r="C35" s="1445"/>
      <c r="D35" s="1445"/>
      <c r="E35" s="1446" t="e">
        <f ca="1">RANK(E34,ScoreCard)</f>
        <v>#NUM!</v>
      </c>
      <c r="F35" s="1446" t="e">
        <f ca="1">RANK(F34,ScoreCard)</f>
        <v>#NUM!</v>
      </c>
      <c r="G35" s="1446" t="e">
        <f ca="1">RANK(G34,ScoreCard)</f>
        <v>#NUM!</v>
      </c>
      <c r="H35" s="1446" t="e">
        <f ca="1">RANK(H34,ScoreCard)</f>
        <v>#NUM!</v>
      </c>
      <c r="I35" s="1447" t="e">
        <f ca="1">RANK(I34,ScoreCard)</f>
        <v>#NUM!</v>
      </c>
      <c r="J35" s="452"/>
      <c r="K35" s="1130"/>
    </row>
    <row r="36" spans="1:17" s="344" customFormat="1" ht="11.25" customHeight="1">
      <c r="A36" s="1129"/>
      <c r="B36" s="452"/>
      <c r="C36" s="452"/>
      <c r="D36" s="452"/>
      <c r="E36" s="452"/>
      <c r="F36" s="452"/>
      <c r="G36" s="452"/>
      <c r="H36" s="452"/>
      <c r="I36" s="452"/>
      <c r="J36" s="452"/>
      <c r="K36" s="1130"/>
    </row>
    <row r="37" spans="1:17" s="344" customFormat="1" ht="11.25" customHeight="1">
      <c r="A37" s="1129"/>
      <c r="B37" s="452" t="s">
        <v>287</v>
      </c>
      <c r="C37" s="452"/>
      <c r="D37" s="452"/>
      <c r="E37" s="452"/>
      <c r="F37" s="452"/>
      <c r="G37" s="452"/>
      <c r="H37" s="452"/>
      <c r="I37" s="452"/>
      <c r="J37" s="452"/>
      <c r="K37" s="1130"/>
    </row>
    <row r="38" spans="1:17" s="344" customFormat="1" ht="11.25" customHeight="1">
      <c r="A38" s="327">
        <v>1</v>
      </c>
      <c r="B38" s="1050" t="s">
        <v>1764</v>
      </c>
      <c r="C38" s="1384"/>
      <c r="D38" s="1384"/>
      <c r="E38" s="1440" t="e">
        <f ca="1">INDEX(feedbackTS!$E$463:$I$467,$A38+1,E$16)</f>
        <v>#NUM!</v>
      </c>
      <c r="F38" s="1440" t="e">
        <f ca="1">INDEX(feedbackTS!$E$463:$I$467,$A38+1,F$16)</f>
        <v>#NUM!</v>
      </c>
      <c r="G38" s="1440" t="e">
        <f ca="1">INDEX(feedbackTS!$E$463:$I$467,$A38+1,G$16)</f>
        <v>#NUM!</v>
      </c>
      <c r="H38" s="1440" t="e">
        <f ca="1">INDEX(feedbackTS!$E$463:$I$467,$A38+1,H$16)</f>
        <v>#NUM!</v>
      </c>
      <c r="I38" s="1441" t="e">
        <f ca="1">INDEX(feedbackTS!$E$463:$I$467,$A38+1,I$16)</f>
        <v>#NUM!</v>
      </c>
      <c r="J38" s="452"/>
      <c r="K38" s="1130"/>
    </row>
    <row r="39" spans="1:17" s="344" customFormat="1" ht="11.25" customHeight="1">
      <c r="A39" s="327">
        <v>2</v>
      </c>
      <c r="B39" s="233" t="s">
        <v>1765</v>
      </c>
      <c r="C39" s="150"/>
      <c r="D39" s="150"/>
      <c r="E39" s="1128" t="e">
        <f>INDEX(feedbackTS!$E$463:$I$467,$A39+1,E$16)</f>
        <v>#N/A</v>
      </c>
      <c r="F39" s="1128" t="e">
        <f>INDEX(feedbackTS!$E$463:$I$467,$A39+1,F$16)</f>
        <v>#N/A</v>
      </c>
      <c r="G39" s="1128" t="e">
        <f>INDEX(feedbackTS!$E$463:$I$467,$A39+1,G$16)</f>
        <v>#N/A</v>
      </c>
      <c r="H39" s="1128" t="e">
        <f>INDEX(feedbackTS!$E$463:$I$467,$A39+1,H$16)</f>
        <v>#N/A</v>
      </c>
      <c r="I39" s="1333" t="e">
        <f>INDEX(feedbackTS!$E$463:$I$467,$A39+1,I$16)</f>
        <v>#N/A</v>
      </c>
      <c r="J39" s="452"/>
      <c r="K39" s="1130"/>
    </row>
    <row r="40" spans="1:17" s="344" customFormat="1" ht="11.25" customHeight="1">
      <c r="A40" s="327">
        <v>3</v>
      </c>
      <c r="B40" s="1054" t="s">
        <v>1766</v>
      </c>
      <c r="C40" s="1175"/>
      <c r="D40" s="1175"/>
      <c r="E40" s="1334" t="e">
        <f>INDEX(feedbackTS!$E$463:$I$467,$A40+1,E$16)</f>
        <v>#N/A</v>
      </c>
      <c r="F40" s="1334" t="e">
        <f>INDEX(feedbackTS!$E$463:$I$467,$A40+1,F$16)</f>
        <v>#N/A</v>
      </c>
      <c r="G40" s="1334" t="e">
        <f>INDEX(feedbackTS!$E$463:$I$467,$A40+1,G$16)</f>
        <v>#N/A</v>
      </c>
      <c r="H40" s="1334" t="e">
        <f>INDEX(feedbackTS!$E$463:$I$467,$A40+1,H$16)</f>
        <v>#N/A</v>
      </c>
      <c r="I40" s="1335" t="e">
        <f>INDEX(feedbackTS!$E$463:$I$467,$A40+1,I$16)</f>
        <v>#N/A</v>
      </c>
      <c r="J40" s="452"/>
      <c r="K40" s="1130"/>
    </row>
    <row r="41" spans="1:17" s="33" customFormat="1" ht="11.25" customHeight="1">
      <c r="A41" s="1129"/>
      <c r="B41" s="150"/>
      <c r="C41" s="150"/>
      <c r="D41" s="150"/>
      <c r="E41" s="181"/>
      <c r="F41" s="181"/>
      <c r="G41" s="181"/>
      <c r="H41" s="181"/>
      <c r="I41" s="181"/>
      <c r="J41" s="150"/>
      <c r="K41" s="326"/>
    </row>
    <row r="42" spans="1:17" s="33" customFormat="1" ht="11.25" customHeight="1" thickBot="1">
      <c r="A42" s="1129"/>
      <c r="B42" s="150"/>
      <c r="C42" s="150"/>
      <c r="D42" s="150"/>
      <c r="E42" s="181"/>
      <c r="F42" s="181"/>
      <c r="G42" s="181"/>
      <c r="H42" s="181"/>
      <c r="I42" s="181"/>
      <c r="J42" s="150"/>
      <c r="K42" s="326"/>
    </row>
    <row r="43" spans="1:17" s="33" customFormat="1" ht="15.75">
      <c r="A43" s="1436"/>
      <c r="B43" s="1437" t="s">
        <v>3156</v>
      </c>
      <c r="C43" s="628"/>
      <c r="D43" s="628"/>
      <c r="E43" s="1438">
        <f ca="1">fin!E726</f>
        <v>6695625983.2060633</v>
      </c>
      <c r="F43" s="1438">
        <f ca="1">fin!F726</f>
        <v>6695625983.2060633</v>
      </c>
      <c r="G43" s="1438">
        <f ca="1">fin!G726</f>
        <v>6695625983.2060633</v>
      </c>
      <c r="H43" s="1438">
        <f ca="1">fin!H726</f>
        <v>6695625983.2060633</v>
      </c>
      <c r="I43" s="1438">
        <f ca="1">fin!I726</f>
        <v>6695625983.2060633</v>
      </c>
      <c r="J43" s="628"/>
      <c r="K43" s="1439"/>
    </row>
    <row r="44" spans="1:17" s="33" customFormat="1" ht="16.5" thickBot="1">
      <c r="A44" s="1432"/>
      <c r="B44" s="729" t="s">
        <v>67</v>
      </c>
      <c r="C44" s="1433"/>
      <c r="D44" s="1433"/>
      <c r="E44" s="1434">
        <f ca="1">finCashFlowSpecLoansChange</f>
        <v>0</v>
      </c>
      <c r="F44" s="1434">
        <f ca="1">finCashFlowSpecLoansChange</f>
        <v>0</v>
      </c>
      <c r="G44" s="1434">
        <f ca="1">finCashFlowSpecLoansChange</f>
        <v>0</v>
      </c>
      <c r="H44" s="1434">
        <f ca="1">finCashFlowSpecLoansChange</f>
        <v>0</v>
      </c>
      <c r="I44" s="1434">
        <f ca="1">finCashFlowSpecLoansChange</f>
        <v>0</v>
      </c>
      <c r="J44" s="1433"/>
      <c r="K44" s="1435"/>
    </row>
    <row r="45" spans="1:17" s="33" customFormat="1" ht="16.5" thickBot="1">
      <c r="A45" s="1602"/>
      <c r="B45" s="1603" t="s">
        <v>4113</v>
      </c>
      <c r="C45" s="1604"/>
      <c r="D45" s="1604"/>
      <c r="E45" s="1605">
        <f>dec!E128</f>
        <v>0</v>
      </c>
      <c r="F45" s="1605">
        <f>dec!F128</f>
        <v>0</v>
      </c>
      <c r="G45" s="1605">
        <f>dec!G128</f>
        <v>0</v>
      </c>
      <c r="H45" s="1605">
        <f>dec!H128</f>
        <v>0</v>
      </c>
      <c r="I45" s="1605">
        <f>dec!I128</f>
        <v>0</v>
      </c>
      <c r="J45" s="1604"/>
      <c r="K45" s="1606"/>
    </row>
    <row r="46" spans="1:17" s="33" customFormat="1" ht="15.75">
      <c r="A46" s="1129"/>
      <c r="B46" s="181"/>
      <c r="C46" s="1594"/>
      <c r="D46" s="1594"/>
      <c r="E46" s="1607"/>
      <c r="F46" s="1607"/>
      <c r="G46" s="1607"/>
      <c r="H46" s="1607"/>
      <c r="I46" s="1607"/>
      <c r="J46" s="1594"/>
      <c r="K46" s="1608"/>
    </row>
    <row r="47" spans="1:17" s="33" customFormat="1" ht="15.75">
      <c r="A47" s="1129"/>
      <c r="B47" s="181"/>
      <c r="C47" s="1594"/>
      <c r="D47" s="1594"/>
      <c r="E47" s="1607"/>
      <c r="F47" s="1607"/>
      <c r="G47" s="1607"/>
      <c r="H47" s="1607"/>
      <c r="I47" s="1607"/>
      <c r="J47" s="1594"/>
      <c r="K47" s="1608"/>
    </row>
    <row r="48" spans="1:17" ht="15.75">
      <c r="A48" s="407" t="s">
        <v>4117</v>
      </c>
      <c r="B48" s="177"/>
      <c r="C48" s="177"/>
      <c r="D48" s="177"/>
      <c r="E48" s="1141" t="str">
        <f>decTeamName</f>
        <v>Vivia</v>
      </c>
      <c r="F48" s="1141" t="str">
        <f>decTeamName</f>
        <v>Vivia</v>
      </c>
      <c r="G48" s="1141" t="str">
        <f>decTeamName</f>
        <v>Vivia</v>
      </c>
      <c r="H48" s="1141" t="str">
        <f>decTeamName</f>
        <v>Vivia</v>
      </c>
      <c r="I48" s="1141" t="str">
        <f>decTeamName</f>
        <v>Vivia</v>
      </c>
      <c r="J48" s="1141"/>
      <c r="K48" s="1142" t="s">
        <v>4114</v>
      </c>
      <c r="P48" s="398"/>
      <c r="Q48" s="18"/>
    </row>
    <row r="49" spans="1:17" s="33" customFormat="1" ht="11.25" customHeight="1">
      <c r="A49" s="1129"/>
      <c r="B49" s="1571"/>
      <c r="C49" s="546"/>
      <c r="D49" s="546"/>
      <c r="E49" s="1182"/>
      <c r="F49" s="1182"/>
      <c r="G49" s="1182"/>
      <c r="H49" s="1182"/>
      <c r="I49" s="1182"/>
      <c r="J49" s="1594"/>
      <c r="K49" s="1608"/>
    </row>
    <row r="50" spans="1:17" s="33" customFormat="1" ht="11.25" customHeight="1">
      <c r="A50" s="1129"/>
      <c r="B50" s="1571" t="s">
        <v>235</v>
      </c>
      <c r="C50" s="1594"/>
      <c r="D50" s="1594"/>
      <c r="E50" s="1609">
        <f>finPNLReg1NetRev/finPNLNetRev</f>
        <v>0.71189265488173181</v>
      </c>
      <c r="F50" s="1609">
        <f>finPNLReg1NetRev/finPNLNetRev</f>
        <v>0.71189265488173181</v>
      </c>
      <c r="G50" s="1609">
        <f>finPNLReg1NetRev/finPNLNetRev</f>
        <v>0.71189265488173181</v>
      </c>
      <c r="H50" s="1609">
        <f>finPNLReg1NetRev/finPNLNetRev</f>
        <v>0.71189265488173181</v>
      </c>
      <c r="I50" s="1609">
        <f>finPNLReg1NetRev/finPNLNetRev</f>
        <v>0.71189265488173181</v>
      </c>
      <c r="J50" s="1594"/>
      <c r="K50" s="1610">
        <f>feedbackTS!$E$295/(feedbackTS!$E$303+feedbackTS!$E$295)</f>
        <v>0.71687328332787048</v>
      </c>
    </row>
    <row r="51" spans="1:17" s="33" customFormat="1" ht="11.25" customHeight="1">
      <c r="A51" s="1129"/>
      <c r="B51" s="1571" t="s">
        <v>236</v>
      </c>
      <c r="C51" s="1594"/>
      <c r="D51" s="1594"/>
      <c r="E51" s="1609">
        <f>finPNLReg2NetRev/finPNLNetRev</f>
        <v>0.28810734511826819</v>
      </c>
      <c r="F51" s="1609">
        <f>finPNLReg2NetRev/finPNLNetRev</f>
        <v>0.28810734511826819</v>
      </c>
      <c r="G51" s="1609">
        <f>finPNLReg2NetRev/finPNLNetRev</f>
        <v>0.28810734511826819</v>
      </c>
      <c r="H51" s="1609">
        <f>finPNLReg2NetRev/finPNLNetRev</f>
        <v>0.28810734511826819</v>
      </c>
      <c r="I51" s="1609">
        <f>finPNLReg2NetRev/finPNLNetRev</f>
        <v>0.28810734511826819</v>
      </c>
      <c r="J51" s="1594"/>
      <c r="K51" s="1610">
        <f>feedbackTS!$E$303/(feedbackTS!$E$303+feedbackTS!$E$295)</f>
        <v>0.28312671667212952</v>
      </c>
    </row>
    <row r="52" spans="1:17" s="33" customFormat="1" ht="11.25" customHeight="1">
      <c r="A52" s="1129"/>
      <c r="B52" s="1571"/>
      <c r="C52" s="1594"/>
      <c r="D52" s="1594"/>
      <c r="E52" s="1609"/>
      <c r="F52" s="1609"/>
      <c r="G52" s="1609"/>
      <c r="H52" s="1609"/>
      <c r="I52" s="1609"/>
      <c r="J52" s="1594"/>
      <c r="K52" s="1610"/>
    </row>
    <row r="53" spans="1:17" s="33" customFormat="1" ht="11.25" customHeight="1">
      <c r="A53" s="1129"/>
      <c r="B53" s="1571" t="s">
        <v>4115</v>
      </c>
      <c r="C53" s="1594"/>
      <c r="D53" s="1594"/>
      <c r="E53" s="1609">
        <f>(feedbackTS!E317+feedbackTS!E325)/(feedbackTS!E317+feedbackTS!E325+feedbackTS!E333)</f>
        <v>0.64896089750514807</v>
      </c>
      <c r="F53" s="1609">
        <f>(feedbackTS!F317+feedbackTS!F325)/(feedbackTS!F317+feedbackTS!F325+feedbackTS!F333)</f>
        <v>0.64896089750514807</v>
      </c>
      <c r="G53" s="1609">
        <f>(feedbackTS!G317+feedbackTS!G325)/(feedbackTS!G317+feedbackTS!G325+feedbackTS!G333)</f>
        <v>0.64896089750514807</v>
      </c>
      <c r="H53" s="1609">
        <f>(feedbackTS!H317+feedbackTS!H325)/(feedbackTS!H317+feedbackTS!H325+feedbackTS!H333)</f>
        <v>0.64896089750514807</v>
      </c>
      <c r="I53" s="1609">
        <f>(feedbackTS!I317+feedbackTS!I325)/(feedbackTS!I317+feedbackTS!I325+feedbackTS!I333)</f>
        <v>0.64896089750514807</v>
      </c>
      <c r="J53" s="1594"/>
      <c r="K53" s="1610">
        <f>(feedbackTS!E319+feedbackTS!E327)/(feedbackTS!E319+feedbackTS!E327+feedbackTS!E335)</f>
        <v>0.64776897123191479</v>
      </c>
    </row>
    <row r="54" spans="1:17" s="33" customFormat="1" ht="11.25" customHeight="1">
      <c r="A54" s="1129"/>
      <c r="B54" s="1571" t="s">
        <v>4116</v>
      </c>
      <c r="C54" s="1594"/>
      <c r="D54" s="1594"/>
      <c r="E54" s="1609">
        <f>(feedbackTS!E333)/(feedbackTS!E317+feedbackTS!E325+feedbackTS!E333)</f>
        <v>0.35103910249485193</v>
      </c>
      <c r="F54" s="1609">
        <f>(feedbackTS!F333)/(feedbackTS!F317+feedbackTS!F325+feedbackTS!F333)</f>
        <v>0.35103910249485193</v>
      </c>
      <c r="G54" s="1609">
        <f>(feedbackTS!G333)/(feedbackTS!G317+feedbackTS!G325+feedbackTS!G333)</f>
        <v>0.35103910249485193</v>
      </c>
      <c r="H54" s="1609">
        <f>(feedbackTS!H333)/(feedbackTS!H317+feedbackTS!H325+feedbackTS!H333)</f>
        <v>0.35103910249485193</v>
      </c>
      <c r="I54" s="1609">
        <f>(feedbackTS!I333)/(feedbackTS!I317+feedbackTS!I325+feedbackTS!I333)</f>
        <v>0.35103910249485193</v>
      </c>
      <c r="J54" s="1594"/>
      <c r="K54" s="1610">
        <f>(feedbackTS!E335)/(feedbackTS!E319+feedbackTS!E327+feedbackTS!E335)</f>
        <v>0.35223102876808526</v>
      </c>
    </row>
    <row r="55" spans="1:17" s="33" customFormat="1" ht="11.25" customHeight="1">
      <c r="A55" s="1129"/>
      <c r="B55" s="1571"/>
      <c r="C55" s="1594"/>
      <c r="D55" s="1594"/>
      <c r="E55" s="1609"/>
      <c r="F55" s="1609"/>
      <c r="G55" s="1609"/>
      <c r="H55" s="1609"/>
      <c r="I55" s="1609"/>
      <c r="J55" s="1594"/>
      <c r="K55" s="1610"/>
    </row>
    <row r="56" spans="1:17" s="33" customFormat="1" ht="11.25" customHeight="1">
      <c r="A56" s="1129"/>
      <c r="B56" s="1571"/>
      <c r="C56" s="1594"/>
      <c r="D56" s="1594"/>
      <c r="E56" s="1609"/>
      <c r="F56" s="1609"/>
      <c r="G56" s="1609"/>
      <c r="H56" s="1609"/>
      <c r="I56" s="1609"/>
      <c r="J56" s="1594"/>
      <c r="K56" s="1610"/>
    </row>
    <row r="57" spans="1:17" ht="15.75">
      <c r="A57" s="407" t="s">
        <v>2244</v>
      </c>
      <c r="B57" s="177"/>
      <c r="C57" s="177"/>
      <c r="D57" s="177"/>
      <c r="E57" s="1141" t="str">
        <f>decTeamName</f>
        <v>Vivia</v>
      </c>
      <c r="F57" s="1141" t="str">
        <f>decTeamName</f>
        <v>Vivia</v>
      </c>
      <c r="G57" s="1141" t="str">
        <f>decTeamName</f>
        <v>Vivia</v>
      </c>
      <c r="H57" s="1141" t="str">
        <f>decTeamName</f>
        <v>Vivia</v>
      </c>
      <c r="I57" s="1141" t="str">
        <f>decTeamName</f>
        <v>Vivia</v>
      </c>
      <c r="J57" s="1141"/>
      <c r="K57" s="1142" t="s">
        <v>2718</v>
      </c>
      <c r="P57" s="398"/>
      <c r="Q57" s="18"/>
    </row>
    <row r="58" spans="1:17" ht="15.75">
      <c r="A58" s="544"/>
      <c r="B58" s="541"/>
      <c r="C58" s="541"/>
      <c r="D58" s="541"/>
      <c r="E58" s="21"/>
      <c r="F58" s="21"/>
      <c r="G58" s="21"/>
      <c r="H58" s="21"/>
      <c r="I58" s="21"/>
      <c r="J58" s="180"/>
      <c r="K58" s="792"/>
    </row>
    <row r="59" spans="1:17" ht="12.75">
      <c r="A59" s="707" t="s">
        <v>829</v>
      </c>
      <c r="B59" s="38"/>
      <c r="C59" s="546"/>
      <c r="D59" s="546"/>
      <c r="E59" s="526"/>
      <c r="F59" s="526"/>
      <c r="G59" s="526"/>
      <c r="H59" s="526"/>
      <c r="I59" s="526"/>
      <c r="J59" s="526"/>
      <c r="K59" s="815"/>
    </row>
    <row r="60" spans="1:17" ht="12.75">
      <c r="A60" s="132"/>
      <c r="B60" s="38"/>
      <c r="C60" s="546"/>
      <c r="D60" s="546"/>
      <c r="E60" s="526"/>
      <c r="F60" s="526"/>
      <c r="G60" s="526"/>
      <c r="H60" s="526"/>
      <c r="I60" s="526"/>
      <c r="J60" s="526"/>
      <c r="K60" s="815"/>
    </row>
    <row r="61" spans="1:17" ht="11.25" customHeight="1">
      <c r="A61" s="132"/>
      <c r="B61" s="38" t="s">
        <v>3497</v>
      </c>
      <c r="C61" s="546"/>
      <c r="D61" s="546"/>
      <c r="E61" s="1182">
        <f>feedbackTS!E311</f>
        <v>22545571944</v>
      </c>
      <c r="F61" s="1182">
        <f>feedbackTS!F311</f>
        <v>22545571944</v>
      </c>
      <c r="G61" s="1182">
        <f>feedbackTS!G311</f>
        <v>22545571944</v>
      </c>
      <c r="H61" s="1182">
        <f>feedbackTS!H311</f>
        <v>22545571944</v>
      </c>
      <c r="I61" s="1182">
        <f>feedbackTS!I311</f>
        <v>22545571944</v>
      </c>
      <c r="J61" s="526"/>
      <c r="K61" s="815"/>
    </row>
    <row r="62" spans="1:17" ht="11.25" customHeight="1">
      <c r="A62" s="132"/>
      <c r="B62" s="38" t="s">
        <v>3498</v>
      </c>
      <c r="C62" s="546"/>
      <c r="D62" s="546"/>
      <c r="E62" s="1182">
        <f>obalNetRev</f>
        <v>22545571944</v>
      </c>
      <c r="F62" s="1182">
        <f>obalNetRev</f>
        <v>22545571944</v>
      </c>
      <c r="G62" s="1182">
        <f>obalNetRev</f>
        <v>22545571944</v>
      </c>
      <c r="H62" s="1182">
        <f>obalNetRev</f>
        <v>22545571944</v>
      </c>
      <c r="I62" s="1182">
        <f>obalNetRev</f>
        <v>22545571944</v>
      </c>
      <c r="J62" s="526"/>
      <c r="K62" s="815"/>
    </row>
    <row r="63" spans="1:17" ht="11.25" customHeight="1">
      <c r="A63" s="132"/>
      <c r="B63" s="38" t="s">
        <v>3499</v>
      </c>
      <c r="C63" s="546"/>
      <c r="D63" s="546"/>
      <c r="E63" s="1182">
        <f>finPNLNetRev</f>
        <v>22622123699.5</v>
      </c>
      <c r="F63" s="1182">
        <f>finPNLNetRev</f>
        <v>22622123699.5</v>
      </c>
      <c r="G63" s="1182">
        <f>finPNLNetRev</f>
        <v>22622123699.5</v>
      </c>
      <c r="H63" s="1182">
        <f>finPNLNetRev</f>
        <v>22622123699.5</v>
      </c>
      <c r="I63" s="1182">
        <f>finPNLNetRev</f>
        <v>22622123699.5</v>
      </c>
      <c r="J63" s="526"/>
      <c r="K63" s="815"/>
    </row>
    <row r="64" spans="1:17" ht="11.25" customHeight="1">
      <c r="A64" s="132"/>
      <c r="B64" s="38"/>
      <c r="C64" s="546"/>
      <c r="D64" s="546"/>
      <c r="E64" s="526"/>
      <c r="F64" s="526"/>
      <c r="G64" s="526"/>
      <c r="H64" s="526"/>
      <c r="I64" s="526"/>
      <c r="J64" s="526"/>
      <c r="K64" s="815"/>
    </row>
    <row r="65" spans="1:17" ht="11.25" customHeight="1">
      <c r="A65" s="132"/>
      <c r="B65" s="1135" t="str">
        <f>DataNameProd2&amp;" Products"</f>
        <v>Breakthrough Products</v>
      </c>
      <c r="C65" s="1136"/>
      <c r="D65" s="1136"/>
      <c r="E65" s="1137"/>
      <c r="F65" s="1137"/>
      <c r="G65" s="1137"/>
      <c r="H65" s="1137"/>
      <c r="I65" s="1137"/>
      <c r="J65" s="526"/>
      <c r="K65" s="815"/>
    </row>
    <row r="66" spans="1:17" ht="11.25" customHeight="1">
      <c r="A66" s="132"/>
      <c r="B66" s="150" t="str">
        <f>"Total "&amp;DataNameProd2&amp;" Volume"</f>
        <v>Total Breakthrough Volume</v>
      </c>
      <c r="C66" s="546"/>
      <c r="D66" s="546"/>
      <c r="E66" s="520">
        <f>capReg1Prod2UnitsSold+capReg2Prod2UnitsSold</f>
        <v>0</v>
      </c>
      <c r="F66" s="520">
        <f>capReg1Prod2UnitsSold+capReg2Prod2UnitsSold</f>
        <v>0</v>
      </c>
      <c r="G66" s="520">
        <f>capReg1Prod2UnitsSold+capReg2Prod2UnitsSold</f>
        <v>0</v>
      </c>
      <c r="H66" s="520">
        <f>capReg1Prod2UnitsSold+capReg2Prod2UnitsSold</f>
        <v>0</v>
      </c>
      <c r="I66" s="520">
        <f>capReg1Prod2UnitsSold+capReg2Prod2UnitsSold</f>
        <v>0</v>
      </c>
      <c r="J66" s="526"/>
      <c r="K66" s="811">
        <f>AVERAGE(E66:I66)</f>
        <v>0</v>
      </c>
    </row>
    <row r="67" spans="1:17" ht="11.25" customHeight="1">
      <c r="A67" s="132"/>
      <c r="B67" s="150" t="str">
        <f>"Total Net "&amp;DataNameProd2&amp;" Revenues"</f>
        <v>Total Net Breakthrough Revenues</v>
      </c>
      <c r="C67" s="546"/>
      <c r="D67" s="546"/>
      <c r="E67" s="1182">
        <f>cbalProd2NetRevS1+cbalProd2NetRevS2</f>
        <v>0</v>
      </c>
      <c r="F67" s="1182">
        <f>cbalProd2NetRevS1+cbalProd2NetRevS2</f>
        <v>0</v>
      </c>
      <c r="G67" s="1182">
        <f>cbalProd2NetRevS1+cbalProd2NetRevS2</f>
        <v>0</v>
      </c>
      <c r="H67" s="1182">
        <f>cbalProd2NetRevS1+cbalProd2NetRevS2</f>
        <v>0</v>
      </c>
      <c r="I67" s="1182">
        <f>cbalProd2NetRevS1+cbalProd2NetRevS2</f>
        <v>0</v>
      </c>
      <c r="J67" s="526"/>
      <c r="K67" s="1188">
        <f>AVERAGE(E67:I67)</f>
        <v>0</v>
      </c>
    </row>
    <row r="68" spans="1:17" ht="11.25" hidden="1" customHeight="1">
      <c r="A68" s="132"/>
      <c r="B68" s="150"/>
      <c r="C68" s="546"/>
      <c r="D68" s="546"/>
      <c r="E68" s="526"/>
      <c r="F68" s="526"/>
      <c r="G68" s="526"/>
      <c r="H68" s="526"/>
      <c r="I68" s="526"/>
      <c r="J68" s="526"/>
      <c r="K68" s="815"/>
      <c r="Q68">
        <f ca="1">IF(SUM($E$70:$I$84)&gt;0,0,1)</f>
        <v>1</v>
      </c>
    </row>
    <row r="69" spans="1:17" ht="11.25" hidden="1" customHeight="1">
      <c r="A69" s="132"/>
      <c r="B69" s="711" t="str">
        <f>DataNameProd2&amp;" Revenues By Product"</f>
        <v>Breakthrough Revenues By Product</v>
      </c>
      <c r="C69" s="546"/>
      <c r="D69" s="546"/>
      <c r="E69" s="526"/>
      <c r="F69" s="526"/>
      <c r="G69" s="526"/>
      <c r="H69" s="526"/>
      <c r="I69" s="526"/>
      <c r="J69" s="526"/>
      <c r="K69" s="815"/>
      <c r="Q69">
        <f ca="1">IF(SUM($E$70:$I$84)&gt;0,0,1)</f>
        <v>1</v>
      </c>
    </row>
    <row r="70" spans="1:17" ht="11.25" hidden="1" customHeight="1">
      <c r="A70" s="132"/>
      <c r="B70" s="150" t="str">
        <f>DataNameProd2Seg1</f>
        <v>*Holy Cow Cup</v>
      </c>
      <c r="C70" s="546"/>
      <c r="D70" s="150" t="s">
        <v>1402</v>
      </c>
      <c r="E70" s="526">
        <f ca="1">IF(ISNA(MATCH($B70,cbal!E$221:E$222,0)),0,INDIRECT("decProd2Reg"&amp;MATCH($B70,cbal!E$221:E$222,0)&amp;"Price"))</f>
        <v>0</v>
      </c>
      <c r="F70" s="526">
        <f ca="1">IF(ISNA(MATCH($B70,cbal!F$221:F$222,0)),0,INDIRECT("decProd2Reg"&amp;MATCH($B70,cbal!F$221:F$222,0)&amp;"Price"))</f>
        <v>0</v>
      </c>
      <c r="G70" s="526">
        <f ca="1">IF(ISNA(MATCH($B70,cbal!G$221:G$222,0)),0,INDIRECT("decProd2Reg"&amp;MATCH($B70,cbal!G$221:G$222,0)&amp;"Price"))</f>
        <v>0</v>
      </c>
      <c r="H70" s="526">
        <f ca="1">IF(ISNA(MATCH($B70,cbal!H$221:H$222,0)),0,INDIRECT("decProd2Reg"&amp;MATCH($B70,cbal!H$221:H$222,0)&amp;"Price"))</f>
        <v>0</v>
      </c>
      <c r="I70" s="526">
        <f ca="1">IF(ISNA(MATCH($B70,cbal!I$221:I$222,0)),0,INDIRECT("decProd2Reg"&amp;MATCH($B70,cbal!I$221:I$222,0)&amp;"Price"))</f>
        <v>0</v>
      </c>
      <c r="J70" s="526"/>
      <c r="K70" s="815"/>
      <c r="Q70">
        <f ca="1">IF(SUM(E70:I70)&gt;0,0,1)</f>
        <v>1</v>
      </c>
    </row>
    <row r="71" spans="1:17" ht="11.25" hidden="1" customHeight="1">
      <c r="A71" s="132"/>
      <c r="B71" s="150"/>
      <c r="C71" s="546"/>
      <c r="D71" s="150" t="s">
        <v>3635</v>
      </c>
      <c r="E71" s="520">
        <f ca="1">IF(ISNA(MATCH($B70,cbal!E$221:E$222,0)),0,INDIRECT("capReg"&amp;MATCH($B70,cbal!E$221:E$222,0)&amp;"Prod2UnitsSold"))</f>
        <v>0</v>
      </c>
      <c r="F71" s="520">
        <f ca="1">IF(ISNA(MATCH($B70,cbal!F$221:F$222,0)),0,INDIRECT("capReg"&amp;MATCH($B70,cbal!F$221:F$222,0)&amp;"Prod2UnitsSold"))</f>
        <v>0</v>
      </c>
      <c r="G71" s="520">
        <f ca="1">IF(ISNA(MATCH($B70,cbal!G$221:G$222,0)),0,INDIRECT("capReg"&amp;MATCH($B70,cbal!G$221:G$222,0)&amp;"Prod2UnitsSold"))</f>
        <v>0</v>
      </c>
      <c r="H71" s="520">
        <f ca="1">IF(ISNA(MATCH($B70,cbal!H$221:H$222,0)),0,INDIRECT("capReg"&amp;MATCH($B70,cbal!H$221:H$222,0)&amp;"Prod2UnitsSold"))</f>
        <v>0</v>
      </c>
      <c r="I71" s="520">
        <f ca="1">IF(ISNA(MATCH($B70,cbal!I$221:I$222,0)),0,INDIRECT("capReg"&amp;MATCH($B70,cbal!I$221:I$222,0)&amp;"Prod2UnitsSold"))</f>
        <v>0</v>
      </c>
      <c r="J71" s="526"/>
      <c r="K71" s="815"/>
      <c r="Q71">
        <f ca="1">IF(SUM(E71:I71)&gt;0,0,1)</f>
        <v>1</v>
      </c>
    </row>
    <row r="72" spans="1:17" ht="11.25" hidden="1" customHeight="1">
      <c r="A72" s="132"/>
      <c r="B72" s="150"/>
      <c r="C72" s="546"/>
      <c r="D72" s="150" t="s">
        <v>3384</v>
      </c>
      <c r="E72" s="1182">
        <f ca="1">E70*E71</f>
        <v>0</v>
      </c>
      <c r="F72" s="1182">
        <f ca="1">F70*F71</f>
        <v>0</v>
      </c>
      <c r="G72" s="1182">
        <f ca="1">G70*G71</f>
        <v>0</v>
      </c>
      <c r="H72" s="1182">
        <f ca="1">H70*H71</f>
        <v>0</v>
      </c>
      <c r="I72" s="1182">
        <f ca="1">I70*I71</f>
        <v>0</v>
      </c>
      <c r="J72" s="526"/>
      <c r="K72" s="815"/>
      <c r="Q72">
        <f ca="1">IF(SUM(E72:I72)&gt;0,0,1)</f>
        <v>1</v>
      </c>
    </row>
    <row r="73" spans="1:17" ht="6" hidden="1" customHeight="1">
      <c r="A73" s="132"/>
      <c r="B73" s="150"/>
      <c r="C73" s="546"/>
      <c r="D73" s="150"/>
      <c r="E73" s="526"/>
      <c r="F73" s="526"/>
      <c r="G73" s="526"/>
      <c r="H73" s="526"/>
      <c r="I73" s="526"/>
      <c r="J73" s="526"/>
      <c r="K73" s="815"/>
      <c r="Q73">
        <f ca="1">IF(SUM(E74:I76)&gt;0,0,1)</f>
        <v>1</v>
      </c>
    </row>
    <row r="74" spans="1:17" ht="11.25" hidden="1" customHeight="1">
      <c r="A74" s="132"/>
      <c r="B74" s="150" t="str">
        <f>DataNameProd2Seg2</f>
        <v>*Nitro Nachos</v>
      </c>
      <c r="C74" s="546"/>
      <c r="D74" s="150" t="s">
        <v>1402</v>
      </c>
      <c r="E74" s="526">
        <f ca="1">IF(ISNA(MATCH($B74,cbal!E$221:E$222,0)),0,INDIRECT("decProd2Reg"&amp;MATCH($B74,cbal!E$221:E$222,0)&amp;"Price"))</f>
        <v>0</v>
      </c>
      <c r="F74" s="526">
        <f ca="1">IF(ISNA(MATCH($B74,cbal!F$221:F$222,0)),0,INDIRECT("decProd2Reg"&amp;MATCH($B74,cbal!F$221:F$222,0)&amp;"Price"))</f>
        <v>0</v>
      </c>
      <c r="G74" s="526">
        <f ca="1">IF(ISNA(MATCH($B74,cbal!G$221:G$222,0)),0,INDIRECT("decProd2Reg"&amp;MATCH($B74,cbal!G$221:G$222,0)&amp;"Price"))</f>
        <v>0</v>
      </c>
      <c r="H74" s="526">
        <f ca="1">IF(ISNA(MATCH($B74,cbal!H$221:H$222,0)),0,INDIRECT("decProd2Reg"&amp;MATCH($B74,cbal!H$221:H$222,0)&amp;"Price"))</f>
        <v>0</v>
      </c>
      <c r="I74" s="526">
        <f ca="1">IF(ISNA(MATCH($B74,cbal!I$221:I$222,0)),0,INDIRECT("decProd2Reg"&amp;MATCH($B74,cbal!I$221:I$222,0)&amp;"Price"))</f>
        <v>0</v>
      </c>
      <c r="J74" s="526"/>
      <c r="K74" s="815"/>
      <c r="Q74">
        <f ca="1">IF(SUM(E74:I74)&gt;0,0,1)</f>
        <v>1</v>
      </c>
    </row>
    <row r="75" spans="1:17" ht="11.25" hidden="1" customHeight="1">
      <c r="A75" s="132"/>
      <c r="B75" s="150"/>
      <c r="C75" s="546"/>
      <c r="D75" s="150" t="s">
        <v>3635</v>
      </c>
      <c r="E75" s="520">
        <f ca="1">IF(ISNA(MATCH($B74,cbal!E$221:E$222,0)),0,INDIRECT("capReg"&amp;MATCH($B74,cbal!E$221:E$222,0)&amp;"Prod2UnitsSold"))</f>
        <v>0</v>
      </c>
      <c r="F75" s="520">
        <f ca="1">IF(ISNA(MATCH($B74,cbal!F$221:F$222,0)),0,INDIRECT("capReg"&amp;MATCH($B74,cbal!F$221:F$222,0)&amp;"Prod2UnitsSold"))</f>
        <v>0</v>
      </c>
      <c r="G75" s="520">
        <f ca="1">IF(ISNA(MATCH($B74,cbal!G$221:G$222,0)),0,INDIRECT("capReg"&amp;MATCH($B74,cbal!G$221:G$222,0)&amp;"Prod2UnitsSold"))</f>
        <v>0</v>
      </c>
      <c r="H75" s="520">
        <f ca="1">IF(ISNA(MATCH($B74,cbal!H$221:H$222,0)),0,INDIRECT("capReg"&amp;MATCH($B74,cbal!H$221:H$222,0)&amp;"Prod2UnitsSold"))</f>
        <v>0</v>
      </c>
      <c r="I75" s="520">
        <f ca="1">IF(ISNA(MATCH($B74,cbal!I$221:I$222,0)),0,INDIRECT("capReg"&amp;MATCH($B74,cbal!I$221:I$222,0)&amp;"Prod2UnitsSold"))</f>
        <v>0</v>
      </c>
      <c r="J75" s="526"/>
      <c r="K75" s="815"/>
      <c r="Q75">
        <f ca="1">IF(SUM(E75:I75)&gt;0,0,1)</f>
        <v>1</v>
      </c>
    </row>
    <row r="76" spans="1:17" ht="11.25" hidden="1" customHeight="1">
      <c r="A76" s="132"/>
      <c r="B76" s="150"/>
      <c r="C76" s="546"/>
      <c r="D76" s="150" t="s">
        <v>3384</v>
      </c>
      <c r="E76" s="1182">
        <f ca="1">E74*E75</f>
        <v>0</v>
      </c>
      <c r="F76" s="1182">
        <f ca="1">F74*F75</f>
        <v>0</v>
      </c>
      <c r="G76" s="1182">
        <f ca="1">G74*G75</f>
        <v>0</v>
      </c>
      <c r="H76" s="1182">
        <f ca="1">H74*H75</f>
        <v>0</v>
      </c>
      <c r="I76" s="1182">
        <f ca="1">I74*I75</f>
        <v>0</v>
      </c>
      <c r="J76" s="526"/>
      <c r="K76" s="815"/>
      <c r="Q76">
        <f ca="1">IF(SUM(E76:I76)&gt;0,0,1)</f>
        <v>1</v>
      </c>
    </row>
    <row r="77" spans="1:17" ht="6" hidden="1" customHeight="1">
      <c r="A77" s="132"/>
      <c r="B77" s="150"/>
      <c r="C77" s="546"/>
      <c r="D77" s="150"/>
      <c r="E77" s="526"/>
      <c r="F77" s="526"/>
      <c r="G77" s="526"/>
      <c r="H77" s="526"/>
      <c r="I77" s="526"/>
      <c r="J77" s="526"/>
      <c r="K77" s="815"/>
      <c r="Q77">
        <f ca="1">IF(SUM(E78:I80)&gt;0,0,1)</f>
        <v>1</v>
      </c>
    </row>
    <row r="78" spans="1:17" ht="12.75" hidden="1">
      <c r="A78" s="132"/>
      <c r="B78" s="150" t="str">
        <f>DataNameProd2Seg3</f>
        <v>*Home Fountain</v>
      </c>
      <c r="C78" s="546"/>
      <c r="D78" s="150" t="s">
        <v>1402</v>
      </c>
      <c r="E78" s="526">
        <f ca="1">IF(ISNA(MATCH($B78,cbal!E$221:E$222,0)),0,INDIRECT("decProd2Reg"&amp;MATCH($B78,cbal!E$221:E$222,0)&amp;"Price"))</f>
        <v>0</v>
      </c>
      <c r="F78" s="526">
        <f ca="1">IF(ISNA(MATCH($B78,cbal!F$221:F$222,0)),0,INDIRECT("decProd2Reg"&amp;MATCH($B78,cbal!F$221:F$222,0)&amp;"Price"))</f>
        <v>0</v>
      </c>
      <c r="G78" s="526">
        <f ca="1">IF(ISNA(MATCH($B78,cbal!G$221:G$222,0)),0,INDIRECT("decProd2Reg"&amp;MATCH($B78,cbal!G$221:G$222,0)&amp;"Price"))</f>
        <v>0</v>
      </c>
      <c r="H78" s="526">
        <f ca="1">IF(ISNA(MATCH($B78,cbal!H$221:H$222,0)),0,INDIRECT("decProd2Reg"&amp;MATCH($B78,cbal!H$221:H$222,0)&amp;"Price"))</f>
        <v>0</v>
      </c>
      <c r="I78" s="526">
        <f ca="1">IF(ISNA(MATCH($B78,cbal!I$221:I$222,0)),0,INDIRECT("decProd2Reg"&amp;MATCH($B78,cbal!I$221:I$222,0)&amp;"Price"))</f>
        <v>0</v>
      </c>
      <c r="J78" s="526"/>
      <c r="K78" s="815"/>
      <c r="Q78">
        <f ca="1">IF(SUM(E78:I78)&gt;0,0,1)</f>
        <v>1</v>
      </c>
    </row>
    <row r="79" spans="1:17" ht="12.75" hidden="1">
      <c r="A79" s="132"/>
      <c r="B79" s="150"/>
      <c r="C79" s="546"/>
      <c r="D79" s="150" t="s">
        <v>3635</v>
      </c>
      <c r="E79" s="520">
        <f ca="1">IF(ISNA(MATCH($B78,cbal!E$221:E$222,0)),0,INDIRECT("capReg"&amp;MATCH($B78,cbal!E$221:E$222,0)&amp;"Prod2UnitsSold"))</f>
        <v>0</v>
      </c>
      <c r="F79" s="520">
        <f ca="1">IF(ISNA(MATCH($B78,cbal!F$221:F$222,0)),0,INDIRECT("capReg"&amp;MATCH($B78,cbal!F$221:F$222,0)&amp;"Prod2UnitsSold"))</f>
        <v>0</v>
      </c>
      <c r="G79" s="520">
        <f ca="1">IF(ISNA(MATCH($B78,cbal!G$221:G$222,0)),0,INDIRECT("capReg"&amp;MATCH($B78,cbal!G$221:G$222,0)&amp;"Prod2UnitsSold"))</f>
        <v>0</v>
      </c>
      <c r="H79" s="520">
        <f ca="1">IF(ISNA(MATCH($B78,cbal!H$221:H$222,0)),0,INDIRECT("capReg"&amp;MATCH($B78,cbal!H$221:H$222,0)&amp;"Prod2UnitsSold"))</f>
        <v>0</v>
      </c>
      <c r="I79" s="520">
        <f ca="1">IF(ISNA(MATCH($B78,cbal!I$221:I$222,0)),0,INDIRECT("capReg"&amp;MATCH($B78,cbal!I$221:I$222,0)&amp;"Prod2UnitsSold"))</f>
        <v>0</v>
      </c>
      <c r="J79" s="526"/>
      <c r="K79" s="815"/>
      <c r="Q79">
        <f ca="1">IF(SUM(E79:I79)&gt;0,0,1)</f>
        <v>1</v>
      </c>
    </row>
    <row r="80" spans="1:17" ht="12.75" hidden="1">
      <c r="A80" s="132"/>
      <c r="B80" s="150"/>
      <c r="C80" s="546"/>
      <c r="D80" s="150" t="s">
        <v>3384</v>
      </c>
      <c r="E80" s="1182">
        <f ca="1">E78*E79</f>
        <v>0</v>
      </c>
      <c r="F80" s="1182">
        <f ca="1">F78*F79</f>
        <v>0</v>
      </c>
      <c r="G80" s="1182">
        <f ca="1">G78*G79</f>
        <v>0</v>
      </c>
      <c r="H80" s="1182">
        <f ca="1">H78*H79</f>
        <v>0</v>
      </c>
      <c r="I80" s="1182">
        <f ca="1">I78*I79</f>
        <v>0</v>
      </c>
      <c r="J80" s="526"/>
      <c r="K80" s="815"/>
      <c r="Q80">
        <f ca="1">IF(SUM(E80:I80)&gt;0,0,1)</f>
        <v>1</v>
      </c>
    </row>
    <row r="81" spans="1:17" ht="6" hidden="1" customHeight="1">
      <c r="A81" s="132"/>
      <c r="B81" s="150"/>
      <c r="C81" s="546"/>
      <c r="D81" s="150"/>
      <c r="E81" s="526"/>
      <c r="F81" s="526"/>
      <c r="G81" s="526"/>
      <c r="H81" s="526"/>
      <c r="I81" s="526"/>
      <c r="J81" s="526"/>
      <c r="K81" s="815"/>
      <c r="Q81">
        <f ca="1">IF(SUM(E82:I84)&gt;0,0,1)</f>
        <v>1</v>
      </c>
    </row>
    <row r="82" spans="1:17" ht="12.75" hidden="1">
      <c r="A82" s="132"/>
      <c r="B82" s="150" t="str">
        <f>DataNameProd2Seg4</f>
        <v>*CentrePlate</v>
      </c>
      <c r="C82" s="546"/>
      <c r="D82" s="150" t="s">
        <v>1402</v>
      </c>
      <c r="E82" s="526">
        <f ca="1">IF(ISNA(MATCH($B82,cbal!E$221:E$222,0)),0,INDIRECT("decProd2Reg"&amp;MATCH($B82,cbal!E$221:E$222,0)&amp;"Price"))</f>
        <v>0</v>
      </c>
      <c r="F82" s="526">
        <f ca="1">IF(ISNA(MATCH($B82,cbal!F$221:F$222,0)),0,INDIRECT("decProd2Reg"&amp;MATCH($B82,cbal!F$221:F$222,0)&amp;"Price"))</f>
        <v>0</v>
      </c>
      <c r="G82" s="526">
        <f ca="1">IF(ISNA(MATCH($B82,cbal!G$221:G$222,0)),0,INDIRECT("decProd2Reg"&amp;MATCH($B82,cbal!G$221:G$222,0)&amp;"Price"))</f>
        <v>0</v>
      </c>
      <c r="H82" s="526">
        <f ca="1">IF(ISNA(MATCH($B82,cbal!H$221:H$222,0)),0,INDIRECT("decProd2Reg"&amp;MATCH($B82,cbal!H$221:H$222,0)&amp;"Price"))</f>
        <v>0</v>
      </c>
      <c r="I82" s="526">
        <f ca="1">IF(ISNA(MATCH($B82,cbal!I$221:I$222,0)),0,INDIRECT("decProd2Reg"&amp;MATCH($B82,cbal!I$221:I$222,0)&amp;"Price"))</f>
        <v>0</v>
      </c>
      <c r="J82" s="526"/>
      <c r="K82" s="815"/>
      <c r="Q82">
        <f ca="1">IF(SUM(E82:I82)&gt;0,0,1)</f>
        <v>1</v>
      </c>
    </row>
    <row r="83" spans="1:17" ht="12.75" hidden="1">
      <c r="A83" s="132"/>
      <c r="B83" s="150"/>
      <c r="C83" s="546"/>
      <c r="D83" s="150" t="s">
        <v>3635</v>
      </c>
      <c r="E83" s="520">
        <f ca="1">IF(ISNA(MATCH($B82,cbal!E$221:E$222,0)),0,INDIRECT("capReg"&amp;MATCH($B82,cbal!E$221:E$222,0)&amp;"Prod2UnitsSold"))</f>
        <v>0</v>
      </c>
      <c r="F83" s="520">
        <f ca="1">IF(ISNA(MATCH($B82,cbal!F$221:F$222,0)),0,INDIRECT("capReg"&amp;MATCH($B82,cbal!F$221:F$222,0)&amp;"Prod2UnitsSold"))</f>
        <v>0</v>
      </c>
      <c r="G83" s="520">
        <f ca="1">IF(ISNA(MATCH($B82,cbal!G$221:G$222,0)),0,INDIRECT("capReg"&amp;MATCH($B82,cbal!G$221:G$222,0)&amp;"Prod2UnitsSold"))</f>
        <v>0</v>
      </c>
      <c r="H83" s="520">
        <f ca="1">IF(ISNA(MATCH($B82,cbal!H$221:H$222,0)),0,INDIRECT("capReg"&amp;MATCH($B82,cbal!H$221:H$222,0)&amp;"Prod2UnitsSold"))</f>
        <v>0</v>
      </c>
      <c r="I83" s="520">
        <f ca="1">IF(ISNA(MATCH($B82,cbal!I$221:I$222,0)),0,INDIRECT("capReg"&amp;MATCH($B82,cbal!I$221:I$222,0)&amp;"Prod2UnitsSold"))</f>
        <v>0</v>
      </c>
      <c r="J83" s="526"/>
      <c r="K83" s="815"/>
      <c r="Q83">
        <f ca="1">IF(SUM(E83:I83)&gt;0,0,1)</f>
        <v>1</v>
      </c>
    </row>
    <row r="84" spans="1:17" ht="12.75" hidden="1">
      <c r="A84" s="132"/>
      <c r="B84" s="150"/>
      <c r="C84" s="546"/>
      <c r="D84" s="150" t="s">
        <v>3384</v>
      </c>
      <c r="E84" s="1182">
        <f ca="1">E82*E83</f>
        <v>0</v>
      </c>
      <c r="F84" s="1182">
        <f ca="1">F82*F83</f>
        <v>0</v>
      </c>
      <c r="G84" s="1182">
        <f ca="1">G82*G83</f>
        <v>0</v>
      </c>
      <c r="H84" s="1182">
        <f ca="1">H82*H83</f>
        <v>0</v>
      </c>
      <c r="I84" s="1182">
        <f ca="1">I82*I83</f>
        <v>0</v>
      </c>
      <c r="J84" s="526"/>
      <c r="K84" s="815"/>
      <c r="Q84">
        <f ca="1">IF(SUM(E84:I84)&gt;0,0,1)</f>
        <v>1</v>
      </c>
    </row>
    <row r="85" spans="1:17" ht="9" customHeight="1">
      <c r="A85" s="132"/>
      <c r="B85" s="150"/>
      <c r="C85" s="546"/>
      <c r="D85" s="150"/>
      <c r="E85" s="1182"/>
      <c r="F85" s="1182"/>
      <c r="G85" s="1182"/>
      <c r="H85" s="1182"/>
      <c r="I85" s="1182"/>
      <c r="J85" s="526"/>
      <c r="K85" s="815"/>
    </row>
    <row r="86" spans="1:17" ht="11.25" customHeight="1">
      <c r="A86" s="132"/>
      <c r="B86" s="1387" t="s">
        <v>4107</v>
      </c>
      <c r="C86" s="94"/>
      <c r="D86" s="1175"/>
      <c r="E86" s="1388"/>
      <c r="F86" s="1388"/>
      <c r="G86" s="1388"/>
      <c r="H86" s="1388"/>
      <c r="I86" s="1388"/>
      <c r="J86" s="526"/>
      <c r="K86" s="815"/>
    </row>
    <row r="87" spans="1:17" ht="11.25" customHeight="1">
      <c r="A87" s="132"/>
      <c r="B87" s="1386" t="s">
        <v>2204</v>
      </c>
      <c r="C87" s="89"/>
      <c r="D87" s="1384"/>
      <c r="E87" s="1401" t="str">
        <f>IF(obal!E299,"Unlocked",IF(cbal!E299,"Newly Unlocked","Locked"))</f>
        <v>Locked</v>
      </c>
      <c r="F87" s="1401" t="str">
        <f>IF(obal!F299,"Unlocked",IF(cbal!F299,"Newly Unlocked","Locked"))</f>
        <v>Locked</v>
      </c>
      <c r="G87" s="1402" t="str">
        <f>IF(obal!G299,"Unlocked",IF(cbal!G299,"Newly Unlocked","Locked"))</f>
        <v>Locked</v>
      </c>
      <c r="H87" s="1402" t="str">
        <f>IF(obal!H299,"Unlocked",IF(cbal!H299,"Newly Unlocked","Locked"))</f>
        <v>Locked</v>
      </c>
      <c r="I87" s="1403" t="str">
        <f>IF(obal!I299,"Unlocked",IF(cbal!I299,"Newly Unlocked","Locked"))</f>
        <v>Locked</v>
      </c>
      <c r="J87" s="526"/>
      <c r="K87" s="815"/>
    </row>
    <row r="88" spans="1:17" ht="11.25" customHeight="1">
      <c r="A88" s="132"/>
      <c r="B88" s="1385" t="s">
        <v>2205</v>
      </c>
      <c r="C88" s="94"/>
      <c r="D88" s="1175"/>
      <c r="E88" s="1404" t="str">
        <f>IF(obal!E300,"Unlocked",IF(cbal!E300,"Newly Unlocked","Locked"))</f>
        <v>Locked</v>
      </c>
      <c r="F88" s="1404" t="str">
        <f>IF(obal!F300,"Unlocked",IF(cbal!F300,"Newly Unlocked","Locked"))</f>
        <v>Locked</v>
      </c>
      <c r="G88" s="1404" t="str">
        <f>IF(obal!G300,"Unlocked",IF(cbal!G300,"Newly Unlocked","Locked"))</f>
        <v>Locked</v>
      </c>
      <c r="H88" s="1404" t="str">
        <f>IF(obal!H300,"Unlocked",IF(cbal!H300,"Newly Unlocked","Locked"))</f>
        <v>Locked</v>
      </c>
      <c r="I88" s="1405" t="str">
        <f>IF(obal!I300,"Unlocked",IF(cbal!I300,"Newly Unlocked","Locked"))</f>
        <v>Locked</v>
      </c>
      <c r="J88" s="526"/>
      <c r="K88" s="815"/>
    </row>
    <row r="89" spans="1:17" ht="11.25" customHeight="1">
      <c r="A89" s="132"/>
      <c r="B89" s="38"/>
      <c r="C89" s="546"/>
      <c r="D89" s="546"/>
      <c r="E89" s="526"/>
      <c r="F89" s="526"/>
      <c r="G89" s="526"/>
      <c r="H89" s="526"/>
      <c r="I89" s="526"/>
      <c r="J89" s="526"/>
      <c r="K89" s="815"/>
    </row>
    <row r="90" spans="1:17" ht="11.25" customHeight="1">
      <c r="A90" s="132"/>
      <c r="B90" s="1135" t="s">
        <v>1598</v>
      </c>
      <c r="C90" s="1136"/>
      <c r="D90" s="1136"/>
      <c r="E90" s="1137"/>
      <c r="F90" s="1137"/>
      <c r="G90" s="1137"/>
      <c r="H90" s="1137"/>
      <c r="I90" s="1137"/>
      <c r="J90" s="526"/>
      <c r="K90" s="815"/>
    </row>
    <row r="91" spans="1:17" ht="11.25" customHeight="1">
      <c r="A91" s="132"/>
      <c r="B91" s="150" t="s">
        <v>3056</v>
      </c>
      <c r="C91" s="546"/>
      <c r="D91" s="546"/>
      <c r="E91" s="1182">
        <f>feedbackTS!E295</f>
        <v>16162318184</v>
      </c>
      <c r="F91" s="1182">
        <f>feedbackTS!F295</f>
        <v>16162318184</v>
      </c>
      <c r="G91" s="1182">
        <f>feedbackTS!G295</f>
        <v>16162318184</v>
      </c>
      <c r="H91" s="1182">
        <f>feedbackTS!H295</f>
        <v>16162318184</v>
      </c>
      <c r="I91" s="1182">
        <f>feedbackTS!I295</f>
        <v>16162318184</v>
      </c>
      <c r="J91" s="526"/>
      <c r="K91" s="815">
        <f>AVERAGE(E91:I91)</f>
        <v>16162318184</v>
      </c>
    </row>
    <row r="92" spans="1:17" ht="11.25" customHeight="1">
      <c r="A92" s="132"/>
      <c r="B92" s="150" t="s">
        <v>3057</v>
      </c>
      <c r="C92" s="546"/>
      <c r="D92" s="546"/>
      <c r="E92" s="1182">
        <f>obalReg1NetRev</f>
        <v>16162318184</v>
      </c>
      <c r="F92" s="1182">
        <f>obalReg1NetRev</f>
        <v>16162318184</v>
      </c>
      <c r="G92" s="1182">
        <f>obalReg1NetRev</f>
        <v>16162318184</v>
      </c>
      <c r="H92" s="1182">
        <f>obalReg1NetRev</f>
        <v>16162318184</v>
      </c>
      <c r="I92" s="1182">
        <f>obalReg1NetRev</f>
        <v>16162318184</v>
      </c>
      <c r="J92" s="526"/>
      <c r="K92" s="815">
        <f>AVERAGE(E92:I92)</f>
        <v>16162318184</v>
      </c>
    </row>
    <row r="93" spans="1:17" ht="11.25" customHeight="1">
      <c r="A93" s="132"/>
      <c r="B93" s="150" t="s">
        <v>3499</v>
      </c>
      <c r="C93" s="546"/>
      <c r="D93" s="546"/>
      <c r="E93" s="1182">
        <f>finPNLReg1NetRev</f>
        <v>16104523699.5</v>
      </c>
      <c r="F93" s="1182">
        <f>finPNLReg1NetRev</f>
        <v>16104523699.5</v>
      </c>
      <c r="G93" s="1182">
        <f>finPNLReg1NetRev</f>
        <v>16104523699.5</v>
      </c>
      <c r="H93" s="1182">
        <f>finPNLReg1NetRev</f>
        <v>16104523699.5</v>
      </c>
      <c r="I93" s="1182">
        <f>finPNLReg1NetRev</f>
        <v>16104523699.5</v>
      </c>
      <c r="J93" s="526"/>
      <c r="K93" s="815">
        <f>AVERAGE(E93:I93)</f>
        <v>16104523699.5</v>
      </c>
    </row>
    <row r="94" spans="1:17" ht="4.5" customHeight="1">
      <c r="A94" s="132"/>
      <c r="B94" s="598"/>
      <c r="C94" s="1132"/>
      <c r="D94" s="1132"/>
      <c r="E94" s="1133"/>
      <c r="F94" s="1133"/>
      <c r="G94" s="1133"/>
      <c r="H94" s="1133"/>
      <c r="I94" s="1133"/>
      <c r="J94" s="526"/>
      <c r="K94" s="815"/>
    </row>
    <row r="95" spans="1:17" ht="11.25" customHeight="1">
      <c r="A95" s="132"/>
      <c r="B95" s="452" t="s">
        <v>1073</v>
      </c>
      <c r="C95" s="545"/>
      <c r="D95" s="545"/>
      <c r="E95" s="1166">
        <f>E93/E91-1</f>
        <v>-3.5758784007366984E-3</v>
      </c>
      <c r="F95" s="1166">
        <f>F93/F91-1</f>
        <v>-3.5758784007366984E-3</v>
      </c>
      <c r="G95" s="1166">
        <f>G93/G91-1</f>
        <v>-3.5758784007366984E-3</v>
      </c>
      <c r="H95" s="1166">
        <f>H93/H91-1</f>
        <v>-3.5758784007366984E-3</v>
      </c>
      <c r="I95" s="1166">
        <f>I93/I91-1</f>
        <v>-3.5758784007366984E-3</v>
      </c>
      <c r="J95" s="526"/>
      <c r="K95" s="807">
        <f>AVERAGE(E95:I95)</f>
        <v>-3.5758784007366984E-3</v>
      </c>
    </row>
    <row r="96" spans="1:17" ht="11.25" customHeight="1">
      <c r="A96" s="132"/>
      <c r="B96" s="452" t="s">
        <v>1074</v>
      </c>
      <c r="C96" s="545"/>
      <c r="D96" s="545"/>
      <c r="E96" s="1166">
        <f>E93/E92-1</f>
        <v>-3.5758784007366984E-3</v>
      </c>
      <c r="F96" s="1166">
        <f>F93/F92-1</f>
        <v>-3.5758784007366984E-3</v>
      </c>
      <c r="G96" s="1166">
        <f>G93/G92-1</f>
        <v>-3.5758784007366984E-3</v>
      </c>
      <c r="H96" s="1166">
        <f>H93/H92-1</f>
        <v>-3.5758784007366984E-3</v>
      </c>
      <c r="I96" s="1166">
        <f>I93/I92-1</f>
        <v>-3.5758784007366984E-3</v>
      </c>
      <c r="J96" s="526"/>
      <c r="K96" s="807">
        <f>AVERAGE(E96:I96)</f>
        <v>-3.5758784007366984E-3</v>
      </c>
    </row>
    <row r="97" spans="1:11" ht="11.25" customHeight="1">
      <c r="A97" s="132"/>
      <c r="B97" s="150"/>
      <c r="C97" s="546"/>
      <c r="D97" s="546"/>
      <c r="E97" s="1167"/>
      <c r="F97" s="1167"/>
      <c r="G97" s="1167"/>
      <c r="H97" s="1167"/>
      <c r="I97" s="1167"/>
      <c r="J97" s="526"/>
      <c r="K97" s="815"/>
    </row>
    <row r="98" spans="1:11" ht="11.25" customHeight="1">
      <c r="A98" s="132"/>
      <c r="B98" s="711" t="s">
        <v>234</v>
      </c>
      <c r="C98" s="546"/>
      <c r="D98" s="546"/>
      <c r="E98" s="1167"/>
      <c r="F98" s="1167"/>
      <c r="G98" s="1167"/>
      <c r="H98" s="1167"/>
      <c r="I98" s="1167"/>
      <c r="J98" s="526"/>
      <c r="K98" s="815"/>
    </row>
    <row r="99" spans="1:11" ht="11.25" customHeight="1">
      <c r="A99" s="132"/>
      <c r="B99" s="1134" t="str">
        <f>DataNameProd1&amp;" Price Change"</f>
        <v>CSD Price Change</v>
      </c>
      <c r="C99" s="546"/>
      <c r="D99" s="546"/>
      <c r="E99" s="809">
        <f>cbalReg1Prod1Price/obalReg1Prod1Price-1</f>
        <v>0</v>
      </c>
      <c r="F99" s="809">
        <f>cbalReg1Prod1Price/obalReg1Prod1Price-1</f>
        <v>0</v>
      </c>
      <c r="G99" s="809">
        <f>cbalReg1Prod1Price/obalReg1Prod1Price-1</f>
        <v>0</v>
      </c>
      <c r="H99" s="809">
        <f>cbalReg1Prod1Price/obalReg1Prod1Price-1</f>
        <v>0</v>
      </c>
      <c r="I99" s="809">
        <f>cbalReg1Prod1Price/obalReg1Prod1Price-1</f>
        <v>0</v>
      </c>
      <c r="J99" s="526"/>
      <c r="K99" s="1451">
        <f>AVERAGE(E99:I99)</f>
        <v>0</v>
      </c>
    </row>
    <row r="100" spans="1:11" ht="11.25" customHeight="1">
      <c r="A100" s="132"/>
      <c r="B100" s="1134" t="str">
        <f>DataNameProd1&amp;" Vol Change"</f>
        <v>CSD Vol Change</v>
      </c>
      <c r="C100" s="546"/>
      <c r="D100" s="546"/>
      <c r="E100" s="809">
        <f>(cbalReg1Prod1Rev/cbalReg1Prod1Price)/(obalReg1Prod1Rev/obalReg1Prod1Price)-1</f>
        <v>-1.0000000373729501E-2</v>
      </c>
      <c r="F100" s="809">
        <f>(cbalReg1Prod1Rev/cbalReg1Prod1Price)/(obalReg1Prod1Rev/obalReg1Prod1Price)-1</f>
        <v>-1.0000000373729501E-2</v>
      </c>
      <c r="G100" s="809">
        <f>(cbalReg1Prod1Rev/cbalReg1Prod1Price)/(obalReg1Prod1Rev/obalReg1Prod1Price)-1</f>
        <v>-1.0000000373729501E-2</v>
      </c>
      <c r="H100" s="809">
        <f>(cbalReg1Prod1Rev/cbalReg1Prod1Price)/(obalReg1Prod1Rev/obalReg1Prod1Price)-1</f>
        <v>-1.0000000373729501E-2</v>
      </c>
      <c r="I100" s="809">
        <f>(cbalReg1Prod1Rev/cbalReg1Prod1Price)/(obalReg1Prod1Rev/obalReg1Prod1Price)-1</f>
        <v>-1.0000000373729501E-2</v>
      </c>
      <c r="J100" s="526"/>
      <c r="K100" s="1451">
        <f>AVERAGE(E100:I100)</f>
        <v>-1.0000000373729501E-2</v>
      </c>
    </row>
    <row r="101" spans="1:11" ht="11.25" customHeight="1">
      <c r="A101" s="132"/>
      <c r="B101" s="1138" t="str">
        <f>DataNameProd1&amp;" Gross Rev Change"</f>
        <v>CSD Gross Rev Change</v>
      </c>
      <c r="C101" s="545"/>
      <c r="D101" s="545"/>
      <c r="E101" s="1166">
        <f>cbalReg1Prod1NetRev/obalReg1Prod1NetRev-1</f>
        <v>-1.255847114772668E-2</v>
      </c>
      <c r="F101" s="1166">
        <f>cbalReg1Prod1NetRev/obalReg1Prod1NetRev-1</f>
        <v>-1.255847114772668E-2</v>
      </c>
      <c r="G101" s="1166">
        <f>cbalReg1Prod1NetRev/obalReg1Prod1NetRev-1</f>
        <v>-1.255847114772668E-2</v>
      </c>
      <c r="H101" s="1166">
        <f>cbalReg1Prod1NetRev/obalReg1Prod1NetRev-1</f>
        <v>-1.255847114772668E-2</v>
      </c>
      <c r="I101" s="1166">
        <f>cbalReg1Prod1NetRev/obalReg1Prod1NetRev-1</f>
        <v>-1.255847114772668E-2</v>
      </c>
      <c r="J101" s="526"/>
      <c r="K101" s="1281">
        <f>AVERAGE(E101:I101)</f>
        <v>-1.255847114772668E-2</v>
      </c>
    </row>
    <row r="102" spans="1:11" ht="6" customHeight="1">
      <c r="A102" s="132"/>
      <c r="B102" s="1134"/>
      <c r="C102" s="546"/>
      <c r="D102" s="546"/>
      <c r="E102" s="1167"/>
      <c r="F102" s="1167"/>
      <c r="G102" s="1167"/>
      <c r="H102" s="1167"/>
      <c r="I102" s="1167"/>
      <c r="J102" s="526"/>
      <c r="K102" s="815"/>
    </row>
    <row r="103" spans="1:11" ht="11.25" customHeight="1">
      <c r="A103" s="132"/>
      <c r="B103" s="1134" t="str">
        <f>DataNameProd3&amp;" Price Change"</f>
        <v>NCB Price Change</v>
      </c>
      <c r="C103" s="546"/>
      <c r="D103" s="546"/>
      <c r="E103" s="809">
        <f>cbalReg1Prod3Price/obalReg1Prod3Price-1</f>
        <v>0</v>
      </c>
      <c r="F103" s="809">
        <f>cbalReg1Prod3Price/obalReg1Prod3Price-1</f>
        <v>0</v>
      </c>
      <c r="G103" s="809">
        <f>cbalReg1Prod3Price/obalReg1Prod3Price-1</f>
        <v>0</v>
      </c>
      <c r="H103" s="809">
        <f>cbalReg1Prod3Price/obalReg1Prod3Price-1</f>
        <v>0</v>
      </c>
      <c r="I103" s="809">
        <f>cbalReg1Prod3Price/obalReg1Prod3Price-1</f>
        <v>0</v>
      </c>
      <c r="J103" s="526"/>
      <c r="K103" s="1451">
        <f>AVERAGE(E103:I103)</f>
        <v>0</v>
      </c>
    </row>
    <row r="104" spans="1:11" ht="11.25" customHeight="1">
      <c r="A104" s="132"/>
      <c r="B104" s="1134" t="str">
        <f>DataNameProd3&amp;" Vol Change"</f>
        <v>NCB Vol Change</v>
      </c>
      <c r="C104" s="546"/>
      <c r="D104" s="546"/>
      <c r="E104" s="809">
        <f>(cbalReg1Prod3Rev/cbalReg1Prod3Price)/(obalReg1Prod3Rev/obalReg1Prod3Price)-1</f>
        <v>2.5062656641603454E-3</v>
      </c>
      <c r="F104" s="809">
        <f>(cbalReg1Prod3Rev/cbalReg1Prod3Price)/(obalReg1Prod3Rev/obalReg1Prod3Price)-1</f>
        <v>2.5062656641603454E-3</v>
      </c>
      <c r="G104" s="809">
        <f>(cbalReg1Prod3Rev/cbalReg1Prod3Price)/(obalReg1Prod3Rev/obalReg1Prod3Price)-1</f>
        <v>2.5062656641603454E-3</v>
      </c>
      <c r="H104" s="809">
        <f>(cbalReg1Prod3Rev/cbalReg1Prod3Price)/(obalReg1Prod3Rev/obalReg1Prod3Price)-1</f>
        <v>2.5062656641603454E-3</v>
      </c>
      <c r="I104" s="809">
        <f>(cbalReg1Prod3Rev/cbalReg1Prod3Price)/(obalReg1Prod3Rev/obalReg1Prod3Price)-1</f>
        <v>2.5062656641603454E-3</v>
      </c>
      <c r="J104" s="526"/>
      <c r="K104" s="1451">
        <f>AVERAGE(E104:I104)</f>
        <v>2.5062656641603454E-3</v>
      </c>
    </row>
    <row r="105" spans="1:11" ht="11.25" customHeight="1">
      <c r="A105" s="132"/>
      <c r="B105" s="1138" t="str">
        <f>DataNameProd3&amp;" Gross Rev Change"</f>
        <v>NCB Gross Rev Change</v>
      </c>
      <c r="C105" s="545"/>
      <c r="D105" s="545"/>
      <c r="E105" s="1166">
        <f>cbalReg1Prod3NetRev/obalReg1Prod3NetRev-1</f>
        <v>2.9841958060674578E-3</v>
      </c>
      <c r="F105" s="1166">
        <f>cbalReg1Prod3NetRev/obalReg1Prod3NetRev-1</f>
        <v>2.9841958060674578E-3</v>
      </c>
      <c r="G105" s="1166">
        <f>cbalReg1Prod3NetRev/obalReg1Prod3NetRev-1</f>
        <v>2.9841958060674578E-3</v>
      </c>
      <c r="H105" s="1166">
        <f>cbalReg1Prod3NetRev/obalReg1Prod3NetRev-1</f>
        <v>2.9841958060674578E-3</v>
      </c>
      <c r="I105" s="1166">
        <f>cbalReg1Prod3NetRev/obalReg1Prod3NetRev-1</f>
        <v>2.9841958060674578E-3</v>
      </c>
      <c r="J105" s="526"/>
      <c r="K105" s="1281">
        <f>AVERAGE(E105:I105)</f>
        <v>2.9841958060674578E-3</v>
      </c>
    </row>
    <row r="106" spans="1:11" ht="6" customHeight="1">
      <c r="A106" s="132"/>
      <c r="B106" s="1134"/>
      <c r="C106" s="546"/>
      <c r="D106" s="546"/>
      <c r="E106" s="1167"/>
      <c r="F106" s="1167"/>
      <c r="G106" s="1167"/>
      <c r="H106" s="1167"/>
      <c r="I106" s="1167"/>
      <c r="J106" s="526"/>
      <c r="K106" s="815"/>
    </row>
    <row r="107" spans="1:11" ht="11.25" customHeight="1">
      <c r="A107" s="132"/>
      <c r="B107" s="1134" t="str">
        <f>DataNameProd4&amp;" Price Change"</f>
        <v>F&amp;S Price Change</v>
      </c>
      <c r="C107" s="546"/>
      <c r="D107" s="546"/>
      <c r="E107" s="809">
        <f>cbalReg1Prod4Price/obalReg1Prod4Price-1</f>
        <v>0</v>
      </c>
      <c r="F107" s="809">
        <f>cbalReg1Prod4Price/obalReg1Prod4Price-1</f>
        <v>0</v>
      </c>
      <c r="G107" s="809">
        <f>cbalReg1Prod4Price/obalReg1Prod4Price-1</f>
        <v>0</v>
      </c>
      <c r="H107" s="809">
        <f>cbalReg1Prod4Price/obalReg1Prod4Price-1</f>
        <v>0</v>
      </c>
      <c r="I107" s="809">
        <f>cbalReg1Prod4Price/obalReg1Prod4Price-1</f>
        <v>0</v>
      </c>
      <c r="J107" s="526"/>
      <c r="K107" s="1451">
        <f>AVERAGE(E107:I107)</f>
        <v>0</v>
      </c>
    </row>
    <row r="108" spans="1:11" ht="11.25" customHeight="1">
      <c r="A108" s="132"/>
      <c r="B108" s="1134" t="str">
        <f>DataNameProd4&amp;" Vol Change"</f>
        <v>F&amp;S Vol Change</v>
      </c>
      <c r="C108" s="546"/>
      <c r="D108" s="546"/>
      <c r="E108" s="809">
        <f>(cbalReg1Prod4Rev/cbalReg1Prod4Price)/(obalReg1Prod4Rev/obalReg1Prod4Price)-1</f>
        <v>0</v>
      </c>
      <c r="F108" s="809">
        <f>(cbalReg1Prod4Rev/cbalReg1Prod4Price)/(obalReg1Prod4Rev/obalReg1Prod4Price)-1</f>
        <v>0</v>
      </c>
      <c r="G108" s="809">
        <f>(cbalReg1Prod4Rev/cbalReg1Prod4Price)/(obalReg1Prod4Rev/obalReg1Prod4Price)-1</f>
        <v>0</v>
      </c>
      <c r="H108" s="809">
        <f>(cbalReg1Prod4Rev/cbalReg1Prod4Price)/(obalReg1Prod4Rev/obalReg1Prod4Price)-1</f>
        <v>0</v>
      </c>
      <c r="I108" s="809">
        <f>(cbalReg1Prod4Rev/cbalReg1Prod4Price)/(obalReg1Prod4Rev/obalReg1Prod4Price)-1</f>
        <v>0</v>
      </c>
      <c r="J108" s="526"/>
      <c r="K108" s="1451">
        <f>AVERAGE(E108:I108)</f>
        <v>0</v>
      </c>
    </row>
    <row r="109" spans="1:11" ht="11.25" customHeight="1">
      <c r="A109" s="132"/>
      <c r="B109" s="1138" t="str">
        <f>DataNameProd4&amp;" Gross Rev Change"</f>
        <v>F&amp;S Gross Rev Change</v>
      </c>
      <c r="C109" s="545"/>
      <c r="D109" s="545"/>
      <c r="E109" s="1166">
        <f>cbalReg1Prod4NetRev/obalReg1Prod4NetRev-1</f>
        <v>0</v>
      </c>
      <c r="F109" s="1166">
        <f>cbalReg1Prod4NetRev/obalReg1Prod4NetRev-1</f>
        <v>0</v>
      </c>
      <c r="G109" s="1166">
        <f>cbalReg1Prod4NetRev/obalReg1Prod4NetRev-1</f>
        <v>0</v>
      </c>
      <c r="H109" s="1166">
        <f>cbalReg1Prod4NetRev/obalReg1Prod4NetRev-1</f>
        <v>0</v>
      </c>
      <c r="I109" s="1166">
        <f>cbalReg1Prod4NetRev/obalReg1Prod4NetRev-1</f>
        <v>0</v>
      </c>
      <c r="J109" s="526"/>
      <c r="K109" s="1281">
        <f>AVERAGE(E109:I109)</f>
        <v>0</v>
      </c>
    </row>
    <row r="110" spans="1:11" ht="12.75">
      <c r="A110" s="132"/>
      <c r="B110" s="1134"/>
      <c r="C110" s="546"/>
      <c r="D110" s="546"/>
      <c r="E110" s="526"/>
      <c r="F110" s="526"/>
      <c r="G110" s="526"/>
      <c r="H110" s="526"/>
      <c r="I110" s="526"/>
      <c r="J110" s="526"/>
      <c r="K110" s="815"/>
    </row>
    <row r="111" spans="1:11" ht="11.25" customHeight="1">
      <c r="A111" s="132"/>
      <c r="B111" s="1157" t="str">
        <f>DataNameProd2&amp;" Volume"</f>
        <v>Breakthrough Volume</v>
      </c>
      <c r="C111" s="546"/>
      <c r="D111" s="546"/>
      <c r="E111" s="520">
        <f>HLOOKUP(cbalDisrupt1,dataDisruptWeight,2,0)*capReg1Prod2UnitsSold+HLOOKUP(cbalDisrupt2,dataDisruptWeight,2,0)*capReg2Prod2UnitsSold</f>
        <v>0</v>
      </c>
      <c r="F111" s="520">
        <f>HLOOKUP(cbalDisrupt1,dataDisruptWeight,2,0)*capReg1Prod2UnitsSold+HLOOKUP(cbalDisrupt2,dataDisruptWeight,2,0)*capReg2Prod2UnitsSold</f>
        <v>0</v>
      </c>
      <c r="G111" s="520">
        <f>HLOOKUP(cbalDisrupt1,dataDisruptWeight,2,0)*capReg1Prod2UnitsSold+HLOOKUP(cbalDisrupt2,dataDisruptWeight,2,0)*capReg2Prod2UnitsSold</f>
        <v>0</v>
      </c>
      <c r="H111" s="520">
        <f>HLOOKUP(cbalDisrupt1,dataDisruptWeight,2,0)*capReg1Prod2UnitsSold+HLOOKUP(cbalDisrupt2,dataDisruptWeight,2,0)*capReg2Prod2UnitsSold</f>
        <v>0</v>
      </c>
      <c r="I111" s="520">
        <f>HLOOKUP(cbalDisrupt1,dataDisruptWeight,2,0)*capReg1Prod2UnitsSold+HLOOKUP(cbalDisrupt2,dataDisruptWeight,2,0)*capReg2Prod2UnitsSold</f>
        <v>0</v>
      </c>
      <c r="J111" s="526"/>
      <c r="K111" s="1452">
        <f>AVERAGE(E111:I111)</f>
        <v>0</v>
      </c>
    </row>
    <row r="112" spans="1:11" ht="11.25" customHeight="1">
      <c r="A112" s="132"/>
      <c r="B112" s="1158" t="str">
        <f>DataNameProd2&amp;" Net Revs"</f>
        <v>Breakthrough Net Revs</v>
      </c>
      <c r="C112" s="545"/>
      <c r="D112" s="545"/>
      <c r="E112" s="1182">
        <f>cbalReg1Prod2NetRev</f>
        <v>0</v>
      </c>
      <c r="F112" s="1182">
        <f>cbalReg1Prod2NetRev</f>
        <v>0</v>
      </c>
      <c r="G112" s="1182">
        <f>cbalReg1Prod2NetRev</f>
        <v>0</v>
      </c>
      <c r="H112" s="1182">
        <f>cbalReg1Prod2NetRev</f>
        <v>0</v>
      </c>
      <c r="I112" s="1182">
        <f>cbalReg1Prod2NetRev</f>
        <v>0</v>
      </c>
      <c r="J112" s="526"/>
      <c r="K112" s="1188">
        <f>AVERAGE(E112:I112)</f>
        <v>0</v>
      </c>
    </row>
    <row r="113" spans="1:11" ht="11.25" customHeight="1">
      <c r="A113" s="132"/>
      <c r="B113" s="150"/>
      <c r="C113" s="546"/>
      <c r="D113" s="546"/>
      <c r="E113" s="526"/>
      <c r="F113" s="526"/>
      <c r="G113" s="526"/>
      <c r="H113" s="526"/>
      <c r="I113" s="526"/>
      <c r="J113" s="526"/>
      <c r="K113" s="815"/>
    </row>
    <row r="114" spans="1:11" ht="11.25" customHeight="1">
      <c r="A114" s="132"/>
      <c r="B114" s="1135" t="s">
        <v>1599</v>
      </c>
      <c r="C114" s="1136"/>
      <c r="D114" s="1136"/>
      <c r="E114" s="1137"/>
      <c r="F114" s="1137"/>
      <c r="G114" s="1137"/>
      <c r="H114" s="1137"/>
      <c r="I114" s="1137"/>
      <c r="J114" s="526"/>
      <c r="K114" s="815"/>
    </row>
    <row r="115" spans="1:11" ht="11.25" customHeight="1">
      <c r="A115" s="132"/>
      <c r="B115" s="150" t="s">
        <v>3056</v>
      </c>
      <c r="C115" s="546"/>
      <c r="D115" s="546"/>
      <c r="E115" s="1182">
        <f>feedbackTS!E303</f>
        <v>6383253760</v>
      </c>
      <c r="F115" s="1182">
        <f>feedbackTS!F303</f>
        <v>6383253760</v>
      </c>
      <c r="G115" s="1182">
        <f>feedbackTS!G303</f>
        <v>6383253760</v>
      </c>
      <c r="H115" s="1182">
        <f>feedbackTS!H303</f>
        <v>6383253760</v>
      </c>
      <c r="I115" s="1182">
        <f>feedbackTS!I303</f>
        <v>6383253760</v>
      </c>
      <c r="J115" s="526"/>
      <c r="K115" s="815">
        <f>AVERAGE(E115:I115)</f>
        <v>6383253760</v>
      </c>
    </row>
    <row r="116" spans="1:11" ht="11.25" customHeight="1">
      <c r="A116" s="132"/>
      <c r="B116" s="150" t="s">
        <v>3057</v>
      </c>
      <c r="C116" s="546"/>
      <c r="D116" s="546"/>
      <c r="E116" s="1182">
        <f>obalReg2NetRev</f>
        <v>6383253760</v>
      </c>
      <c r="F116" s="1182">
        <f>obalReg2NetRev</f>
        <v>6383253760</v>
      </c>
      <c r="G116" s="1182">
        <f>obalReg2NetRev</f>
        <v>6383253760</v>
      </c>
      <c r="H116" s="1182">
        <f>obalReg2NetRev</f>
        <v>6383253760</v>
      </c>
      <c r="I116" s="1182">
        <f>obalReg2NetRev</f>
        <v>6383253760</v>
      </c>
      <c r="J116" s="526"/>
      <c r="K116" s="815">
        <f>AVERAGE(E116:I116)</f>
        <v>6383253760</v>
      </c>
    </row>
    <row r="117" spans="1:11" ht="11.25" customHeight="1">
      <c r="A117" s="132"/>
      <c r="B117" s="150" t="s">
        <v>3499</v>
      </c>
      <c r="C117" s="546"/>
      <c r="D117" s="546"/>
      <c r="E117" s="1182">
        <f>finPNLReg2NetRev</f>
        <v>6517600000</v>
      </c>
      <c r="F117" s="1182">
        <f>finPNLReg2NetRev</f>
        <v>6517600000</v>
      </c>
      <c r="G117" s="1182">
        <f>finPNLReg2NetRev</f>
        <v>6517600000</v>
      </c>
      <c r="H117" s="1182">
        <f>finPNLReg2NetRev</f>
        <v>6517600000</v>
      </c>
      <c r="I117" s="1182">
        <f>finPNLReg2NetRev</f>
        <v>6517600000</v>
      </c>
      <c r="J117" s="526"/>
      <c r="K117" s="815">
        <f>AVERAGE(E117:I117)</f>
        <v>6517600000</v>
      </c>
    </row>
    <row r="118" spans="1:11" ht="4.5" customHeight="1">
      <c r="A118" s="132"/>
      <c r="B118" s="598"/>
      <c r="C118" s="1132"/>
      <c r="D118" s="1132"/>
      <c r="E118" s="1133"/>
      <c r="F118" s="1133"/>
      <c r="G118" s="1133"/>
      <c r="H118" s="1133"/>
      <c r="I118" s="1133"/>
      <c r="J118" s="526"/>
      <c r="K118" s="815"/>
    </row>
    <row r="119" spans="1:11" ht="11.25" customHeight="1">
      <c r="A119" s="132"/>
      <c r="B119" s="452" t="s">
        <v>1073</v>
      </c>
      <c r="C119" s="545"/>
      <c r="D119" s="545"/>
      <c r="E119" s="1166">
        <f>E117/E115-1</f>
        <v>2.1046670718602334E-2</v>
      </c>
      <c r="F119" s="1166">
        <f>F117/F115-1</f>
        <v>2.1046670718602334E-2</v>
      </c>
      <c r="G119" s="1166">
        <f>G117/G115-1</f>
        <v>2.1046670718602334E-2</v>
      </c>
      <c r="H119" s="1166">
        <f>H117/H115-1</f>
        <v>2.1046670718602334E-2</v>
      </c>
      <c r="I119" s="1166">
        <f>I117/I115-1</f>
        <v>2.1046670718602334E-2</v>
      </c>
      <c r="J119" s="526"/>
      <c r="K119" s="806">
        <f>AVERAGE(E119:I119)</f>
        <v>2.1046670718602334E-2</v>
      </c>
    </row>
    <row r="120" spans="1:11" ht="11.25" customHeight="1">
      <c r="A120" s="132"/>
      <c r="B120" s="452" t="s">
        <v>1074</v>
      </c>
      <c r="C120" s="545"/>
      <c r="D120" s="545"/>
      <c r="E120" s="1166">
        <f>E117/E116-1</f>
        <v>2.1046670718602334E-2</v>
      </c>
      <c r="F120" s="1166">
        <f>F117/F116-1</f>
        <v>2.1046670718602334E-2</v>
      </c>
      <c r="G120" s="1166">
        <f>G117/G116-1</f>
        <v>2.1046670718602334E-2</v>
      </c>
      <c r="H120" s="1166">
        <f>H117/H116-1</f>
        <v>2.1046670718602334E-2</v>
      </c>
      <c r="I120" s="1166">
        <f>I117/I116-1</f>
        <v>2.1046670718602334E-2</v>
      </c>
      <c r="J120" s="526"/>
      <c r="K120" s="806">
        <f>AVERAGE(E120:I120)</f>
        <v>2.1046670718602334E-2</v>
      </c>
    </row>
    <row r="121" spans="1:11" ht="11.25" customHeight="1">
      <c r="A121" s="132"/>
      <c r="B121" s="150"/>
      <c r="C121" s="546"/>
      <c r="D121" s="546"/>
      <c r="E121" s="1167"/>
      <c r="F121" s="1167"/>
      <c r="G121" s="1167"/>
      <c r="H121" s="1167"/>
      <c r="I121" s="1167"/>
      <c r="J121" s="526"/>
      <c r="K121" s="815"/>
    </row>
    <row r="122" spans="1:11" ht="11.25" customHeight="1">
      <c r="A122" s="132"/>
      <c r="B122" s="711" t="s">
        <v>234</v>
      </c>
      <c r="C122" s="546"/>
      <c r="D122" s="546"/>
      <c r="E122" s="1167"/>
      <c r="F122" s="1167"/>
      <c r="G122" s="1167"/>
      <c r="H122" s="1167"/>
      <c r="I122" s="1167"/>
      <c r="J122" s="526"/>
      <c r="K122" s="815"/>
    </row>
    <row r="123" spans="1:11" ht="11.25" customHeight="1">
      <c r="A123" s="132"/>
      <c r="B123" s="1134" t="str">
        <f>DataNameProd1&amp;" Price Change"</f>
        <v>CSD Price Change</v>
      </c>
      <c r="C123" s="546"/>
      <c r="D123" s="546"/>
      <c r="E123" s="809">
        <f>cbalReg2Prod1Price/obalReg2Prod1Price-1</f>
        <v>0</v>
      </c>
      <c r="F123" s="809">
        <f>cbalReg2Prod1Price/obalReg2Prod1Price-1</f>
        <v>0</v>
      </c>
      <c r="G123" s="809">
        <f>cbalReg2Prod1Price/obalReg2Prod1Price-1</f>
        <v>0</v>
      </c>
      <c r="H123" s="809">
        <f>cbalReg2Prod1Price/obalReg2Prod1Price-1</f>
        <v>0</v>
      </c>
      <c r="I123" s="809">
        <f>cbalReg2Prod1Price/obalReg2Prod1Price-1</f>
        <v>0</v>
      </c>
      <c r="J123" s="526"/>
      <c r="K123" s="1451">
        <f>AVERAGE(E123:I123)</f>
        <v>0</v>
      </c>
    </row>
    <row r="124" spans="1:11" ht="11.25" customHeight="1">
      <c r="A124" s="132"/>
      <c r="B124" s="1134" t="str">
        <f>DataNameProd1&amp;" Vol Change"</f>
        <v>CSD Vol Change</v>
      </c>
      <c r="C124" s="546"/>
      <c r="D124" s="546"/>
      <c r="E124" s="809">
        <f>(cbalReg2Prod1Rev/cbalReg2Prod1Price)/(obalReg2Prod1Rev/obalReg2Prod1Price)-1</f>
        <v>2.2913256955810146E-2</v>
      </c>
      <c r="F124" s="809">
        <f>(cbalReg2Prod1Rev/cbalReg2Prod1Price)/(obalReg2Prod1Rev/obalReg2Prod1Price)-1</f>
        <v>2.2913256955810146E-2</v>
      </c>
      <c r="G124" s="809">
        <f>(cbalReg2Prod1Rev/cbalReg2Prod1Price)/(obalReg2Prod1Rev/obalReg2Prod1Price)-1</f>
        <v>2.2913256955810146E-2</v>
      </c>
      <c r="H124" s="809">
        <f>(cbalReg2Prod1Rev/cbalReg2Prod1Price)/(obalReg2Prod1Rev/obalReg2Prod1Price)-1</f>
        <v>2.2913256955810146E-2</v>
      </c>
      <c r="I124" s="809">
        <f>(cbalReg2Prod1Rev/cbalReg2Prod1Price)/(obalReg2Prod1Rev/obalReg2Prod1Price)-1</f>
        <v>2.2913256955810146E-2</v>
      </c>
      <c r="J124" s="526"/>
      <c r="K124" s="1451">
        <f>AVERAGE(E124:I124)</f>
        <v>2.2913256955810146E-2</v>
      </c>
    </row>
    <row r="125" spans="1:11" ht="11.25" customHeight="1">
      <c r="A125" s="132"/>
      <c r="B125" s="1138" t="str">
        <f>DataNameProd1&amp;" Gross Rev Change"</f>
        <v>CSD Gross Rev Change</v>
      </c>
      <c r="C125" s="545"/>
      <c r="D125" s="545"/>
      <c r="E125" s="1166">
        <f>cbalReg2Prod1NetRev/obalReg2Prod1NetRev-1</f>
        <v>2.4902030297716982E-2</v>
      </c>
      <c r="F125" s="1166">
        <f>cbalReg2Prod1NetRev/obalReg2Prod1NetRev-1</f>
        <v>2.4902030297716982E-2</v>
      </c>
      <c r="G125" s="1166">
        <f>cbalReg2Prod1NetRev/obalReg2Prod1NetRev-1</f>
        <v>2.4902030297716982E-2</v>
      </c>
      <c r="H125" s="1166">
        <f>cbalReg2Prod1NetRev/obalReg2Prod1NetRev-1</f>
        <v>2.4902030297716982E-2</v>
      </c>
      <c r="I125" s="1166">
        <f>cbalReg2Prod1NetRev/obalReg2Prod1NetRev-1</f>
        <v>2.4902030297716982E-2</v>
      </c>
      <c r="J125" s="526"/>
      <c r="K125" s="1281">
        <f>AVERAGE(E125:I125)</f>
        <v>2.4902030297716982E-2</v>
      </c>
    </row>
    <row r="126" spans="1:11" ht="6" customHeight="1">
      <c r="A126" s="132"/>
      <c r="B126" s="1134"/>
      <c r="C126" s="546"/>
      <c r="D126" s="546"/>
      <c r="E126" s="1167"/>
      <c r="F126" s="1167"/>
      <c r="G126" s="1167"/>
      <c r="H126" s="1167"/>
      <c r="I126" s="1167"/>
      <c r="J126" s="526"/>
      <c r="K126" s="815"/>
    </row>
    <row r="127" spans="1:11" ht="11.25" customHeight="1">
      <c r="A127" s="132"/>
      <c r="B127" s="1134" t="str">
        <f>DataNameProd3&amp;" Price Change"</f>
        <v>NCB Price Change</v>
      </c>
      <c r="C127" s="546"/>
      <c r="D127" s="546"/>
      <c r="E127" s="809">
        <f>cbalReg2Prod3Price/obalReg2Prod3Price-1</f>
        <v>0</v>
      </c>
      <c r="F127" s="809">
        <f>cbalReg2Prod3Price/obalReg2Prod3Price-1</f>
        <v>0</v>
      </c>
      <c r="G127" s="809">
        <f>cbalReg2Prod3Price/obalReg2Prod3Price-1</f>
        <v>0</v>
      </c>
      <c r="H127" s="809">
        <f>cbalReg2Prod3Price/obalReg2Prod3Price-1</f>
        <v>0</v>
      </c>
      <c r="I127" s="809">
        <f>cbalReg2Prod3Price/obalReg2Prod3Price-1</f>
        <v>0</v>
      </c>
      <c r="J127" s="526"/>
      <c r="K127" s="1451">
        <f>AVERAGE(E127:I127)</f>
        <v>0</v>
      </c>
    </row>
    <row r="128" spans="1:11" ht="11.25" customHeight="1">
      <c r="A128" s="132"/>
      <c r="B128" s="1134" t="str">
        <f>DataNameProd3&amp;" Vol Change"</f>
        <v>NCB Vol Change</v>
      </c>
      <c r="C128" s="546"/>
      <c r="D128" s="546"/>
      <c r="E128" s="809">
        <f>(cbalReg2Prod3Rev/cbalReg2Prod3Price)/(obalReg2Prod3Rev/obalReg2Prod3Price)-1</f>
        <v>3.3057851239669311E-2</v>
      </c>
      <c r="F128" s="809">
        <f>(cbalReg2Prod3Rev/cbalReg2Prod3Price)/(obalReg2Prod3Rev/obalReg2Prod3Price)-1</f>
        <v>3.3057851239669311E-2</v>
      </c>
      <c r="G128" s="809">
        <f>(cbalReg2Prod3Rev/cbalReg2Prod3Price)/(obalReg2Prod3Rev/obalReg2Prod3Price)-1</f>
        <v>3.3057851239669311E-2</v>
      </c>
      <c r="H128" s="809">
        <f>(cbalReg2Prod3Rev/cbalReg2Prod3Price)/(obalReg2Prod3Rev/obalReg2Prod3Price)-1</f>
        <v>3.3057851239669311E-2</v>
      </c>
      <c r="I128" s="809">
        <f>(cbalReg2Prod3Rev/cbalReg2Prod3Price)/(obalReg2Prod3Rev/obalReg2Prod3Price)-1</f>
        <v>3.3057851239669311E-2</v>
      </c>
      <c r="J128" s="526"/>
      <c r="K128" s="1451">
        <f>AVERAGE(E128:I128)</f>
        <v>3.3057851239669311E-2</v>
      </c>
    </row>
    <row r="129" spans="1:17" ht="11.25" customHeight="1">
      <c r="A129" s="132"/>
      <c r="B129" s="1138" t="str">
        <f>DataNameProd3&amp;" Gross Rev Change"</f>
        <v>NCB Gross Rev Change</v>
      </c>
      <c r="C129" s="545"/>
      <c r="D129" s="545"/>
      <c r="E129" s="1166">
        <f>cbalReg2Prod3NetRev/obalReg2Prod3Rev-1</f>
        <v>-3.6515432619328769E-2</v>
      </c>
      <c r="F129" s="1166">
        <f>cbalReg2Prod3NetRev/obalReg2Prod3Rev-1</f>
        <v>-3.6515432619328769E-2</v>
      </c>
      <c r="G129" s="1166">
        <f>cbalReg2Prod3NetRev/obalReg2Prod3Rev-1</f>
        <v>-3.6515432619328769E-2</v>
      </c>
      <c r="H129" s="1166">
        <f>cbalReg2Prod3NetRev/obalReg2Prod3Rev-1</f>
        <v>-3.6515432619328769E-2</v>
      </c>
      <c r="I129" s="1166">
        <f>cbalReg2Prod3NetRev/obalReg2Prod3Rev-1</f>
        <v>-3.6515432619328769E-2</v>
      </c>
      <c r="J129" s="526"/>
      <c r="K129" s="1281">
        <f>AVERAGE(E129:I129)</f>
        <v>-3.6515432619328769E-2</v>
      </c>
    </row>
    <row r="130" spans="1:17" ht="6" customHeight="1">
      <c r="A130" s="132"/>
      <c r="B130" s="1134"/>
      <c r="C130" s="546"/>
      <c r="D130" s="546"/>
      <c r="E130" s="1167"/>
      <c r="F130" s="1167"/>
      <c r="G130" s="1167"/>
      <c r="H130" s="1167"/>
      <c r="I130" s="1167"/>
      <c r="J130" s="526"/>
      <c r="K130" s="815"/>
    </row>
    <row r="131" spans="1:17" ht="11.25" customHeight="1">
      <c r="A131" s="132"/>
      <c r="B131" s="1134" t="str">
        <f>DataNameProd4&amp;" Price Change"</f>
        <v>F&amp;S Price Change</v>
      </c>
      <c r="C131" s="546"/>
      <c r="D131" s="546"/>
      <c r="E131" s="809">
        <f>cbalReg2Prod4Price/obalReg2Prod4Price-1</f>
        <v>0</v>
      </c>
      <c r="F131" s="809">
        <f>cbalReg2Prod4Price/obalReg2Prod4Price-1</f>
        <v>0</v>
      </c>
      <c r="G131" s="809">
        <f>cbalReg2Prod4Price/obalReg2Prod4Price-1</f>
        <v>0</v>
      </c>
      <c r="H131" s="809">
        <f>cbalReg2Prod4Price/obalReg2Prod4Price-1</f>
        <v>0</v>
      </c>
      <c r="I131" s="809">
        <f>cbalReg2Prod4Price/obalReg2Prod4Price-1</f>
        <v>0</v>
      </c>
      <c r="J131" s="526"/>
      <c r="K131" s="1451">
        <f>AVERAGE(E131:I131)</f>
        <v>0</v>
      </c>
    </row>
    <row r="132" spans="1:17" ht="11.25" customHeight="1">
      <c r="A132" s="132"/>
      <c r="B132" s="1134" t="str">
        <f>DataNameProd4&amp;" Vol Change"</f>
        <v>F&amp;S Vol Change</v>
      </c>
      <c r="C132" s="546"/>
      <c r="D132" s="546"/>
      <c r="E132" s="809">
        <f>(cbalReg2Prod4Rev/cbalReg2Prod4Price)/(obalReg2Prod4Rev/obalReg2Prod4Price)-1</f>
        <v>0</v>
      </c>
      <c r="F132" s="809">
        <f>(cbalReg2Prod4Rev/cbalReg2Prod4Price)/(obalReg2Prod4Rev/obalReg2Prod4Price)-1</f>
        <v>0</v>
      </c>
      <c r="G132" s="809">
        <f>(cbalReg2Prod4Rev/cbalReg2Prod4Price)/(obalReg2Prod4Rev/obalReg2Prod4Price)-1</f>
        <v>0</v>
      </c>
      <c r="H132" s="809">
        <f>(cbalReg2Prod4Rev/cbalReg2Prod4Price)/(obalReg2Prod4Rev/obalReg2Prod4Price)-1</f>
        <v>0</v>
      </c>
      <c r="I132" s="809">
        <f>(cbalReg2Prod4Rev/cbalReg2Prod4Price)/(obalReg2Prod4Rev/obalReg2Prod4Price)-1</f>
        <v>0</v>
      </c>
      <c r="J132" s="526"/>
      <c r="K132" s="1451">
        <f>AVERAGE(E132:I132)</f>
        <v>0</v>
      </c>
    </row>
    <row r="133" spans="1:17" ht="11.25" customHeight="1">
      <c r="A133" s="132"/>
      <c r="B133" s="1138" t="str">
        <f>DataNameProd4&amp;" Gross Rev Change"</f>
        <v>F&amp;S Gross Rev Change</v>
      </c>
      <c r="C133" s="545"/>
      <c r="D133" s="545"/>
      <c r="E133" s="1166">
        <f>cbalReg2Prod4NetRev/obalReg2Prod4NetRev-1</f>
        <v>0</v>
      </c>
      <c r="F133" s="1166">
        <f>cbalReg2Prod4NetRev/obalReg2Prod4NetRev-1</f>
        <v>0</v>
      </c>
      <c r="G133" s="1166">
        <f>cbalReg2Prod4NetRev/obalReg2Prod4NetRev-1</f>
        <v>0</v>
      </c>
      <c r="H133" s="1166">
        <f>cbalReg2Prod4NetRev/obalReg2Prod4NetRev-1</f>
        <v>0</v>
      </c>
      <c r="I133" s="1166">
        <f>cbalReg2Prod4NetRev/obalReg2Prod4NetRev-1</f>
        <v>0</v>
      </c>
      <c r="J133" s="526"/>
      <c r="K133" s="1281">
        <f>AVERAGE(E133:I133)</f>
        <v>0</v>
      </c>
    </row>
    <row r="134" spans="1:17" ht="12.75">
      <c r="A134" s="132"/>
      <c r="B134" s="1134"/>
      <c r="C134" s="546"/>
      <c r="D134" s="546"/>
      <c r="E134" s="526"/>
      <c r="F134" s="526"/>
      <c r="G134" s="526"/>
      <c r="H134" s="526"/>
      <c r="I134" s="526"/>
      <c r="J134" s="526"/>
      <c r="K134" s="815"/>
    </row>
    <row r="135" spans="1:17" ht="11.25" customHeight="1">
      <c r="A135" s="132"/>
      <c r="B135" s="1157" t="str">
        <f>DataNameProd2&amp;" Volume"</f>
        <v>Breakthrough Volume</v>
      </c>
      <c r="C135" s="546"/>
      <c r="D135" s="546"/>
      <c r="E135" s="520">
        <f>HLOOKUP(cbalDisrupt1,dataDisruptWeight,3,0)*capReg1Prod2UnitsSold+HLOOKUP(cbalDisrupt2,dataDisruptWeight,3,0)*capReg2Prod2UnitsSold</f>
        <v>0</v>
      </c>
      <c r="F135" s="520">
        <f>HLOOKUP(cbalDisrupt1,dataDisruptWeight,3,0)*capReg1Prod2UnitsSold+HLOOKUP(cbalDisrupt2,dataDisruptWeight,3,0)*capReg2Prod2UnitsSold</f>
        <v>0</v>
      </c>
      <c r="G135" s="520">
        <f>HLOOKUP(cbalDisrupt1,dataDisruptWeight,3,0)*capReg1Prod2UnitsSold+HLOOKUP(cbalDisrupt2,dataDisruptWeight,3,0)*capReg2Prod2UnitsSold</f>
        <v>0</v>
      </c>
      <c r="H135" s="520">
        <f>HLOOKUP(cbalDisrupt1,dataDisruptWeight,3,0)*capReg1Prod2UnitsSold+HLOOKUP(cbalDisrupt2,dataDisruptWeight,3,0)*capReg2Prod2UnitsSold</f>
        <v>0</v>
      </c>
      <c r="I135" s="520">
        <f>HLOOKUP(cbalDisrupt1,dataDisruptWeight,3,0)*capReg1Prod2UnitsSold+HLOOKUP(cbalDisrupt2,dataDisruptWeight,3,0)*capReg2Prod2UnitsSold</f>
        <v>0</v>
      </c>
      <c r="J135" s="526"/>
      <c r="K135" s="1452">
        <f>AVERAGE(E135:I135)</f>
        <v>0</v>
      </c>
    </row>
    <row r="136" spans="1:17" ht="11.25" customHeight="1">
      <c r="A136" s="132"/>
      <c r="B136" s="1158" t="str">
        <f>DataNameProd2&amp;" Net Revs"</f>
        <v>Breakthrough Net Revs</v>
      </c>
      <c r="C136" s="545"/>
      <c r="D136" s="545"/>
      <c r="E136" s="1182">
        <f>cbalReg2Prod2NetRev</f>
        <v>0</v>
      </c>
      <c r="F136" s="1182">
        <f>cbalReg2Prod2NetRev</f>
        <v>0</v>
      </c>
      <c r="G136" s="1182">
        <f>cbalReg2Prod2NetRev</f>
        <v>0</v>
      </c>
      <c r="H136" s="1182">
        <f>cbalReg2Prod2NetRev</f>
        <v>0</v>
      </c>
      <c r="I136" s="1182">
        <f>cbalReg2Prod2NetRev</f>
        <v>0</v>
      </c>
      <c r="J136" s="526"/>
      <c r="K136" s="1188">
        <f>AVERAGE(E136:I136)</f>
        <v>0</v>
      </c>
    </row>
    <row r="137" spans="1:17" ht="11.25" customHeight="1">
      <c r="A137" s="132"/>
      <c r="B137" s="545"/>
      <c r="C137" s="545"/>
      <c r="D137" s="545"/>
      <c r="E137" s="530"/>
      <c r="F137" s="530"/>
      <c r="G137" s="530"/>
      <c r="H137" s="530"/>
      <c r="I137" s="530"/>
      <c r="J137" s="180"/>
      <c r="K137" s="792"/>
    </row>
    <row r="138" spans="1:17" ht="15.75">
      <c r="A138" s="407" t="s">
        <v>3164</v>
      </c>
      <c r="B138" s="177"/>
      <c r="C138" s="177"/>
      <c r="D138" s="177"/>
      <c r="E138" s="731" t="str">
        <f>decTeamName</f>
        <v>Vivia</v>
      </c>
      <c r="F138" s="731" t="str">
        <f>decTeamName</f>
        <v>Vivia</v>
      </c>
      <c r="G138" s="731" t="str">
        <f>decTeamName</f>
        <v>Vivia</v>
      </c>
      <c r="H138" s="731" t="str">
        <f>decTeamName</f>
        <v>Vivia</v>
      </c>
      <c r="I138" s="731" t="str">
        <f>decTeamName</f>
        <v>Vivia</v>
      </c>
      <c r="J138" s="731"/>
      <c r="K138" s="800" t="s">
        <v>2718</v>
      </c>
      <c r="P138" s="398"/>
      <c r="Q138" s="18"/>
    </row>
    <row r="139" spans="1:17" ht="5.0999999999999996" customHeight="1">
      <c r="A139" s="544"/>
      <c r="B139" s="541"/>
      <c r="C139" s="541"/>
      <c r="D139" s="541"/>
      <c r="E139" s="21"/>
      <c r="F139" s="21"/>
      <c r="G139" s="21"/>
      <c r="H139" s="21"/>
      <c r="I139" s="21"/>
      <c r="J139" s="180"/>
      <c r="K139" s="792"/>
    </row>
    <row r="140" spans="1:17">
      <c r="A140" s="707" t="s">
        <v>829</v>
      </c>
      <c r="B140" s="21"/>
      <c r="C140" s="21"/>
      <c r="D140" s="21"/>
      <c r="E140" s="21"/>
      <c r="F140" s="21"/>
      <c r="G140" s="21"/>
      <c r="H140" s="21"/>
      <c r="I140" s="21"/>
      <c r="K140" s="133"/>
    </row>
    <row r="141" spans="1:17">
      <c r="A141" s="132"/>
      <c r="B141" s="21"/>
      <c r="C141" s="21"/>
      <c r="D141" s="21"/>
      <c r="E141" s="21"/>
      <c r="F141" s="21"/>
      <c r="G141" s="21"/>
      <c r="H141" s="21"/>
      <c r="I141" s="21"/>
      <c r="K141" s="133"/>
    </row>
    <row r="142" spans="1:17">
      <c r="A142" s="132"/>
      <c r="B142" s="62" t="s">
        <v>1476</v>
      </c>
      <c r="C142" s="62"/>
      <c r="D142" s="62"/>
      <c r="E142" s="1181">
        <f>finPNLRev</f>
        <v>26142123699.5</v>
      </c>
      <c r="F142" s="1181">
        <f>finPNLRev</f>
        <v>26142123699.5</v>
      </c>
      <c r="G142" s="1181">
        <f>finPNLRev</f>
        <v>26142123699.5</v>
      </c>
      <c r="H142" s="1181">
        <f>finPNLRev</f>
        <v>26142123699.5</v>
      </c>
      <c r="I142" s="1181">
        <f>finPNLRev</f>
        <v>26142123699.5</v>
      </c>
      <c r="K142" s="1417">
        <f t="shared" ref="K142:K162" si="0">AVERAGE(E142:I142)</f>
        <v>26142123699.5</v>
      </c>
    </row>
    <row r="143" spans="1:17">
      <c r="A143" s="132"/>
      <c r="B143" s="547" t="s">
        <v>2548</v>
      </c>
      <c r="C143" s="21"/>
      <c r="D143" s="21"/>
      <c r="E143" s="1182">
        <f>finPNLPromoExp</f>
        <v>3520000000</v>
      </c>
      <c r="F143" s="1182">
        <f>finPNLPromoExp</f>
        <v>3520000000</v>
      </c>
      <c r="G143" s="1182">
        <f>finPNLPromoExp</f>
        <v>3520000000</v>
      </c>
      <c r="H143" s="1182">
        <f>finPNLPromoExp</f>
        <v>3520000000</v>
      </c>
      <c r="I143" s="1182">
        <f>finPNLPromoExp</f>
        <v>3520000000</v>
      </c>
      <c r="K143" s="1188">
        <f t="shared" si="0"/>
        <v>3520000000</v>
      </c>
    </row>
    <row r="144" spans="1:17">
      <c r="A144" s="132"/>
      <c r="B144" s="62" t="s">
        <v>1475</v>
      </c>
      <c r="C144" s="62"/>
      <c r="D144" s="62"/>
      <c r="E144" s="1181">
        <f>fin!E761</f>
        <v>22622123699.5</v>
      </c>
      <c r="F144" s="1181">
        <f>fin!F761</f>
        <v>22622123699.5</v>
      </c>
      <c r="G144" s="1181">
        <f>fin!G761</f>
        <v>22622123699.5</v>
      </c>
      <c r="H144" s="1181">
        <f>fin!H761</f>
        <v>22622123699.5</v>
      </c>
      <c r="I144" s="1181">
        <f>fin!I761</f>
        <v>22622123699.5</v>
      </c>
      <c r="K144" s="1417">
        <f t="shared" si="0"/>
        <v>22622123699.5</v>
      </c>
    </row>
    <row r="145" spans="1:11">
      <c r="A145" s="132"/>
      <c r="B145" s="547" t="str">
        <f>fin!A762</f>
        <v>Cost of Goods Sold</v>
      </c>
      <c r="C145" s="21"/>
      <c r="D145" s="21"/>
      <c r="E145" s="1182">
        <f ca="1">fin!E762</f>
        <v>11248910818.928865</v>
      </c>
      <c r="F145" s="1182">
        <f ca="1">fin!F762</f>
        <v>11248910818.928865</v>
      </c>
      <c r="G145" s="1182">
        <f ca="1">fin!G762</f>
        <v>11248910818.928865</v>
      </c>
      <c r="H145" s="1182">
        <f ca="1">fin!H762</f>
        <v>11248910818.928865</v>
      </c>
      <c r="I145" s="1182">
        <f ca="1">fin!I762</f>
        <v>11248910818.928865</v>
      </c>
      <c r="K145" s="1188">
        <f t="shared" ca="1" si="0"/>
        <v>11248910818.928865</v>
      </c>
    </row>
    <row r="146" spans="1:11">
      <c r="A146" s="132"/>
      <c r="B146" s="547" t="str">
        <f>fin!A763</f>
        <v>SG&amp;A</v>
      </c>
      <c r="C146" s="21"/>
      <c r="D146" s="21"/>
      <c r="E146" s="1182">
        <f ca="1">fin!E763</f>
        <v>5590474655.6612024</v>
      </c>
      <c r="F146" s="1182">
        <f ca="1">fin!F763</f>
        <v>5590474655.6612024</v>
      </c>
      <c r="G146" s="1182">
        <f ca="1">fin!G763</f>
        <v>5590474655.6612024</v>
      </c>
      <c r="H146" s="1182">
        <f ca="1">fin!H763</f>
        <v>5590474655.6612024</v>
      </c>
      <c r="I146" s="1182">
        <f ca="1">fin!I763</f>
        <v>5590474655.6612024</v>
      </c>
      <c r="K146" s="1188">
        <f t="shared" ca="1" si="0"/>
        <v>5590474655.6612024</v>
      </c>
    </row>
    <row r="147" spans="1:11">
      <c r="A147" s="132"/>
      <c r="B147" s="547" t="str">
        <f>fin!A764</f>
        <v>R&amp;D Costs</v>
      </c>
      <c r="C147" s="21"/>
      <c r="D147" s="21"/>
      <c r="E147" s="1182">
        <f>fin!E764</f>
        <v>142497326.78673378</v>
      </c>
      <c r="F147" s="1182">
        <f>fin!F764</f>
        <v>142497326.78673378</v>
      </c>
      <c r="G147" s="1182">
        <f>fin!G764</f>
        <v>142497326.78673378</v>
      </c>
      <c r="H147" s="1182">
        <f>fin!H764</f>
        <v>142497326.78673378</v>
      </c>
      <c r="I147" s="1182">
        <f>fin!I764</f>
        <v>142497326.78673378</v>
      </c>
      <c r="K147" s="1188">
        <f t="shared" si="0"/>
        <v>142497326.78673378</v>
      </c>
    </row>
    <row r="148" spans="1:11">
      <c r="A148" s="132"/>
      <c r="B148" s="547" t="str">
        <f>fin!A765</f>
        <v>Other Operating Expenses</v>
      </c>
      <c r="C148" s="21"/>
      <c r="D148" s="21"/>
      <c r="E148" s="1182">
        <f ca="1">fin!E765</f>
        <v>366200411.79866314</v>
      </c>
      <c r="F148" s="1182">
        <f ca="1">fin!F765</f>
        <v>366200411.79866314</v>
      </c>
      <c r="G148" s="1182">
        <f ca="1">fin!G765</f>
        <v>366200411.79866314</v>
      </c>
      <c r="H148" s="1182">
        <f ca="1">fin!H765</f>
        <v>366200411.79866314</v>
      </c>
      <c r="I148" s="1182">
        <f ca="1">fin!I765</f>
        <v>366200411.79866314</v>
      </c>
      <c r="K148" s="1188">
        <f t="shared" ca="1" si="0"/>
        <v>366200411.79866314</v>
      </c>
    </row>
    <row r="149" spans="1:11">
      <c r="A149" s="132"/>
      <c r="B149" s="62" t="str">
        <f>fin!A766</f>
        <v>NOPAT</v>
      </c>
      <c r="C149" s="62"/>
      <c r="D149" s="62"/>
      <c r="E149" s="1181">
        <f ca="1">fin!E766</f>
        <v>3322645506.3844571</v>
      </c>
      <c r="F149" s="1181">
        <f ca="1">fin!F766</f>
        <v>3322645506.3844571</v>
      </c>
      <c r="G149" s="1181">
        <f ca="1">fin!G766</f>
        <v>3322645506.3844571</v>
      </c>
      <c r="H149" s="1181">
        <f ca="1">fin!H766</f>
        <v>3322645506.3844571</v>
      </c>
      <c r="I149" s="1181">
        <f ca="1">fin!I766</f>
        <v>3322645506.3844571</v>
      </c>
      <c r="K149" s="1417">
        <f t="shared" ca="1" si="0"/>
        <v>3322645506.3844571</v>
      </c>
    </row>
    <row r="150" spans="1:11">
      <c r="A150" s="132"/>
      <c r="B150" s="21"/>
      <c r="C150" s="21"/>
      <c r="D150" s="21"/>
      <c r="E150" s="1182"/>
      <c r="F150" s="1182"/>
      <c r="G150" s="1182"/>
      <c r="H150" s="1182"/>
      <c r="I150" s="1182"/>
      <c r="K150" s="1188"/>
    </row>
    <row r="151" spans="1:11">
      <c r="A151" s="132"/>
      <c r="B151" s="21" t="str">
        <f>fin!A769</f>
        <v>Plant</v>
      </c>
      <c r="C151" s="21"/>
      <c r="D151" s="21"/>
      <c r="E151" s="1182">
        <f ca="1">fin!E769</f>
        <v>6379283130</v>
      </c>
      <c r="F151" s="1182">
        <f ca="1">fin!F769</f>
        <v>6379283130</v>
      </c>
      <c r="G151" s="1182">
        <f ca="1">fin!G769</f>
        <v>6379283130</v>
      </c>
      <c r="H151" s="1182">
        <f ca="1">fin!H769</f>
        <v>6379283130</v>
      </c>
      <c r="I151" s="1182">
        <f ca="1">fin!I769</f>
        <v>6379283130</v>
      </c>
      <c r="K151" s="1188">
        <f t="shared" ca="1" si="0"/>
        <v>6379283130</v>
      </c>
    </row>
    <row r="152" spans="1:11">
      <c r="A152" s="132"/>
      <c r="B152" s="21" t="s">
        <v>827</v>
      </c>
      <c r="C152" s="21"/>
      <c r="D152" s="21"/>
      <c r="E152" s="1182">
        <f ca="1">fin!E768+fin!E770</f>
        <v>12978313821.513851</v>
      </c>
      <c r="F152" s="1182">
        <f ca="1">fin!F768+fin!F770</f>
        <v>12978313821.513851</v>
      </c>
      <c r="G152" s="1182">
        <f ca="1">fin!G768+fin!G770</f>
        <v>12978313821.513851</v>
      </c>
      <c r="H152" s="1182">
        <f ca="1">fin!H768+fin!H770</f>
        <v>12978313821.513851</v>
      </c>
      <c r="I152" s="1182">
        <f ca="1">fin!I768+fin!I770</f>
        <v>12978313821.513851</v>
      </c>
      <c r="K152" s="1188">
        <f t="shared" ca="1" si="0"/>
        <v>12978313821.513851</v>
      </c>
    </row>
    <row r="153" spans="1:11" ht="4.5" customHeight="1">
      <c r="A153" s="132"/>
      <c r="B153" s="21"/>
      <c r="C153" s="21"/>
      <c r="D153" s="21"/>
      <c r="E153" s="1182"/>
      <c r="F153" s="1182"/>
      <c r="G153" s="1182"/>
      <c r="H153" s="1182"/>
      <c r="I153" s="1182"/>
      <c r="K153" s="1188"/>
    </row>
    <row r="154" spans="1:11">
      <c r="A154" s="132"/>
      <c r="B154" s="62" t="s">
        <v>828</v>
      </c>
      <c r="C154" s="62"/>
      <c r="D154" s="62"/>
      <c r="E154" s="1181">
        <f ca="1">SUM(E155:E157)</f>
        <v>884960966.0711925</v>
      </c>
      <c r="F154" s="1181">
        <f ca="1">SUM(F155:F157)</f>
        <v>884960966.0711925</v>
      </c>
      <c r="G154" s="1181">
        <f ca="1">SUM(G155:G157)</f>
        <v>884960966.0711925</v>
      </c>
      <c r="H154" s="1181">
        <f ca="1">SUM(H155:H157)</f>
        <v>884960966.0711925</v>
      </c>
      <c r="I154" s="1181">
        <f ca="1">SUM(I155:I157)</f>
        <v>884960966.0711925</v>
      </c>
      <c r="K154" s="1417">
        <f t="shared" ca="1" si="0"/>
        <v>884960966.0711925</v>
      </c>
    </row>
    <row r="155" spans="1:11">
      <c r="A155" s="132"/>
      <c r="B155" s="547" t="s">
        <v>824</v>
      </c>
      <c r="C155" s="21"/>
      <c r="D155" s="21"/>
      <c r="E155" s="1182">
        <f>fin!E771</f>
        <v>837277793.2289319</v>
      </c>
      <c r="F155" s="1182">
        <f>fin!F771</f>
        <v>837277793.2289319</v>
      </c>
      <c r="G155" s="1182">
        <f>fin!G771</f>
        <v>837277793.2289319</v>
      </c>
      <c r="H155" s="1182">
        <f>fin!H771</f>
        <v>837277793.2289319</v>
      </c>
      <c r="I155" s="1182">
        <f>fin!I771</f>
        <v>837277793.2289319</v>
      </c>
      <c r="K155" s="1188">
        <f t="shared" si="0"/>
        <v>837277793.2289319</v>
      </c>
    </row>
    <row r="156" spans="1:11">
      <c r="A156" s="132"/>
      <c r="B156" s="547" t="s">
        <v>825</v>
      </c>
      <c r="C156" s="21"/>
      <c r="D156" s="21"/>
      <c r="E156" s="1182">
        <f>fin!E772</f>
        <v>5022767.4651032444</v>
      </c>
      <c r="F156" s="1182">
        <f>fin!F772</f>
        <v>5022767.4651032444</v>
      </c>
      <c r="G156" s="1182">
        <f>fin!G772</f>
        <v>5022767.4651032444</v>
      </c>
      <c r="H156" s="1182">
        <f>fin!H772</f>
        <v>5022767.4651032444</v>
      </c>
      <c r="I156" s="1182">
        <f>fin!I772</f>
        <v>5022767.4651032444</v>
      </c>
      <c r="K156" s="1188">
        <f t="shared" si="0"/>
        <v>5022767.4651032444</v>
      </c>
    </row>
    <row r="157" spans="1:11">
      <c r="A157" s="132"/>
      <c r="B157" s="547" t="s">
        <v>826</v>
      </c>
      <c r="C157" s="21"/>
      <c r="D157" s="21"/>
      <c r="E157" s="1182">
        <f ca="1">fin!E773</f>
        <v>42660405.377157331</v>
      </c>
      <c r="F157" s="1182">
        <f ca="1">fin!F773</f>
        <v>42660405.377157331</v>
      </c>
      <c r="G157" s="1182">
        <f ca="1">fin!G773</f>
        <v>42660405.377157331</v>
      </c>
      <c r="H157" s="1182">
        <f ca="1">fin!H773</f>
        <v>42660405.377157331</v>
      </c>
      <c r="I157" s="1182">
        <f ca="1">fin!I773</f>
        <v>42660405.377157331</v>
      </c>
      <c r="K157" s="1188">
        <f t="shared" ca="1" si="0"/>
        <v>42660405.377157331</v>
      </c>
    </row>
    <row r="158" spans="1:11">
      <c r="A158" s="132"/>
      <c r="B158" s="21" t="str">
        <f>fin!A774</f>
        <v>Payables &amp; Non-Interest Bearing Expenses</v>
      </c>
      <c r="C158" s="21"/>
      <c r="D158" s="21"/>
      <c r="E158" s="1182">
        <f ca="1">fin!E774</f>
        <v>5754343585.7094479</v>
      </c>
      <c r="F158" s="1182">
        <f ca="1">fin!F774</f>
        <v>5754343585.7094479</v>
      </c>
      <c r="G158" s="1182">
        <f ca="1">fin!G774</f>
        <v>5754343585.7094479</v>
      </c>
      <c r="H158" s="1182">
        <f ca="1">fin!H774</f>
        <v>5754343585.7094479</v>
      </c>
      <c r="I158" s="1182">
        <f ca="1">fin!I774</f>
        <v>5754343585.7094479</v>
      </c>
      <c r="K158" s="1188">
        <f t="shared" ca="1" si="0"/>
        <v>5754343585.7094479</v>
      </c>
    </row>
    <row r="159" spans="1:11" ht="6" customHeight="1">
      <c r="A159" s="132"/>
      <c r="B159" s="21"/>
      <c r="C159" s="21"/>
      <c r="D159" s="21"/>
      <c r="E159" s="1182"/>
      <c r="F159" s="1182"/>
      <c r="G159" s="1182"/>
      <c r="H159" s="1182"/>
      <c r="I159" s="1182"/>
      <c r="K159" s="1188"/>
    </row>
    <row r="160" spans="1:11">
      <c r="A160" s="132"/>
      <c r="B160" s="62" t="str">
        <f>fin!A775</f>
        <v>Average Invested Capital</v>
      </c>
      <c r="C160" s="62"/>
      <c r="D160" s="62"/>
      <c r="E160" s="1181">
        <f ca="1">fin!E775</f>
        <v>14488214331.875597</v>
      </c>
      <c r="F160" s="1181">
        <f ca="1">fin!F775</f>
        <v>14488214331.875597</v>
      </c>
      <c r="G160" s="1181">
        <f ca="1">fin!G775</f>
        <v>14488214331.875597</v>
      </c>
      <c r="H160" s="1181">
        <f ca="1">fin!H775</f>
        <v>14488214331.875597</v>
      </c>
      <c r="I160" s="1181">
        <f ca="1">fin!I775</f>
        <v>14488214331.875597</v>
      </c>
      <c r="K160" s="1417">
        <f t="shared" ca="1" si="0"/>
        <v>14488214331.875599</v>
      </c>
    </row>
    <row r="161" spans="1:17">
      <c r="A161" s="132"/>
      <c r="B161" s="21"/>
      <c r="C161" s="21"/>
      <c r="D161" s="21"/>
      <c r="E161" s="21"/>
      <c r="F161" s="21"/>
      <c r="G161" s="21"/>
      <c r="H161" s="21"/>
      <c r="I161" s="21"/>
      <c r="K161" s="133"/>
    </row>
    <row r="162" spans="1:17" ht="12.75">
      <c r="A162" s="132"/>
      <c r="B162" s="1183" t="str">
        <f>fin!A776</f>
        <v>Return on Invested Capital</v>
      </c>
      <c r="C162" s="1184"/>
      <c r="D162" s="1184"/>
      <c r="E162" s="1185">
        <f ca="1">fin!E776</f>
        <v>0.22933437001096038</v>
      </c>
      <c r="F162" s="1185">
        <f ca="1">fin!F776</f>
        <v>0.22933437001096038</v>
      </c>
      <c r="G162" s="1185">
        <f ca="1">fin!G776</f>
        <v>0.22933437001096038</v>
      </c>
      <c r="H162" s="1185">
        <f ca="1">fin!H776</f>
        <v>0.22933437001096038</v>
      </c>
      <c r="I162" s="1186">
        <f ca="1">fin!I776</f>
        <v>0.22933437001096038</v>
      </c>
      <c r="K162" s="1418">
        <f t="shared" ca="1" si="0"/>
        <v>0.22933437001096038</v>
      </c>
    </row>
    <row r="163" spans="1:17">
      <c r="A163" s="132"/>
      <c r="B163" s="21"/>
      <c r="C163" s="21"/>
      <c r="D163" s="21"/>
      <c r="E163" s="21"/>
      <c r="F163" s="21"/>
      <c r="G163" s="21"/>
      <c r="H163" s="21"/>
      <c r="I163" s="21"/>
      <c r="K163" s="133"/>
    </row>
    <row r="164" spans="1:17">
      <c r="A164" s="132"/>
      <c r="B164" s="21"/>
      <c r="C164" s="21"/>
      <c r="D164" s="21"/>
      <c r="E164" s="21"/>
      <c r="F164" s="21"/>
      <c r="G164" s="21"/>
      <c r="H164" s="21"/>
      <c r="I164" s="21"/>
      <c r="K164" s="133"/>
    </row>
    <row r="165" spans="1:17" ht="15.75">
      <c r="A165" s="407" t="s">
        <v>1767</v>
      </c>
      <c r="B165" s="177"/>
      <c r="C165" s="177"/>
      <c r="D165" s="177"/>
      <c r="E165" s="731" t="str">
        <f>decTeamName</f>
        <v>Vivia</v>
      </c>
      <c r="F165" s="731" t="str">
        <f>decTeamName</f>
        <v>Vivia</v>
      </c>
      <c r="G165" s="731" t="str">
        <f>decTeamName</f>
        <v>Vivia</v>
      </c>
      <c r="H165" s="731" t="str">
        <f>decTeamName</f>
        <v>Vivia</v>
      </c>
      <c r="I165" s="731" t="str">
        <f>decTeamName</f>
        <v>Vivia</v>
      </c>
      <c r="J165" s="731"/>
      <c r="K165" s="800" t="s">
        <v>2718</v>
      </c>
      <c r="P165" s="398"/>
      <c r="Q165" s="18"/>
    </row>
    <row r="166" spans="1:17" ht="5.0999999999999996" customHeight="1">
      <c r="A166" s="544"/>
      <c r="B166" s="541"/>
      <c r="C166" s="541"/>
      <c r="D166" s="541"/>
      <c r="E166" s="21"/>
      <c r="F166" s="21"/>
      <c r="G166" s="21"/>
      <c r="H166" s="21"/>
      <c r="I166" s="21"/>
      <c r="J166" s="180"/>
      <c r="K166" s="792"/>
    </row>
    <row r="167" spans="1:17">
      <c r="A167" s="132"/>
      <c r="B167" s="21"/>
      <c r="C167" s="21"/>
      <c r="D167" s="21"/>
      <c r="E167" s="21"/>
      <c r="F167" s="21"/>
      <c r="G167" s="21"/>
      <c r="H167" s="21"/>
      <c r="I167" s="21"/>
      <c r="K167" s="133"/>
    </row>
    <row r="168" spans="1:17">
      <c r="A168" s="132"/>
      <c r="B168" s="62" t="s">
        <v>2734</v>
      </c>
      <c r="C168" s="21"/>
      <c r="D168" s="21"/>
      <c r="E168" s="21"/>
      <c r="F168" s="21"/>
      <c r="G168" s="21"/>
      <c r="H168" s="21"/>
      <c r="I168" s="21"/>
      <c r="K168" s="133"/>
    </row>
    <row r="169" spans="1:17" s="1238" customFormat="1" ht="12.75">
      <c r="A169" s="1235"/>
      <c r="B169" s="1236" t="str">
        <f>param!B235</f>
        <v>Water Usage Performance</v>
      </c>
      <c r="C169" s="1236"/>
      <c r="D169" s="1236"/>
      <c r="E169" s="1237">
        <f>param!E235</f>
        <v>100</v>
      </c>
      <c r="F169" s="1237">
        <f>param!F235</f>
        <v>100</v>
      </c>
      <c r="G169" s="1237">
        <f>param!G235</f>
        <v>100</v>
      </c>
      <c r="H169" s="1237">
        <f>param!H235</f>
        <v>100</v>
      </c>
      <c r="I169" s="1237">
        <f>param!I235</f>
        <v>100</v>
      </c>
      <c r="J169" s="1236"/>
      <c r="K169" s="1239">
        <f>AVERAGE(E169:I169)</f>
        <v>100</v>
      </c>
    </row>
    <row r="170" spans="1:17" s="1238" customFormat="1" ht="12.75">
      <c r="A170" s="1235"/>
      <c r="B170" s="1236" t="str">
        <f>param!B236</f>
        <v>Energy Usage Performance</v>
      </c>
      <c r="C170" s="1236"/>
      <c r="D170" s="1236"/>
      <c r="E170" s="1237">
        <f ca="1">param!E236</f>
        <v>95.020544925599637</v>
      </c>
      <c r="F170" s="1237">
        <f ca="1">param!F236</f>
        <v>95.020544925599637</v>
      </c>
      <c r="G170" s="1237">
        <f ca="1">param!G236</f>
        <v>95.020544925599637</v>
      </c>
      <c r="H170" s="1237">
        <f ca="1">param!H236</f>
        <v>95.020544925599637</v>
      </c>
      <c r="I170" s="1237">
        <f ca="1">param!I236</f>
        <v>95.020544925599637</v>
      </c>
      <c r="J170" s="1236"/>
      <c r="K170" s="1239">
        <f t="shared" ref="K170:K179" ca="1" si="1">AVERAGE(E170:I170)</f>
        <v>95.020544925599637</v>
      </c>
    </row>
    <row r="171" spans="1:17" s="1238" customFormat="1" ht="12.75">
      <c r="A171" s="1235"/>
      <c r="B171" s="1236" t="str">
        <f>param!B237</f>
        <v>Waste Production Performance</v>
      </c>
      <c r="C171" s="1236"/>
      <c r="D171" s="1236"/>
      <c r="E171" s="1237">
        <f ca="1">param!E237</f>
        <v>109.41041139347345</v>
      </c>
      <c r="F171" s="1237">
        <f ca="1">param!F237</f>
        <v>109.41041139347345</v>
      </c>
      <c r="G171" s="1237">
        <f ca="1">param!G237</f>
        <v>109.41041139347345</v>
      </c>
      <c r="H171" s="1237">
        <f ca="1">param!H237</f>
        <v>109.41041139347345</v>
      </c>
      <c r="I171" s="1237">
        <f ca="1">param!I237</f>
        <v>109.41041139347345</v>
      </c>
      <c r="J171" s="1236"/>
      <c r="K171" s="1239">
        <f t="shared" ca="1" si="1"/>
        <v>109.41041139347344</v>
      </c>
    </row>
    <row r="172" spans="1:17" s="1238" customFormat="1" ht="12.75">
      <c r="A172" s="1235"/>
      <c r="B172" s="1236" t="str">
        <f>param!B238</f>
        <v>Healthy Product Innovation</v>
      </c>
      <c r="C172" s="1236"/>
      <c r="D172" s="1236"/>
      <c r="E172" s="1237">
        <f>param!E238</f>
        <v>100</v>
      </c>
      <c r="F172" s="1237">
        <f>param!F238</f>
        <v>100</v>
      </c>
      <c r="G172" s="1237">
        <f>param!G238</f>
        <v>100</v>
      </c>
      <c r="H172" s="1237">
        <f>param!H238</f>
        <v>100</v>
      </c>
      <c r="I172" s="1237">
        <f>param!I238</f>
        <v>100</v>
      </c>
      <c r="J172" s="1236"/>
      <c r="K172" s="1239">
        <f t="shared" si="1"/>
        <v>100</v>
      </c>
    </row>
    <row r="173" spans="1:17" s="1238" customFormat="1" ht="12.75">
      <c r="A173" s="1235"/>
      <c r="B173" s="1236" t="str">
        <f>param!B239</f>
        <v>Marketing for Consumption Awareness</v>
      </c>
      <c r="C173" s="1236"/>
      <c r="D173" s="1236"/>
      <c r="E173" s="1237">
        <f>param!E239</f>
        <v>100</v>
      </c>
      <c r="F173" s="1237">
        <f>param!F239</f>
        <v>100</v>
      </c>
      <c r="G173" s="1237">
        <f>param!G239</f>
        <v>100</v>
      </c>
      <c r="H173" s="1237">
        <f>param!H239</f>
        <v>100</v>
      </c>
      <c r="I173" s="1237">
        <f>param!I239</f>
        <v>100</v>
      </c>
      <c r="J173" s="1236"/>
      <c r="K173" s="1239">
        <f t="shared" si="1"/>
        <v>100</v>
      </c>
    </row>
    <row r="174" spans="1:17" s="1238" customFormat="1" ht="12.75">
      <c r="A174" s="1235"/>
      <c r="B174" s="1236" t="str">
        <f>param!B240</f>
        <v>Labelling for Consumption Awareness</v>
      </c>
      <c r="C174" s="1236"/>
      <c r="D174" s="1236"/>
      <c r="E174" s="1237">
        <f>param!E240</f>
        <v>100</v>
      </c>
      <c r="F174" s="1237">
        <f>param!F240</f>
        <v>100</v>
      </c>
      <c r="G174" s="1237">
        <f>param!G240</f>
        <v>100</v>
      </c>
      <c r="H174" s="1237">
        <f>param!H240</f>
        <v>100</v>
      </c>
      <c r="I174" s="1237">
        <f>param!I240</f>
        <v>100</v>
      </c>
      <c r="J174" s="1236"/>
      <c r="K174" s="1239">
        <f t="shared" si="1"/>
        <v>100</v>
      </c>
    </row>
    <row r="175" spans="1:17" s="1238" customFormat="1" ht="12.75">
      <c r="A175" s="1235"/>
      <c r="B175" s="1236" t="str">
        <f>param!B241</f>
        <v>Career Path</v>
      </c>
      <c r="C175" s="1236"/>
      <c r="D175" s="1236"/>
      <c r="E175" s="1237">
        <f>param!E241</f>
        <v>103.30749999999999</v>
      </c>
      <c r="F175" s="1237">
        <f>param!F241</f>
        <v>103.30749999999999</v>
      </c>
      <c r="G175" s="1237">
        <f>param!G241</f>
        <v>103.30749999999999</v>
      </c>
      <c r="H175" s="1237">
        <f>param!H241</f>
        <v>103.30749999999999</v>
      </c>
      <c r="I175" s="1237">
        <f>param!I241</f>
        <v>103.30749999999999</v>
      </c>
      <c r="J175" s="1236"/>
      <c r="K175" s="1239">
        <f t="shared" si="1"/>
        <v>103.30749999999998</v>
      </c>
    </row>
    <row r="176" spans="1:17" s="1238" customFormat="1" ht="12.75">
      <c r="A176" s="1235"/>
      <c r="B176" s="1236" t="str">
        <f>param!B242</f>
        <v>Company Culture</v>
      </c>
      <c r="C176" s="1236"/>
      <c r="D176" s="1236"/>
      <c r="E176" s="1237">
        <f>param!E242</f>
        <v>96.437987579450862</v>
      </c>
      <c r="F176" s="1237">
        <f>param!F242</f>
        <v>96.437987579450862</v>
      </c>
      <c r="G176" s="1237">
        <f>param!G242</f>
        <v>96.437987579450862</v>
      </c>
      <c r="H176" s="1237">
        <f>param!H242</f>
        <v>96.437987579450862</v>
      </c>
      <c r="I176" s="1237">
        <f>param!I242</f>
        <v>96.437987579450862</v>
      </c>
      <c r="J176" s="1236"/>
      <c r="K176" s="1239">
        <f t="shared" si="1"/>
        <v>96.437987579450862</v>
      </c>
    </row>
    <row r="177" spans="1:17" s="1238" customFormat="1" ht="12.75">
      <c r="A177" s="1235"/>
      <c r="B177" s="1236" t="str">
        <f>param!B243</f>
        <v>Community</v>
      </c>
      <c r="C177" s="1236"/>
      <c r="D177" s="1236"/>
      <c r="E177" s="1237">
        <f>param!E243</f>
        <v>100</v>
      </c>
      <c r="F177" s="1237">
        <f>param!F243</f>
        <v>100</v>
      </c>
      <c r="G177" s="1237">
        <f>param!G243</f>
        <v>100</v>
      </c>
      <c r="H177" s="1237">
        <f>param!H243</f>
        <v>100</v>
      </c>
      <c r="I177" s="1237">
        <f>param!I243</f>
        <v>100</v>
      </c>
      <c r="J177" s="1236"/>
      <c r="K177" s="1239">
        <f t="shared" si="1"/>
        <v>100</v>
      </c>
    </row>
    <row r="178" spans="1:17" s="1238" customFormat="1" ht="12.75">
      <c r="A178" s="1235"/>
      <c r="B178" s="1236"/>
      <c r="C178" s="1236"/>
      <c r="D178" s="1236"/>
      <c r="E178" s="1237"/>
      <c r="F178" s="1237"/>
      <c r="G178" s="1237"/>
      <c r="H178" s="1237"/>
      <c r="I178" s="1237"/>
      <c r="J178" s="1236"/>
      <c r="K178" s="1239"/>
    </row>
    <row r="179" spans="1:17" s="1238" customFormat="1" ht="12.75">
      <c r="A179" s="1235"/>
      <c r="B179" s="1183" t="s">
        <v>659</v>
      </c>
      <c r="C179" s="1184"/>
      <c r="D179" s="1184"/>
      <c r="E179" s="1240">
        <f ca="1">AVERAGE(E169:E177)</f>
        <v>100.46404932205822</v>
      </c>
      <c r="F179" s="1240">
        <f ca="1">AVERAGE(F169:F177)</f>
        <v>100.46404932205822</v>
      </c>
      <c r="G179" s="1240">
        <f ca="1">AVERAGE(G169:G177)</f>
        <v>100.46404932205822</v>
      </c>
      <c r="H179" s="1240">
        <f ca="1">AVERAGE(H169:H177)</f>
        <v>100.46404932205822</v>
      </c>
      <c r="I179" s="1241">
        <f ca="1">AVERAGE(I169:I177)</f>
        <v>100.46404932205822</v>
      </c>
      <c r="J179" s="1236"/>
      <c r="K179" s="1419">
        <f t="shared" ca="1" si="1"/>
        <v>100.46404932205822</v>
      </c>
    </row>
    <row r="180" spans="1:17" ht="13.5" thickBot="1">
      <c r="A180" s="134"/>
      <c r="B180" s="561"/>
      <c r="C180" s="562"/>
      <c r="D180" s="562"/>
      <c r="E180" s="563"/>
      <c r="F180" s="563"/>
      <c r="G180" s="563"/>
      <c r="H180" s="563"/>
      <c r="I180" s="563"/>
      <c r="J180" s="763"/>
      <c r="K180" s="801"/>
    </row>
    <row r="181" spans="1:17" ht="15.75" hidden="1">
      <c r="A181" s="407" t="str">
        <f>DataNameProd2</f>
        <v>Breakthrough</v>
      </c>
      <c r="B181" s="182"/>
      <c r="C181" s="182"/>
      <c r="D181" s="182"/>
      <c r="E181" s="731" t="str">
        <f>decTeamName</f>
        <v>Vivia</v>
      </c>
      <c r="F181" s="731" t="str">
        <f>decTeamName</f>
        <v>Vivia</v>
      </c>
      <c r="G181" s="731" t="str">
        <f>decTeamName</f>
        <v>Vivia</v>
      </c>
      <c r="H181" s="731" t="str">
        <f>decTeamName</f>
        <v>Vivia</v>
      </c>
      <c r="I181" s="731" t="str">
        <f>decTeamName</f>
        <v>Vivia</v>
      </c>
      <c r="J181" s="742"/>
      <c r="K181" s="823" t="s">
        <v>2718</v>
      </c>
      <c r="Q181">
        <f>IF(SUM($E$66:$I$66)&gt;0,0,1)</f>
        <v>1</v>
      </c>
    </row>
    <row r="182" spans="1:17" ht="12.75" hidden="1">
      <c r="A182" s="132"/>
      <c r="B182" s="1295"/>
      <c r="C182" s="545"/>
      <c r="D182" s="545"/>
      <c r="E182" s="530"/>
      <c r="F182" s="530"/>
      <c r="G182" s="530"/>
      <c r="H182" s="530"/>
      <c r="I182" s="530"/>
      <c r="J182" s="180"/>
      <c r="K182" s="792"/>
      <c r="Q182">
        <f>IF(SUM($E$66:$I$66)&gt;0,0,1)</f>
        <v>1</v>
      </c>
    </row>
    <row r="183" spans="1:17" ht="15" hidden="1">
      <c r="A183" s="132"/>
      <c r="B183" s="1396" t="str">
        <f>DataNameProd2Seg1</f>
        <v>*Holy Cow Cup</v>
      </c>
      <c r="C183" s="545"/>
      <c r="D183" s="545"/>
      <c r="E183" s="530"/>
      <c r="F183" s="530"/>
      <c r="G183" s="530"/>
      <c r="H183" s="530"/>
      <c r="I183" s="530"/>
      <c r="J183" s="180"/>
      <c r="K183" s="792"/>
      <c r="Q183">
        <f t="shared" ref="Q183:Q206" si="2">IF($J$195&gt;1,0,1)</f>
        <v>1</v>
      </c>
    </row>
    <row r="184" spans="1:17" hidden="1">
      <c r="A184" s="132"/>
      <c r="C184" s="150" t="s">
        <v>3386</v>
      </c>
      <c r="E184" s="526">
        <f ca="1">IF(ISNA(MATCH($B183,cbal!E$221:E$222,0)),0,INDIRECT("decProd2Reg"&amp;MATCH($B183,cbal!E$221:E$222,0)&amp;"Price"))</f>
        <v>0</v>
      </c>
      <c r="F184" s="526">
        <f ca="1">IF(ISNA(MATCH($B183,cbal!F$221:F$222,0)),0,INDIRECT("decProd2Reg"&amp;MATCH($B183,cbal!F$221:F$222,0)&amp;"Price"))</f>
        <v>0</v>
      </c>
      <c r="G184" s="526">
        <f ca="1">IF(ISNA(MATCH($B183,cbal!G$221:G$222,0)),0,INDIRECT("decProd2Reg"&amp;MATCH($B183,cbal!G$221:G$222,0)&amp;"Price"))</f>
        <v>0</v>
      </c>
      <c r="H184" s="526">
        <f ca="1">IF(ISNA(MATCH($B183,cbal!H$221:H$222,0)),0,INDIRECT("decProd2Reg"&amp;MATCH($B183,cbal!H$221:H$222,0)&amp;"Price"))</f>
        <v>0</v>
      </c>
      <c r="I184" s="526">
        <f ca="1">IF(ISNA(MATCH($B183,cbal!I$221:I$222,0)),0,INDIRECT("decProd2Reg"&amp;MATCH($B183,cbal!I$221:I$222,0)&amp;"Price"))</f>
        <v>0</v>
      </c>
      <c r="J184" s="526"/>
      <c r="K184" s="815" t="e">
        <f ca="1">SUM(E184:I184)/COUNTIF(E184:I184,"&gt;0")</f>
        <v>#DIV/0!</v>
      </c>
      <c r="Q184">
        <f t="shared" si="2"/>
        <v>1</v>
      </c>
    </row>
    <row r="185" spans="1:17" hidden="1">
      <c r="A185" s="132"/>
      <c r="B185" s="150"/>
      <c r="C185" s="150" t="s">
        <v>3455</v>
      </c>
      <c r="E185" s="1182">
        <f>IF(ISNA(MATCH($B183,cbal!E$221:E$222,0)),0,INDEX(cap!E$734:E$735,MATCH($B183,cbal!E$221:E$222,0)))</f>
        <v>0</v>
      </c>
      <c r="F185" s="1182">
        <f>IF(ISNA(MATCH($B183,cbal!F$221:F$222,0)),0,INDEX(cap!F$734:F$735,MATCH($B183,cbal!F$221:F$222,0)))</f>
        <v>0</v>
      </c>
      <c r="G185" s="1182">
        <f>IF(ISNA(MATCH($B183,cbal!G$221:G$222,0)),0,INDEX(cap!G$734:G$735,MATCH($B183,cbal!G$221:G$222,0)))</f>
        <v>0</v>
      </c>
      <c r="H185" s="1182">
        <f>IF(ISNA(MATCH($B183,cbal!H$221:H$222,0)),0,INDEX(cap!H$734:H$735,MATCH($B183,cbal!H$221:H$222,0)))</f>
        <v>0</v>
      </c>
      <c r="I185" s="1182">
        <f>IF(ISNA(MATCH($B183,cbal!I$221:I$222,0)),0,INDEX(cap!I$734:I$735,MATCH($B183,cbal!I$221:I$222,0)))</f>
        <v>0</v>
      </c>
      <c r="J185" s="1182"/>
      <c r="K185" s="1188" t="e">
        <f>SUM(E185:I185)/COUNTIF(E185:I185,"&gt;0")</f>
        <v>#DIV/0!</v>
      </c>
      <c r="Q185">
        <f t="shared" si="2"/>
        <v>1</v>
      </c>
    </row>
    <row r="186" spans="1:17" hidden="1">
      <c r="A186" s="132"/>
      <c r="B186" s="150"/>
      <c r="C186" s="150" t="s">
        <v>3456</v>
      </c>
      <c r="E186" s="1182">
        <f>IF(ISNA(MATCH($B183,cbal!E$221:E$222,0)),0,INDEX(cap!E$736:E$737,MATCH($B183,cbal!E$221:E$222,0)))</f>
        <v>0</v>
      </c>
      <c r="F186" s="1182">
        <f>IF(ISNA(MATCH($B183,cbal!F$221:F$222,0)),0,INDEX(cap!F$736:F$737,MATCH($B183,cbal!F$221:F$222,0)))</f>
        <v>0</v>
      </c>
      <c r="G186" s="1182">
        <f>IF(ISNA(MATCH($B183,cbal!G$221:G$222,0)),0,INDEX(cap!G$736:G$737,MATCH($B183,cbal!G$221:G$222,0)))</f>
        <v>0</v>
      </c>
      <c r="H186" s="1182">
        <f>IF(ISNA(MATCH($B183,cbal!H$221:H$222,0)),0,INDEX(cap!H$736:H$737,MATCH($B183,cbal!H$221:H$222,0)))</f>
        <v>0</v>
      </c>
      <c r="I186" s="1182">
        <f>IF(ISNA(MATCH($B183,cbal!I$221:I$222,0)),0,INDEX(cap!I$736:I$737,MATCH($B183,cbal!I$221:I$222,0)))</f>
        <v>0</v>
      </c>
      <c r="J186" s="1182"/>
      <c r="K186" s="1188" t="e">
        <f>SUM(E186:I186)/COUNTIF(E186:I186,"&gt;0")</f>
        <v>#DIV/0!</v>
      </c>
      <c r="Q186">
        <f t="shared" si="2"/>
        <v>1</v>
      </c>
    </row>
    <row r="187" spans="1:17" hidden="1">
      <c r="A187" s="132"/>
      <c r="B187" s="150"/>
      <c r="C187" s="150" t="s">
        <v>3047</v>
      </c>
      <c r="E187" s="1296">
        <f>IF(ISNA(MATCH($B183,cbal!E$221:E$222,0)),0,INDEX(dec!E$33:E$34,MATCH($B183,cbal!E$221:E$222,0)))</f>
        <v>0</v>
      </c>
      <c r="F187" s="1296">
        <f>IF(ISNA(MATCH($B183,cbal!F$221:F$222,0)),0,INDEX(dec!F$33:F$34,MATCH($B183,cbal!F$221:F$222,0)))</f>
        <v>0</v>
      </c>
      <c r="G187" s="1296">
        <f>IF(ISNA(MATCH($B183,cbal!G$221:G$222,0)),0,INDEX(dec!G$33:G$34,MATCH($B183,cbal!G$221:G$222,0)))</f>
        <v>0</v>
      </c>
      <c r="H187" s="1296">
        <f>IF(ISNA(MATCH($B183,cbal!H$221:H$222,0)),0,INDEX(dec!H$33:H$34,MATCH($B183,cbal!H$221:H$222,0)))</f>
        <v>0</v>
      </c>
      <c r="I187" s="1296">
        <f>IF(ISNA(MATCH($B183,cbal!I$221:I$222,0)),0,INDEX(dec!I$33:I$34,MATCH($B183,cbal!I$221:I$222,0)))</f>
        <v>0</v>
      </c>
      <c r="J187" s="526"/>
      <c r="K187" s="815"/>
      <c r="Q187">
        <f t="shared" si="2"/>
        <v>1</v>
      </c>
    </row>
    <row r="188" spans="1:17" hidden="1">
      <c r="A188" s="132"/>
      <c r="B188" s="150"/>
      <c r="C188" s="38"/>
      <c r="E188" s="1296"/>
      <c r="F188" s="1296"/>
      <c r="G188" s="1296"/>
      <c r="H188" s="1296"/>
      <c r="I188" s="1296"/>
      <c r="J188" s="526"/>
      <c r="K188" s="815"/>
      <c r="Q188">
        <f t="shared" si="2"/>
        <v>1</v>
      </c>
    </row>
    <row r="189" spans="1:17" ht="12.75" hidden="1">
      <c r="A189" s="132"/>
      <c r="B189" s="1389" t="s">
        <v>2831</v>
      </c>
      <c r="C189" s="545"/>
      <c r="D189" s="545"/>
      <c r="E189" s="888">
        <f>mmProd2!E386</f>
        <v>0</v>
      </c>
      <c r="F189" s="888">
        <f>mmProd2!F386</f>
        <v>0</v>
      </c>
      <c r="G189" s="888">
        <f>mmProd2!G386</f>
        <v>0</v>
      </c>
      <c r="H189" s="888">
        <f>mmProd2!H386</f>
        <v>0</v>
      </c>
      <c r="I189" s="888">
        <f>mmProd2!I386</f>
        <v>0</v>
      </c>
      <c r="J189" s="888"/>
      <c r="K189" s="889"/>
      <c r="Q189">
        <f t="shared" si="2"/>
        <v>1</v>
      </c>
    </row>
    <row r="190" spans="1:17" ht="12.75" hidden="1">
      <c r="A190" s="132"/>
      <c r="C190" s="38" t="s">
        <v>1403</v>
      </c>
      <c r="D190" s="545"/>
      <c r="E190" s="520">
        <f t="shared" ref="E190:I191" ca="1" si="3">E71</f>
        <v>0</v>
      </c>
      <c r="F190" s="520">
        <f t="shared" ca="1" si="3"/>
        <v>0</v>
      </c>
      <c r="G190" s="520">
        <f t="shared" ca="1" si="3"/>
        <v>0</v>
      </c>
      <c r="H190" s="520">
        <f t="shared" ca="1" si="3"/>
        <v>0</v>
      </c>
      <c r="I190" s="520">
        <f t="shared" ca="1" si="3"/>
        <v>0</v>
      </c>
      <c r="J190" s="888"/>
      <c r="K190" s="889"/>
      <c r="Q190">
        <f t="shared" si="2"/>
        <v>1</v>
      </c>
    </row>
    <row r="191" spans="1:17" ht="12.75" hidden="1">
      <c r="A191" s="132"/>
      <c r="C191" s="150" t="s">
        <v>3457</v>
      </c>
      <c r="D191" s="545"/>
      <c r="E191" s="1182">
        <f t="shared" ca="1" si="3"/>
        <v>0</v>
      </c>
      <c r="F191" s="1182">
        <f t="shared" ca="1" si="3"/>
        <v>0</v>
      </c>
      <c r="G191" s="1182">
        <f t="shared" ca="1" si="3"/>
        <v>0</v>
      </c>
      <c r="H191" s="1182">
        <f t="shared" ca="1" si="3"/>
        <v>0</v>
      </c>
      <c r="I191" s="1182">
        <f t="shared" ca="1" si="3"/>
        <v>0</v>
      </c>
      <c r="J191" s="888"/>
      <c r="K191" s="889"/>
      <c r="Q191">
        <f t="shared" si="2"/>
        <v>1</v>
      </c>
    </row>
    <row r="192" spans="1:17" ht="12.75" hidden="1">
      <c r="A192" s="132"/>
      <c r="C192" s="38" t="s">
        <v>3458</v>
      </c>
      <c r="D192" s="545"/>
      <c r="E192" s="1182">
        <f ca="1">E72-E186</f>
        <v>0</v>
      </c>
      <c r="F192" s="1182">
        <f ca="1">F72-F186</f>
        <v>0</v>
      </c>
      <c r="G192" s="1182">
        <f ca="1">G72-G186</f>
        <v>0</v>
      </c>
      <c r="H192" s="1182">
        <f ca="1">H72-H186</f>
        <v>0</v>
      </c>
      <c r="I192" s="1182">
        <f ca="1">I72-I186</f>
        <v>0</v>
      </c>
      <c r="J192" s="888"/>
      <c r="K192" s="889"/>
      <c r="Q192">
        <f t="shared" si="2"/>
        <v>1</v>
      </c>
    </row>
    <row r="193" spans="1:17" hidden="1">
      <c r="A193" s="132"/>
      <c r="B193" s="150"/>
      <c r="C193" s="150"/>
      <c r="E193" s="1296"/>
      <c r="F193" s="1296"/>
      <c r="G193" s="1296"/>
      <c r="H193" s="1296"/>
      <c r="I193" s="1296"/>
      <c r="J193" s="526"/>
      <c r="K193" s="815"/>
      <c r="Q193">
        <f t="shared" si="2"/>
        <v>1</v>
      </c>
    </row>
    <row r="194" spans="1:17" hidden="1">
      <c r="A194" s="132"/>
      <c r="B194" s="452" t="str">
        <f>B183</f>
        <v>*Holy Cow Cup</v>
      </c>
      <c r="C194" s="452"/>
      <c r="D194" s="744"/>
      <c r="E194" s="744"/>
      <c r="F194" s="150"/>
      <c r="G194" s="150"/>
      <c r="H194" s="150"/>
      <c r="I194" s="150"/>
      <c r="J194" s="150"/>
      <c r="K194" s="815"/>
      <c r="Q194">
        <f t="shared" si="2"/>
        <v>1</v>
      </c>
    </row>
    <row r="195" spans="1:17" hidden="1">
      <c r="A195" s="132"/>
      <c r="B195" s="757" t="s">
        <v>1135</v>
      </c>
      <c r="C195" s="758">
        <f>mmProd2!D369</f>
        <v>4</v>
      </c>
      <c r="D195" s="759"/>
      <c r="E195" s="759"/>
      <c r="F195" s="643"/>
      <c r="G195" s="759"/>
      <c r="H195" s="644"/>
      <c r="I195" s="760" t="s">
        <v>2673</v>
      </c>
      <c r="J195" s="761">
        <f>mmProd2!J369</f>
        <v>1</v>
      </c>
      <c r="K195" s="815"/>
      <c r="Q195">
        <f t="shared" si="2"/>
        <v>1</v>
      </c>
    </row>
    <row r="196" spans="1:17" hidden="1">
      <c r="A196" s="132"/>
      <c r="B196" s="756" t="s">
        <v>2958</v>
      </c>
      <c r="C196" s="762"/>
      <c r="D196" s="325"/>
      <c r="E196" s="1365" t="str">
        <f>decTeamName</f>
        <v>Vivia</v>
      </c>
      <c r="F196" s="1365" t="str">
        <f>decTeamName</f>
        <v>Vivia</v>
      </c>
      <c r="G196" s="1365" t="str">
        <f>decTeamName</f>
        <v>Vivia</v>
      </c>
      <c r="H196" s="1365" t="str">
        <f>decTeamName</f>
        <v>Vivia</v>
      </c>
      <c r="I196" s="1366" t="str">
        <f>decTeamName</f>
        <v>Vivia</v>
      </c>
      <c r="J196" s="745"/>
      <c r="K196" s="815"/>
      <c r="Q196">
        <f t="shared" si="2"/>
        <v>1</v>
      </c>
    </row>
    <row r="197" spans="1:17" hidden="1">
      <c r="A197" s="132"/>
      <c r="B197" s="233" t="str">
        <f>mmProd2!C371</f>
        <v>Price</v>
      </c>
      <c r="C197" s="328">
        <f>mmProd2!D371</f>
        <v>15</v>
      </c>
      <c r="D197" s="634"/>
      <c r="E197" s="634">
        <f>mmProd2!E371</f>
        <v>0</v>
      </c>
      <c r="F197" s="635">
        <f>mmProd2!F371</f>
        <v>0</v>
      </c>
      <c r="G197" s="635">
        <f>mmProd2!G371</f>
        <v>0</v>
      </c>
      <c r="H197" s="635">
        <f>mmProd2!H371</f>
        <v>0</v>
      </c>
      <c r="I197" s="636">
        <f>mmProd2!I371</f>
        <v>0</v>
      </c>
      <c r="J197" s="331">
        <f>mmProd2!J371</f>
        <v>0</v>
      </c>
      <c r="K197" s="815"/>
      <c r="Q197">
        <f t="shared" si="2"/>
        <v>1</v>
      </c>
    </row>
    <row r="198" spans="1:17" hidden="1">
      <c r="A198" s="132"/>
      <c r="B198" s="233" t="str">
        <f>mmProd2!C372</f>
        <v>Range Of Producs</v>
      </c>
      <c r="C198" s="328">
        <f>mmProd2!D372</f>
        <v>7</v>
      </c>
      <c r="D198" s="637"/>
      <c r="E198" s="637">
        <f>mmProd2!E372</f>
        <v>0</v>
      </c>
      <c r="F198" s="624">
        <f>mmProd2!F372</f>
        <v>0</v>
      </c>
      <c r="G198" s="624">
        <f>mmProd2!G372</f>
        <v>0</v>
      </c>
      <c r="H198" s="624">
        <f>mmProd2!H372</f>
        <v>0</v>
      </c>
      <c r="I198" s="638">
        <f>mmProd2!I372</f>
        <v>0</v>
      </c>
      <c r="J198" s="334">
        <f>mmProd2!J372</f>
        <v>0</v>
      </c>
      <c r="K198" s="815"/>
      <c r="Q198">
        <f t="shared" si="2"/>
        <v>1</v>
      </c>
    </row>
    <row r="199" spans="1:17" hidden="1">
      <c r="A199" s="132"/>
      <c r="B199" s="233" t="str">
        <f>mmProd2!C374</f>
        <v>Advertising</v>
      </c>
      <c r="C199" s="328">
        <f>mmProd2!D374</f>
        <v>12</v>
      </c>
      <c r="D199" s="637"/>
      <c r="E199" s="637">
        <f>mmProd2!E374</f>
        <v>0</v>
      </c>
      <c r="F199" s="624">
        <f>mmProd2!F374</f>
        <v>0</v>
      </c>
      <c r="G199" s="624">
        <f>mmProd2!G374</f>
        <v>0</v>
      </c>
      <c r="H199" s="624">
        <f>mmProd2!H374</f>
        <v>0</v>
      </c>
      <c r="I199" s="638">
        <f>mmProd2!I374</f>
        <v>0</v>
      </c>
      <c r="J199" s="334">
        <f>mmProd2!J374</f>
        <v>0</v>
      </c>
      <c r="K199" s="815"/>
      <c r="Q199">
        <f t="shared" si="2"/>
        <v>1</v>
      </c>
    </row>
    <row r="200" spans="1:17" hidden="1">
      <c r="A200" s="132"/>
      <c r="B200" s="233" t="str">
        <f>mmProd2!C375</f>
        <v>Promotion</v>
      </c>
      <c r="C200" s="328">
        <f>mmProd2!D375</f>
        <v>10</v>
      </c>
      <c r="D200" s="637"/>
      <c r="E200" s="637">
        <f>mmProd2!E375</f>
        <v>0</v>
      </c>
      <c r="F200" s="624">
        <f>mmProd2!F375</f>
        <v>0</v>
      </c>
      <c r="G200" s="624">
        <f>mmProd2!G375</f>
        <v>0</v>
      </c>
      <c r="H200" s="624">
        <f>mmProd2!H375</f>
        <v>0</v>
      </c>
      <c r="I200" s="638">
        <f>mmProd2!I375</f>
        <v>0</v>
      </c>
      <c r="J200" s="334">
        <f>mmProd2!J375</f>
        <v>0</v>
      </c>
      <c r="K200" s="815"/>
      <c r="Q200">
        <f t="shared" si="2"/>
        <v>1</v>
      </c>
    </row>
    <row r="201" spans="1:17" hidden="1">
      <c r="A201" s="132"/>
      <c r="B201" s="233" t="str">
        <f>mmProd2!C376</f>
        <v>Sales Force</v>
      </c>
      <c r="C201" s="328">
        <f>mmProd2!D376</f>
        <v>11</v>
      </c>
      <c r="D201" s="637"/>
      <c r="E201" s="637">
        <f>mmProd2!E376</f>
        <v>0</v>
      </c>
      <c r="F201" s="624">
        <f>mmProd2!F376</f>
        <v>0</v>
      </c>
      <c r="G201" s="624">
        <f>mmProd2!G376</f>
        <v>0</v>
      </c>
      <c r="H201" s="624">
        <f>mmProd2!H376</f>
        <v>0</v>
      </c>
      <c r="I201" s="638">
        <f>mmProd2!I376</f>
        <v>0</v>
      </c>
      <c r="J201" s="334">
        <f>mmProd2!J376</f>
        <v>0</v>
      </c>
      <c r="K201" s="815"/>
      <c r="Q201">
        <f t="shared" si="2"/>
        <v>1</v>
      </c>
    </row>
    <row r="202" spans="1:17" hidden="1">
      <c r="A202" s="132"/>
      <c r="B202" s="746" t="str">
        <f>mmProd2!C381</f>
        <v>Special Programs</v>
      </c>
      <c r="C202" s="328"/>
      <c r="D202" s="637"/>
      <c r="E202" s="637">
        <f>mmProd2!E381</f>
        <v>0</v>
      </c>
      <c r="F202" s="624">
        <f>mmProd2!F381</f>
        <v>0</v>
      </c>
      <c r="G202" s="624">
        <f>mmProd2!G381</f>
        <v>0</v>
      </c>
      <c r="H202" s="624">
        <f>mmProd2!H381</f>
        <v>0</v>
      </c>
      <c r="I202" s="638">
        <f>mmProd2!I381</f>
        <v>0</v>
      </c>
      <c r="J202" s="334">
        <f>mmProd2!J381</f>
        <v>0</v>
      </c>
      <c r="K202" s="815"/>
      <c r="Q202">
        <f t="shared" si="2"/>
        <v>1</v>
      </c>
    </row>
    <row r="203" spans="1:17" hidden="1">
      <c r="A203" s="132"/>
      <c r="B203" s="746" t="str">
        <f>mmProd2!C382</f>
        <v>Total Effect</v>
      </c>
      <c r="C203" s="328">
        <f>mmProd2!D382</f>
        <v>0</v>
      </c>
      <c r="D203" s="642"/>
      <c r="E203" s="642">
        <f>mmProd2!E382</f>
        <v>0</v>
      </c>
      <c r="F203" s="643">
        <f>mmProd2!F382</f>
        <v>0</v>
      </c>
      <c r="G203" s="643">
        <f>mmProd2!G382</f>
        <v>0</v>
      </c>
      <c r="H203" s="643">
        <f>mmProd2!H382</f>
        <v>0</v>
      </c>
      <c r="I203" s="644">
        <f>mmProd2!I382</f>
        <v>0</v>
      </c>
      <c r="J203" s="331">
        <f>mmProd2!J382</f>
        <v>0</v>
      </c>
      <c r="K203" s="815"/>
      <c r="Q203">
        <f t="shared" si="2"/>
        <v>1</v>
      </c>
    </row>
    <row r="204" spans="1:17" hidden="1">
      <c r="A204" s="132"/>
      <c r="B204" s="233" t="str">
        <f>mmProd2!C383</f>
        <v>Rank</v>
      </c>
      <c r="C204" s="328">
        <f>mmProd2!D383</f>
        <v>0</v>
      </c>
      <c r="D204" s="705"/>
      <c r="E204" s="705">
        <f>mmProd2!E383</f>
        <v>1</v>
      </c>
      <c r="F204" s="705">
        <f>mmProd2!F383</f>
        <v>1</v>
      </c>
      <c r="G204" s="705">
        <f>mmProd2!G383</f>
        <v>1</v>
      </c>
      <c r="H204" s="705">
        <f>mmProd2!H383</f>
        <v>1</v>
      </c>
      <c r="I204" s="705">
        <f>mmProd2!I383</f>
        <v>1</v>
      </c>
      <c r="J204" s="1407" t="str">
        <f>mmProd2!J383</f>
        <v>Weight</v>
      </c>
      <c r="K204" s="815"/>
      <c r="Q204">
        <f t="shared" si="2"/>
        <v>1</v>
      </c>
    </row>
    <row r="205" spans="1:17" hidden="1">
      <c r="A205" s="132"/>
      <c r="B205" s="1408" t="str">
        <f>mmProd2!C386</f>
        <v>Market Share</v>
      </c>
      <c r="C205" s="1409">
        <f>mmProd2!D386</f>
        <v>0</v>
      </c>
      <c r="D205" s="1410"/>
      <c r="E205" s="1410">
        <f>mmProd2!E386</f>
        <v>0</v>
      </c>
      <c r="F205" s="1410">
        <f>mmProd2!F386</f>
        <v>0</v>
      </c>
      <c r="G205" s="1410">
        <f>mmProd2!G386</f>
        <v>0</v>
      </c>
      <c r="H205" s="1410">
        <f>mmProd2!H386</f>
        <v>0</v>
      </c>
      <c r="I205" s="1410">
        <f>mmProd2!I386</f>
        <v>0</v>
      </c>
      <c r="J205" s="1411">
        <f>mmProd2!J386</f>
        <v>1</v>
      </c>
      <c r="K205" s="815"/>
      <c r="Q205">
        <f t="shared" si="2"/>
        <v>1</v>
      </c>
    </row>
    <row r="206" spans="1:17" hidden="1">
      <c r="A206" s="132"/>
      <c r="B206" s="150"/>
      <c r="C206" s="150"/>
      <c r="E206" s="526"/>
      <c r="F206" s="526"/>
      <c r="G206" s="526"/>
      <c r="H206" s="526"/>
      <c r="I206" s="526"/>
      <c r="J206" s="526"/>
      <c r="K206" s="815"/>
      <c r="Q206">
        <f t="shared" si="2"/>
        <v>1</v>
      </c>
    </row>
    <row r="207" spans="1:17" ht="15" hidden="1">
      <c r="A207" s="132"/>
      <c r="B207" s="1396" t="str">
        <f>DataNameProd2Seg2</f>
        <v>*Nitro Nachos</v>
      </c>
      <c r="C207" s="150"/>
      <c r="E207" s="526"/>
      <c r="F207" s="526"/>
      <c r="G207" s="526"/>
      <c r="H207" s="526"/>
      <c r="I207" s="526"/>
      <c r="J207" s="526"/>
      <c r="K207" s="815"/>
      <c r="Q207">
        <f t="shared" ref="Q207:Q222" si="4">IF($J$219&gt;1,0,1)</f>
        <v>1</v>
      </c>
    </row>
    <row r="208" spans="1:17" hidden="1">
      <c r="A208" s="132"/>
      <c r="C208" s="150" t="s">
        <v>3386</v>
      </c>
      <c r="E208" s="526">
        <f ca="1">IF(ISNA(MATCH($B207,cbal!E$221:E$222,0)),0,INDIRECT("decProd2Reg"&amp;MATCH($B207,cbal!E$221:E$222,0)&amp;"Price"))</f>
        <v>0</v>
      </c>
      <c r="F208" s="526">
        <f ca="1">IF(ISNA(MATCH($B207,cbal!F$221:F$222,0)),0,INDIRECT("decProd2Reg"&amp;MATCH($B207,cbal!F$221:F$222,0)&amp;"Price"))</f>
        <v>0</v>
      </c>
      <c r="G208" s="526">
        <f ca="1">IF(ISNA(MATCH($B207,cbal!G$221:G$222,0)),0,INDIRECT("decProd2Reg"&amp;MATCH($B207,cbal!G$221:G$222,0)&amp;"Price"))</f>
        <v>0</v>
      </c>
      <c r="H208" s="526">
        <f ca="1">IF(ISNA(MATCH($B207,cbal!H$221:H$222,0)),0,INDIRECT("decProd2Reg"&amp;MATCH($B207,cbal!H$221:H$222,0)&amp;"Price"))</f>
        <v>0</v>
      </c>
      <c r="I208" s="526">
        <f ca="1">IF(ISNA(MATCH($B207,cbal!I$221:I$222,0)),0,INDIRECT("decProd2Reg"&amp;MATCH($B207,cbal!I$221:I$222,0)&amp;"Price"))</f>
        <v>0</v>
      </c>
      <c r="J208" s="526"/>
      <c r="K208" s="815" t="e">
        <f ca="1">SUM(E208:I208)/COUNTIF(E208:I208,"&gt;0")</f>
        <v>#DIV/0!</v>
      </c>
      <c r="Q208">
        <f t="shared" si="4"/>
        <v>1</v>
      </c>
    </row>
    <row r="209" spans="1:17" hidden="1">
      <c r="A209" s="132"/>
      <c r="B209" s="150"/>
      <c r="C209" s="150" t="s">
        <v>3455</v>
      </c>
      <c r="E209" s="1182">
        <f>IF(ISNA(MATCH($B207,cbal!E$221:E$222,0)),0,INDEX(cap!E$734:E$735,MATCH($B207,cbal!E$221:E$222,0)))</f>
        <v>0</v>
      </c>
      <c r="F209" s="1182">
        <f>IF(ISNA(MATCH($B207,cbal!F$221:F$222,0)),0,INDEX(cap!F$734:F$735,MATCH($B207,cbal!F$221:F$222,0)))</f>
        <v>0</v>
      </c>
      <c r="G209" s="1182">
        <f>IF(ISNA(MATCH($B207,cbal!G$221:G$222,0)),0,INDEX(cap!G$734:G$735,MATCH($B207,cbal!G$221:G$222,0)))</f>
        <v>0</v>
      </c>
      <c r="H209" s="1182">
        <f>IF(ISNA(MATCH($B207,cbal!H$221:H$222,0)),0,INDEX(cap!H$734:H$735,MATCH($B207,cbal!H$221:H$222,0)))</f>
        <v>0</v>
      </c>
      <c r="I209" s="1182">
        <f>IF(ISNA(MATCH($B207,cbal!I$221:I$222,0)),0,INDEX(cap!I$734:I$735,MATCH($B207,cbal!I$221:I$222,0)))</f>
        <v>0</v>
      </c>
      <c r="J209" s="1182"/>
      <c r="K209" s="1188" t="e">
        <f>SUM(E209:I209)/COUNTIF(E209:I209,"&gt;0")</f>
        <v>#DIV/0!</v>
      </c>
      <c r="Q209">
        <f t="shared" si="4"/>
        <v>1</v>
      </c>
    </row>
    <row r="210" spans="1:17" hidden="1">
      <c r="A210" s="132"/>
      <c r="B210" s="150"/>
      <c r="C210" s="150" t="s">
        <v>3456</v>
      </c>
      <c r="E210" s="1182">
        <f>IF(ISNA(MATCH($B207,cbal!E$221:E$222,0)),0,INDEX(cap!E$736:E$737,MATCH($B207,cbal!E$221:E$222,0)))</f>
        <v>0</v>
      </c>
      <c r="F210" s="1182">
        <f>IF(ISNA(MATCH($B207,cbal!F$221:F$222,0)),0,INDEX(cap!F$736:F$737,MATCH($B207,cbal!F$221:F$222,0)))</f>
        <v>0</v>
      </c>
      <c r="G210" s="1182">
        <f>IF(ISNA(MATCH($B207,cbal!G$221:G$222,0)),0,INDEX(cap!G$736:G$737,MATCH($B207,cbal!G$221:G$222,0)))</f>
        <v>0</v>
      </c>
      <c r="H210" s="1182">
        <f>IF(ISNA(MATCH($B207,cbal!H$221:H$222,0)),0,INDEX(cap!H$736:H$737,MATCH($B207,cbal!H$221:H$222,0)))</f>
        <v>0</v>
      </c>
      <c r="I210" s="1182">
        <f>IF(ISNA(MATCH($B207,cbal!I$221:I$222,0)),0,INDEX(cap!I$736:I$737,MATCH($B207,cbal!I$221:I$222,0)))</f>
        <v>0</v>
      </c>
      <c r="J210" s="1182"/>
      <c r="K210" s="1188" t="e">
        <f>SUM(E210:I210)/COUNTIF(E210:I210,"&gt;0")</f>
        <v>#DIV/0!</v>
      </c>
      <c r="Q210">
        <f t="shared" si="4"/>
        <v>1</v>
      </c>
    </row>
    <row r="211" spans="1:17" hidden="1">
      <c r="A211" s="132"/>
      <c r="B211" s="150"/>
      <c r="C211" s="150" t="s">
        <v>3047</v>
      </c>
      <c r="E211" s="1296">
        <f>IF(ISNA(MATCH($B207,cbal!E$221:E$222,0)),0,INDEX(dec!E$33:E$34,MATCH($B207,cbal!E$221:E$222,0)))</f>
        <v>0</v>
      </c>
      <c r="F211" s="1296">
        <f>IF(ISNA(MATCH($B207,cbal!F$221:F$222,0)),0,INDEX(dec!F$33:F$34,MATCH($B207,cbal!F$221:F$222,0)))</f>
        <v>0</v>
      </c>
      <c r="G211" s="1296">
        <f>IF(ISNA(MATCH($B207,cbal!G$221:G$222,0)),0,INDEX(dec!G$33:G$34,MATCH($B207,cbal!G$221:G$222,0)))</f>
        <v>0</v>
      </c>
      <c r="H211" s="1296">
        <f>IF(ISNA(MATCH($B207,cbal!H$221:H$222,0)),0,INDEX(dec!H$33:H$34,MATCH($B207,cbal!H$221:H$222,0)))</f>
        <v>0</v>
      </c>
      <c r="I211" s="1296">
        <f>IF(ISNA(MATCH($B207,cbal!I$221:I$222,0)),0,INDEX(dec!I$33:I$34,MATCH($B207,cbal!I$221:I$222,0)))</f>
        <v>0</v>
      </c>
      <c r="J211" s="526"/>
      <c r="K211" s="815"/>
      <c r="Q211">
        <f t="shared" si="4"/>
        <v>1</v>
      </c>
    </row>
    <row r="212" spans="1:17" hidden="1">
      <c r="A212" s="132"/>
      <c r="B212" s="150"/>
      <c r="C212" s="38"/>
      <c r="E212" s="1296"/>
      <c r="F212" s="1296"/>
      <c r="G212" s="1296"/>
      <c r="H212" s="1296"/>
      <c r="I212" s="1296"/>
      <c r="J212" s="526"/>
      <c r="K212" s="815"/>
      <c r="Q212">
        <f t="shared" si="4"/>
        <v>1</v>
      </c>
    </row>
    <row r="213" spans="1:17" ht="12.75" hidden="1">
      <c r="A213" s="132"/>
      <c r="B213" s="1389" t="s">
        <v>2831</v>
      </c>
      <c r="C213" s="545"/>
      <c r="D213" s="545"/>
      <c r="E213" s="888">
        <f>mmProd2!E406</f>
        <v>0</v>
      </c>
      <c r="F213" s="888">
        <f>mmProd2!F406</f>
        <v>0</v>
      </c>
      <c r="G213" s="888">
        <f>mmProd2!G406</f>
        <v>0</v>
      </c>
      <c r="H213" s="888">
        <f>mmProd2!H406</f>
        <v>0</v>
      </c>
      <c r="I213" s="888">
        <f>mmProd2!I406</f>
        <v>0</v>
      </c>
      <c r="J213" s="888"/>
      <c r="K213" s="889"/>
      <c r="Q213">
        <f t="shared" si="4"/>
        <v>1</v>
      </c>
    </row>
    <row r="214" spans="1:17" ht="12.75" hidden="1">
      <c r="A214" s="132"/>
      <c r="B214" s="545"/>
      <c r="C214" s="38" t="s">
        <v>1403</v>
      </c>
      <c r="D214" s="545"/>
      <c r="E214" s="520">
        <f t="shared" ref="E214:I215" ca="1" si="5">E75</f>
        <v>0</v>
      </c>
      <c r="F214" s="520">
        <f t="shared" ca="1" si="5"/>
        <v>0</v>
      </c>
      <c r="G214" s="520">
        <f t="shared" ca="1" si="5"/>
        <v>0</v>
      </c>
      <c r="H214" s="520">
        <f t="shared" ca="1" si="5"/>
        <v>0</v>
      </c>
      <c r="I214" s="520">
        <f t="shared" ca="1" si="5"/>
        <v>0</v>
      </c>
      <c r="J214" s="888"/>
      <c r="K214" s="889"/>
      <c r="Q214">
        <f t="shared" si="4"/>
        <v>1</v>
      </c>
    </row>
    <row r="215" spans="1:17" ht="12.75" hidden="1">
      <c r="A215" s="132"/>
      <c r="B215" s="545"/>
      <c r="C215" s="150" t="s">
        <v>3457</v>
      </c>
      <c r="D215" s="545"/>
      <c r="E215" s="1182">
        <f t="shared" ca="1" si="5"/>
        <v>0</v>
      </c>
      <c r="F215" s="1182">
        <f t="shared" ca="1" si="5"/>
        <v>0</v>
      </c>
      <c r="G215" s="1182">
        <f t="shared" ca="1" si="5"/>
        <v>0</v>
      </c>
      <c r="H215" s="1182">
        <f t="shared" ca="1" si="5"/>
        <v>0</v>
      </c>
      <c r="I215" s="1182">
        <f t="shared" ca="1" si="5"/>
        <v>0</v>
      </c>
      <c r="J215" s="888"/>
      <c r="K215" s="889"/>
      <c r="Q215">
        <f t="shared" si="4"/>
        <v>1</v>
      </c>
    </row>
    <row r="216" spans="1:17" ht="12.75" hidden="1">
      <c r="A216" s="132"/>
      <c r="B216" s="545"/>
      <c r="C216" s="38" t="s">
        <v>3458</v>
      </c>
      <c r="D216" s="545"/>
      <c r="E216" s="1182">
        <f ca="1">E76-E210</f>
        <v>0</v>
      </c>
      <c r="F216" s="1182">
        <f ca="1">F76-F210</f>
        <v>0</v>
      </c>
      <c r="G216" s="1182">
        <f ca="1">G76-G210</f>
        <v>0</v>
      </c>
      <c r="H216" s="1182">
        <f ca="1">H76-H210</f>
        <v>0</v>
      </c>
      <c r="I216" s="1182">
        <f ca="1">I76-I210</f>
        <v>0</v>
      </c>
      <c r="J216" s="888"/>
      <c r="K216" s="889"/>
      <c r="Q216">
        <f t="shared" si="4"/>
        <v>1</v>
      </c>
    </row>
    <row r="217" spans="1:17" hidden="1">
      <c r="A217" s="132"/>
      <c r="B217" s="150"/>
      <c r="C217" s="150"/>
      <c r="E217" s="1296"/>
      <c r="F217" s="1296"/>
      <c r="G217" s="1296"/>
      <c r="H217" s="1296"/>
      <c r="I217" s="1296"/>
      <c r="J217" s="526"/>
      <c r="K217" s="815"/>
      <c r="Q217">
        <f t="shared" si="4"/>
        <v>1</v>
      </c>
    </row>
    <row r="218" spans="1:17" hidden="1">
      <c r="A218" s="132"/>
      <c r="B218" s="452" t="str">
        <f>B207</f>
        <v>*Nitro Nachos</v>
      </c>
      <c r="C218" s="452"/>
      <c r="D218" s="744"/>
      <c r="E218" s="744"/>
      <c r="F218" s="150"/>
      <c r="G218" s="150"/>
      <c r="H218" s="150"/>
      <c r="I218" s="150"/>
      <c r="J218" s="150"/>
      <c r="K218" s="815"/>
      <c r="Q218">
        <f t="shared" si="4"/>
        <v>1</v>
      </c>
    </row>
    <row r="219" spans="1:17" hidden="1">
      <c r="A219" s="132"/>
      <c r="B219" s="757" t="s">
        <v>1135</v>
      </c>
      <c r="C219" s="758">
        <f>mmProd2!D389</f>
        <v>4</v>
      </c>
      <c r="D219" s="759"/>
      <c r="E219" s="759"/>
      <c r="F219" s="643"/>
      <c r="G219" s="759"/>
      <c r="H219" s="644"/>
      <c r="I219" s="760" t="s">
        <v>2673</v>
      </c>
      <c r="J219" s="761">
        <f>mmProd2!J389</f>
        <v>1</v>
      </c>
      <c r="K219" s="815"/>
      <c r="Q219">
        <f t="shared" si="4"/>
        <v>1</v>
      </c>
    </row>
    <row r="220" spans="1:17" hidden="1">
      <c r="A220" s="132"/>
      <c r="B220" s="756" t="s">
        <v>2958</v>
      </c>
      <c r="C220" s="762"/>
      <c r="D220" s="325"/>
      <c r="E220" s="1365" t="str">
        <f>decTeamName</f>
        <v>Vivia</v>
      </c>
      <c r="F220" s="1365" t="str">
        <f>decTeamName</f>
        <v>Vivia</v>
      </c>
      <c r="G220" s="1365" t="str">
        <f>decTeamName</f>
        <v>Vivia</v>
      </c>
      <c r="H220" s="1365" t="str">
        <f>decTeamName</f>
        <v>Vivia</v>
      </c>
      <c r="I220" s="1366" t="str">
        <f>decTeamName</f>
        <v>Vivia</v>
      </c>
      <c r="J220" s="745"/>
      <c r="K220" s="815"/>
      <c r="Q220">
        <f t="shared" si="4"/>
        <v>1</v>
      </c>
    </row>
    <row r="221" spans="1:17" hidden="1">
      <c r="A221" s="132"/>
      <c r="B221" s="233" t="str">
        <f>mmProd2!C391</f>
        <v>Price</v>
      </c>
      <c r="C221" s="328">
        <f>mmProd2!D391</f>
        <v>15</v>
      </c>
      <c r="D221" s="634"/>
      <c r="E221" s="634">
        <f>mmProd2!E391</f>
        <v>0</v>
      </c>
      <c r="F221" s="635">
        <f>mmProd2!F391</f>
        <v>0</v>
      </c>
      <c r="G221" s="635">
        <f>mmProd2!G391</f>
        <v>0</v>
      </c>
      <c r="H221" s="635">
        <f>mmProd2!H391</f>
        <v>0</v>
      </c>
      <c r="I221" s="636">
        <f>mmProd2!I391</f>
        <v>0</v>
      </c>
      <c r="J221" s="331">
        <f>mmProd2!J391</f>
        <v>0</v>
      </c>
      <c r="K221" s="815"/>
      <c r="Q221">
        <f t="shared" si="4"/>
        <v>1</v>
      </c>
    </row>
    <row r="222" spans="1:17" hidden="1">
      <c r="A222" s="132"/>
      <c r="B222" s="233" t="str">
        <f>mmProd2!C392</f>
        <v>Range Of Producs</v>
      </c>
      <c r="C222" s="328">
        <f>mmProd2!D392</f>
        <v>9</v>
      </c>
      <c r="D222" s="637"/>
      <c r="E222" s="637">
        <f>mmProd2!E392</f>
        <v>0</v>
      </c>
      <c r="F222" s="624">
        <f>mmProd2!F392</f>
        <v>0</v>
      </c>
      <c r="G222" s="624">
        <f>mmProd2!G392</f>
        <v>0</v>
      </c>
      <c r="H222" s="624">
        <f>mmProd2!H392</f>
        <v>0</v>
      </c>
      <c r="I222" s="638">
        <f>mmProd2!I392</f>
        <v>0</v>
      </c>
      <c r="J222" s="334">
        <f>mmProd2!J392</f>
        <v>0</v>
      </c>
      <c r="K222" s="815"/>
      <c r="Q222">
        <f t="shared" si="4"/>
        <v>1</v>
      </c>
    </row>
    <row r="223" spans="1:17" hidden="1">
      <c r="A223" s="132"/>
      <c r="B223" s="233" t="str">
        <f>mmProd2!C394</f>
        <v>Advertising</v>
      </c>
      <c r="C223" s="328">
        <f>mmProd2!D394</f>
        <v>10</v>
      </c>
      <c r="D223" s="637"/>
      <c r="E223" s="637">
        <f>mmProd2!E394</f>
        <v>0</v>
      </c>
      <c r="F223" s="624">
        <f>mmProd2!F394</f>
        <v>0</v>
      </c>
      <c r="G223" s="624">
        <f>mmProd2!G394</f>
        <v>0</v>
      </c>
      <c r="H223" s="624">
        <f>mmProd2!H394</f>
        <v>0</v>
      </c>
      <c r="I223" s="638">
        <f>mmProd2!I394</f>
        <v>0</v>
      </c>
      <c r="J223" s="334">
        <f>mmProd2!J394</f>
        <v>0</v>
      </c>
      <c r="K223" s="815"/>
      <c r="Q223">
        <f t="shared" ref="Q223:Q230" si="6">IF($J$219&gt;1,0,1)</f>
        <v>1</v>
      </c>
    </row>
    <row r="224" spans="1:17" hidden="1">
      <c r="A224" s="132"/>
      <c r="B224" s="233" t="str">
        <f>mmProd2!C395</f>
        <v>Promotion</v>
      </c>
      <c r="C224" s="328">
        <f>mmProd2!D395</f>
        <v>12</v>
      </c>
      <c r="D224" s="637"/>
      <c r="E224" s="637">
        <f>mmProd2!E395</f>
        <v>0</v>
      </c>
      <c r="F224" s="624">
        <f>mmProd2!F395</f>
        <v>0</v>
      </c>
      <c r="G224" s="624">
        <f>mmProd2!G395</f>
        <v>0</v>
      </c>
      <c r="H224" s="624">
        <f>mmProd2!H395</f>
        <v>0</v>
      </c>
      <c r="I224" s="638">
        <f>mmProd2!I395</f>
        <v>0</v>
      </c>
      <c r="J224" s="334">
        <f>mmProd2!J395</f>
        <v>0</v>
      </c>
      <c r="K224" s="815"/>
      <c r="Q224">
        <f t="shared" si="6"/>
        <v>1</v>
      </c>
    </row>
    <row r="225" spans="1:17" hidden="1">
      <c r="A225" s="132"/>
      <c r="B225" s="233" t="str">
        <f>mmProd2!C396</f>
        <v>Sales Force</v>
      </c>
      <c r="C225" s="328">
        <f>mmProd2!D396</f>
        <v>11</v>
      </c>
      <c r="D225" s="637"/>
      <c r="E225" s="637">
        <f>mmProd2!E396</f>
        <v>0</v>
      </c>
      <c r="F225" s="624">
        <f>mmProd2!F396</f>
        <v>0</v>
      </c>
      <c r="G225" s="624">
        <f>mmProd2!G396</f>
        <v>0</v>
      </c>
      <c r="H225" s="624">
        <f>mmProd2!H396</f>
        <v>0</v>
      </c>
      <c r="I225" s="638">
        <f>mmProd2!I396</f>
        <v>0</v>
      </c>
      <c r="J225" s="334">
        <f>mmProd2!J396</f>
        <v>0</v>
      </c>
      <c r="K225" s="815"/>
      <c r="Q225">
        <f t="shared" si="6"/>
        <v>1</v>
      </c>
    </row>
    <row r="226" spans="1:17" hidden="1">
      <c r="A226" s="132"/>
      <c r="B226" s="746" t="str">
        <f>mmProd2!C401</f>
        <v>Special Programs</v>
      </c>
      <c r="C226" s="328"/>
      <c r="D226" s="637"/>
      <c r="E226" s="637">
        <f>mmProd2!E401</f>
        <v>0</v>
      </c>
      <c r="F226" s="624">
        <f>mmProd2!F401</f>
        <v>0</v>
      </c>
      <c r="G226" s="624">
        <f>mmProd2!G401</f>
        <v>0</v>
      </c>
      <c r="H226" s="624">
        <f>mmProd2!H401</f>
        <v>0</v>
      </c>
      <c r="I226" s="638">
        <f>mmProd2!I401</f>
        <v>0</v>
      </c>
      <c r="J226" s="334">
        <f>mmProd2!J401</f>
        <v>0</v>
      </c>
      <c r="K226" s="815"/>
      <c r="Q226">
        <f t="shared" si="6"/>
        <v>1</v>
      </c>
    </row>
    <row r="227" spans="1:17" hidden="1">
      <c r="A227" s="132"/>
      <c r="B227" s="746" t="str">
        <f>mmProd2!C402</f>
        <v>Total Effect</v>
      </c>
      <c r="C227" s="328"/>
      <c r="D227" s="642"/>
      <c r="E227" s="642">
        <f>mmProd2!E402</f>
        <v>0</v>
      </c>
      <c r="F227" s="643">
        <f>mmProd2!F402</f>
        <v>0</v>
      </c>
      <c r="G227" s="643">
        <f>mmProd2!G402</f>
        <v>0</v>
      </c>
      <c r="H227" s="643">
        <f>mmProd2!H402</f>
        <v>0</v>
      </c>
      <c r="I227" s="644">
        <f>mmProd2!I402</f>
        <v>0</v>
      </c>
      <c r="J227" s="331">
        <f>mmProd2!J402</f>
        <v>0</v>
      </c>
      <c r="K227" s="815"/>
      <c r="Q227">
        <f t="shared" si="6"/>
        <v>1</v>
      </c>
    </row>
    <row r="228" spans="1:17" hidden="1">
      <c r="A228" s="132"/>
      <c r="B228" s="233" t="str">
        <f>mmProd2!C403</f>
        <v>Rank</v>
      </c>
      <c r="C228" s="328"/>
      <c r="D228" s="705"/>
      <c r="E228" s="705">
        <f>mmProd2!E403</f>
        <v>1</v>
      </c>
      <c r="F228" s="705">
        <f>mmProd2!F403</f>
        <v>1</v>
      </c>
      <c r="G228" s="705">
        <f>mmProd2!G403</f>
        <v>1</v>
      </c>
      <c r="H228" s="705">
        <f>mmProd2!H403</f>
        <v>1</v>
      </c>
      <c r="I228" s="705">
        <f>mmProd2!I403</f>
        <v>1</v>
      </c>
      <c r="J228" s="1407" t="str">
        <f>mmProd2!J403</f>
        <v>Weight</v>
      </c>
      <c r="K228" s="815"/>
      <c r="Q228">
        <f t="shared" si="6"/>
        <v>1</v>
      </c>
    </row>
    <row r="229" spans="1:17" hidden="1">
      <c r="A229" s="132"/>
      <c r="B229" s="1408" t="str">
        <f>mmProd2!C406</f>
        <v>Market Share</v>
      </c>
      <c r="C229" s="1409"/>
      <c r="D229" s="1410"/>
      <c r="E229" s="1410">
        <f>mmProd2!E406</f>
        <v>0</v>
      </c>
      <c r="F229" s="1410">
        <f>mmProd2!F406</f>
        <v>0</v>
      </c>
      <c r="G229" s="1410">
        <f>mmProd2!G406</f>
        <v>0</v>
      </c>
      <c r="H229" s="1410">
        <f>mmProd2!H406</f>
        <v>0</v>
      </c>
      <c r="I229" s="1410">
        <f>mmProd2!I406</f>
        <v>0</v>
      </c>
      <c r="J229" s="1411">
        <f>mmProd2!J406</f>
        <v>1</v>
      </c>
      <c r="K229" s="815"/>
      <c r="Q229">
        <f t="shared" si="6"/>
        <v>1</v>
      </c>
    </row>
    <row r="230" spans="1:17" hidden="1">
      <c r="A230" s="132"/>
      <c r="B230" s="150"/>
      <c r="C230" s="150"/>
      <c r="E230" s="526"/>
      <c r="F230" s="526"/>
      <c r="G230" s="526"/>
      <c r="H230" s="526"/>
      <c r="I230" s="526"/>
      <c r="J230" s="526"/>
      <c r="K230" s="815"/>
      <c r="Q230">
        <f t="shared" si="6"/>
        <v>1</v>
      </c>
    </row>
    <row r="231" spans="1:17" ht="15" hidden="1">
      <c r="A231" s="132"/>
      <c r="B231" s="1396" t="str">
        <f>DataNameProd2Seg3</f>
        <v>*Home Fountain</v>
      </c>
      <c r="C231" s="150"/>
      <c r="E231" s="526"/>
      <c r="F231" s="526"/>
      <c r="G231" s="526"/>
      <c r="H231" s="526"/>
      <c r="I231" s="526"/>
      <c r="J231" s="526"/>
      <c r="K231" s="815"/>
      <c r="Q231">
        <f t="shared" ref="Q231:Q254" si="7">IF($J$243&gt;1,0,1)</f>
        <v>1</v>
      </c>
    </row>
    <row r="232" spans="1:17" hidden="1">
      <c r="A232" s="132"/>
      <c r="C232" s="150" t="s">
        <v>3386</v>
      </c>
      <c r="E232" s="526">
        <f ca="1">IF(ISNA(MATCH($B231,cbal!E$221:E$222,0)),0,INDIRECT("decProd2Reg"&amp;MATCH($B231,cbal!E$221:E$222,0)&amp;"Price"))</f>
        <v>0</v>
      </c>
      <c r="F232" s="526">
        <f ca="1">IF(ISNA(MATCH($B231,cbal!F$221:F$222,0)),0,INDIRECT("decProd2Reg"&amp;MATCH($B231,cbal!F$221:F$222,0)&amp;"Price"))</f>
        <v>0</v>
      </c>
      <c r="G232" s="526">
        <f ca="1">IF(ISNA(MATCH($B231,cbal!G$221:G$222,0)),0,INDIRECT("decProd2Reg"&amp;MATCH($B231,cbal!G$221:G$222,0)&amp;"Price"))</f>
        <v>0</v>
      </c>
      <c r="H232" s="526">
        <f ca="1">IF(ISNA(MATCH($B231,cbal!H$221:H$222,0)),0,INDIRECT("decProd2Reg"&amp;MATCH($B231,cbal!H$221:H$222,0)&amp;"Price"))</f>
        <v>0</v>
      </c>
      <c r="I232" s="526">
        <f ca="1">IF(ISNA(MATCH($B231,cbal!I$221:I$222,0)),0,INDIRECT("decProd2Reg"&amp;MATCH($B231,cbal!I$221:I$222,0)&amp;"Price"))</f>
        <v>0</v>
      </c>
      <c r="J232" s="526"/>
      <c r="K232" s="815" t="e">
        <f ca="1">SUM(E232:I232)/COUNTIF(E232:I232,"&gt;0")</f>
        <v>#DIV/0!</v>
      </c>
      <c r="Q232">
        <f t="shared" si="7"/>
        <v>1</v>
      </c>
    </row>
    <row r="233" spans="1:17" hidden="1">
      <c r="A233" s="132"/>
      <c r="B233" s="150"/>
      <c r="C233" s="150" t="s">
        <v>3455</v>
      </c>
      <c r="E233" s="1182">
        <f>IF(ISNA(MATCH($B231,cbal!E$221:E$222,0)),0,INDEX(cap!E$734:E$735,MATCH($B231,cbal!E$221:E$222,0)))</f>
        <v>0</v>
      </c>
      <c r="F233" s="1182">
        <f>IF(ISNA(MATCH($B231,cbal!F$221:F$222,0)),0,INDEX(cap!F$734:F$735,MATCH($B231,cbal!F$221:F$222,0)))</f>
        <v>0</v>
      </c>
      <c r="G233" s="1182">
        <f>IF(ISNA(MATCH($B231,cbal!G$221:G$222,0)),0,INDEX(cap!G$734:G$735,MATCH($B231,cbal!G$221:G$222,0)))</f>
        <v>0</v>
      </c>
      <c r="H233" s="1182">
        <f>IF(ISNA(MATCH($B231,cbal!H$221:H$222,0)),0,INDEX(cap!H$734:H$735,MATCH($B231,cbal!H$221:H$222,0)))</f>
        <v>0</v>
      </c>
      <c r="I233" s="1182">
        <f>IF(ISNA(MATCH($B231,cbal!I$221:I$222,0)),0,INDEX(cap!I$734:I$735,MATCH($B231,cbal!I$221:I$222,0)))</f>
        <v>0</v>
      </c>
      <c r="J233" s="1182"/>
      <c r="K233" s="1188" t="e">
        <f>SUM(E233:I233)/COUNTIF(E233:I233,"&gt;0")</f>
        <v>#DIV/0!</v>
      </c>
      <c r="Q233">
        <f t="shared" si="7"/>
        <v>1</v>
      </c>
    </row>
    <row r="234" spans="1:17" hidden="1">
      <c r="A234" s="132"/>
      <c r="B234" s="150"/>
      <c r="C234" s="150" t="s">
        <v>3456</v>
      </c>
      <c r="E234" s="1182">
        <f>IF(ISNA(MATCH($B231,cbal!E$221:E$222,0)),0,INDEX(dec!E$37:E$38,MATCH($B231,cbal!E$221:E$222,0)))</f>
        <v>0</v>
      </c>
      <c r="F234" s="1182">
        <f>IF(ISNA(MATCH($B231,cbal!F$221:F$222,0)),0,INDEX(dec!F$37:F$38,MATCH($B231,cbal!F$221:F$222,0)))</f>
        <v>0</v>
      </c>
      <c r="G234" s="1182">
        <f>IF(ISNA(MATCH($B231,cbal!G$221:G$222,0)),0,INDEX(dec!G$37:G$38,MATCH($B231,cbal!G$221:G$222,0)))</f>
        <v>0</v>
      </c>
      <c r="H234" s="1182">
        <f>IF(ISNA(MATCH($B231,cbal!H$221:H$222,0)),0,INDEX(dec!H$37:H$38,MATCH($B231,cbal!H$221:H$222,0)))</f>
        <v>0</v>
      </c>
      <c r="I234" s="1182">
        <f>IF(ISNA(MATCH($B231,cbal!I$221:I$222,0)),0,INDEX(dec!I$37:I$38,MATCH($B231,cbal!I$221:I$222,0)))</f>
        <v>0</v>
      </c>
      <c r="J234" s="1182"/>
      <c r="K234" s="1188" t="e">
        <f>SUM(E234:I234)/COUNTIF(E234:I234,"&gt;0")</f>
        <v>#DIV/0!</v>
      </c>
      <c r="Q234">
        <f t="shared" si="7"/>
        <v>1</v>
      </c>
    </row>
    <row r="235" spans="1:17" hidden="1">
      <c r="A235" s="132"/>
      <c r="B235" s="150"/>
      <c r="C235" s="150" t="s">
        <v>3047</v>
      </c>
      <c r="E235" s="1296">
        <f>IF(ISNA(MATCH($B231,cbal!E$221:E$222,0)),0,INDEX(dec!E$33:E$34,MATCH($B231,cbal!E$221:E$222,0)))</f>
        <v>0</v>
      </c>
      <c r="F235" s="1296">
        <f>IF(ISNA(MATCH($B231,cbal!F$221:F$222,0)),0,INDEX(dec!F$33:F$34,MATCH($B231,cbal!F$221:F$222,0)))</f>
        <v>0</v>
      </c>
      <c r="G235" s="1296">
        <f>IF(ISNA(MATCH($B231,cbal!G$221:G$222,0)),0,INDEX(dec!G$33:G$34,MATCH($B231,cbal!G$221:G$222,0)))</f>
        <v>0</v>
      </c>
      <c r="H235" s="1296">
        <f>IF(ISNA(MATCH($B231,cbal!H$221:H$222,0)),0,INDEX(dec!H$33:H$34,MATCH($B231,cbal!H$221:H$222,0)))</f>
        <v>0</v>
      </c>
      <c r="I235" s="1296">
        <f>IF(ISNA(MATCH($B231,cbal!I$221:I$222,0)),0,INDEX(dec!I$33:I$34,MATCH($B231,cbal!I$221:I$222,0)))</f>
        <v>0</v>
      </c>
      <c r="J235" s="526"/>
      <c r="K235" s="815"/>
      <c r="Q235">
        <f t="shared" si="7"/>
        <v>1</v>
      </c>
    </row>
    <row r="236" spans="1:17" hidden="1">
      <c r="A236" s="132"/>
      <c r="B236" s="150"/>
      <c r="C236" s="38"/>
      <c r="E236" s="1296"/>
      <c r="F236" s="1296"/>
      <c r="G236" s="1296"/>
      <c r="H236" s="1296"/>
      <c r="I236" s="1296"/>
      <c r="J236" s="526"/>
      <c r="K236" s="815"/>
      <c r="Q236">
        <f t="shared" si="7"/>
        <v>1</v>
      </c>
    </row>
    <row r="237" spans="1:17" ht="12.75" hidden="1">
      <c r="A237" s="132"/>
      <c r="B237" s="1389" t="s">
        <v>2831</v>
      </c>
      <c r="C237" s="545"/>
      <c r="D237" s="545"/>
      <c r="E237" s="888">
        <f>mmProd2!E426</f>
        <v>0</v>
      </c>
      <c r="F237" s="888">
        <f>mmProd2!F426</f>
        <v>0</v>
      </c>
      <c r="G237" s="888">
        <f>mmProd2!G426</f>
        <v>0</v>
      </c>
      <c r="H237" s="888">
        <f>mmProd2!H426</f>
        <v>0</v>
      </c>
      <c r="I237" s="888">
        <f>mmProd2!I426</f>
        <v>0</v>
      </c>
      <c r="J237" s="888"/>
      <c r="K237" s="889"/>
      <c r="Q237">
        <f t="shared" si="7"/>
        <v>1</v>
      </c>
    </row>
    <row r="238" spans="1:17" ht="12.75" hidden="1">
      <c r="A238" s="132"/>
      <c r="B238" s="545"/>
      <c r="C238" s="38" t="s">
        <v>1403</v>
      </c>
      <c r="D238" s="545"/>
      <c r="E238" s="520">
        <f ca="1">E79</f>
        <v>0</v>
      </c>
      <c r="F238" s="520">
        <f t="shared" ref="F238:I239" ca="1" si="8">F79</f>
        <v>0</v>
      </c>
      <c r="G238" s="520">
        <f t="shared" ca="1" si="8"/>
        <v>0</v>
      </c>
      <c r="H238" s="520">
        <f t="shared" ca="1" si="8"/>
        <v>0</v>
      </c>
      <c r="I238" s="520">
        <f t="shared" ca="1" si="8"/>
        <v>0</v>
      </c>
      <c r="J238" s="888"/>
      <c r="K238" s="889"/>
      <c r="Q238">
        <f t="shared" si="7"/>
        <v>1</v>
      </c>
    </row>
    <row r="239" spans="1:17" ht="12.75" hidden="1">
      <c r="A239" s="132"/>
      <c r="B239" s="545"/>
      <c r="C239" s="150" t="s">
        <v>3457</v>
      </c>
      <c r="D239" s="545"/>
      <c r="E239" s="1182">
        <f ca="1">E80</f>
        <v>0</v>
      </c>
      <c r="F239" s="1182">
        <f t="shared" ca="1" si="8"/>
        <v>0</v>
      </c>
      <c r="G239" s="1182">
        <f t="shared" ca="1" si="8"/>
        <v>0</v>
      </c>
      <c r="H239" s="1182">
        <f t="shared" ca="1" si="8"/>
        <v>0</v>
      </c>
      <c r="I239" s="1182">
        <f t="shared" ca="1" si="8"/>
        <v>0</v>
      </c>
      <c r="J239" s="888"/>
      <c r="K239" s="889"/>
      <c r="Q239">
        <f t="shared" si="7"/>
        <v>1</v>
      </c>
    </row>
    <row r="240" spans="1:17" ht="12.75" hidden="1">
      <c r="A240" s="132"/>
      <c r="B240" s="545"/>
      <c r="C240" s="38" t="s">
        <v>3458</v>
      </c>
      <c r="D240" s="545"/>
      <c r="E240" s="1182">
        <f ca="1">E80-E234</f>
        <v>0</v>
      </c>
      <c r="F240" s="1182">
        <f ca="1">F80-F234</f>
        <v>0</v>
      </c>
      <c r="G240" s="1182">
        <f ca="1">G80-G234</f>
        <v>0</v>
      </c>
      <c r="H240" s="1182">
        <f ca="1">H80-H234</f>
        <v>0</v>
      </c>
      <c r="I240" s="1182">
        <f ca="1">I80-I234</f>
        <v>0</v>
      </c>
      <c r="J240" s="888"/>
      <c r="K240" s="889"/>
      <c r="Q240">
        <f t="shared" si="7"/>
        <v>1</v>
      </c>
    </row>
    <row r="241" spans="1:17" hidden="1">
      <c r="A241" s="132"/>
      <c r="B241" s="150"/>
      <c r="C241" s="150"/>
      <c r="E241" s="1296"/>
      <c r="F241" s="1296"/>
      <c r="G241" s="1296"/>
      <c r="H241" s="1296"/>
      <c r="I241" s="1296"/>
      <c r="J241" s="526"/>
      <c r="K241" s="815"/>
      <c r="Q241">
        <f t="shared" si="7"/>
        <v>1</v>
      </c>
    </row>
    <row r="242" spans="1:17" hidden="1">
      <c r="A242" s="132"/>
      <c r="B242" s="452" t="str">
        <f>B231</f>
        <v>*Home Fountain</v>
      </c>
      <c r="C242" s="452"/>
      <c r="D242" s="744"/>
      <c r="E242" s="744"/>
      <c r="F242" s="150"/>
      <c r="G242" s="150"/>
      <c r="H242" s="150"/>
      <c r="I242" s="150"/>
      <c r="J242" s="150"/>
      <c r="K242" s="815"/>
      <c r="Q242">
        <f t="shared" si="7"/>
        <v>1</v>
      </c>
    </row>
    <row r="243" spans="1:17" hidden="1">
      <c r="A243" s="132"/>
      <c r="B243" s="757" t="s">
        <v>1135</v>
      </c>
      <c r="C243" s="758">
        <f>mmProd2!D409</f>
        <v>4</v>
      </c>
      <c r="D243" s="759"/>
      <c r="E243" s="759"/>
      <c r="F243" s="643"/>
      <c r="G243" s="759"/>
      <c r="H243" s="644"/>
      <c r="I243" s="760" t="s">
        <v>2673</v>
      </c>
      <c r="J243" s="761">
        <f>mmProd2!J409</f>
        <v>1</v>
      </c>
      <c r="K243" s="815"/>
      <c r="Q243">
        <f t="shared" si="7"/>
        <v>1</v>
      </c>
    </row>
    <row r="244" spans="1:17" hidden="1">
      <c r="A244" s="132"/>
      <c r="B244" s="756" t="s">
        <v>2958</v>
      </c>
      <c r="C244" s="762"/>
      <c r="D244" s="325"/>
      <c r="E244" s="1365" t="str">
        <f>decTeamName</f>
        <v>Vivia</v>
      </c>
      <c r="F244" s="1365" t="str">
        <f>decTeamName</f>
        <v>Vivia</v>
      </c>
      <c r="G244" s="1365" t="str">
        <f>decTeamName</f>
        <v>Vivia</v>
      </c>
      <c r="H244" s="1365" t="str">
        <f>decTeamName</f>
        <v>Vivia</v>
      </c>
      <c r="I244" s="1366" t="str">
        <f>decTeamName</f>
        <v>Vivia</v>
      </c>
      <c r="J244" s="745"/>
      <c r="K244" s="815"/>
      <c r="Q244">
        <f t="shared" si="7"/>
        <v>1</v>
      </c>
    </row>
    <row r="245" spans="1:17" hidden="1">
      <c r="A245" s="132"/>
      <c r="B245" s="233" t="str">
        <f>mmProd2!C411</f>
        <v>Price</v>
      </c>
      <c r="C245" s="328">
        <f>mmProd2!D411</f>
        <v>15</v>
      </c>
      <c r="D245" s="634"/>
      <c r="E245" s="634">
        <f>mmProd2!E411</f>
        <v>0</v>
      </c>
      <c r="F245" s="635">
        <f>mmProd2!F411</f>
        <v>0</v>
      </c>
      <c r="G245" s="635">
        <f>mmProd2!G411</f>
        <v>0</v>
      </c>
      <c r="H245" s="635">
        <f>mmProd2!H411</f>
        <v>0</v>
      </c>
      <c r="I245" s="636">
        <f>mmProd2!I411</f>
        <v>0</v>
      </c>
      <c r="J245" s="331">
        <f>mmProd2!J411</f>
        <v>0</v>
      </c>
      <c r="K245" s="815"/>
      <c r="Q245">
        <f t="shared" si="7"/>
        <v>1</v>
      </c>
    </row>
    <row r="246" spans="1:17" hidden="1">
      <c r="A246" s="132"/>
      <c r="B246" s="233" t="str">
        <f>mmProd2!C412</f>
        <v>Range Of Producs</v>
      </c>
      <c r="C246" s="328">
        <f>mmProd2!D412</f>
        <v>7</v>
      </c>
      <c r="D246" s="637"/>
      <c r="E246" s="637">
        <f>mmProd2!E412</f>
        <v>0</v>
      </c>
      <c r="F246" s="624">
        <f>mmProd2!F412</f>
        <v>0</v>
      </c>
      <c r="G246" s="624">
        <f>mmProd2!G412</f>
        <v>0</v>
      </c>
      <c r="H246" s="624">
        <f>mmProd2!H412</f>
        <v>0</v>
      </c>
      <c r="I246" s="638">
        <f>mmProd2!I412</f>
        <v>0</v>
      </c>
      <c r="J246" s="334">
        <f>mmProd2!J412</f>
        <v>0</v>
      </c>
      <c r="K246" s="815"/>
      <c r="Q246">
        <f t="shared" si="7"/>
        <v>1</v>
      </c>
    </row>
    <row r="247" spans="1:17" hidden="1">
      <c r="A247" s="132"/>
      <c r="B247" s="233" t="str">
        <f>mmProd2!C414</f>
        <v>Advertising</v>
      </c>
      <c r="C247" s="328">
        <f>mmProd2!D414</f>
        <v>12</v>
      </c>
      <c r="D247" s="637"/>
      <c r="E247" s="637">
        <f>mmProd2!E414</f>
        <v>0</v>
      </c>
      <c r="F247" s="624">
        <f>mmProd2!F414</f>
        <v>0</v>
      </c>
      <c r="G247" s="624">
        <f>mmProd2!G414</f>
        <v>0</v>
      </c>
      <c r="H247" s="624">
        <f>mmProd2!H414</f>
        <v>0</v>
      </c>
      <c r="I247" s="638">
        <f>mmProd2!I414</f>
        <v>0</v>
      </c>
      <c r="J247" s="334">
        <f>mmProd2!J414</f>
        <v>0</v>
      </c>
      <c r="K247" s="815"/>
      <c r="Q247">
        <f t="shared" si="7"/>
        <v>1</v>
      </c>
    </row>
    <row r="248" spans="1:17" hidden="1">
      <c r="A248" s="132"/>
      <c r="B248" s="233" t="str">
        <f>mmProd2!C415</f>
        <v>Promotion</v>
      </c>
      <c r="C248" s="328">
        <f>mmProd2!D415</f>
        <v>10</v>
      </c>
      <c r="D248" s="637"/>
      <c r="E248" s="637">
        <f>mmProd2!E415</f>
        <v>0</v>
      </c>
      <c r="F248" s="624">
        <f>mmProd2!F415</f>
        <v>0</v>
      </c>
      <c r="G248" s="624">
        <f>mmProd2!G415</f>
        <v>0</v>
      </c>
      <c r="H248" s="624">
        <f>mmProd2!H415</f>
        <v>0</v>
      </c>
      <c r="I248" s="638">
        <f>mmProd2!I415</f>
        <v>0</v>
      </c>
      <c r="J248" s="334">
        <f>mmProd2!J415</f>
        <v>0</v>
      </c>
      <c r="K248" s="815"/>
      <c r="Q248">
        <f t="shared" si="7"/>
        <v>1</v>
      </c>
    </row>
    <row r="249" spans="1:17" hidden="1">
      <c r="A249" s="132"/>
      <c r="B249" s="233" t="str">
        <f>mmProd2!C416</f>
        <v>Sales Force</v>
      </c>
      <c r="C249" s="328">
        <f>mmProd2!D416</f>
        <v>11</v>
      </c>
      <c r="D249" s="637"/>
      <c r="E249" s="637">
        <f>mmProd2!E416</f>
        <v>0</v>
      </c>
      <c r="F249" s="624">
        <f>mmProd2!F416</f>
        <v>0</v>
      </c>
      <c r="G249" s="624">
        <f>mmProd2!G416</f>
        <v>0</v>
      </c>
      <c r="H249" s="624">
        <f>mmProd2!H416</f>
        <v>0</v>
      </c>
      <c r="I249" s="638">
        <f>mmProd2!I416</f>
        <v>0</v>
      </c>
      <c r="J249" s="334">
        <f>mmProd2!J416</f>
        <v>0</v>
      </c>
      <c r="K249" s="815"/>
      <c r="Q249">
        <f t="shared" si="7"/>
        <v>1</v>
      </c>
    </row>
    <row r="250" spans="1:17" hidden="1">
      <c r="A250" s="132"/>
      <c r="B250" s="746" t="str">
        <f>mmProd2!C421</f>
        <v>Special Programs</v>
      </c>
      <c r="C250" s="328"/>
      <c r="D250" s="637"/>
      <c r="E250" s="637">
        <f>mmProd2!E421</f>
        <v>0</v>
      </c>
      <c r="F250" s="624">
        <f>mmProd2!F421</f>
        <v>0</v>
      </c>
      <c r="G250" s="624">
        <f>mmProd2!G421</f>
        <v>0</v>
      </c>
      <c r="H250" s="624">
        <f>mmProd2!H421</f>
        <v>0</v>
      </c>
      <c r="I250" s="638">
        <f>mmProd2!I421</f>
        <v>0</v>
      </c>
      <c r="J250" s="334">
        <f>mmProd2!J421</f>
        <v>0</v>
      </c>
      <c r="K250" s="815"/>
      <c r="Q250">
        <f t="shared" si="7"/>
        <v>1</v>
      </c>
    </row>
    <row r="251" spans="1:17" hidden="1">
      <c r="A251" s="132"/>
      <c r="B251" s="746" t="str">
        <f>mmProd2!C422</f>
        <v>Total Effect</v>
      </c>
      <c r="C251" s="328"/>
      <c r="D251" s="642"/>
      <c r="E251" s="642">
        <f>mmProd2!E422</f>
        <v>0</v>
      </c>
      <c r="F251" s="643">
        <f>mmProd2!F422</f>
        <v>0</v>
      </c>
      <c r="G251" s="643">
        <f>mmProd2!G422</f>
        <v>0</v>
      </c>
      <c r="H251" s="643">
        <f>mmProd2!H422</f>
        <v>0</v>
      </c>
      <c r="I251" s="644">
        <f>mmProd2!I422</f>
        <v>0</v>
      </c>
      <c r="J251" s="331">
        <f>mmProd2!J422</f>
        <v>0</v>
      </c>
      <c r="K251" s="815"/>
      <c r="Q251">
        <f t="shared" si="7"/>
        <v>1</v>
      </c>
    </row>
    <row r="252" spans="1:17" hidden="1">
      <c r="A252" s="132"/>
      <c r="B252" s="233" t="str">
        <f>mmProd2!C423</f>
        <v>Rank</v>
      </c>
      <c r="C252" s="328"/>
      <c r="D252" s="705"/>
      <c r="E252" s="705">
        <f>mmProd2!E423</f>
        <v>1</v>
      </c>
      <c r="F252" s="705">
        <f>mmProd2!F423</f>
        <v>1</v>
      </c>
      <c r="G252" s="705">
        <f>mmProd2!G423</f>
        <v>1</v>
      </c>
      <c r="H252" s="705">
        <f>mmProd2!H423</f>
        <v>1</v>
      </c>
      <c r="I252" s="705">
        <f>mmProd2!I423</f>
        <v>1</v>
      </c>
      <c r="J252" s="1407" t="str">
        <f>mmProd2!J423</f>
        <v>Weight</v>
      </c>
      <c r="K252" s="815"/>
      <c r="Q252">
        <f t="shared" si="7"/>
        <v>1</v>
      </c>
    </row>
    <row r="253" spans="1:17" hidden="1">
      <c r="A253" s="132"/>
      <c r="B253" s="1408" t="str">
        <f>mmProd2!C426</f>
        <v>Market Share</v>
      </c>
      <c r="C253" s="1409"/>
      <c r="D253" s="1410"/>
      <c r="E253" s="1410">
        <f>mmProd2!E426</f>
        <v>0</v>
      </c>
      <c r="F253" s="1410">
        <f>mmProd2!F426</f>
        <v>0</v>
      </c>
      <c r="G253" s="1410">
        <f>mmProd2!G426</f>
        <v>0</v>
      </c>
      <c r="H253" s="1410">
        <f>mmProd2!H426</f>
        <v>0</v>
      </c>
      <c r="I253" s="1410">
        <f>mmProd2!I426</f>
        <v>0</v>
      </c>
      <c r="J253" s="1411">
        <f>mmProd2!J426</f>
        <v>1</v>
      </c>
      <c r="K253" s="815"/>
      <c r="Q253">
        <f t="shared" si="7"/>
        <v>1</v>
      </c>
    </row>
    <row r="254" spans="1:17" hidden="1">
      <c r="A254" s="132"/>
      <c r="B254" s="150"/>
      <c r="C254" s="150"/>
      <c r="E254" s="1296"/>
      <c r="F254" s="1296"/>
      <c r="G254" s="1296"/>
      <c r="H254" s="1296"/>
      <c r="I254" s="1296"/>
      <c r="J254" s="526"/>
      <c r="K254" s="815"/>
      <c r="Q254">
        <f t="shared" si="7"/>
        <v>1</v>
      </c>
    </row>
    <row r="255" spans="1:17" ht="15" hidden="1">
      <c r="A255" s="132"/>
      <c r="B255" s="1396" t="str">
        <f>DataNameProd2Seg4</f>
        <v>*CentrePlate</v>
      </c>
      <c r="C255" s="150"/>
      <c r="E255" s="526"/>
      <c r="F255" s="526"/>
      <c r="G255" s="526"/>
      <c r="H255" s="526"/>
      <c r="I255" s="526"/>
      <c r="J255" s="526"/>
      <c r="K255" s="815"/>
      <c r="Q255">
        <f t="shared" ref="Q255:Q277" si="9">IF($J$267&gt;1,0,1)</f>
        <v>1</v>
      </c>
    </row>
    <row r="256" spans="1:17" hidden="1">
      <c r="A256" s="132"/>
      <c r="C256" s="150" t="s">
        <v>3386</v>
      </c>
      <c r="E256" s="526">
        <f ca="1">IF(ISNA(MATCH($B255,cbal!E$221:E$222,0)),0,INDIRECT("decProd2Reg"&amp;MATCH($B255,cbal!E$221:E$222,0)&amp;"Price"))</f>
        <v>0</v>
      </c>
      <c r="F256" s="526">
        <f ca="1">IF(ISNA(MATCH($B255,cbal!F$221:F$222,0)),0,INDIRECT("decProd2Reg"&amp;MATCH($B255,cbal!F$221:F$222,0)&amp;"Price"))</f>
        <v>0</v>
      </c>
      <c r="G256" s="526">
        <f ca="1">IF(ISNA(MATCH($B255,cbal!G$221:G$222,0)),0,INDIRECT("decProd2Reg"&amp;MATCH($B255,cbal!G$221:G$222,0)&amp;"Price"))</f>
        <v>0</v>
      </c>
      <c r="H256" s="526">
        <f ca="1">IF(ISNA(MATCH($B255,cbal!H$221:H$222,0)),0,INDIRECT("decProd2Reg"&amp;MATCH($B255,cbal!H$221:H$222,0)&amp;"Price"))</f>
        <v>0</v>
      </c>
      <c r="I256" s="526">
        <f ca="1">IF(ISNA(MATCH($B255,cbal!I$221:I$222,0)),0,INDIRECT("decProd2Reg"&amp;MATCH($B255,cbal!I$221:I$222,0)&amp;"Price"))</f>
        <v>0</v>
      </c>
      <c r="J256" s="526"/>
      <c r="K256" s="815" t="e">
        <f ca="1">SUM(E256:I256)/COUNTIF(E256:I256,"&gt;0")</f>
        <v>#DIV/0!</v>
      </c>
      <c r="Q256">
        <f t="shared" si="9"/>
        <v>1</v>
      </c>
    </row>
    <row r="257" spans="1:17" hidden="1">
      <c r="A257" s="132"/>
      <c r="B257" s="150"/>
      <c r="C257" s="150" t="s">
        <v>3455</v>
      </c>
      <c r="E257" s="1182">
        <f>IF(ISNA(MATCH($B255,cbal!E$221:E$222,0)),0,INDEX(cap!E$734:E$7366,MATCH($B255,cbal!E$221:E$222,0)))</f>
        <v>0</v>
      </c>
      <c r="F257" s="1182">
        <f>IF(ISNA(MATCH($B255,cbal!F$221:F$222,0)),0,INDEX(cap!F$734:F$7366,MATCH($B255,cbal!F$221:F$222,0)))</f>
        <v>0</v>
      </c>
      <c r="G257" s="1182">
        <f>IF(ISNA(MATCH($B255,cbal!G$221:G$222,0)),0,INDEX(cap!G$734:G$7366,MATCH($B255,cbal!G$221:G$222,0)))</f>
        <v>0</v>
      </c>
      <c r="H257" s="1182">
        <f>IF(ISNA(MATCH($B255,cbal!H$221:H$222,0)),0,INDEX(cap!H$734:H$7366,MATCH($B255,cbal!H$221:H$222,0)))</f>
        <v>0</v>
      </c>
      <c r="I257" s="1182">
        <f>IF(ISNA(MATCH($B255,cbal!I$221:I$222,0)),0,INDEX(cap!I$734:I$7366,MATCH($B255,cbal!I$221:I$222,0)))</f>
        <v>0</v>
      </c>
      <c r="J257" s="1182"/>
      <c r="K257" s="1188" t="e">
        <f>SUM(E257:I257)/COUNTIF(E257:I257,"&gt;0")</f>
        <v>#DIV/0!</v>
      </c>
      <c r="Q257">
        <f t="shared" si="9"/>
        <v>1</v>
      </c>
    </row>
    <row r="258" spans="1:17" hidden="1">
      <c r="A258" s="132"/>
      <c r="B258" s="150"/>
      <c r="C258" s="150" t="s">
        <v>3456</v>
      </c>
      <c r="E258" s="1182">
        <f>IF(ISNA(MATCH($B255,cbal!E$221:E$222,0)),0,INDEX(dec!E$37:E$38,MATCH($B255,cbal!E$221:E$222,0)))</f>
        <v>0</v>
      </c>
      <c r="F258" s="1182">
        <f>IF(ISNA(MATCH($B255,cbal!F$221:F$222,0)),0,INDEX(dec!F$37:F$38,MATCH($B255,cbal!F$221:F$222,0)))</f>
        <v>0</v>
      </c>
      <c r="G258" s="1182">
        <f>IF(ISNA(MATCH($B255,cbal!G$221:G$222,0)),0,INDEX(dec!G$37:G$38,MATCH($B255,cbal!G$221:G$222,0)))</f>
        <v>0</v>
      </c>
      <c r="H258" s="1182">
        <f>IF(ISNA(MATCH($B255,cbal!H$221:H$222,0)),0,INDEX(dec!H$37:H$38,MATCH($B255,cbal!H$221:H$222,0)))</f>
        <v>0</v>
      </c>
      <c r="I258" s="1182">
        <f>IF(ISNA(MATCH($B255,cbal!I$221:I$222,0)),0,INDEX(dec!I$37:I$38,MATCH($B255,cbal!I$221:I$222,0)))</f>
        <v>0</v>
      </c>
      <c r="J258" s="1182"/>
      <c r="K258" s="1188" t="e">
        <f>SUM(E258:I258)/COUNTIF(E258:I258,"&gt;0")</f>
        <v>#DIV/0!</v>
      </c>
      <c r="Q258">
        <f t="shared" si="9"/>
        <v>1</v>
      </c>
    </row>
    <row r="259" spans="1:17" hidden="1">
      <c r="A259" s="132"/>
      <c r="B259" s="150"/>
      <c r="C259" s="150" t="s">
        <v>3047</v>
      </c>
      <c r="E259" s="1296">
        <f>IF(ISNA(MATCH($B255,cbal!E$221:E$222,0)),0,INDEX(dec!E$33:E$34,MATCH($B255,cbal!E$221:E$222,0)))</f>
        <v>0</v>
      </c>
      <c r="F259" s="1296">
        <f>IF(ISNA(MATCH($B255,cbal!F$221:F$222,0)),0,INDEX(dec!F$33:F$34,MATCH($B255,cbal!F$221:F$222,0)))</f>
        <v>0</v>
      </c>
      <c r="G259" s="1296">
        <f>IF(ISNA(MATCH($B255,cbal!G$221:G$222,0)),0,INDEX(dec!G$33:G$34,MATCH($B255,cbal!G$221:G$222,0)))</f>
        <v>0</v>
      </c>
      <c r="H259" s="1296">
        <f>IF(ISNA(MATCH($B255,cbal!H$221:H$222,0)),0,INDEX(dec!H$33:H$34,MATCH($B255,cbal!H$221:H$222,0)))</f>
        <v>0</v>
      </c>
      <c r="I259" s="1296">
        <f>IF(ISNA(MATCH($B255,cbal!I$221:I$222,0)),0,INDEX(dec!I$33:I$34,MATCH($B255,cbal!I$221:I$222,0)))</f>
        <v>0</v>
      </c>
      <c r="J259" s="526"/>
      <c r="K259" s="815"/>
      <c r="Q259">
        <f t="shared" si="9"/>
        <v>1</v>
      </c>
    </row>
    <row r="260" spans="1:17" hidden="1">
      <c r="A260" s="132"/>
      <c r="B260" s="150"/>
      <c r="C260" s="38"/>
      <c r="D260" s="150"/>
      <c r="E260" s="1182"/>
      <c r="F260" s="1182"/>
      <c r="G260" s="1182"/>
      <c r="H260" s="1182"/>
      <c r="I260" s="1182"/>
      <c r="J260" s="526"/>
      <c r="K260" s="815"/>
      <c r="Q260">
        <f t="shared" si="9"/>
        <v>1</v>
      </c>
    </row>
    <row r="261" spans="1:17" ht="12.75" hidden="1">
      <c r="A261" s="132"/>
      <c r="B261" s="1389" t="s">
        <v>2831</v>
      </c>
      <c r="C261" s="545"/>
      <c r="D261" s="545"/>
      <c r="E261" s="888">
        <f>mmProd2!E450</f>
        <v>0</v>
      </c>
      <c r="F261" s="888">
        <f>mmProd2!F450</f>
        <v>0</v>
      </c>
      <c r="G261" s="888">
        <f>mmProd2!G450</f>
        <v>0</v>
      </c>
      <c r="H261" s="888">
        <f>mmProd2!H450</f>
        <v>0</v>
      </c>
      <c r="I261" s="888">
        <f>mmProd2!I450</f>
        <v>0</v>
      </c>
      <c r="J261" s="888"/>
      <c r="K261" s="889"/>
      <c r="Q261">
        <f t="shared" si="9"/>
        <v>1</v>
      </c>
    </row>
    <row r="262" spans="1:17" ht="12.75" hidden="1">
      <c r="A262" s="132"/>
      <c r="B262" s="545"/>
      <c r="C262" s="38" t="s">
        <v>1403</v>
      </c>
      <c r="D262" s="545"/>
      <c r="E262" s="520">
        <f t="shared" ref="E262:I263" ca="1" si="10">E83</f>
        <v>0</v>
      </c>
      <c r="F262" s="520">
        <f t="shared" ca="1" si="10"/>
        <v>0</v>
      </c>
      <c r="G262" s="520">
        <f t="shared" ca="1" si="10"/>
        <v>0</v>
      </c>
      <c r="H262" s="520">
        <f t="shared" ca="1" si="10"/>
        <v>0</v>
      </c>
      <c r="I262" s="520">
        <f t="shared" ca="1" si="10"/>
        <v>0</v>
      </c>
      <c r="J262" s="888"/>
      <c r="K262" s="889"/>
      <c r="Q262">
        <f t="shared" si="9"/>
        <v>1</v>
      </c>
    </row>
    <row r="263" spans="1:17" ht="12.75" hidden="1">
      <c r="A263" s="132"/>
      <c r="B263" s="545"/>
      <c r="C263" s="150" t="s">
        <v>3457</v>
      </c>
      <c r="D263" s="545"/>
      <c r="E263" s="1182">
        <f t="shared" ca="1" si="10"/>
        <v>0</v>
      </c>
      <c r="F263" s="1182">
        <f t="shared" ca="1" si="10"/>
        <v>0</v>
      </c>
      <c r="G263" s="1182">
        <f t="shared" ca="1" si="10"/>
        <v>0</v>
      </c>
      <c r="H263" s="1182">
        <f t="shared" ca="1" si="10"/>
        <v>0</v>
      </c>
      <c r="I263" s="1182">
        <f t="shared" ca="1" si="10"/>
        <v>0</v>
      </c>
      <c r="J263" s="888"/>
      <c r="K263" s="889"/>
      <c r="Q263">
        <f t="shared" si="9"/>
        <v>1</v>
      </c>
    </row>
    <row r="264" spans="1:17" ht="12.75" hidden="1">
      <c r="A264" s="132"/>
      <c r="B264" s="545"/>
      <c r="C264" s="38" t="s">
        <v>3458</v>
      </c>
      <c r="D264" s="545"/>
      <c r="E264" s="1182">
        <f ca="1">E84-E258</f>
        <v>0</v>
      </c>
      <c r="F264" s="1182">
        <f ca="1">F84-F258</f>
        <v>0</v>
      </c>
      <c r="G264" s="1182">
        <f ca="1">G84-G258</f>
        <v>0</v>
      </c>
      <c r="H264" s="1182">
        <f ca="1">H84-H258</f>
        <v>0</v>
      </c>
      <c r="I264" s="1182">
        <f ca="1">I84-I258</f>
        <v>0</v>
      </c>
      <c r="J264" s="888"/>
      <c r="K264" s="889"/>
      <c r="Q264">
        <f t="shared" si="9"/>
        <v>1</v>
      </c>
    </row>
    <row r="265" spans="1:17" hidden="1">
      <c r="A265" s="132"/>
      <c r="B265" s="150"/>
      <c r="C265" s="150"/>
      <c r="E265" s="1296"/>
      <c r="F265" s="1296"/>
      <c r="G265" s="1296"/>
      <c r="H265" s="1296"/>
      <c r="I265" s="1296"/>
      <c r="J265" s="526"/>
      <c r="K265" s="815"/>
      <c r="Q265">
        <f t="shared" si="9"/>
        <v>1</v>
      </c>
    </row>
    <row r="266" spans="1:17" hidden="1">
      <c r="A266" s="132"/>
      <c r="B266" s="452" t="str">
        <f>B255</f>
        <v>*CentrePlate</v>
      </c>
      <c r="C266" s="452"/>
      <c r="D266" s="744"/>
      <c r="E266" s="744"/>
      <c r="F266" s="150"/>
      <c r="G266" s="150"/>
      <c r="H266" s="150"/>
      <c r="I266" s="150"/>
      <c r="J266" s="150"/>
      <c r="K266" s="815"/>
      <c r="Q266">
        <f t="shared" si="9"/>
        <v>1</v>
      </c>
    </row>
    <row r="267" spans="1:17" hidden="1">
      <c r="A267" s="132"/>
      <c r="B267" s="757" t="s">
        <v>1135</v>
      </c>
      <c r="C267" s="758">
        <f>mmProd2!D429</f>
        <v>4</v>
      </c>
      <c r="D267" s="759"/>
      <c r="E267" s="759"/>
      <c r="F267" s="643"/>
      <c r="G267" s="759"/>
      <c r="H267" s="644"/>
      <c r="I267" s="760" t="s">
        <v>2673</v>
      </c>
      <c r="J267" s="761">
        <f>mmProd2!J429</f>
        <v>1</v>
      </c>
      <c r="K267" s="815"/>
      <c r="Q267">
        <f t="shared" si="9"/>
        <v>1</v>
      </c>
    </row>
    <row r="268" spans="1:17" hidden="1">
      <c r="A268" s="132"/>
      <c r="B268" s="756" t="s">
        <v>2958</v>
      </c>
      <c r="C268" s="762"/>
      <c r="D268" s="325"/>
      <c r="E268" s="1365" t="str">
        <f>decTeamName</f>
        <v>Vivia</v>
      </c>
      <c r="F268" s="1365" t="str">
        <f>decTeamName</f>
        <v>Vivia</v>
      </c>
      <c r="G268" s="1365" t="str">
        <f>decTeamName</f>
        <v>Vivia</v>
      </c>
      <c r="H268" s="1365" t="str">
        <f>decTeamName</f>
        <v>Vivia</v>
      </c>
      <c r="I268" s="1366" t="str">
        <f>decTeamName</f>
        <v>Vivia</v>
      </c>
      <c r="J268" s="745"/>
      <c r="K268" s="815"/>
      <c r="Q268">
        <f t="shared" si="9"/>
        <v>1</v>
      </c>
    </row>
    <row r="269" spans="1:17" hidden="1">
      <c r="A269" s="132"/>
      <c r="B269" s="233" t="str">
        <f>mmProd2!C431</f>
        <v>Price</v>
      </c>
      <c r="C269" s="328">
        <f>mmProd2!D431</f>
        <v>15</v>
      </c>
      <c r="D269" s="634"/>
      <c r="E269" s="634">
        <f>mmProd2!E431</f>
        <v>0</v>
      </c>
      <c r="F269" s="635">
        <f>mmProd2!F431</f>
        <v>0</v>
      </c>
      <c r="G269" s="635">
        <f>mmProd2!G431</f>
        <v>0</v>
      </c>
      <c r="H269" s="635">
        <f>mmProd2!H431</f>
        <v>0</v>
      </c>
      <c r="I269" s="636">
        <f>mmProd2!I431</f>
        <v>0</v>
      </c>
      <c r="J269" s="331">
        <f>mmProd2!J431</f>
        <v>0</v>
      </c>
      <c r="K269" s="815"/>
      <c r="Q269">
        <f t="shared" si="9"/>
        <v>1</v>
      </c>
    </row>
    <row r="270" spans="1:17" hidden="1">
      <c r="A270" s="132"/>
      <c r="B270" s="233" t="str">
        <f>mmProd2!C432</f>
        <v>Range Of Producs</v>
      </c>
      <c r="C270" s="328">
        <f>mmProd2!D432</f>
        <v>9</v>
      </c>
      <c r="D270" s="637"/>
      <c r="E270" s="637">
        <f>mmProd2!E432</f>
        <v>0</v>
      </c>
      <c r="F270" s="624">
        <f>mmProd2!F432</f>
        <v>0</v>
      </c>
      <c r="G270" s="624">
        <f>mmProd2!G432</f>
        <v>0</v>
      </c>
      <c r="H270" s="624">
        <f>mmProd2!H432</f>
        <v>0</v>
      </c>
      <c r="I270" s="638">
        <f>mmProd2!I432</f>
        <v>0</v>
      </c>
      <c r="J270" s="334">
        <f>mmProd2!J432</f>
        <v>0</v>
      </c>
      <c r="K270" s="815"/>
      <c r="Q270">
        <f t="shared" si="9"/>
        <v>1</v>
      </c>
    </row>
    <row r="271" spans="1:17" hidden="1">
      <c r="A271" s="132"/>
      <c r="B271" s="233" t="str">
        <f>mmProd2!C434</f>
        <v>Advertising</v>
      </c>
      <c r="C271" s="328">
        <f>mmProd2!D434</f>
        <v>12</v>
      </c>
      <c r="D271" s="637"/>
      <c r="E271" s="637">
        <f>mmProd2!E434</f>
        <v>0</v>
      </c>
      <c r="F271" s="624">
        <f>mmProd2!F434</f>
        <v>0</v>
      </c>
      <c r="G271" s="624">
        <f>mmProd2!G434</f>
        <v>0</v>
      </c>
      <c r="H271" s="624">
        <f>mmProd2!H434</f>
        <v>0</v>
      </c>
      <c r="I271" s="638">
        <f>mmProd2!I434</f>
        <v>0</v>
      </c>
      <c r="J271" s="334">
        <f>mmProd2!J434</f>
        <v>0</v>
      </c>
      <c r="K271" s="815"/>
      <c r="Q271">
        <f t="shared" si="9"/>
        <v>1</v>
      </c>
    </row>
    <row r="272" spans="1:17" hidden="1">
      <c r="A272" s="132"/>
      <c r="B272" s="233" t="str">
        <f>mmProd2!C435</f>
        <v>Promotion</v>
      </c>
      <c r="C272" s="328">
        <f>mmProd2!D435</f>
        <v>10</v>
      </c>
      <c r="D272" s="637"/>
      <c r="E272" s="637">
        <f>mmProd2!E435</f>
        <v>0</v>
      </c>
      <c r="F272" s="624">
        <f>mmProd2!F435</f>
        <v>0</v>
      </c>
      <c r="G272" s="624">
        <f>mmProd2!G435</f>
        <v>0</v>
      </c>
      <c r="H272" s="624">
        <f>mmProd2!H435</f>
        <v>0</v>
      </c>
      <c r="I272" s="638">
        <f>mmProd2!I435</f>
        <v>0</v>
      </c>
      <c r="J272" s="334">
        <f>mmProd2!J435</f>
        <v>0</v>
      </c>
      <c r="K272" s="815"/>
      <c r="Q272">
        <f t="shared" si="9"/>
        <v>1</v>
      </c>
    </row>
    <row r="273" spans="1:17" hidden="1">
      <c r="A273" s="132"/>
      <c r="B273" s="233" t="str">
        <f>mmProd2!C436</f>
        <v>Sales Force</v>
      </c>
      <c r="C273" s="328">
        <f>mmProd2!D436</f>
        <v>11</v>
      </c>
      <c r="D273" s="637"/>
      <c r="E273" s="637">
        <f>mmProd2!E436</f>
        <v>0</v>
      </c>
      <c r="F273" s="624">
        <f>mmProd2!F436</f>
        <v>0</v>
      </c>
      <c r="G273" s="624">
        <f>mmProd2!G436</f>
        <v>0</v>
      </c>
      <c r="H273" s="624">
        <f>mmProd2!H436</f>
        <v>0</v>
      </c>
      <c r="I273" s="638">
        <f>mmProd2!I436</f>
        <v>0</v>
      </c>
      <c r="J273" s="334">
        <f>mmProd2!J436</f>
        <v>0</v>
      </c>
      <c r="K273" s="815"/>
      <c r="Q273">
        <f t="shared" si="9"/>
        <v>1</v>
      </c>
    </row>
    <row r="274" spans="1:17" hidden="1">
      <c r="A274" s="132"/>
      <c r="B274" s="746" t="str">
        <f>mmProd2!C441</f>
        <v>Special Programs</v>
      </c>
      <c r="C274" s="328"/>
      <c r="D274" s="637"/>
      <c r="E274" s="637">
        <f>mmProd2!E441</f>
        <v>0</v>
      </c>
      <c r="F274" s="624">
        <f>mmProd2!F441</f>
        <v>0</v>
      </c>
      <c r="G274" s="624">
        <f>mmProd2!G441</f>
        <v>0</v>
      </c>
      <c r="H274" s="624">
        <f>mmProd2!H441</f>
        <v>0</v>
      </c>
      <c r="I274" s="638">
        <f>mmProd2!I441</f>
        <v>0</v>
      </c>
      <c r="J274" s="334">
        <f>mmProd2!J441</f>
        <v>0</v>
      </c>
      <c r="K274" s="815"/>
      <c r="Q274">
        <f t="shared" si="9"/>
        <v>1</v>
      </c>
    </row>
    <row r="275" spans="1:17" hidden="1">
      <c r="A275" s="132"/>
      <c r="B275" s="746" t="str">
        <f>mmProd2!C442</f>
        <v>Total Effect</v>
      </c>
      <c r="C275" s="328"/>
      <c r="D275" s="642"/>
      <c r="E275" s="642">
        <f>mmProd2!E442</f>
        <v>0</v>
      </c>
      <c r="F275" s="643">
        <f>mmProd2!F442</f>
        <v>0</v>
      </c>
      <c r="G275" s="643">
        <f>mmProd2!G442</f>
        <v>0</v>
      </c>
      <c r="H275" s="643">
        <f>mmProd2!H442</f>
        <v>0</v>
      </c>
      <c r="I275" s="644">
        <f>mmProd2!I442</f>
        <v>0</v>
      </c>
      <c r="J275" s="331">
        <f>mmProd2!J442</f>
        <v>0</v>
      </c>
      <c r="K275" s="815"/>
      <c r="Q275">
        <f t="shared" si="9"/>
        <v>1</v>
      </c>
    </row>
    <row r="276" spans="1:17" hidden="1">
      <c r="A276" s="132"/>
      <c r="B276" s="233" t="str">
        <f>mmProd2!C443</f>
        <v>Rank</v>
      </c>
      <c r="C276" s="328"/>
      <c r="D276" s="705"/>
      <c r="E276" s="705">
        <f>mmProd2!E443</f>
        <v>1</v>
      </c>
      <c r="F276" s="705">
        <f>mmProd2!F443</f>
        <v>1</v>
      </c>
      <c r="G276" s="705">
        <f>mmProd2!G443</f>
        <v>1</v>
      </c>
      <c r="H276" s="705">
        <f>mmProd2!H443</f>
        <v>1</v>
      </c>
      <c r="I276" s="705">
        <f>mmProd2!I443</f>
        <v>1</v>
      </c>
      <c r="J276" s="1407" t="str">
        <f>mmProd2!J443</f>
        <v>Weight</v>
      </c>
      <c r="K276" s="815"/>
      <c r="Q276">
        <f t="shared" si="9"/>
        <v>1</v>
      </c>
    </row>
    <row r="277" spans="1:17" hidden="1">
      <c r="A277" s="132"/>
      <c r="B277" s="1408" t="str">
        <f>mmProd2!C446</f>
        <v>Market Share</v>
      </c>
      <c r="C277" s="1409"/>
      <c r="D277" s="1410"/>
      <c r="E277" s="1410">
        <f>mmProd2!E446</f>
        <v>0</v>
      </c>
      <c r="F277" s="1410">
        <f>mmProd2!F446</f>
        <v>0</v>
      </c>
      <c r="G277" s="1410">
        <f>mmProd2!G446</f>
        <v>0</v>
      </c>
      <c r="H277" s="1410">
        <f>mmProd2!H446</f>
        <v>0</v>
      </c>
      <c r="I277" s="1410">
        <f>mmProd2!I446</f>
        <v>0</v>
      </c>
      <c r="J277" s="1411">
        <f>mmProd2!J446</f>
        <v>1</v>
      </c>
      <c r="K277" s="815"/>
      <c r="Q277">
        <f t="shared" si="9"/>
        <v>1</v>
      </c>
    </row>
    <row r="278" spans="1:17" ht="13.5" hidden="1" thickBot="1">
      <c r="A278" s="134"/>
      <c r="B278" s="561"/>
      <c r="C278" s="562"/>
      <c r="D278" s="562"/>
      <c r="E278" s="563"/>
      <c r="F278" s="563"/>
      <c r="G278" s="563"/>
      <c r="H278" s="563"/>
      <c r="I278" s="563"/>
      <c r="J278" s="763"/>
      <c r="K278" s="801"/>
      <c r="Q278">
        <f>IF(SUM($E$66:$I$66)&gt;0,0,1)</f>
        <v>1</v>
      </c>
    </row>
    <row r="279" spans="1:17" ht="15.75">
      <c r="A279" s="407" t="s">
        <v>1598</v>
      </c>
      <c r="B279" s="182"/>
      <c r="C279" s="182"/>
      <c r="D279" s="182"/>
      <c r="E279" s="731" t="str">
        <f>decTeamName</f>
        <v>Vivia</v>
      </c>
      <c r="F279" s="731" t="str">
        <f>decTeamName</f>
        <v>Vivia</v>
      </c>
      <c r="G279" s="731" t="str">
        <f>decTeamName</f>
        <v>Vivia</v>
      </c>
      <c r="H279" s="731" t="str">
        <f>decTeamName</f>
        <v>Vivia</v>
      </c>
      <c r="I279" s="731" t="str">
        <f>decTeamName</f>
        <v>Vivia</v>
      </c>
      <c r="J279" s="742"/>
      <c r="K279" s="823" t="s">
        <v>2718</v>
      </c>
    </row>
    <row r="280" spans="1:17" s="33" customFormat="1" ht="5.0999999999999996" customHeight="1">
      <c r="A280" s="543"/>
      <c r="B280" s="568"/>
      <c r="C280" s="568"/>
      <c r="D280" s="568"/>
      <c r="E280" s="176"/>
      <c r="F280" s="176"/>
      <c r="G280" s="176"/>
      <c r="H280" s="176"/>
      <c r="I280" s="176"/>
      <c r="J280" s="536"/>
      <c r="K280" s="795"/>
    </row>
    <row r="281" spans="1:17" ht="12.75">
      <c r="A281" s="132"/>
      <c r="B281" s="893" t="s">
        <v>200</v>
      </c>
      <c r="C281" s="21"/>
      <c r="D281" s="21"/>
      <c r="E281" s="38"/>
      <c r="F281" s="38"/>
      <c r="G281" s="38"/>
      <c r="H281" s="38"/>
      <c r="I281" s="38"/>
      <c r="J281" s="180"/>
      <c r="K281" s="796"/>
    </row>
    <row r="282" spans="1:17">
      <c r="A282" s="132"/>
      <c r="B282" s="21" t="s">
        <v>242</v>
      </c>
      <c r="C282" s="21"/>
      <c r="D282" s="21"/>
      <c r="E282" s="520">
        <f>cbalEmp1</f>
        <v>4000</v>
      </c>
      <c r="F282" s="520">
        <f>cbalEmp1</f>
        <v>4000</v>
      </c>
      <c r="G282" s="520">
        <f>cbalEmp1</f>
        <v>4000</v>
      </c>
      <c r="H282" s="520">
        <f>cbalEmp1</f>
        <v>4000</v>
      </c>
      <c r="I282" s="520">
        <f>cbalEmp1</f>
        <v>4000</v>
      </c>
      <c r="J282" s="180"/>
      <c r="K282" s="817">
        <f>SUM(E282:I282)/xxNumOfTeams</f>
        <v>4000</v>
      </c>
    </row>
    <row r="283" spans="1:17">
      <c r="A283" s="132"/>
      <c r="B283" s="21" t="s">
        <v>1721</v>
      </c>
      <c r="C283" s="21"/>
      <c r="D283" s="21"/>
      <c r="E283" s="520">
        <f>capReg1ChanLevel</f>
        <v>3</v>
      </c>
      <c r="F283" s="520">
        <f>capReg1ChanLevel</f>
        <v>3</v>
      </c>
      <c r="G283" s="520">
        <f>capReg1ChanLevel</f>
        <v>3</v>
      </c>
      <c r="H283" s="520">
        <f>capReg1ChanLevel</f>
        <v>3</v>
      </c>
      <c r="I283" s="520">
        <f>capReg1ChanLevel</f>
        <v>3</v>
      </c>
      <c r="J283" s="180"/>
      <c r="K283" s="817">
        <f>SUM(E283:I283)/xxNumOfTeams</f>
        <v>3</v>
      </c>
    </row>
    <row r="284" spans="1:17" ht="11.25" customHeight="1">
      <c r="A284" s="132"/>
      <c r="B284" s="893"/>
      <c r="C284" s="21"/>
      <c r="D284" s="21"/>
      <c r="E284" s="38"/>
      <c r="F284" s="38"/>
      <c r="G284" s="38"/>
      <c r="H284" s="38"/>
      <c r="I284" s="38"/>
      <c r="J284" s="180"/>
      <c r="K284" s="796"/>
    </row>
    <row r="285" spans="1:17" ht="12.75">
      <c r="A285" s="132"/>
      <c r="B285" s="893" t="str">
        <f>DataNameProd1</f>
        <v>CSD</v>
      </c>
      <c r="C285" s="21"/>
      <c r="D285" s="21"/>
      <c r="E285" s="38"/>
      <c r="F285" s="38"/>
      <c r="G285" s="38"/>
      <c r="H285" s="38"/>
      <c r="I285" s="38"/>
      <c r="J285" s="180"/>
      <c r="K285" s="796"/>
    </row>
    <row r="286" spans="1:17">
      <c r="A286" s="132"/>
      <c r="B286" s="21" t="s">
        <v>1402</v>
      </c>
      <c r="C286" s="21"/>
      <c r="D286" s="21"/>
      <c r="E286" s="532">
        <f>capProd1Reg1Price</f>
        <v>9.5</v>
      </c>
      <c r="F286" s="532">
        <f>capProd1Reg1Price</f>
        <v>9.5</v>
      </c>
      <c r="G286" s="532">
        <f>capProd1Reg1Price</f>
        <v>9.5</v>
      </c>
      <c r="H286" s="532">
        <f>capProd1Reg1Price</f>
        <v>9.5</v>
      </c>
      <c r="I286" s="532">
        <f>capProd1Reg1Price</f>
        <v>9.5</v>
      </c>
      <c r="J286" s="525"/>
      <c r="K286" s="818">
        <f>SUM(E286:I286)/xxNumOfTeams</f>
        <v>9.5</v>
      </c>
    </row>
    <row r="287" spans="1:17" ht="6" customHeight="1">
      <c r="A287" s="132"/>
      <c r="B287" s="21"/>
      <c r="C287" s="21"/>
      <c r="D287" s="21"/>
      <c r="E287" s="532"/>
      <c r="F287" s="532"/>
      <c r="G287" s="532"/>
      <c r="H287" s="532"/>
      <c r="I287" s="532"/>
      <c r="J287" s="525"/>
      <c r="K287" s="818"/>
    </row>
    <row r="288" spans="1:17">
      <c r="A288" s="132"/>
      <c r="B288" s="21" t="s">
        <v>1508</v>
      </c>
      <c r="C288" s="21"/>
      <c r="D288" s="21"/>
      <c r="E288" s="809">
        <f>capProd1Reg1Units/INDEX(xxMMProd1Seg1Units,xxYear+3)</f>
        <v>0.19997999992450669</v>
      </c>
      <c r="F288" s="809">
        <f>capProd1Reg1Units/INDEX(xxMMProd1Seg1Units,xxYear+3)</f>
        <v>0.19997999992450669</v>
      </c>
      <c r="G288" s="809">
        <f>capProd1Reg1Units/INDEX(xxMMProd1Seg1Units,xxYear+3)</f>
        <v>0.19997999992450669</v>
      </c>
      <c r="H288" s="809">
        <f>capProd1Reg1Units/INDEX(xxMMProd1Seg1Units,xxYear+3)</f>
        <v>0.19997999992450669</v>
      </c>
      <c r="I288" s="809">
        <f>capProd1Reg1Units/INDEX(xxMMProd1Seg1Units,xxYear+3)</f>
        <v>0.19997999992450669</v>
      </c>
      <c r="J288" s="520"/>
      <c r="K288" s="811"/>
    </row>
    <row r="289" spans="1:11" ht="12.75">
      <c r="A289" s="132"/>
      <c r="B289" s="545" t="s">
        <v>2831</v>
      </c>
      <c r="C289" s="545"/>
      <c r="D289" s="545"/>
      <c r="E289" s="888">
        <f>mmProd1Seg1ActShare</f>
        <v>0.2</v>
      </c>
      <c r="F289" s="888">
        <f>mmProd1Seg1ActShare</f>
        <v>0.2</v>
      </c>
      <c r="G289" s="888">
        <f>mmProd1Seg1ActShare</f>
        <v>0.2</v>
      </c>
      <c r="H289" s="888">
        <f>mmProd1Seg1ActShare</f>
        <v>0.2</v>
      </c>
      <c r="I289" s="888">
        <f>mmProd1Seg1ActShare</f>
        <v>0.2</v>
      </c>
      <c r="J289" s="888"/>
      <c r="K289" s="889"/>
    </row>
    <row r="290" spans="1:11" ht="12.75">
      <c r="A290" s="132"/>
      <c r="B290" s="38" t="s">
        <v>3471</v>
      </c>
      <c r="C290" s="38"/>
      <c r="D290" s="38"/>
      <c r="E290" s="616">
        <f>E319</f>
        <v>0.2</v>
      </c>
      <c r="F290" s="616">
        <f>F319</f>
        <v>0.2</v>
      </c>
      <c r="G290" s="616">
        <f>G319</f>
        <v>0.2</v>
      </c>
      <c r="H290" s="616">
        <f>H319</f>
        <v>0.2</v>
      </c>
      <c r="I290" s="616">
        <f>I319</f>
        <v>0.2</v>
      </c>
      <c r="J290" s="888"/>
      <c r="K290" s="889"/>
    </row>
    <row r="291" spans="1:11" ht="6" customHeight="1">
      <c r="A291" s="132"/>
      <c r="B291" s="38"/>
      <c r="C291" s="38"/>
      <c r="D291" s="38"/>
      <c r="E291" s="616"/>
      <c r="F291" s="616"/>
      <c r="G291" s="616"/>
      <c r="H291" s="616"/>
      <c r="I291" s="616"/>
      <c r="J291" s="888"/>
      <c r="K291" s="889"/>
    </row>
    <row r="292" spans="1:11">
      <c r="A292" s="132"/>
      <c r="B292" s="149" t="s">
        <v>3469</v>
      </c>
      <c r="C292" s="21"/>
      <c r="D292" s="21"/>
      <c r="E292" s="520">
        <f>capReg1Prod1UnitsSold</f>
        <v>741713021</v>
      </c>
      <c r="F292" s="520">
        <f>capReg1Prod1UnitsSold</f>
        <v>741713021</v>
      </c>
      <c r="G292" s="520">
        <f>capReg1Prod1UnitsSold</f>
        <v>741713021</v>
      </c>
      <c r="H292" s="520">
        <f>capReg1Prod1UnitsSold</f>
        <v>741713021</v>
      </c>
      <c r="I292" s="520">
        <f>capReg1Prod1UnitsSold</f>
        <v>741713021</v>
      </c>
      <c r="J292" s="520"/>
      <c r="K292" s="817">
        <f>SUM(E292:I292)/xxNumOfTeams</f>
        <v>741713021</v>
      </c>
    </row>
    <row r="293" spans="1:11">
      <c r="A293" s="132"/>
      <c r="B293" s="149" t="s">
        <v>3331</v>
      </c>
      <c r="C293" s="21"/>
      <c r="D293" s="21"/>
      <c r="E293" s="526">
        <f>E292*E286</f>
        <v>7046273699.5</v>
      </c>
      <c r="F293" s="526">
        <f>F292*F286</f>
        <v>7046273699.5</v>
      </c>
      <c r="G293" s="526">
        <f>G292*G286</f>
        <v>7046273699.5</v>
      </c>
      <c r="H293" s="526">
        <f>H292*H286</f>
        <v>7046273699.5</v>
      </c>
      <c r="I293" s="526">
        <f>I292*I286</f>
        <v>7046273699.5</v>
      </c>
      <c r="J293" s="520"/>
      <c r="K293" s="820">
        <f>SUM(E293:I293)/xxNumOfTeams</f>
        <v>7046273699.5</v>
      </c>
    </row>
    <row r="294" spans="1:11" ht="12.75">
      <c r="A294" s="132"/>
      <c r="B294" s="181" t="s">
        <v>3470</v>
      </c>
      <c r="C294" s="545"/>
      <c r="D294" s="545"/>
      <c r="E294" s="890">
        <f>mmProd1Seg1InvMissed</f>
        <v>-7566979</v>
      </c>
      <c r="F294" s="890">
        <f>mmProd1Seg1InvMissed</f>
        <v>-7566979</v>
      </c>
      <c r="G294" s="890">
        <f>mmProd1Seg1InvMissed</f>
        <v>-7566979</v>
      </c>
      <c r="H294" s="890">
        <f>mmProd1Seg1InvMissed</f>
        <v>-7566979</v>
      </c>
      <c r="I294" s="890">
        <f>mmProd1Seg1InvMissed</f>
        <v>-7566979</v>
      </c>
      <c r="J294" s="891"/>
      <c r="K294" s="892">
        <f>SUM(E294:I294)/xxNumOfTeams</f>
        <v>-7566979</v>
      </c>
    </row>
    <row r="295" spans="1:11" ht="12.75">
      <c r="A295" s="132"/>
      <c r="B295" s="149" t="s">
        <v>3330</v>
      </c>
      <c r="C295" s="545"/>
      <c r="D295" s="545"/>
      <c r="E295" s="526">
        <f>IF(E294&gt;0,0,-1*E294*E286)</f>
        <v>71886300.5</v>
      </c>
      <c r="F295" s="526">
        <f>IF(F294&gt;0,0,-1*F294*F286)</f>
        <v>71886300.5</v>
      </c>
      <c r="G295" s="526">
        <f>IF(G294&gt;0,0,-1*G294*G286)</f>
        <v>71886300.5</v>
      </c>
      <c r="H295" s="526">
        <f>IF(H294&gt;0,0,-1*H294*H286)</f>
        <v>71886300.5</v>
      </c>
      <c r="I295" s="526">
        <f>IF(I294&gt;0,0,-1*I294*I286)</f>
        <v>71886300.5</v>
      </c>
      <c r="J295" s="891"/>
      <c r="K295" s="820">
        <f>SUM(E295:I295)/xxNumOfTeams</f>
        <v>71886300.5</v>
      </c>
    </row>
    <row r="296" spans="1:11" ht="6" customHeight="1">
      <c r="A296" s="132"/>
      <c r="B296" s="21"/>
      <c r="C296" s="21"/>
      <c r="D296" s="21"/>
      <c r="E296" s="38"/>
      <c r="F296" s="38"/>
      <c r="G296" s="38"/>
      <c r="H296" s="38"/>
      <c r="I296" s="38"/>
      <c r="J296" s="180"/>
      <c r="K296" s="796"/>
    </row>
    <row r="297" spans="1:11">
      <c r="A297" s="132"/>
      <c r="B297" s="548" t="s">
        <v>1726</v>
      </c>
      <c r="C297" s="21"/>
      <c r="D297" s="21"/>
      <c r="E297" s="21" t="str">
        <f>decProd1Ftr4LevelDec</f>
        <v>Intermediate</v>
      </c>
      <c r="F297" s="21" t="str">
        <f>decProd1Ftr4LevelDec</f>
        <v>Intermediate</v>
      </c>
      <c r="G297" s="21" t="str">
        <f>decProd1Ftr4LevelDec</f>
        <v>Intermediate</v>
      </c>
      <c r="H297" s="21" t="str">
        <f>decProd1Ftr4LevelDec</f>
        <v>Intermediate</v>
      </c>
      <c r="I297" s="21" t="str">
        <f>decProd1Ftr4LevelDec</f>
        <v>Intermediate</v>
      </c>
      <c r="J297" s="180"/>
      <c r="K297" s="796"/>
    </row>
    <row r="298" spans="1:11" ht="6" customHeight="1">
      <c r="A298" s="132"/>
      <c r="B298" s="548"/>
      <c r="C298" s="21"/>
      <c r="D298" s="21"/>
      <c r="E298" s="21"/>
      <c r="F298" s="21"/>
      <c r="G298" s="21"/>
      <c r="H298" s="21"/>
      <c r="I298" s="21"/>
      <c r="J298" s="180"/>
      <c r="K298" s="796"/>
    </row>
    <row r="299" spans="1:11">
      <c r="A299" s="132"/>
      <c r="B299" s="21" t="s">
        <v>3455</v>
      </c>
      <c r="C299" s="21"/>
      <c r="D299" s="21"/>
      <c r="E299" s="1182">
        <f>capProd1Adv</f>
        <v>410000000</v>
      </c>
      <c r="F299" s="1182">
        <f>capProd1Adv</f>
        <v>410000000</v>
      </c>
      <c r="G299" s="1182">
        <f>capProd1Adv</f>
        <v>410000000</v>
      </c>
      <c r="H299" s="1182">
        <f>capProd1Adv</f>
        <v>410000000</v>
      </c>
      <c r="I299" s="1182">
        <f>capProd1Adv</f>
        <v>410000000</v>
      </c>
      <c r="J299" s="1182"/>
      <c r="K299" s="1188">
        <f>SUM(E299:I299)/xxNumOfTeams</f>
        <v>410000000</v>
      </c>
    </row>
    <row r="300" spans="1:11">
      <c r="A300" s="132"/>
      <c r="B300" s="21" t="s">
        <v>3456</v>
      </c>
      <c r="C300" s="21"/>
      <c r="D300" s="21"/>
      <c r="E300" s="1182">
        <f>capProd1Promo</f>
        <v>1450000000</v>
      </c>
      <c r="F300" s="1182">
        <f>capProd1Promo</f>
        <v>1450000000</v>
      </c>
      <c r="G300" s="1182">
        <f>capProd1Promo</f>
        <v>1450000000</v>
      </c>
      <c r="H300" s="1182">
        <f>capProd1Promo</f>
        <v>1450000000</v>
      </c>
      <c r="I300" s="1182">
        <f>capProd1Promo</f>
        <v>1450000000</v>
      </c>
      <c r="J300" s="1182"/>
      <c r="K300" s="1188">
        <f>SUM(E300:I300)/xxNumOfTeams</f>
        <v>1450000000</v>
      </c>
    </row>
    <row r="301" spans="1:11">
      <c r="A301" s="132"/>
      <c r="B301" s="21" t="s">
        <v>199</v>
      </c>
      <c r="C301" s="21"/>
      <c r="D301" s="21"/>
      <c r="E301" s="92">
        <f>paramReg1Prod1CommSpendEffect</f>
        <v>1</v>
      </c>
      <c r="F301" s="92">
        <f>paramReg1Prod1CommSpendEffect</f>
        <v>1</v>
      </c>
      <c r="G301" s="92">
        <f>paramReg1Prod1CommSpendEffect</f>
        <v>1</v>
      </c>
      <c r="H301" s="92">
        <f>paramReg1Prod1CommSpendEffect</f>
        <v>1</v>
      </c>
      <c r="I301" s="92">
        <f>paramReg1Prod1CommSpendEffect</f>
        <v>1</v>
      </c>
      <c r="J301" s="92"/>
      <c r="K301" s="806">
        <f>SUM(E301:I301)/xxNumOfTeams</f>
        <v>1</v>
      </c>
    </row>
    <row r="302" spans="1:11" ht="6" customHeight="1">
      <c r="A302" s="132"/>
      <c r="B302" s="21"/>
      <c r="C302" s="21"/>
      <c r="D302" s="21"/>
      <c r="E302" s="38"/>
      <c r="F302" s="38"/>
      <c r="G302" s="38"/>
      <c r="H302" s="38"/>
      <c r="I302" s="38"/>
      <c r="J302" s="180"/>
      <c r="K302" s="796"/>
    </row>
    <row r="303" spans="1:11">
      <c r="A303" s="132"/>
      <c r="B303" s="452" t="str">
        <f>DataNameProd1&amp;" Vetera"</f>
        <v>CSD Vetera</v>
      </c>
      <c r="C303" s="452"/>
      <c r="D303" s="744"/>
      <c r="E303" s="744"/>
      <c r="F303" s="150"/>
      <c r="G303" s="150"/>
      <c r="H303" s="150"/>
      <c r="I303" s="150"/>
      <c r="J303" s="150"/>
      <c r="K303" s="796"/>
    </row>
    <row r="304" spans="1:11">
      <c r="A304" s="132"/>
      <c r="B304" s="757" t="s">
        <v>1135</v>
      </c>
      <c r="C304" s="758">
        <f>mmProd1!D252</f>
        <v>5530400000</v>
      </c>
      <c r="D304" s="759"/>
      <c r="E304" s="759"/>
      <c r="F304" s="643"/>
      <c r="G304" s="759"/>
      <c r="H304" s="644"/>
      <c r="I304" s="760" t="s">
        <v>2673</v>
      </c>
      <c r="J304" s="761">
        <f>mmProd1!J292</f>
        <v>3746399999.9999995</v>
      </c>
      <c r="K304" s="796"/>
    </row>
    <row r="305" spans="1:11">
      <c r="A305" s="132"/>
      <c r="B305" s="756" t="s">
        <v>2958</v>
      </c>
      <c r="C305" s="762"/>
      <c r="D305" s="325"/>
      <c r="E305" s="744" t="str">
        <f>decTeamName</f>
        <v>Vivia</v>
      </c>
      <c r="F305" s="744" t="str">
        <f>decTeamName</f>
        <v>Vivia</v>
      </c>
      <c r="G305" s="744" t="str">
        <f>decTeamName</f>
        <v>Vivia</v>
      </c>
      <c r="H305" s="744" t="str">
        <f>decTeamName</f>
        <v>Vivia</v>
      </c>
      <c r="I305" s="744" t="str">
        <f>decTeamName</f>
        <v>Vivia</v>
      </c>
      <c r="J305" s="745"/>
      <c r="K305" s="796"/>
    </row>
    <row r="306" spans="1:11">
      <c r="A306" s="132"/>
      <c r="B306" s="233" t="str">
        <f>mmProd1!C294</f>
        <v>Price</v>
      </c>
      <c r="C306" s="328">
        <f>mmProd1!D294</f>
        <v>35</v>
      </c>
      <c r="D306" s="634"/>
      <c r="E306" s="634">
        <f>mmProd1!E294</f>
        <v>0</v>
      </c>
      <c r="F306" s="635">
        <f>mmProd1!F294</f>
        <v>0</v>
      </c>
      <c r="G306" s="635">
        <f>mmProd1!G294</f>
        <v>0</v>
      </c>
      <c r="H306" s="635">
        <f>mmProd1!H294</f>
        <v>0</v>
      </c>
      <c r="I306" s="636">
        <f>mmProd1!I294</f>
        <v>0</v>
      </c>
      <c r="J306" s="331">
        <f>mmProd1!J294</f>
        <v>87.5</v>
      </c>
      <c r="K306" s="796"/>
    </row>
    <row r="307" spans="1:11">
      <c r="A307" s="132"/>
      <c r="B307" s="233" t="str">
        <f>mmProd1!C295</f>
        <v>Range Of Products</v>
      </c>
      <c r="C307" s="328">
        <f>mmProd1!D295</f>
        <v>7</v>
      </c>
      <c r="D307" s="637"/>
      <c r="E307" s="637">
        <f>mmProd1!E295</f>
        <v>0</v>
      </c>
      <c r="F307" s="624">
        <f>mmProd1!F295</f>
        <v>0</v>
      </c>
      <c r="G307" s="624">
        <f>mmProd1!G295</f>
        <v>0</v>
      </c>
      <c r="H307" s="624">
        <f>mmProd1!H295</f>
        <v>0</v>
      </c>
      <c r="I307" s="638">
        <f>mmProd1!I295</f>
        <v>0</v>
      </c>
      <c r="J307" s="334">
        <f>mmProd1!J295</f>
        <v>17.5</v>
      </c>
      <c r="K307" s="796"/>
    </row>
    <row r="308" spans="1:11">
      <c r="A308" s="132"/>
      <c r="B308" s="233" t="str">
        <f>mmProd1!C297</f>
        <v>Advertising</v>
      </c>
      <c r="C308" s="328">
        <f>mmProd1!D297</f>
        <v>9</v>
      </c>
      <c r="D308" s="637"/>
      <c r="E308" s="637">
        <f>mmProd1!E297</f>
        <v>0</v>
      </c>
      <c r="F308" s="624">
        <f>mmProd1!F297</f>
        <v>0</v>
      </c>
      <c r="G308" s="624">
        <f>mmProd1!G297</f>
        <v>0</v>
      </c>
      <c r="H308" s="624">
        <f>mmProd1!H297</f>
        <v>0</v>
      </c>
      <c r="I308" s="638">
        <f>mmProd1!I297</f>
        <v>0</v>
      </c>
      <c r="J308" s="334">
        <f>mmProd1!J297</f>
        <v>22.5</v>
      </c>
      <c r="K308" s="796"/>
    </row>
    <row r="309" spans="1:11">
      <c r="A309" s="132"/>
      <c r="B309" s="233" t="str">
        <f>mmProd1!C298</f>
        <v>Promotion</v>
      </c>
      <c r="C309" s="328">
        <f>mmProd1!D298</f>
        <v>11</v>
      </c>
      <c r="D309" s="637"/>
      <c r="E309" s="637">
        <f>mmProd1!E298</f>
        <v>0</v>
      </c>
      <c r="F309" s="624">
        <f>mmProd1!F298</f>
        <v>0</v>
      </c>
      <c r="G309" s="624">
        <f>mmProd1!G298</f>
        <v>0</v>
      </c>
      <c r="H309" s="624">
        <f>mmProd1!H298</f>
        <v>0</v>
      </c>
      <c r="I309" s="638">
        <f>mmProd1!I298</f>
        <v>0</v>
      </c>
      <c r="J309" s="334">
        <f>mmProd1!J298</f>
        <v>27.5</v>
      </c>
      <c r="K309" s="796"/>
    </row>
    <row r="310" spans="1:11">
      <c r="A310" s="132"/>
      <c r="B310" s="233" t="str">
        <f>mmProd1!C299</f>
        <v>Sales Force</v>
      </c>
      <c r="C310" s="328">
        <f>mmProd1!D299</f>
        <v>6</v>
      </c>
      <c r="D310" s="637"/>
      <c r="E310" s="637">
        <f>mmProd1!E299</f>
        <v>0</v>
      </c>
      <c r="F310" s="624">
        <f>mmProd1!F299</f>
        <v>0</v>
      </c>
      <c r="G310" s="624">
        <f>mmProd1!G299</f>
        <v>0</v>
      </c>
      <c r="H310" s="624">
        <f>mmProd1!H299</f>
        <v>0</v>
      </c>
      <c r="I310" s="638">
        <f>mmProd1!I299</f>
        <v>0</v>
      </c>
      <c r="J310" s="334">
        <f>mmProd1!J299</f>
        <v>15</v>
      </c>
      <c r="K310" s="796"/>
    </row>
    <row r="311" spans="1:11">
      <c r="A311" s="132"/>
      <c r="B311" s="746" t="str">
        <f>mmProd1!C300</f>
        <v>Innovation</v>
      </c>
      <c r="C311" s="328">
        <f>mmProd1!D300</f>
        <v>14</v>
      </c>
      <c r="D311" s="637"/>
      <c r="E311" s="637">
        <f>mmProd1!E300</f>
        <v>0</v>
      </c>
      <c r="F311" s="624">
        <f>mmProd1!F300</f>
        <v>0</v>
      </c>
      <c r="G311" s="624">
        <f>mmProd1!G300</f>
        <v>0</v>
      </c>
      <c r="H311" s="624">
        <f>mmProd1!H300</f>
        <v>0</v>
      </c>
      <c r="I311" s="638">
        <f>mmProd1!I300</f>
        <v>0</v>
      </c>
      <c r="J311" s="334">
        <f>mmProd1!J304</f>
        <v>0</v>
      </c>
      <c r="K311" s="796"/>
    </row>
    <row r="312" spans="1:11">
      <c r="A312" s="132"/>
      <c r="B312" s="746" t="str">
        <f>mmProd1!C301</f>
        <v>Channel Penetration</v>
      </c>
      <c r="C312" s="328">
        <f>mmProd1!D301</f>
        <v>0</v>
      </c>
      <c r="D312" s="637"/>
      <c r="E312" s="637">
        <f>mmProd1!E301</f>
        <v>0</v>
      </c>
      <c r="F312" s="624">
        <f>mmProd1!F301</f>
        <v>0</v>
      </c>
      <c r="G312" s="624">
        <f>mmProd1!G301</f>
        <v>0</v>
      </c>
      <c r="H312" s="624">
        <f>mmProd1!H301</f>
        <v>0</v>
      </c>
      <c r="I312" s="638">
        <f>mmProd1!I301</f>
        <v>0</v>
      </c>
      <c r="J312" s="334"/>
      <c r="K312" s="796"/>
    </row>
    <row r="313" spans="1:11">
      <c r="A313" s="132"/>
      <c r="B313" s="746" t="str">
        <f>mmProd1!C302</f>
        <v>GTM Digitization</v>
      </c>
      <c r="C313" s="328">
        <f>mmProd1!D302</f>
        <v>10</v>
      </c>
      <c r="D313" s="637"/>
      <c r="E313" s="637">
        <f>mmProd1!E302</f>
        <v>0</v>
      </c>
      <c r="F313" s="624">
        <f>mmProd1!F302</f>
        <v>0</v>
      </c>
      <c r="G313" s="624">
        <f>mmProd1!G302</f>
        <v>0</v>
      </c>
      <c r="H313" s="624">
        <f>mmProd1!H302</f>
        <v>0</v>
      </c>
      <c r="I313" s="638">
        <f>mmProd1!I302</f>
        <v>0</v>
      </c>
      <c r="J313" s="334"/>
      <c r="K313" s="796"/>
    </row>
    <row r="314" spans="1:11">
      <c r="A314" s="132"/>
      <c r="B314" s="746" t="str">
        <f>mmProd1!C304</f>
        <v>Special Programs</v>
      </c>
      <c r="C314" s="328">
        <f>mmProd1!D304</f>
        <v>0</v>
      </c>
      <c r="D314" s="639"/>
      <c r="E314" s="639">
        <f>mmProd1!E304</f>
        <v>0</v>
      </c>
      <c r="F314" s="640">
        <f>mmProd1!F304</f>
        <v>0</v>
      </c>
      <c r="G314" s="640">
        <f>mmProd1!G304</f>
        <v>0</v>
      </c>
      <c r="H314" s="640">
        <f>mmProd1!H304</f>
        <v>0</v>
      </c>
      <c r="I314" s="641">
        <f>mmProd1!I304</f>
        <v>0</v>
      </c>
      <c r="J314" s="334">
        <f>mmProd1!J304</f>
        <v>0</v>
      </c>
      <c r="K314" s="796"/>
    </row>
    <row r="315" spans="1:11">
      <c r="A315" s="132"/>
      <c r="B315" s="746" t="s">
        <v>2959</v>
      </c>
      <c r="C315" s="328"/>
      <c r="D315" s="642"/>
      <c r="E315" s="1229">
        <f>mmProd1!E305</f>
        <v>0</v>
      </c>
      <c r="F315" s="1230">
        <f>mmProd1!F305</f>
        <v>0</v>
      </c>
      <c r="G315" s="1230">
        <f>mmProd1!G305</f>
        <v>0</v>
      </c>
      <c r="H315" s="1230">
        <f>mmProd1!H305</f>
        <v>0</v>
      </c>
      <c r="I315" s="1231">
        <f>mmProd1!I305</f>
        <v>0</v>
      </c>
      <c r="J315" s="331">
        <f>mmProd1!J305</f>
        <v>195</v>
      </c>
      <c r="K315" s="796"/>
    </row>
    <row r="316" spans="1:11" ht="12" thickBot="1">
      <c r="A316" s="132"/>
      <c r="B316" s="233" t="s">
        <v>974</v>
      </c>
      <c r="C316" s="328"/>
      <c r="D316" s="705"/>
      <c r="E316" s="705">
        <f>mmProd1!E306</f>
        <v>1</v>
      </c>
      <c r="F316" s="705">
        <f>mmProd1!F306</f>
        <v>1</v>
      </c>
      <c r="G316" s="705">
        <f>mmProd1!G306</f>
        <v>1</v>
      </c>
      <c r="H316" s="705">
        <f>mmProd1!H306</f>
        <v>1</v>
      </c>
      <c r="I316" s="705">
        <f>mmProd1!I306</f>
        <v>1</v>
      </c>
      <c r="J316" s="747" t="s">
        <v>2227</v>
      </c>
      <c r="K316" s="796"/>
    </row>
    <row r="317" spans="1:11">
      <c r="A317" s="132"/>
      <c r="B317" s="748" t="s">
        <v>3201</v>
      </c>
      <c r="C317" s="628"/>
      <c r="D317" s="666"/>
      <c r="E317" s="666">
        <f>mmProd1!E307</f>
        <v>0.2</v>
      </c>
      <c r="F317" s="666">
        <f>mmProd1!F307</f>
        <v>0.2</v>
      </c>
      <c r="G317" s="666">
        <f>mmProd1!G307</f>
        <v>0.2</v>
      </c>
      <c r="H317" s="666">
        <f>mmProd1!H307</f>
        <v>0.2</v>
      </c>
      <c r="I317" s="666">
        <f>mmProd1!I307</f>
        <v>0.2</v>
      </c>
      <c r="J317" s="749">
        <f>mmProd1!J307</f>
        <v>0.35</v>
      </c>
      <c r="K317" s="796"/>
    </row>
    <row r="318" spans="1:11" ht="12" thickBot="1">
      <c r="A318" s="132"/>
      <c r="B318" s="750" t="s">
        <v>1999</v>
      </c>
      <c r="C318" s="135"/>
      <c r="D318" s="625"/>
      <c r="E318" s="625">
        <f>mmProd1!E308</f>
        <v>0.2</v>
      </c>
      <c r="F318" s="625">
        <f>mmProd1!F308</f>
        <v>0.2</v>
      </c>
      <c r="G318" s="625">
        <f>mmProd1!G308</f>
        <v>0.2</v>
      </c>
      <c r="H318" s="625">
        <f>mmProd1!H308</f>
        <v>0.2</v>
      </c>
      <c r="I318" s="625">
        <f>mmProd1!I308</f>
        <v>0.2</v>
      </c>
      <c r="J318" s="751">
        <f>mmProd1!J308</f>
        <v>0.65</v>
      </c>
      <c r="K318" s="796"/>
    </row>
    <row r="319" spans="1:11">
      <c r="A319" s="132"/>
      <c r="B319" s="752" t="s">
        <v>3472</v>
      </c>
      <c r="C319" s="753"/>
      <c r="D319" s="754"/>
      <c r="E319" s="754">
        <f>mmProd1Seg1PreSalesShare</f>
        <v>0.2</v>
      </c>
      <c r="F319" s="754">
        <f>mmProd1Seg1PreSalesShare</f>
        <v>0.2</v>
      </c>
      <c r="G319" s="754">
        <f>mmProd1Seg1PreSalesShare</f>
        <v>0.2</v>
      </c>
      <c r="H319" s="754">
        <f>mmProd1Seg1PreSalesShare</f>
        <v>0.2</v>
      </c>
      <c r="I319" s="754">
        <f>mmProd1Seg1PreSalesShare</f>
        <v>0.2</v>
      </c>
      <c r="J319" s="755">
        <f>mmProd1!J309</f>
        <v>3746399999.9999995</v>
      </c>
      <c r="K319" s="796"/>
    </row>
    <row r="320" spans="1:11">
      <c r="A320" s="132"/>
      <c r="B320" s="62"/>
      <c r="C320" s="62"/>
      <c r="D320" s="62"/>
      <c r="E320" s="62"/>
      <c r="F320" s="62"/>
      <c r="G320" s="62"/>
      <c r="H320" s="62"/>
      <c r="I320" s="520"/>
      <c r="J320" s="180"/>
      <c r="K320" s="796"/>
    </row>
    <row r="321" spans="1:11" ht="12.75">
      <c r="A321" s="132"/>
      <c r="B321" s="893" t="str">
        <f>DataNameProd3</f>
        <v>NCB</v>
      </c>
      <c r="C321" s="21"/>
      <c r="D321" s="21"/>
      <c r="E321" s="38"/>
      <c r="F321" s="38"/>
      <c r="G321" s="38"/>
      <c r="H321" s="38"/>
      <c r="I321" s="38"/>
      <c r="J321" s="180"/>
      <c r="K321" s="796"/>
    </row>
    <row r="322" spans="1:11">
      <c r="A322" s="132"/>
      <c r="B322" s="21" t="s">
        <v>1402</v>
      </c>
      <c r="C322" s="21"/>
      <c r="D322" s="21"/>
      <c r="E322" s="532">
        <f>capProd3Reg1Price</f>
        <v>15</v>
      </c>
      <c r="F322" s="532">
        <f>capProd3Reg1Price</f>
        <v>15</v>
      </c>
      <c r="G322" s="532">
        <f>capProd3Reg1Price</f>
        <v>15</v>
      </c>
      <c r="H322" s="532">
        <f>capProd3Reg1Price</f>
        <v>15</v>
      </c>
      <c r="I322" s="532">
        <f>capProd3Reg1Price</f>
        <v>15</v>
      </c>
      <c r="J322" s="525"/>
      <c r="K322" s="818">
        <f>SUM(E322:I322)/xxNumOfTeams</f>
        <v>15</v>
      </c>
    </row>
    <row r="323" spans="1:11" ht="6" customHeight="1">
      <c r="A323" s="132"/>
      <c r="B323" s="21"/>
      <c r="C323" s="21"/>
      <c r="D323" s="21"/>
      <c r="E323" s="532"/>
      <c r="F323" s="532"/>
      <c r="G323" s="532"/>
      <c r="H323" s="532"/>
      <c r="I323" s="532"/>
      <c r="J323" s="525"/>
      <c r="K323" s="818"/>
    </row>
    <row r="324" spans="1:11">
      <c r="A324" s="132"/>
      <c r="B324" s="21" t="s">
        <v>1508</v>
      </c>
      <c r="C324" s="21"/>
      <c r="D324" s="21"/>
      <c r="E324" s="809">
        <f>capProd3Reg1Units/INDEX(xxMMProd3Seg1Units,xxYear+3)</f>
        <v>0.19950000000000001</v>
      </c>
      <c r="F324" s="809">
        <f>capProd3Reg1Units/INDEX(xxMMProd3Seg1Units,xxYear+3)</f>
        <v>0.19950000000000001</v>
      </c>
      <c r="G324" s="809">
        <f>capProd3Reg1Units/INDEX(xxMMProd3Seg1Units,xxYear+3)</f>
        <v>0.19950000000000001</v>
      </c>
      <c r="H324" s="809">
        <f>capProd3Reg1Units/INDEX(xxMMProd3Seg1Units,xxYear+3)</f>
        <v>0.19950000000000001</v>
      </c>
      <c r="I324" s="809">
        <f>capProd3Reg1Units/INDEX(xxMMProd3Seg1Units,xxYear+3)</f>
        <v>0.19950000000000001</v>
      </c>
      <c r="J324" s="520"/>
      <c r="K324" s="811"/>
    </row>
    <row r="325" spans="1:11" ht="12.75">
      <c r="A325" s="132"/>
      <c r="B325" s="545" t="s">
        <v>2831</v>
      </c>
      <c r="C325" s="545"/>
      <c r="D325" s="545"/>
      <c r="E325" s="888">
        <f>mmProd3Seg1ActShare</f>
        <v>0.2</v>
      </c>
      <c r="F325" s="888">
        <f>mmProd3Seg1ActShare</f>
        <v>0.2</v>
      </c>
      <c r="G325" s="888">
        <f>mmProd3Seg1ActShare</f>
        <v>0.2</v>
      </c>
      <c r="H325" s="888">
        <f>mmProd3Seg1ActShare</f>
        <v>0.2</v>
      </c>
      <c r="I325" s="888">
        <f>mmProd3Seg1ActShare</f>
        <v>0.2</v>
      </c>
      <c r="J325" s="888"/>
      <c r="K325" s="889"/>
    </row>
    <row r="326" spans="1:11" ht="12.75">
      <c r="A326" s="132"/>
      <c r="B326" s="38" t="s">
        <v>3471</v>
      </c>
      <c r="C326" s="38"/>
      <c r="D326" s="38"/>
      <c r="E326" s="616">
        <f>E356</f>
        <v>0.2</v>
      </c>
      <c r="F326" s="616">
        <f>F356</f>
        <v>0.2</v>
      </c>
      <c r="G326" s="616">
        <f>G356</f>
        <v>0.2</v>
      </c>
      <c r="H326" s="616">
        <f>H356</f>
        <v>0.2</v>
      </c>
      <c r="I326" s="616">
        <f>I356</f>
        <v>0.2</v>
      </c>
      <c r="J326" s="888"/>
      <c r="K326" s="889"/>
    </row>
    <row r="327" spans="1:11" ht="6" customHeight="1">
      <c r="A327" s="132"/>
      <c r="B327" s="38"/>
      <c r="C327" s="38"/>
      <c r="D327" s="38"/>
      <c r="E327" s="616"/>
      <c r="F327" s="616"/>
      <c r="G327" s="616"/>
      <c r="H327" s="616"/>
      <c r="I327" s="616"/>
      <c r="J327" s="888"/>
      <c r="K327" s="889"/>
    </row>
    <row r="328" spans="1:11">
      <c r="A328" s="132"/>
      <c r="B328" s="149" t="s">
        <v>3469</v>
      </c>
      <c r="C328" s="21"/>
      <c r="D328" s="21"/>
      <c r="E328" s="520">
        <f>capReg1Prod3UnitsSold</f>
        <v>356800000</v>
      </c>
      <c r="F328" s="520">
        <f>capReg1Prod3UnitsSold</f>
        <v>356800000</v>
      </c>
      <c r="G328" s="520">
        <f>capReg1Prod3UnitsSold</f>
        <v>356800000</v>
      </c>
      <c r="H328" s="520">
        <f>capReg1Prod3UnitsSold</f>
        <v>356800000</v>
      </c>
      <c r="I328" s="520">
        <f>capReg1Prod3UnitsSold</f>
        <v>356800000</v>
      </c>
      <c r="J328" s="520"/>
      <c r="K328" s="817">
        <f>SUM(E328:I328)/xxNumOfTeams</f>
        <v>356800000</v>
      </c>
    </row>
    <row r="329" spans="1:11">
      <c r="A329" s="132"/>
      <c r="B329" s="149" t="s">
        <v>3331</v>
      </c>
      <c r="C329" s="21"/>
      <c r="D329" s="21"/>
      <c r="E329" s="526">
        <f>E328*E322</f>
        <v>5352000000</v>
      </c>
      <c r="F329" s="526">
        <f>F328*F322</f>
        <v>5352000000</v>
      </c>
      <c r="G329" s="526">
        <f>G328*G322</f>
        <v>5352000000</v>
      </c>
      <c r="H329" s="526">
        <f>H328*H322</f>
        <v>5352000000</v>
      </c>
      <c r="I329" s="526">
        <f>I328*I322</f>
        <v>5352000000</v>
      </c>
      <c r="J329" s="520"/>
      <c r="K329" s="820">
        <f>SUM(E329:I329)/xxNumOfTeams</f>
        <v>5352000000</v>
      </c>
    </row>
    <row r="330" spans="1:11" ht="12.75">
      <c r="A330" s="132"/>
      <c r="B330" s="181" t="s">
        <v>3470</v>
      </c>
      <c r="C330" s="545"/>
      <c r="D330" s="545"/>
      <c r="E330" s="890">
        <f>mmProd3!E227</f>
        <v>16903400</v>
      </c>
      <c r="F330" s="890">
        <f>mmProd3!F227</f>
        <v>16903400</v>
      </c>
      <c r="G330" s="890">
        <f>mmProd3!G227</f>
        <v>16903400</v>
      </c>
      <c r="H330" s="890">
        <f>mmProd3!H227</f>
        <v>16903400</v>
      </c>
      <c r="I330" s="890">
        <f>mmProd3!I227</f>
        <v>16903400</v>
      </c>
      <c r="J330" s="891"/>
      <c r="K330" s="892">
        <f>SUM(E330:I330)/xxNumOfTeams</f>
        <v>16903400</v>
      </c>
    </row>
    <row r="331" spans="1:11" ht="12.75">
      <c r="A331" s="132"/>
      <c r="B331" s="149" t="s">
        <v>3330</v>
      </c>
      <c r="C331" s="545"/>
      <c r="D331" s="545"/>
      <c r="E331" s="526">
        <f>IF(E330&gt;0,0,-1*E330*E322)</f>
        <v>0</v>
      </c>
      <c r="F331" s="526">
        <f>IF(F330&gt;0,0,-1*F330*F322)</f>
        <v>0</v>
      </c>
      <c r="G331" s="526">
        <f>IF(G330&gt;0,0,-1*G330*G322)</f>
        <v>0</v>
      </c>
      <c r="H331" s="526">
        <f>IF(H330&gt;0,0,-1*H330*H322)</f>
        <v>0</v>
      </c>
      <c r="I331" s="526">
        <f>IF(I330&gt;0,0,-1*I330*I322)</f>
        <v>0</v>
      </c>
      <c r="J331" s="891"/>
      <c r="K331" s="820">
        <f>SUM(E331:I331)/xxNumOfTeams</f>
        <v>0</v>
      </c>
    </row>
    <row r="332" spans="1:11" ht="6" customHeight="1">
      <c r="A332" s="132"/>
      <c r="B332" s="21"/>
      <c r="C332" s="21"/>
      <c r="D332" s="21"/>
      <c r="E332" s="38"/>
      <c r="F332" s="38"/>
      <c r="G332" s="38"/>
      <c r="H332" s="38"/>
      <c r="I332" s="38"/>
      <c r="J332" s="180"/>
      <c r="K332" s="796"/>
    </row>
    <row r="333" spans="1:11">
      <c r="A333" s="132"/>
      <c r="B333" s="548" t="s">
        <v>246</v>
      </c>
      <c r="C333" s="21"/>
      <c r="D333" s="21"/>
      <c r="E333" s="21" t="str">
        <f>decProd3Ftr4LevelDec</f>
        <v>Narrow</v>
      </c>
      <c r="F333" s="21" t="str">
        <f>decProd3Ftr4LevelDec</f>
        <v>Narrow</v>
      </c>
      <c r="G333" s="21" t="str">
        <f>decProd3Ftr4LevelDec</f>
        <v>Narrow</v>
      </c>
      <c r="H333" s="21" t="str">
        <f>decProd3Ftr4LevelDec</f>
        <v>Narrow</v>
      </c>
      <c r="I333" s="21" t="str">
        <f>decProd3Ftr4LevelDec</f>
        <v>Narrow</v>
      </c>
      <c r="J333" s="180"/>
      <c r="K333" s="796"/>
    </row>
    <row r="334" spans="1:11" ht="6" customHeight="1">
      <c r="A334" s="132"/>
      <c r="B334" s="548"/>
      <c r="C334" s="21"/>
      <c r="D334" s="21"/>
      <c r="E334" s="21"/>
      <c r="F334" s="21"/>
      <c r="G334" s="21"/>
      <c r="H334" s="21"/>
      <c r="I334" s="21"/>
      <c r="J334" s="180"/>
      <c r="K334" s="796"/>
    </row>
    <row r="335" spans="1:11">
      <c r="A335" s="132"/>
      <c r="B335" s="21" t="s">
        <v>3455</v>
      </c>
      <c r="C335" s="21"/>
      <c r="D335" s="21"/>
      <c r="E335" s="1182">
        <f>capProd3Adv</f>
        <v>495000000</v>
      </c>
      <c r="F335" s="1182">
        <f>capProd3Adv</f>
        <v>495000000</v>
      </c>
      <c r="G335" s="1182">
        <f>capProd3Adv</f>
        <v>495000000</v>
      </c>
      <c r="H335" s="1182">
        <f>capProd3Adv</f>
        <v>495000000</v>
      </c>
      <c r="I335" s="1182">
        <f>capProd3Adv</f>
        <v>495000000</v>
      </c>
      <c r="J335" s="1182"/>
      <c r="K335" s="1188">
        <f>SUM(E335:I335)/xxNumOfTeams</f>
        <v>495000000</v>
      </c>
    </row>
    <row r="336" spans="1:11">
      <c r="A336" s="132"/>
      <c r="B336" s="21" t="s">
        <v>3456</v>
      </c>
      <c r="C336" s="21"/>
      <c r="D336" s="21"/>
      <c r="E336" s="1182">
        <f>capProd3Promo</f>
        <v>855000000</v>
      </c>
      <c r="F336" s="1182">
        <f>capProd3Promo</f>
        <v>855000000</v>
      </c>
      <c r="G336" s="1182">
        <f>capProd3Promo</f>
        <v>855000000</v>
      </c>
      <c r="H336" s="1182">
        <f>capProd3Promo</f>
        <v>855000000</v>
      </c>
      <c r="I336" s="1182">
        <f>capProd3Promo</f>
        <v>855000000</v>
      </c>
      <c r="J336" s="1182"/>
      <c r="K336" s="1188">
        <f>SUM(E336:I336)/xxNumOfTeams</f>
        <v>855000000</v>
      </c>
    </row>
    <row r="337" spans="1:11" ht="6" customHeight="1">
      <c r="A337" s="132"/>
      <c r="B337" s="21"/>
      <c r="C337" s="21"/>
      <c r="D337" s="21"/>
      <c r="E337" s="520"/>
      <c r="F337" s="520"/>
      <c r="G337" s="520"/>
      <c r="H337" s="520"/>
      <c r="I337" s="520"/>
      <c r="J337" s="180"/>
      <c r="K337" s="796"/>
    </row>
    <row r="338" spans="1:11">
      <c r="A338" s="132"/>
      <c r="B338" s="21" t="s">
        <v>199</v>
      </c>
      <c r="C338" s="21"/>
      <c r="D338" s="21"/>
      <c r="E338" s="92">
        <f>paramReg1Prod3CommSpendEffect</f>
        <v>1</v>
      </c>
      <c r="F338" s="92">
        <f>paramReg1Prod3CommSpendEffect</f>
        <v>1</v>
      </c>
      <c r="G338" s="92">
        <f>paramReg1Prod3CommSpendEffect</f>
        <v>1</v>
      </c>
      <c r="H338" s="92">
        <f>paramReg1Prod3CommSpendEffect</f>
        <v>1</v>
      </c>
      <c r="I338" s="92">
        <f>paramReg1Prod3CommSpendEffect</f>
        <v>1</v>
      </c>
      <c r="J338" s="92"/>
      <c r="K338" s="806">
        <f>SUM(E338:I338)/xxNumOfTeams</f>
        <v>1</v>
      </c>
    </row>
    <row r="339" spans="1:11" ht="6" customHeight="1">
      <c r="A339" s="132"/>
      <c r="B339" s="21"/>
      <c r="C339" s="21"/>
      <c r="D339" s="21"/>
      <c r="E339" s="38"/>
      <c r="F339" s="38"/>
      <c r="G339" s="38"/>
      <c r="H339" s="38"/>
      <c r="I339" s="38"/>
      <c r="J339" s="180"/>
      <c r="K339" s="796"/>
    </row>
    <row r="340" spans="1:11">
      <c r="A340" s="132"/>
      <c r="B340" s="62" t="str">
        <f>DataNameProd3&amp;" Vetera"</f>
        <v>NCB Vetera</v>
      </c>
      <c r="C340" s="62"/>
      <c r="D340" s="62"/>
      <c r="E340" s="62"/>
      <c r="F340" s="520"/>
      <c r="G340" s="520"/>
      <c r="H340" s="520"/>
      <c r="I340" s="520"/>
      <c r="J340" s="520"/>
      <c r="K340" s="796"/>
    </row>
    <row r="341" spans="1:11" s="21" customFormat="1">
      <c r="A341" s="132"/>
      <c r="B341" s="49" t="s">
        <v>2672</v>
      </c>
      <c r="C341" s="773">
        <f>mmProd3!D290</f>
        <v>3009000000</v>
      </c>
      <c r="D341" s="60"/>
      <c r="E341" s="60"/>
      <c r="F341" s="774"/>
      <c r="G341" s="60"/>
      <c r="H341" s="775"/>
      <c r="I341" s="776" t="s">
        <v>2673</v>
      </c>
      <c r="J341" s="777">
        <f>mmProd3!J290</f>
        <v>1784000000</v>
      </c>
      <c r="K341" s="796"/>
    </row>
    <row r="342" spans="1:11" s="21" customFormat="1">
      <c r="A342" s="132"/>
      <c r="B342" s="70" t="str">
        <f>mmProd3!C291</f>
        <v>Driver Effect</v>
      </c>
      <c r="C342" s="778"/>
      <c r="D342" s="204"/>
      <c r="E342" s="1365" t="str">
        <f>decTeamName</f>
        <v>Vivia</v>
      </c>
      <c r="F342" s="1365" t="str">
        <f>decTeamName</f>
        <v>Vivia</v>
      </c>
      <c r="G342" s="1365" t="str">
        <f>decTeamName</f>
        <v>Vivia</v>
      </c>
      <c r="H342" s="1365" t="str">
        <f>decTeamName</f>
        <v>Vivia</v>
      </c>
      <c r="I342" s="1366" t="str">
        <f>decTeamName</f>
        <v>Vivia</v>
      </c>
      <c r="J342" s="772"/>
      <c r="K342" s="796"/>
    </row>
    <row r="343" spans="1:11" s="21" customFormat="1">
      <c r="A343" s="132"/>
      <c r="B343" s="37" t="str">
        <f>mmProd3!C292</f>
        <v>Price</v>
      </c>
      <c r="C343" s="37">
        <f>mmProd3!D292</f>
        <v>30</v>
      </c>
      <c r="D343" s="660"/>
      <c r="E343" s="660">
        <f>mmProd3!E292</f>
        <v>0</v>
      </c>
      <c r="F343" s="616">
        <f>mmProd3!F292</f>
        <v>0</v>
      </c>
      <c r="G343" s="616">
        <f>mmProd3!G292</f>
        <v>0</v>
      </c>
      <c r="H343" s="616">
        <f>mmProd3!H292</f>
        <v>0</v>
      </c>
      <c r="I343" s="661">
        <f>mmProd3!I292</f>
        <v>0</v>
      </c>
      <c r="J343" s="55">
        <f>mmProd3!J292</f>
        <v>75</v>
      </c>
      <c r="K343" s="796"/>
    </row>
    <row r="344" spans="1:11" s="21" customFormat="1">
      <c r="A344" s="132"/>
      <c r="B344" s="37" t="str">
        <f>mmProd3!C293</f>
        <v>Range Of Products</v>
      </c>
      <c r="C344" s="37">
        <f>mmProd3!D293</f>
        <v>7</v>
      </c>
      <c r="D344" s="660"/>
      <c r="E344" s="660">
        <f>mmProd3!E293</f>
        <v>0</v>
      </c>
      <c r="F344" s="616">
        <f>mmProd3!F293</f>
        <v>0</v>
      </c>
      <c r="G344" s="616">
        <f>mmProd3!G293</f>
        <v>0</v>
      </c>
      <c r="H344" s="616">
        <f>mmProd3!H293</f>
        <v>0</v>
      </c>
      <c r="I344" s="661">
        <f>mmProd3!I293</f>
        <v>0</v>
      </c>
      <c r="J344" s="55">
        <f>mmProd3!J293</f>
        <v>17.5</v>
      </c>
      <c r="K344" s="796"/>
    </row>
    <row r="345" spans="1:11" s="21" customFormat="1">
      <c r="A345" s="132"/>
      <c r="B345" s="37" t="str">
        <f>mmProd3!C295</f>
        <v>Advertising</v>
      </c>
      <c r="C345" s="37">
        <f>mmProd3!D295</f>
        <v>11</v>
      </c>
      <c r="D345" s="660"/>
      <c r="E345" s="660">
        <f>mmProd3!E295</f>
        <v>0</v>
      </c>
      <c r="F345" s="616">
        <f>mmProd3!F295</f>
        <v>0</v>
      </c>
      <c r="G345" s="616">
        <f>mmProd3!G295</f>
        <v>0</v>
      </c>
      <c r="H345" s="616">
        <f>mmProd3!H295</f>
        <v>0</v>
      </c>
      <c r="I345" s="661">
        <f>mmProd3!I295</f>
        <v>0</v>
      </c>
      <c r="J345" s="55">
        <f>mmProd3!J295</f>
        <v>27.5</v>
      </c>
      <c r="K345" s="796"/>
    </row>
    <row r="346" spans="1:11" s="21" customFormat="1">
      <c r="A346" s="132"/>
      <c r="B346" s="37" t="str">
        <f>mmProd3!C296</f>
        <v>Promotion</v>
      </c>
      <c r="C346" s="37">
        <f>mmProd3!D296</f>
        <v>13</v>
      </c>
      <c r="D346" s="660"/>
      <c r="E346" s="660">
        <f>mmProd3!E296</f>
        <v>0</v>
      </c>
      <c r="F346" s="616">
        <f>mmProd3!F296</f>
        <v>0</v>
      </c>
      <c r="G346" s="616">
        <f>mmProd3!G296</f>
        <v>0</v>
      </c>
      <c r="H346" s="616">
        <f>mmProd3!H296</f>
        <v>0</v>
      </c>
      <c r="I346" s="661">
        <f>mmProd3!I296</f>
        <v>0</v>
      </c>
      <c r="J346" s="55">
        <f>mmProd3!J296</f>
        <v>32.5</v>
      </c>
      <c r="K346" s="796"/>
    </row>
    <row r="347" spans="1:11" s="21" customFormat="1">
      <c r="A347" s="132"/>
      <c r="B347" s="37" t="str">
        <f>mmProd3!C297</f>
        <v>Sales Force</v>
      </c>
      <c r="C347" s="37">
        <f>mmProd3!D297</f>
        <v>9</v>
      </c>
      <c r="D347" s="660"/>
      <c r="E347" s="660">
        <f>mmProd3!E297</f>
        <v>0</v>
      </c>
      <c r="F347" s="616">
        <f>mmProd3!F297</f>
        <v>0</v>
      </c>
      <c r="G347" s="616">
        <f>mmProd3!G297</f>
        <v>0</v>
      </c>
      <c r="H347" s="616">
        <f>mmProd3!H297</f>
        <v>0</v>
      </c>
      <c r="I347" s="661">
        <f>mmProd3!I297</f>
        <v>0</v>
      </c>
      <c r="J347" s="55">
        <f>mmProd3!J297</f>
        <v>22.5</v>
      </c>
      <c r="K347" s="796"/>
    </row>
    <row r="348" spans="1:11" s="21" customFormat="1">
      <c r="A348" s="132"/>
      <c r="B348" s="37" t="str">
        <f>mmProd3!C298</f>
        <v>Innovation</v>
      </c>
      <c r="C348" s="37">
        <f>mmProd3!D298</f>
        <v>16</v>
      </c>
      <c r="D348" s="660"/>
      <c r="E348" s="660">
        <f>mmProd3!E298</f>
        <v>0</v>
      </c>
      <c r="F348" s="616">
        <f>mmProd3!F298</f>
        <v>0</v>
      </c>
      <c r="G348" s="616">
        <f>mmProd3!G298</f>
        <v>0</v>
      </c>
      <c r="H348" s="616">
        <f>mmProd3!H298</f>
        <v>0</v>
      </c>
      <c r="I348" s="661">
        <f>mmProd3!I298</f>
        <v>0</v>
      </c>
      <c r="J348" s="55">
        <f>mmProd3!J298</f>
        <v>0</v>
      </c>
      <c r="K348" s="796"/>
    </row>
    <row r="349" spans="1:11" s="21" customFormat="1">
      <c r="A349" s="132"/>
      <c r="B349" s="37" t="str">
        <f>mmProd3!C299</f>
        <v>Channel Penetration</v>
      </c>
      <c r="C349" s="37">
        <f>mmProd3!D299</f>
        <v>0</v>
      </c>
      <c r="D349" s="660"/>
      <c r="E349" s="660">
        <f>mmProd3!E299</f>
        <v>0</v>
      </c>
      <c r="F349" s="616">
        <f>mmProd3!F299</f>
        <v>0</v>
      </c>
      <c r="G349" s="616">
        <f>mmProd3!G299</f>
        <v>0</v>
      </c>
      <c r="H349" s="616">
        <f>mmProd3!H299</f>
        <v>0</v>
      </c>
      <c r="I349" s="661">
        <f>mmProd3!I299</f>
        <v>0</v>
      </c>
      <c r="J349" s="55">
        <f>mmProd3!J299</f>
        <v>0</v>
      </c>
      <c r="K349" s="796"/>
    </row>
    <row r="350" spans="1:11" s="21" customFormat="1">
      <c r="A350" s="132"/>
      <c r="B350" s="37" t="str">
        <f>mmProd3!C300</f>
        <v>GTM Digitization</v>
      </c>
      <c r="C350" s="37">
        <f>mmProd3!D300</f>
        <v>14</v>
      </c>
      <c r="D350" s="660"/>
      <c r="E350" s="660">
        <f>mmProd3!E300</f>
        <v>0</v>
      </c>
      <c r="F350" s="616">
        <f>mmProd3!F300</f>
        <v>0</v>
      </c>
      <c r="G350" s="616">
        <f>mmProd3!G300</f>
        <v>0</v>
      </c>
      <c r="H350" s="616">
        <f>mmProd3!H300</f>
        <v>0</v>
      </c>
      <c r="I350" s="661">
        <f>mmProd3!I300</f>
        <v>0</v>
      </c>
      <c r="J350" s="55">
        <f>mmProd3!J300</f>
        <v>35</v>
      </c>
      <c r="K350" s="796"/>
    </row>
    <row r="351" spans="1:11" s="21" customFormat="1">
      <c r="A351" s="132"/>
      <c r="B351" s="37" t="str">
        <f>mmProd3!C302</f>
        <v>Special Programs</v>
      </c>
      <c r="C351" s="37">
        <f>mmProd3!D302</f>
        <v>0</v>
      </c>
      <c r="D351" s="662"/>
      <c r="E351" s="662">
        <f>mmProd3!E302</f>
        <v>0</v>
      </c>
      <c r="F351" s="618">
        <f>mmProd3!F302</f>
        <v>0</v>
      </c>
      <c r="G351" s="618">
        <f>mmProd3!G302</f>
        <v>0</v>
      </c>
      <c r="H351" s="618">
        <f>mmProd3!H302</f>
        <v>0</v>
      </c>
      <c r="I351" s="663">
        <f>mmProd3!I302</f>
        <v>0</v>
      </c>
      <c r="J351" s="55">
        <f>mmProd3!J302</f>
        <v>0</v>
      </c>
      <c r="K351" s="796"/>
    </row>
    <row r="352" spans="1:11" s="21" customFormat="1">
      <c r="A352" s="132"/>
      <c r="B352" s="37" t="s">
        <v>2959</v>
      </c>
      <c r="C352" s="37"/>
      <c r="D352" s="686"/>
      <c r="E352" s="1314">
        <f>mmProd3!E303</f>
        <v>0</v>
      </c>
      <c r="F352" s="1315">
        <f>mmProd3!F303</f>
        <v>0</v>
      </c>
      <c r="G352" s="1315">
        <f>mmProd3!G303</f>
        <v>0</v>
      </c>
      <c r="H352" s="1315">
        <f>mmProd3!H303</f>
        <v>0</v>
      </c>
      <c r="I352" s="1316">
        <f>mmProd3!I303</f>
        <v>0</v>
      </c>
      <c r="J352" s="222">
        <f>mmProd3!J303</f>
        <v>0</v>
      </c>
      <c r="K352" s="796"/>
    </row>
    <row r="353" spans="1:11" s="21" customFormat="1" ht="12" thickBot="1">
      <c r="A353" s="132"/>
      <c r="B353" s="37" t="s">
        <v>974</v>
      </c>
      <c r="C353" s="781"/>
      <c r="D353" s="664"/>
      <c r="E353" s="664">
        <f>mmProd3!E304</f>
        <v>1</v>
      </c>
      <c r="F353" s="664">
        <f>mmProd3!F304</f>
        <v>1</v>
      </c>
      <c r="G353" s="664">
        <f>mmProd3!G304</f>
        <v>1</v>
      </c>
      <c r="H353" s="664">
        <f>mmProd3!H304</f>
        <v>1</v>
      </c>
      <c r="I353" s="664">
        <f>mmProd3!I304</f>
        <v>1</v>
      </c>
      <c r="J353" s="764" t="s">
        <v>2227</v>
      </c>
      <c r="K353" s="796"/>
    </row>
    <row r="354" spans="1:11" s="21" customFormat="1">
      <c r="A354" s="132"/>
      <c r="B354" s="765" t="s">
        <v>3201</v>
      </c>
      <c r="C354" s="645"/>
      <c r="D354" s="646"/>
      <c r="E354" s="646">
        <f>mmProd3!E305</f>
        <v>0.2</v>
      </c>
      <c r="F354" s="646">
        <f>mmProd3!F305</f>
        <v>0.2</v>
      </c>
      <c r="G354" s="646">
        <f>mmProd3!G305</f>
        <v>0.2</v>
      </c>
      <c r="H354" s="646">
        <f>mmProd3!H305</f>
        <v>0.2</v>
      </c>
      <c r="I354" s="646">
        <f>mmProd3!I305</f>
        <v>0.2</v>
      </c>
      <c r="J354" s="766">
        <f>mmProd3!J305</f>
        <v>0.6</v>
      </c>
      <c r="K354" s="796"/>
    </row>
    <row r="355" spans="1:11" s="21" customFormat="1" ht="12" thickBot="1">
      <c r="A355" s="132"/>
      <c r="B355" s="91" t="s">
        <v>1999</v>
      </c>
      <c r="D355" s="57"/>
      <c r="E355" s="57">
        <f>mmProd3!E306</f>
        <v>0.2</v>
      </c>
      <c r="F355" s="57">
        <f>mmProd3!F306</f>
        <v>0.2</v>
      </c>
      <c r="G355" s="57">
        <f>mmProd3!G306</f>
        <v>0.2</v>
      </c>
      <c r="H355" s="57">
        <f>mmProd3!H306</f>
        <v>0.2</v>
      </c>
      <c r="I355" s="57">
        <f>mmProd3!I306</f>
        <v>0.2</v>
      </c>
      <c r="J355" s="767">
        <f>mmProd3!J306</f>
        <v>0.4</v>
      </c>
      <c r="K355" s="796"/>
    </row>
    <row r="356" spans="1:11" s="21" customFormat="1">
      <c r="A356" s="132"/>
      <c r="B356" s="768" t="s">
        <v>2830</v>
      </c>
      <c r="C356" s="769"/>
      <c r="D356" s="770"/>
      <c r="E356" s="754">
        <f>mmProd3Seg1PreSalesShare</f>
        <v>0.2</v>
      </c>
      <c r="F356" s="754">
        <f>mmProd3Seg1PreSalesShare</f>
        <v>0.2</v>
      </c>
      <c r="G356" s="754">
        <f>mmProd3Seg1PreSalesShare</f>
        <v>0.2</v>
      </c>
      <c r="H356" s="754">
        <f>mmProd3Seg1PreSalesShare</f>
        <v>0.2</v>
      </c>
      <c r="I356" s="754">
        <f>mmProd3Seg1PreSalesShare</f>
        <v>0.2</v>
      </c>
      <c r="J356" s="771">
        <f>mmProd3!J307</f>
        <v>1784000000</v>
      </c>
      <c r="K356" s="796"/>
    </row>
    <row r="357" spans="1:11">
      <c r="A357" s="132"/>
      <c r="B357" s="62"/>
      <c r="C357" s="62"/>
      <c r="D357" s="62"/>
      <c r="E357" s="62"/>
      <c r="F357" s="62"/>
      <c r="G357" s="62"/>
      <c r="H357" s="62"/>
      <c r="I357" s="520"/>
      <c r="J357" s="180"/>
      <c r="K357" s="796"/>
    </row>
    <row r="358" spans="1:11" ht="12.75">
      <c r="A358" s="132"/>
      <c r="B358" s="893" t="str">
        <f>DataNameProd4</f>
        <v>F&amp;S</v>
      </c>
      <c r="C358" s="21"/>
      <c r="D358" s="21"/>
      <c r="E358" s="38"/>
      <c r="F358" s="38"/>
      <c r="G358" s="38"/>
      <c r="H358" s="38"/>
      <c r="I358" s="38"/>
      <c r="J358" s="180"/>
      <c r="K358" s="796"/>
    </row>
    <row r="359" spans="1:11">
      <c r="A359" s="132"/>
      <c r="B359" s="21" t="s">
        <v>1402</v>
      </c>
      <c r="C359" s="21"/>
      <c r="D359" s="21"/>
      <c r="E359" s="532">
        <f>capProd4Reg1Price</f>
        <v>12.5</v>
      </c>
      <c r="F359" s="532">
        <f>capProd4Reg1Price</f>
        <v>12.5</v>
      </c>
      <c r="G359" s="532">
        <f>capProd4Reg1Price</f>
        <v>12.5</v>
      </c>
      <c r="H359" s="532">
        <f>capProd4Reg1Price</f>
        <v>12.5</v>
      </c>
      <c r="I359" s="532">
        <f>capProd4Reg1Price</f>
        <v>12.5</v>
      </c>
      <c r="J359" s="525"/>
      <c r="K359" s="818">
        <f>SUM(E359:I359)/xxNumOfTeams</f>
        <v>12.5</v>
      </c>
    </row>
    <row r="360" spans="1:11" ht="6" customHeight="1">
      <c r="A360" s="132"/>
      <c r="B360" s="21"/>
      <c r="C360" s="21"/>
      <c r="D360" s="21"/>
      <c r="E360" s="532"/>
      <c r="F360" s="532"/>
      <c r="G360" s="532"/>
      <c r="H360" s="532"/>
      <c r="I360" s="532"/>
      <c r="J360" s="525"/>
      <c r="K360" s="818"/>
    </row>
    <row r="361" spans="1:11">
      <c r="A361" s="132"/>
      <c r="B361" s="21" t="s">
        <v>1508</v>
      </c>
      <c r="C361" s="21"/>
      <c r="D361" s="21"/>
      <c r="E361" s="809">
        <f>capProd4Reg1Units/INDEX(xxMMProd4Seg1Units,xxYear+3)</f>
        <v>0.2</v>
      </c>
      <c r="F361" s="809">
        <f>capProd4Reg1Units/INDEX(xxMMProd4Seg1Units,xxYear+3)</f>
        <v>0.2</v>
      </c>
      <c r="G361" s="809">
        <f>capProd4Reg1Units/INDEX(xxMMProd4Seg1Units,xxYear+3)</f>
        <v>0.2</v>
      </c>
      <c r="H361" s="809">
        <f>capProd4Reg1Units/INDEX(xxMMProd4Seg1Units,xxYear+3)</f>
        <v>0.2</v>
      </c>
      <c r="I361" s="809">
        <f>capProd4Reg1Units/INDEX(xxMMProd4Seg1Units,xxYear+3)</f>
        <v>0.2</v>
      </c>
      <c r="J361" s="520"/>
      <c r="K361" s="811"/>
    </row>
    <row r="362" spans="1:11" ht="12.75">
      <c r="A362" s="132"/>
      <c r="B362" s="545" t="s">
        <v>2831</v>
      </c>
      <c r="C362" s="545"/>
      <c r="D362" s="545"/>
      <c r="E362" s="888">
        <f>mmProd4Seg1ActShare</f>
        <v>0.2</v>
      </c>
      <c r="F362" s="888">
        <f>mmProd4Seg1ActShare</f>
        <v>0.2</v>
      </c>
      <c r="G362" s="888">
        <f>mmProd4Seg1ActShare</f>
        <v>0.2</v>
      </c>
      <c r="H362" s="888">
        <f>mmProd4Seg1ActShare</f>
        <v>0.2</v>
      </c>
      <c r="I362" s="888">
        <f>mmProd4Seg1ActShare</f>
        <v>0.2</v>
      </c>
      <c r="J362" s="888"/>
      <c r="K362" s="889"/>
    </row>
    <row r="363" spans="1:11" ht="12.75">
      <c r="A363" s="132"/>
      <c r="B363" s="38" t="s">
        <v>3471</v>
      </c>
      <c r="C363" s="38"/>
      <c r="D363" s="38"/>
      <c r="E363" s="616">
        <f>E392</f>
        <v>0.2</v>
      </c>
      <c r="F363" s="616">
        <f>F392</f>
        <v>0.2</v>
      </c>
      <c r="G363" s="616">
        <f>G392</f>
        <v>0.2</v>
      </c>
      <c r="H363" s="616">
        <f>H392</f>
        <v>0.2</v>
      </c>
      <c r="I363" s="616">
        <f>I392</f>
        <v>0.2</v>
      </c>
      <c r="J363" s="888"/>
      <c r="K363" s="889"/>
    </row>
    <row r="364" spans="1:11" ht="6" customHeight="1">
      <c r="A364" s="132"/>
      <c r="B364" s="38"/>
      <c r="C364" s="38"/>
      <c r="D364" s="38"/>
      <c r="E364" s="616"/>
      <c r="F364" s="616"/>
      <c r="G364" s="616"/>
      <c r="H364" s="616"/>
      <c r="I364" s="616"/>
      <c r="J364" s="888"/>
      <c r="K364" s="889"/>
    </row>
    <row r="365" spans="1:11">
      <c r="A365" s="132"/>
      <c r="B365" s="149" t="s">
        <v>3469</v>
      </c>
      <c r="C365" s="21"/>
      <c r="D365" s="21"/>
      <c r="E365" s="520">
        <f>capReg1Prod4UnitsSold</f>
        <v>541700000</v>
      </c>
      <c r="F365" s="520">
        <f>capReg1Prod4UnitsSold</f>
        <v>541700000</v>
      </c>
      <c r="G365" s="520">
        <f>capReg1Prod4UnitsSold</f>
        <v>541700000</v>
      </c>
      <c r="H365" s="520">
        <f>capReg1Prod4UnitsSold</f>
        <v>541700000</v>
      </c>
      <c r="I365" s="520">
        <f>capReg1Prod4UnitsSold</f>
        <v>541700000</v>
      </c>
      <c r="J365" s="520"/>
      <c r="K365" s="817">
        <f>SUM(E365:I365)/xxNumOfTeams</f>
        <v>541700000</v>
      </c>
    </row>
    <row r="366" spans="1:11">
      <c r="A366" s="132"/>
      <c r="B366" s="149" t="s">
        <v>3331</v>
      </c>
      <c r="C366" s="21"/>
      <c r="D366" s="21"/>
      <c r="E366" s="526">
        <f>E365*E359</f>
        <v>6771250000</v>
      </c>
      <c r="F366" s="526">
        <f>F365*F359</f>
        <v>6771250000</v>
      </c>
      <c r="G366" s="526">
        <f>G365*G359</f>
        <v>6771250000</v>
      </c>
      <c r="H366" s="526">
        <f>H365*H359</f>
        <v>6771250000</v>
      </c>
      <c r="I366" s="526">
        <f>I365*I359</f>
        <v>6771250000</v>
      </c>
      <c r="J366" s="520"/>
      <c r="K366" s="820">
        <f>SUM(E366:I366)/xxNumOfTeams</f>
        <v>6771250000</v>
      </c>
    </row>
    <row r="367" spans="1:11" ht="12.75">
      <c r="A367" s="132"/>
      <c r="B367" s="181" t="s">
        <v>3470</v>
      </c>
      <c r="C367" s="545"/>
      <c r="D367" s="545"/>
      <c r="E367" s="890">
        <f>mmProd4!E229</f>
        <v>10834000</v>
      </c>
      <c r="F367" s="890">
        <f>mmProd4!F229</f>
        <v>10834000</v>
      </c>
      <c r="G367" s="890">
        <f>mmProd4!G229</f>
        <v>10834000</v>
      </c>
      <c r="H367" s="890">
        <f>mmProd4!H229</f>
        <v>10834000</v>
      </c>
      <c r="I367" s="890">
        <f>mmProd4!I229</f>
        <v>10834000</v>
      </c>
      <c r="J367" s="891"/>
      <c r="K367" s="892">
        <f>SUM(E367:I367)/xxNumOfTeams</f>
        <v>10834000</v>
      </c>
    </row>
    <row r="368" spans="1:11" ht="12.75">
      <c r="A368" s="132"/>
      <c r="B368" s="149" t="s">
        <v>3330</v>
      </c>
      <c r="C368" s="545"/>
      <c r="D368" s="545"/>
      <c r="E368" s="526">
        <f>IF(E367&gt;0,0,-1*E367*E359)</f>
        <v>0</v>
      </c>
      <c r="F368" s="526">
        <f>IF(F367&gt;0,0,-1*F367*F359)</f>
        <v>0</v>
      </c>
      <c r="G368" s="526">
        <f>IF(G367&gt;0,0,-1*G367*G359)</f>
        <v>0</v>
      </c>
      <c r="H368" s="526">
        <f>IF(H367&gt;0,0,-1*H367*H359)</f>
        <v>0</v>
      </c>
      <c r="I368" s="526">
        <f>IF(I367&gt;0,0,-1*I367*I359)</f>
        <v>0</v>
      </c>
      <c r="J368" s="891"/>
      <c r="K368" s="820">
        <f>SUM(E368:I368)/xxNumOfTeams</f>
        <v>0</v>
      </c>
    </row>
    <row r="369" spans="1:11" ht="6" customHeight="1">
      <c r="A369" s="132"/>
      <c r="B369" s="21"/>
      <c r="C369" s="21"/>
      <c r="D369" s="21"/>
      <c r="E369" s="38"/>
      <c r="F369" s="38"/>
      <c r="G369" s="38"/>
      <c r="H369" s="38"/>
      <c r="I369" s="38"/>
      <c r="J369" s="180"/>
      <c r="K369" s="796"/>
    </row>
    <row r="370" spans="1:11">
      <c r="A370" s="132"/>
      <c r="B370" s="548" t="s">
        <v>246</v>
      </c>
      <c r="C370" s="21"/>
      <c r="D370" s="21"/>
      <c r="E370" s="21" t="str">
        <f>decProd4Ftr4LevelDec</f>
        <v>Narrow</v>
      </c>
      <c r="F370" s="21" t="str">
        <f>decProd4Ftr4LevelDec</f>
        <v>Narrow</v>
      </c>
      <c r="G370" s="21" t="str">
        <f>decProd4Ftr4LevelDec</f>
        <v>Narrow</v>
      </c>
      <c r="H370" s="21" t="str">
        <f>decProd4Ftr4LevelDec</f>
        <v>Narrow</v>
      </c>
      <c r="I370" s="21" t="str">
        <f>decProd4Ftr4LevelDec</f>
        <v>Narrow</v>
      </c>
      <c r="J370" s="180"/>
      <c r="K370" s="796"/>
    </row>
    <row r="371" spans="1:11" ht="6" customHeight="1">
      <c r="A371" s="132"/>
      <c r="B371" s="548"/>
      <c r="C371" s="21"/>
      <c r="D371" s="21"/>
      <c r="E371" s="21"/>
      <c r="F371" s="21"/>
      <c r="G371" s="21"/>
      <c r="H371" s="21"/>
      <c r="I371" s="21"/>
      <c r="J371" s="180"/>
      <c r="K371" s="796"/>
    </row>
    <row r="372" spans="1:11">
      <c r="A372" s="132"/>
      <c r="B372" s="21" t="s">
        <v>3455</v>
      </c>
      <c r="C372" s="21"/>
      <c r="D372" s="21"/>
      <c r="E372" s="1182">
        <f>capProd4Adv</f>
        <v>325000000</v>
      </c>
      <c r="F372" s="1182">
        <f>capProd4Adv</f>
        <v>325000000</v>
      </c>
      <c r="G372" s="1182">
        <f>capProd4Adv</f>
        <v>325000000</v>
      </c>
      <c r="H372" s="1182">
        <f>capProd4Adv</f>
        <v>325000000</v>
      </c>
      <c r="I372" s="1182">
        <f>capProd4Adv</f>
        <v>325000000</v>
      </c>
      <c r="J372" s="1182"/>
      <c r="K372" s="1188">
        <f>SUM(E372:I372)/xxNumOfTeams</f>
        <v>325000000</v>
      </c>
    </row>
    <row r="373" spans="1:11">
      <c r="A373" s="132"/>
      <c r="B373" s="21" t="s">
        <v>3456</v>
      </c>
      <c r="C373" s="21"/>
      <c r="D373" s="21"/>
      <c r="E373" s="1182">
        <f>capProd4Promo</f>
        <v>760000000</v>
      </c>
      <c r="F373" s="1182">
        <f>capProd4Promo</f>
        <v>760000000</v>
      </c>
      <c r="G373" s="1182">
        <f>capProd4Promo</f>
        <v>760000000</v>
      </c>
      <c r="H373" s="1182">
        <f>capProd4Promo</f>
        <v>760000000</v>
      </c>
      <c r="I373" s="1182">
        <f>capProd4Promo</f>
        <v>760000000</v>
      </c>
      <c r="J373" s="1182"/>
      <c r="K373" s="1188">
        <f>SUM(E373:I373)/xxNumOfTeams</f>
        <v>760000000</v>
      </c>
    </row>
    <row r="374" spans="1:11">
      <c r="A374" s="132"/>
      <c r="B374" s="21" t="s">
        <v>199</v>
      </c>
      <c r="C374" s="21"/>
      <c r="D374" s="21"/>
      <c r="E374" s="92">
        <f>paramReg1Prod4CommSpendEffect</f>
        <v>1</v>
      </c>
      <c r="F374" s="92">
        <f>paramReg1Prod4CommSpendEffect</f>
        <v>1</v>
      </c>
      <c r="G374" s="92">
        <f>paramReg1Prod4CommSpendEffect</f>
        <v>1</v>
      </c>
      <c r="H374" s="92">
        <f>paramReg1Prod4CommSpendEffect</f>
        <v>1</v>
      </c>
      <c r="I374" s="92">
        <f>paramReg1Prod4CommSpendEffect</f>
        <v>1</v>
      </c>
      <c r="J374" s="92"/>
      <c r="K374" s="806">
        <f>SUM(E374:I374)/xxNumOfTeams</f>
        <v>1</v>
      </c>
    </row>
    <row r="375" spans="1:11" ht="6" customHeight="1">
      <c r="A375" s="132"/>
      <c r="B375" s="21"/>
      <c r="C375" s="21"/>
      <c r="D375" s="21"/>
      <c r="E375" s="38"/>
      <c r="F375" s="38"/>
      <c r="G375" s="38"/>
      <c r="H375" s="38"/>
      <c r="I375" s="38"/>
      <c r="J375" s="180"/>
      <c r="K375" s="796"/>
    </row>
    <row r="376" spans="1:11">
      <c r="A376" s="132"/>
      <c r="B376" s="62" t="str">
        <f>DataNameProd4&amp;" Vetera"</f>
        <v>F&amp;S Vetera</v>
      </c>
      <c r="C376" s="62"/>
      <c r="D376" s="62"/>
      <c r="E376" s="520"/>
      <c r="F376" s="520"/>
      <c r="G376" s="520"/>
      <c r="H376" s="520"/>
      <c r="I376" s="520"/>
      <c r="J376" s="180"/>
      <c r="K376" s="796"/>
    </row>
    <row r="377" spans="1:11">
      <c r="A377" s="132"/>
      <c r="B377" s="49" t="s">
        <v>2672</v>
      </c>
      <c r="C377" s="773">
        <f>mmProd4!D296</f>
        <v>3833500000</v>
      </c>
      <c r="D377" s="60"/>
      <c r="E377" s="60"/>
      <c r="F377" s="774"/>
      <c r="G377" s="60"/>
      <c r="H377" s="775"/>
      <c r="I377" s="776" t="s">
        <v>2673</v>
      </c>
      <c r="J377" s="785">
        <f>mmProd4!J296</f>
        <v>2708500000</v>
      </c>
      <c r="K377" s="796"/>
    </row>
    <row r="378" spans="1:11">
      <c r="A378" s="132"/>
      <c r="B378" s="70" t="s">
        <v>2958</v>
      </c>
      <c r="C378" s="778"/>
      <c r="D378" s="161"/>
      <c r="E378" s="744" t="str">
        <f>decTeamName</f>
        <v>Vivia</v>
      </c>
      <c r="F378" s="744" t="str">
        <f>decTeamName</f>
        <v>Vivia</v>
      </c>
      <c r="G378" s="744" t="str">
        <f>decTeamName</f>
        <v>Vivia</v>
      </c>
      <c r="H378" s="744" t="str">
        <f>decTeamName</f>
        <v>Vivia</v>
      </c>
      <c r="I378" s="744" t="str">
        <f>decTeamName</f>
        <v>Vivia</v>
      </c>
      <c r="J378" s="779"/>
      <c r="K378" s="796"/>
    </row>
    <row r="379" spans="1:11">
      <c r="A379" s="132"/>
      <c r="B379" s="37" t="str">
        <f>mmProd4!C298</f>
        <v>Price</v>
      </c>
      <c r="C379" s="55">
        <f>mmProd4!D298</f>
        <v>29</v>
      </c>
      <c r="D379" s="710"/>
      <c r="E379" s="667">
        <f>mmProd4!E298</f>
        <v>0</v>
      </c>
      <c r="F379" s="668">
        <f>mmProd4!F298</f>
        <v>0</v>
      </c>
      <c r="G379" s="668">
        <f>mmProd4!G298</f>
        <v>0</v>
      </c>
      <c r="H379" s="668">
        <f>mmProd4!H298</f>
        <v>0</v>
      </c>
      <c r="I379" s="669">
        <f>mmProd4!I298</f>
        <v>0</v>
      </c>
      <c r="J379" s="700">
        <f>mmProd4!J298</f>
        <v>72.5</v>
      </c>
      <c r="K379" s="796"/>
    </row>
    <row r="380" spans="1:11">
      <c r="A380" s="132"/>
      <c r="B380" s="37" t="str">
        <f>mmProd4!C299</f>
        <v>Range Of Products</v>
      </c>
      <c r="C380" s="55">
        <f>mmProd4!D299</f>
        <v>8</v>
      </c>
      <c r="D380" s="693"/>
      <c r="E380" s="660">
        <f>mmProd4!E299</f>
        <v>0</v>
      </c>
      <c r="F380" s="616">
        <f>mmProd4!F299</f>
        <v>0</v>
      </c>
      <c r="G380" s="616">
        <f>mmProd4!G299</f>
        <v>0</v>
      </c>
      <c r="H380" s="616">
        <f>mmProd4!H299</f>
        <v>0</v>
      </c>
      <c r="I380" s="661">
        <f>mmProd4!I299</f>
        <v>0</v>
      </c>
      <c r="J380" s="701">
        <f>mmProd4!J299</f>
        <v>20</v>
      </c>
      <c r="K380" s="796"/>
    </row>
    <row r="381" spans="1:11">
      <c r="A381" s="132"/>
      <c r="B381" s="37" t="str">
        <f>mmProd4!C301</f>
        <v>Advertising</v>
      </c>
      <c r="C381" s="55">
        <f>mmProd4!D301</f>
        <v>10</v>
      </c>
      <c r="D381" s="693"/>
      <c r="E381" s="660">
        <f>mmProd4!E301</f>
        <v>0</v>
      </c>
      <c r="F381" s="616">
        <f>mmProd4!F301</f>
        <v>0</v>
      </c>
      <c r="G381" s="616">
        <f>mmProd4!G301</f>
        <v>0</v>
      </c>
      <c r="H381" s="616">
        <f>mmProd4!H301</f>
        <v>0</v>
      </c>
      <c r="I381" s="661">
        <f>mmProd4!I301</f>
        <v>0</v>
      </c>
      <c r="J381" s="701">
        <f>mmProd4!J301</f>
        <v>25</v>
      </c>
      <c r="K381" s="796"/>
    </row>
    <row r="382" spans="1:11">
      <c r="A382" s="132"/>
      <c r="B382" s="37" t="str">
        <f>mmProd4!C302</f>
        <v>Promotion</v>
      </c>
      <c r="C382" s="55">
        <f>mmProd4!D302</f>
        <v>8</v>
      </c>
      <c r="D382" s="693"/>
      <c r="E382" s="660">
        <f>mmProd4!E302</f>
        <v>0</v>
      </c>
      <c r="F382" s="616">
        <f>mmProd4!F302</f>
        <v>0</v>
      </c>
      <c r="G382" s="616">
        <f>mmProd4!G302</f>
        <v>0</v>
      </c>
      <c r="H382" s="616">
        <f>mmProd4!H302</f>
        <v>0</v>
      </c>
      <c r="I382" s="661">
        <f>mmProd4!I302</f>
        <v>0</v>
      </c>
      <c r="J382" s="701">
        <f>mmProd4!J302</f>
        <v>20</v>
      </c>
      <c r="K382" s="796"/>
    </row>
    <row r="383" spans="1:11">
      <c r="A383" s="132"/>
      <c r="B383" s="37" t="str">
        <f>mmProd4!C303</f>
        <v>Sales Force</v>
      </c>
      <c r="C383" s="55">
        <f>mmProd4!D303</f>
        <v>6</v>
      </c>
      <c r="D383" s="693"/>
      <c r="E383" s="660">
        <f>mmProd4!E303</f>
        <v>0</v>
      </c>
      <c r="F383" s="616">
        <f>mmProd4!F303</f>
        <v>0</v>
      </c>
      <c r="G383" s="616">
        <f>mmProd4!G303</f>
        <v>0</v>
      </c>
      <c r="H383" s="616">
        <f>mmProd4!H303</f>
        <v>0</v>
      </c>
      <c r="I383" s="661">
        <f>mmProd4!I303</f>
        <v>0</v>
      </c>
      <c r="J383" s="701">
        <f>mmProd4!J303</f>
        <v>15</v>
      </c>
      <c r="K383" s="796"/>
    </row>
    <row r="384" spans="1:11">
      <c r="A384" s="132"/>
      <c r="B384" s="780" t="str">
        <f>mmProd4!C304</f>
        <v>Innovation</v>
      </c>
      <c r="C384" s="55">
        <f>mmProd4!D304</f>
        <v>9</v>
      </c>
      <c r="D384" s="693"/>
      <c r="E384" s="660">
        <f>mmProd4!E304</f>
        <v>0</v>
      </c>
      <c r="F384" s="616">
        <f>mmProd4!F304</f>
        <v>0</v>
      </c>
      <c r="G384" s="616">
        <f>mmProd4!G304</f>
        <v>0</v>
      </c>
      <c r="H384" s="616">
        <f>mmProd4!H304</f>
        <v>0</v>
      </c>
      <c r="I384" s="661">
        <f>mmProd4!I304</f>
        <v>0</v>
      </c>
      <c r="J384" s="701">
        <f>mmProd4!J304</f>
        <v>0</v>
      </c>
      <c r="K384" s="796"/>
    </row>
    <row r="385" spans="1:11">
      <c r="A385" s="132"/>
      <c r="B385" s="780" t="str">
        <f>mmProd4!C305</f>
        <v>Channel Penetration</v>
      </c>
      <c r="C385" s="55">
        <f>mmProd4!D305</f>
        <v>0</v>
      </c>
      <c r="D385" s="693"/>
      <c r="E385" s="660">
        <f>mmProd4!E305</f>
        <v>0</v>
      </c>
      <c r="F385" s="616">
        <f>mmProd4!F305</f>
        <v>0</v>
      </c>
      <c r="G385" s="616">
        <f>mmProd4!G305</f>
        <v>0</v>
      </c>
      <c r="H385" s="616">
        <f>mmProd4!H305</f>
        <v>0</v>
      </c>
      <c r="I385" s="661">
        <f>mmProd4!I305</f>
        <v>0</v>
      </c>
      <c r="J385" s="55">
        <f>mmProd4!J305</f>
        <v>0</v>
      </c>
      <c r="K385" s="796"/>
    </row>
    <row r="386" spans="1:11">
      <c r="A386" s="132"/>
      <c r="B386" s="780" t="str">
        <f>mmProd4!C306</f>
        <v>GTM Digitization</v>
      </c>
      <c r="C386" s="55">
        <f>mmProd4!D306</f>
        <v>16</v>
      </c>
      <c r="D386" s="693"/>
      <c r="E386" s="660">
        <f>mmProd4!E306</f>
        <v>0</v>
      </c>
      <c r="F386" s="616">
        <f>mmProd4!F306</f>
        <v>0</v>
      </c>
      <c r="G386" s="616">
        <f>mmProd4!G306</f>
        <v>0</v>
      </c>
      <c r="H386" s="616">
        <f>mmProd4!H306</f>
        <v>0</v>
      </c>
      <c r="I386" s="661">
        <f>mmProd4!I306</f>
        <v>0</v>
      </c>
      <c r="J386" s="55">
        <f>mmProd4!J306</f>
        <v>40</v>
      </c>
      <c r="K386" s="796"/>
    </row>
    <row r="387" spans="1:11">
      <c r="A387" s="132"/>
      <c r="B387" s="780" t="str">
        <f>mmProd4!C308</f>
        <v>Special Programs</v>
      </c>
      <c r="C387" s="55">
        <f>mmProd4!D308</f>
        <v>0</v>
      </c>
      <c r="D387" s="695"/>
      <c r="E387" s="662">
        <f>mmProd4!E308</f>
        <v>0</v>
      </c>
      <c r="F387" s="618">
        <f>mmProd4!F308</f>
        <v>0</v>
      </c>
      <c r="G387" s="618">
        <f>mmProd4!G308</f>
        <v>0</v>
      </c>
      <c r="H387" s="618">
        <f>mmProd4!H308</f>
        <v>0</v>
      </c>
      <c r="I387" s="663">
        <f>mmProd4!I308</f>
        <v>0</v>
      </c>
      <c r="J387" s="1170">
        <f>mmProd4!J308</f>
        <v>0</v>
      </c>
      <c r="K387" s="796"/>
    </row>
    <row r="388" spans="1:11">
      <c r="A388" s="132"/>
      <c r="B388" s="37" t="s">
        <v>2959</v>
      </c>
      <c r="C388" s="38"/>
      <c r="D388" s="686"/>
      <c r="E388" s="1314">
        <f>mmProd4!E309</f>
        <v>0</v>
      </c>
      <c r="F388" s="1315">
        <f>mmProd4!F309</f>
        <v>0</v>
      </c>
      <c r="G388" s="1315">
        <f>mmProd4!G309</f>
        <v>0</v>
      </c>
      <c r="H388" s="1315">
        <f>mmProd4!H309</f>
        <v>0</v>
      </c>
      <c r="I388" s="1316">
        <f>mmProd4!I309</f>
        <v>0</v>
      </c>
      <c r="J388" s="155">
        <f>mmProd4!J309</f>
        <v>192.5</v>
      </c>
      <c r="K388" s="796"/>
    </row>
    <row r="389" spans="1:11" ht="12" thickBot="1">
      <c r="A389" s="132"/>
      <c r="B389" s="37" t="s">
        <v>974</v>
      </c>
      <c r="C389" s="38"/>
      <c r="D389" s="38"/>
      <c r="E389" s="38">
        <f>mmProd4!E310</f>
        <v>1</v>
      </c>
      <c r="F389" s="38">
        <f>mmProd4!F310</f>
        <v>1</v>
      </c>
      <c r="G389" s="38">
        <f>mmProd4!G310</f>
        <v>1</v>
      </c>
      <c r="H389" s="38">
        <f>mmProd4!H310</f>
        <v>1</v>
      </c>
      <c r="I389" s="38">
        <f>mmProd4!I310</f>
        <v>1</v>
      </c>
      <c r="J389" s="764" t="s">
        <v>2227</v>
      </c>
      <c r="K389" s="796"/>
    </row>
    <row r="390" spans="1:11">
      <c r="A390" s="132"/>
      <c r="B390" s="765" t="s">
        <v>3201</v>
      </c>
      <c r="C390" s="645"/>
      <c r="D390" s="646"/>
      <c r="E390" s="646">
        <f>mmProd4!E311</f>
        <v>0.2</v>
      </c>
      <c r="F390" s="646">
        <f>mmProd4!F311</f>
        <v>0.2</v>
      </c>
      <c r="G390" s="646">
        <f>mmProd4!G311</f>
        <v>0.2</v>
      </c>
      <c r="H390" s="646">
        <f>mmProd4!H311</f>
        <v>0.2</v>
      </c>
      <c r="I390" s="646">
        <f>mmProd4!I311</f>
        <v>0.2</v>
      </c>
      <c r="J390" s="749">
        <f>mmProd4!J311</f>
        <v>0.45</v>
      </c>
      <c r="K390" s="796"/>
    </row>
    <row r="391" spans="1:11" ht="12" thickBot="1">
      <c r="A391" s="132"/>
      <c r="B391" s="91" t="s">
        <v>1999</v>
      </c>
      <c r="C391" s="21"/>
      <c r="D391" s="106"/>
      <c r="E391" s="106">
        <f>mmProd4!E312</f>
        <v>0.2</v>
      </c>
      <c r="F391" s="106">
        <f>mmProd4!F312</f>
        <v>0.2</v>
      </c>
      <c r="G391" s="106">
        <f>mmProd4!G312</f>
        <v>0.2</v>
      </c>
      <c r="H391" s="106">
        <f>mmProd4!H312</f>
        <v>0.2</v>
      </c>
      <c r="I391" s="106">
        <f>mmProd4!I312</f>
        <v>0.2</v>
      </c>
      <c r="J391" s="767">
        <f>mmProd4!J312</f>
        <v>0.55000000000000004</v>
      </c>
      <c r="K391" s="796"/>
    </row>
    <row r="392" spans="1:11">
      <c r="A392" s="132"/>
      <c r="B392" s="768" t="s">
        <v>2830</v>
      </c>
      <c r="C392" s="769"/>
      <c r="D392" s="770"/>
      <c r="E392" s="1482">
        <f>mmProd4Seg1PreSalesShare</f>
        <v>0.2</v>
      </c>
      <c r="F392" s="1482">
        <f>mmProd4Seg1PreSalesShare</f>
        <v>0.2</v>
      </c>
      <c r="G392" s="1482">
        <f>mmProd4Seg1PreSalesShare</f>
        <v>0.2</v>
      </c>
      <c r="H392" s="1482">
        <f>mmProd4Seg1PreSalesShare</f>
        <v>0.2</v>
      </c>
      <c r="I392" s="1482">
        <f>mmProd4Seg1PreSalesShare</f>
        <v>0.2</v>
      </c>
      <c r="J392" s="784">
        <f>mmProd4!J313</f>
        <v>2708500000</v>
      </c>
      <c r="K392" s="796"/>
    </row>
    <row r="393" spans="1:11" ht="12" thickBot="1">
      <c r="A393" s="134"/>
      <c r="B393" s="411"/>
      <c r="C393" s="411"/>
      <c r="D393" s="411"/>
      <c r="E393" s="411"/>
      <c r="F393" s="411"/>
      <c r="G393" s="411"/>
      <c r="H393" s="411"/>
      <c r="I393" s="1393"/>
      <c r="J393" s="763"/>
      <c r="K393" s="812"/>
    </row>
    <row r="394" spans="1:11" ht="15.75">
      <c r="A394" s="565" t="s">
        <v>1485</v>
      </c>
      <c r="B394" s="566"/>
      <c r="C394" s="1398"/>
      <c r="D394" s="1399"/>
      <c r="E394" s="732" t="str">
        <f>decTeamName</f>
        <v>Vivia</v>
      </c>
      <c r="F394" s="732" t="str">
        <f>decTeamName</f>
        <v>Vivia</v>
      </c>
      <c r="G394" s="732" t="str">
        <f>decTeamName</f>
        <v>Vivia</v>
      </c>
      <c r="H394" s="732" t="str">
        <f>decTeamName</f>
        <v>Vivia</v>
      </c>
      <c r="I394" s="732" t="str">
        <f>decTeamName</f>
        <v>Vivia</v>
      </c>
      <c r="J394" s="802"/>
      <c r="K394" s="803" t="s">
        <v>2718</v>
      </c>
    </row>
    <row r="395" spans="1:11" ht="15.75">
      <c r="A395" s="707" t="s">
        <v>829</v>
      </c>
      <c r="B395" s="541"/>
      <c r="C395" s="38"/>
      <c r="D395" s="150"/>
      <c r="E395" s="149"/>
      <c r="F395" s="149"/>
      <c r="G395" s="149"/>
      <c r="H395" s="149"/>
      <c r="I395" s="149"/>
      <c r="J395" s="180"/>
      <c r="K395" s="796"/>
    </row>
    <row r="396" spans="1:11">
      <c r="A396" s="132"/>
      <c r="B396" s="1430" t="str">
        <f>DataNameProd1</f>
        <v>CSD</v>
      </c>
      <c r="C396" s="177"/>
      <c r="D396" s="177"/>
      <c r="E396" s="177"/>
      <c r="F396" s="177"/>
      <c r="G396" s="177"/>
      <c r="H396" s="177"/>
      <c r="I396" s="177"/>
      <c r="J396" s="1431"/>
      <c r="K396" s="796"/>
    </row>
    <row r="397" spans="1:11">
      <c r="A397" s="132"/>
      <c r="B397" s="21" t="s">
        <v>1476</v>
      </c>
      <c r="C397" s="21"/>
      <c r="D397" s="21"/>
      <c r="E397" s="1182">
        <f>finPNLReg1Prod1Rev</f>
        <v>7046273699.5</v>
      </c>
      <c r="F397" s="1182">
        <f>finPNLReg1Prod1Rev</f>
        <v>7046273699.5</v>
      </c>
      <c r="G397" s="1182">
        <f>finPNLReg1Prod1Rev</f>
        <v>7046273699.5</v>
      </c>
      <c r="H397" s="1182">
        <f>finPNLReg1Prod1Rev</f>
        <v>7046273699.5</v>
      </c>
      <c r="I397" s="1182">
        <f>finPNLReg1Prod1Rev</f>
        <v>7046273699.5</v>
      </c>
      <c r="J397" s="1182"/>
      <c r="K397" s="1188">
        <f>SUM(E397:I397)/xxNumOfTeams</f>
        <v>7046273699.5</v>
      </c>
    </row>
    <row r="398" spans="1:11">
      <c r="A398" s="132"/>
      <c r="B398" s="547" t="s">
        <v>2548</v>
      </c>
      <c r="C398" s="21"/>
      <c r="D398" s="21"/>
      <c r="E398" s="1182">
        <f>finPNLReg1Prod1PromoExp</f>
        <v>1450000000</v>
      </c>
      <c r="F398" s="1182">
        <f>finPNLReg1Prod1PromoExp</f>
        <v>1450000000</v>
      </c>
      <c r="G398" s="1182">
        <f>finPNLReg1Prod1PromoExp</f>
        <v>1450000000</v>
      </c>
      <c r="H398" s="1182">
        <f>finPNLReg1Prod1PromoExp</f>
        <v>1450000000</v>
      </c>
      <c r="I398" s="1182">
        <f>finPNLReg1Prod1PromoExp</f>
        <v>1450000000</v>
      </c>
      <c r="J398" s="1182"/>
      <c r="K398" s="1188">
        <f>SUM(E398:I398)/xxNumOfTeams</f>
        <v>1450000000</v>
      </c>
    </row>
    <row r="399" spans="1:11">
      <c r="A399" s="132"/>
      <c r="B399" s="21" t="s">
        <v>1475</v>
      </c>
      <c r="C399" s="21"/>
      <c r="D399" s="21"/>
      <c r="E399" s="1182">
        <f>finPNLReg1Prod1NetRev</f>
        <v>5596273699.5</v>
      </c>
      <c r="F399" s="1182">
        <f>finPNLReg1Prod1NetRev</f>
        <v>5596273699.5</v>
      </c>
      <c r="G399" s="1182">
        <f>finPNLReg1Prod1NetRev</f>
        <v>5596273699.5</v>
      </c>
      <c r="H399" s="1182">
        <f>finPNLReg1Prod1NetRev</f>
        <v>5596273699.5</v>
      </c>
      <c r="I399" s="1182">
        <f>finPNLReg1Prod1NetRev</f>
        <v>5596273699.5</v>
      </c>
      <c r="J399" s="1182"/>
      <c r="K399" s="1188">
        <f>SUM(E399:I399)/xxNumOfTeams</f>
        <v>5596273699.5</v>
      </c>
    </row>
    <row r="400" spans="1:11">
      <c r="A400" s="132"/>
      <c r="B400" s="21" t="s">
        <v>3640</v>
      </c>
      <c r="C400" s="21"/>
      <c r="D400" s="21"/>
      <c r="E400" s="1182">
        <f ca="1">finPNLReg1Prod1COGSExp</f>
        <v>3010840282.912796</v>
      </c>
      <c r="F400" s="1182">
        <f ca="1">finPNLReg1Prod1COGSExp</f>
        <v>3010840282.912796</v>
      </c>
      <c r="G400" s="1182">
        <f ca="1">finPNLReg1Prod1COGSExp</f>
        <v>3010840282.912796</v>
      </c>
      <c r="H400" s="1182">
        <f ca="1">finPNLReg1Prod1COGSExp</f>
        <v>3010840282.912796</v>
      </c>
      <c r="I400" s="1182">
        <f ca="1">finPNLReg1Prod1COGSExp</f>
        <v>3010840282.912796</v>
      </c>
      <c r="J400" s="1182"/>
      <c r="K400" s="1188">
        <f ca="1">SUM(E400:I400)/xxNumOfTeams</f>
        <v>3010840282.912796</v>
      </c>
    </row>
    <row r="401" spans="1:11">
      <c r="A401" s="132"/>
      <c r="B401" s="21" t="s">
        <v>3800</v>
      </c>
      <c r="C401" s="21"/>
      <c r="D401" s="21"/>
      <c r="E401" s="1182">
        <f ca="1">finPNLReg1Prod1GrossMargin</f>
        <v>2585433416.587204</v>
      </c>
      <c r="F401" s="1182">
        <f ca="1">finPNLReg1Prod1GrossMargin</f>
        <v>2585433416.587204</v>
      </c>
      <c r="G401" s="1182">
        <f ca="1">finPNLReg1Prod1GrossMargin</f>
        <v>2585433416.587204</v>
      </c>
      <c r="H401" s="1182">
        <f ca="1">finPNLReg1Prod1GrossMargin</f>
        <v>2585433416.587204</v>
      </c>
      <c r="I401" s="1182">
        <f ca="1">finPNLReg1Prod1GrossMargin</f>
        <v>2585433416.587204</v>
      </c>
      <c r="J401" s="1182"/>
      <c r="K401" s="1188">
        <f ca="1">SUM(E401:I401)/xxNumOfTeams</f>
        <v>2585433416.587204</v>
      </c>
    </row>
    <row r="402" spans="1:11">
      <c r="A402" s="132"/>
      <c r="B402" s="1453" t="s">
        <v>3058</v>
      </c>
      <c r="D402" s="62"/>
      <c r="E402" s="522">
        <f ca="1">E401/E399</f>
        <v>0.46199195311305091</v>
      </c>
      <c r="F402" s="522">
        <f ca="1">F401/F399</f>
        <v>0.46199195311305091</v>
      </c>
      <c r="G402" s="522">
        <f ca="1">G401/G399</f>
        <v>0.46199195311305091</v>
      </c>
      <c r="H402" s="522">
        <f ca="1">H401/H399</f>
        <v>0.46199195311305091</v>
      </c>
      <c r="I402" s="522">
        <f ca="1">I401/I399</f>
        <v>0.46199195311305091</v>
      </c>
      <c r="J402" s="520"/>
      <c r="K402" s="811"/>
    </row>
    <row r="403" spans="1:11">
      <c r="A403" s="132"/>
      <c r="B403" s="21" t="s">
        <v>1916</v>
      </c>
      <c r="C403" s="21"/>
      <c r="D403" s="21"/>
      <c r="E403" s="1182">
        <f ca="1">finPNLReg1Prod1SGAExp</f>
        <v>1512181189.4788702</v>
      </c>
      <c r="F403" s="1182">
        <f ca="1">finPNLReg1Prod1SGAExp</f>
        <v>1512181189.4788702</v>
      </c>
      <c r="G403" s="1182">
        <f ca="1">finPNLReg1Prod1SGAExp</f>
        <v>1512181189.4788702</v>
      </c>
      <c r="H403" s="1182">
        <f ca="1">finPNLReg1Prod1SGAExp</f>
        <v>1512181189.4788702</v>
      </c>
      <c r="I403" s="1182">
        <f ca="1">finPNLReg1Prod1SGAExp</f>
        <v>1512181189.4788702</v>
      </c>
      <c r="J403" s="1182"/>
      <c r="K403" s="1188">
        <f ca="1">SUM(E403:I403)/xxNumOfTeams</f>
        <v>1512181189.4788702</v>
      </c>
    </row>
    <row r="404" spans="1:11">
      <c r="A404" s="132"/>
      <c r="B404" s="21" t="s">
        <v>396</v>
      </c>
      <c r="C404" s="21"/>
      <c r="D404" s="21"/>
      <c r="E404" s="1182">
        <f ca="1">finPNLReg1Prod1DisposalExp</f>
        <v>0</v>
      </c>
      <c r="F404" s="1182">
        <f ca="1">finPNLReg1Prod1DisposalExp</f>
        <v>0</v>
      </c>
      <c r="G404" s="1182">
        <f ca="1">finPNLReg1Prod1DisposalExp</f>
        <v>0</v>
      </c>
      <c r="H404" s="1182">
        <f ca="1">finPNLReg1Prod1DisposalExp</f>
        <v>0</v>
      </c>
      <c r="I404" s="1182">
        <f ca="1">finPNLReg1Prod1DisposalExp</f>
        <v>0</v>
      </c>
      <c r="J404" s="1182"/>
      <c r="K404" s="1188">
        <f ca="1">SUM(E404:I404)/xxNumOfTeams</f>
        <v>0</v>
      </c>
    </row>
    <row r="405" spans="1:11">
      <c r="A405" s="132"/>
      <c r="B405" s="21" t="s">
        <v>3411</v>
      </c>
      <c r="C405" s="21"/>
      <c r="D405" s="21"/>
      <c r="E405" s="1182">
        <f>finPNLReg1Prod1SpecProgExp</f>
        <v>0</v>
      </c>
      <c r="F405" s="1182">
        <f>finPNLReg1Prod1SpecProgExp</f>
        <v>0</v>
      </c>
      <c r="G405" s="1182">
        <f>finPNLReg1Prod1SpecProgExp</f>
        <v>0</v>
      </c>
      <c r="H405" s="1182">
        <f>finPNLReg1Prod1SpecProgExp</f>
        <v>0</v>
      </c>
      <c r="I405" s="1182">
        <f>finPNLReg1Prod1SpecProgExp</f>
        <v>0</v>
      </c>
      <c r="J405" s="1182"/>
      <c r="K405" s="1188">
        <f>SUM(E405:I405)/xxNumOfTeams</f>
        <v>0</v>
      </c>
    </row>
    <row r="406" spans="1:11">
      <c r="A406" s="132"/>
      <c r="B406" s="21" t="s">
        <v>174</v>
      </c>
      <c r="C406" s="21"/>
      <c r="D406" s="21"/>
      <c r="E406" s="1182">
        <f ca="1">finPNLReg1Prod1OpsMargin</f>
        <v>1073252227.1083338</v>
      </c>
      <c r="F406" s="1182">
        <f ca="1">finPNLReg1Prod1OpsMargin</f>
        <v>1073252227.1083338</v>
      </c>
      <c r="G406" s="1182">
        <f ca="1">finPNLReg1Prod1OpsMargin</f>
        <v>1073252227.1083338</v>
      </c>
      <c r="H406" s="1182">
        <f ca="1">finPNLReg1Prod1OpsMargin</f>
        <v>1073252227.1083338</v>
      </c>
      <c r="I406" s="1182">
        <f ca="1">finPNLReg1Prod1OpsMargin</f>
        <v>1073252227.1083338</v>
      </c>
      <c r="J406" s="1182"/>
      <c r="K406" s="1188">
        <f ca="1">SUM(E406:I406)/xxNumOfTeams</f>
        <v>1073252227.1083338</v>
      </c>
    </row>
    <row r="407" spans="1:11">
      <c r="A407" s="132"/>
      <c r="B407" s="1453" t="s">
        <v>3059</v>
      </c>
      <c r="C407" s="21"/>
      <c r="D407" s="21"/>
      <c r="E407" s="1166">
        <f ca="1">E406/E399</f>
        <v>0.19177979576020804</v>
      </c>
      <c r="F407" s="1166">
        <f ca="1">F406/F399</f>
        <v>0.19177979576020804</v>
      </c>
      <c r="G407" s="1166">
        <f ca="1">G406/G399</f>
        <v>0.19177979576020804</v>
      </c>
      <c r="H407" s="1166">
        <f ca="1">H406/H399</f>
        <v>0.19177979576020804</v>
      </c>
      <c r="I407" s="1166">
        <f ca="1">I406/I399</f>
        <v>0.19177979576020804</v>
      </c>
      <c r="J407" s="809"/>
      <c r="K407" s="807">
        <f ca="1">SUM(E407:I407)/xxNumOfTeams</f>
        <v>0.19177979576020804</v>
      </c>
    </row>
    <row r="408" spans="1:11">
      <c r="A408" s="132"/>
      <c r="B408" s="550"/>
      <c r="C408" s="21"/>
      <c r="D408" s="21"/>
      <c r="E408" s="21"/>
      <c r="F408" s="21"/>
      <c r="G408" s="21"/>
      <c r="H408" s="21"/>
      <c r="I408" s="21"/>
      <c r="J408" s="180"/>
      <c r="K408" s="796"/>
    </row>
    <row r="409" spans="1:11">
      <c r="A409" s="132"/>
      <c r="B409" s="1430" t="str">
        <f>DataNameProd3</f>
        <v>NCB</v>
      </c>
      <c r="C409" s="177"/>
      <c r="D409" s="177"/>
      <c r="E409" s="177"/>
      <c r="F409" s="177"/>
      <c r="G409" s="177"/>
      <c r="H409" s="177"/>
      <c r="I409" s="177"/>
      <c r="J409" s="1431"/>
      <c r="K409" s="796"/>
    </row>
    <row r="410" spans="1:11">
      <c r="A410" s="132"/>
      <c r="B410" s="21" t="s">
        <v>1476</v>
      </c>
      <c r="C410" s="21"/>
      <c r="D410" s="21"/>
      <c r="E410" s="1182">
        <f>finPNLReg1Prod3Rev</f>
        <v>5352000000</v>
      </c>
      <c r="F410" s="1182">
        <f>finPNLReg1Prod3Rev</f>
        <v>5352000000</v>
      </c>
      <c r="G410" s="1182">
        <f>finPNLReg1Prod3Rev</f>
        <v>5352000000</v>
      </c>
      <c r="H410" s="1182">
        <f>finPNLReg1Prod3Rev</f>
        <v>5352000000</v>
      </c>
      <c r="I410" s="1182">
        <f>finPNLReg1Prod3Rev</f>
        <v>5352000000</v>
      </c>
      <c r="J410" s="1182"/>
      <c r="K410" s="1188">
        <f>SUM(E410:I410)/xxNumOfTeams</f>
        <v>5352000000</v>
      </c>
    </row>
    <row r="411" spans="1:11">
      <c r="A411" s="132"/>
      <c r="B411" s="547" t="s">
        <v>2548</v>
      </c>
      <c r="C411" s="21"/>
      <c r="D411" s="21"/>
      <c r="E411" s="1182">
        <f>finPNLReg1Prod3PromoExp</f>
        <v>855000000</v>
      </c>
      <c r="F411" s="1182">
        <f>finPNLReg1Prod3PromoExp</f>
        <v>855000000</v>
      </c>
      <c r="G411" s="1182">
        <f>finPNLReg1Prod3PromoExp</f>
        <v>855000000</v>
      </c>
      <c r="H411" s="1182">
        <f>finPNLReg1Prod3PromoExp</f>
        <v>855000000</v>
      </c>
      <c r="I411" s="1182">
        <f>finPNLReg1Prod3PromoExp</f>
        <v>855000000</v>
      </c>
      <c r="J411" s="1182"/>
      <c r="K411" s="1188">
        <f>SUM(E411:I411)/xxNumOfTeams</f>
        <v>855000000</v>
      </c>
    </row>
    <row r="412" spans="1:11">
      <c r="A412" s="132"/>
      <c r="B412" s="21" t="s">
        <v>1475</v>
      </c>
      <c r="C412" s="21"/>
      <c r="D412" s="21"/>
      <c r="E412" s="1182">
        <f>finPNLReg1Prod3NetRev</f>
        <v>4497000000</v>
      </c>
      <c r="F412" s="1182">
        <f>finPNLReg1Prod3NetRev</f>
        <v>4497000000</v>
      </c>
      <c r="G412" s="1182">
        <f>finPNLReg1Prod3NetRev</f>
        <v>4497000000</v>
      </c>
      <c r="H412" s="1182">
        <f>finPNLReg1Prod3NetRev</f>
        <v>4497000000</v>
      </c>
      <c r="I412" s="1182">
        <f>finPNLReg1Prod3NetRev</f>
        <v>4497000000</v>
      </c>
      <c r="J412" s="1182"/>
      <c r="K412" s="1188">
        <f>SUM(E412:I412)/xxNumOfTeams</f>
        <v>4497000000</v>
      </c>
    </row>
    <row r="413" spans="1:11">
      <c r="A413" s="132"/>
      <c r="B413" s="21" t="s">
        <v>3640</v>
      </c>
      <c r="C413" s="21"/>
      <c r="D413" s="21"/>
      <c r="E413" s="1182">
        <f ca="1">finPNLReg1Prod3COGSExp</f>
        <v>2197292509.579803</v>
      </c>
      <c r="F413" s="1182">
        <f ca="1">finPNLReg1Prod3COGSExp</f>
        <v>2197292509.579803</v>
      </c>
      <c r="G413" s="1182">
        <f ca="1">finPNLReg1Prod3COGSExp</f>
        <v>2197292509.579803</v>
      </c>
      <c r="H413" s="1182">
        <f ca="1">finPNLReg1Prod3COGSExp</f>
        <v>2197292509.579803</v>
      </c>
      <c r="I413" s="1182">
        <f ca="1">finPNLReg1Prod3COGSExp</f>
        <v>2197292509.579803</v>
      </c>
      <c r="J413" s="1182"/>
      <c r="K413" s="1188">
        <f ca="1">SUM(E413:I413)/xxNumOfTeams</f>
        <v>2197292509.579803</v>
      </c>
    </row>
    <row r="414" spans="1:11">
      <c r="A414" s="132"/>
      <c r="B414" s="21" t="s">
        <v>3800</v>
      </c>
      <c r="C414" s="21"/>
      <c r="D414" s="21"/>
      <c r="E414" s="1182">
        <f ca="1">finPNLReg1Prod3GrossMargin</f>
        <v>2299707490.420197</v>
      </c>
      <c r="F414" s="1182">
        <f ca="1">finPNLReg1Prod3GrossMargin</f>
        <v>2299707490.420197</v>
      </c>
      <c r="G414" s="1182">
        <f ca="1">finPNLReg1Prod3GrossMargin</f>
        <v>2299707490.420197</v>
      </c>
      <c r="H414" s="1182">
        <f ca="1">finPNLReg1Prod3GrossMargin</f>
        <v>2299707490.420197</v>
      </c>
      <c r="I414" s="1182">
        <f ca="1">finPNLReg1Prod3GrossMargin</f>
        <v>2299707490.420197</v>
      </c>
      <c r="J414" s="1182"/>
      <c r="K414" s="1188">
        <f ca="1">SUM(E414:I414)/xxNumOfTeams</f>
        <v>2299707490.420197</v>
      </c>
    </row>
    <row r="415" spans="1:11">
      <c r="A415" s="132"/>
      <c r="B415" s="1453" t="s">
        <v>3058</v>
      </c>
      <c r="C415" s="1298"/>
      <c r="D415" s="62"/>
      <c r="E415" s="522">
        <f ca="1">E414/E412</f>
        <v>0.51138703367138028</v>
      </c>
      <c r="F415" s="522">
        <f ca="1">F414/F412</f>
        <v>0.51138703367138028</v>
      </c>
      <c r="G415" s="522">
        <f ca="1">G414/G412</f>
        <v>0.51138703367138028</v>
      </c>
      <c r="H415" s="522">
        <f ca="1">H414/H412</f>
        <v>0.51138703367138028</v>
      </c>
      <c r="I415" s="522">
        <f ca="1">I414/I412</f>
        <v>0.51138703367138028</v>
      </c>
      <c r="J415" s="520"/>
      <c r="K415" s="811"/>
    </row>
    <row r="416" spans="1:11">
      <c r="A416" s="132"/>
      <c r="B416" s="21" t="s">
        <v>1916</v>
      </c>
      <c r="C416" s="21"/>
      <c r="D416" s="21"/>
      <c r="E416" s="1182">
        <f ca="1">finPNLReg1Prod3SGAExp</f>
        <v>1184726651.731667</v>
      </c>
      <c r="F416" s="1182">
        <f ca="1">finPNLReg1Prod3SGAExp</f>
        <v>1184726651.731667</v>
      </c>
      <c r="G416" s="1182">
        <f ca="1">finPNLReg1Prod3SGAExp</f>
        <v>1184726651.731667</v>
      </c>
      <c r="H416" s="1182">
        <f ca="1">finPNLReg1Prod3SGAExp</f>
        <v>1184726651.731667</v>
      </c>
      <c r="I416" s="1182">
        <f ca="1">finPNLReg1Prod3SGAExp</f>
        <v>1184726651.731667</v>
      </c>
      <c r="J416" s="1182"/>
      <c r="K416" s="1188">
        <f ca="1">SUM(E416:I416)/xxNumOfTeams</f>
        <v>1184726651.731667</v>
      </c>
    </row>
    <row r="417" spans="1:11">
      <c r="A417" s="132"/>
      <c r="B417" s="21" t="s">
        <v>396</v>
      </c>
      <c r="C417" s="21"/>
      <c r="D417" s="21"/>
      <c r="E417" s="1182">
        <f ca="1">finPNLReg1Prod3DisposalExp</f>
        <v>72321404.896117449</v>
      </c>
      <c r="F417" s="1182">
        <f ca="1">finPNLReg1Prod3DisposalExp</f>
        <v>72321404.896117449</v>
      </c>
      <c r="G417" s="1182">
        <f ca="1">finPNLReg1Prod3DisposalExp</f>
        <v>72321404.896117449</v>
      </c>
      <c r="H417" s="1182">
        <f ca="1">finPNLReg1Prod3DisposalExp</f>
        <v>72321404.896117449</v>
      </c>
      <c r="I417" s="1182">
        <f ca="1">finPNLReg1Prod3DisposalExp</f>
        <v>72321404.896117449</v>
      </c>
      <c r="J417" s="1182"/>
      <c r="K417" s="1188">
        <f ca="1">SUM(E417:I417)/xxNumOfTeams</f>
        <v>72321404.896117449</v>
      </c>
    </row>
    <row r="418" spans="1:11">
      <c r="A418" s="132"/>
      <c r="B418" s="21" t="s">
        <v>3411</v>
      </c>
      <c r="C418" s="21"/>
      <c r="D418" s="21"/>
      <c r="E418" s="1182">
        <f>finPNLReg1Prod3SpecProgExp</f>
        <v>0</v>
      </c>
      <c r="F418" s="1182">
        <f>finPNLReg1Prod3SpecProgExp</f>
        <v>0</v>
      </c>
      <c r="G418" s="1182">
        <f>finPNLReg1Prod3SpecProgExp</f>
        <v>0</v>
      </c>
      <c r="H418" s="1182">
        <f>finPNLReg1Prod3SpecProgExp</f>
        <v>0</v>
      </c>
      <c r="I418" s="1182">
        <f>finPNLReg1Prod3SpecProgExp</f>
        <v>0</v>
      </c>
      <c r="J418" s="1182"/>
      <c r="K418" s="1188">
        <f>SUM(E418:I418)/xxNumOfTeams</f>
        <v>0</v>
      </c>
    </row>
    <row r="419" spans="1:11">
      <c r="A419" s="132"/>
      <c r="B419" s="21" t="s">
        <v>174</v>
      </c>
      <c r="C419" s="21"/>
      <c r="D419" s="21"/>
      <c r="E419" s="1182">
        <f ca="1">finPNLReg1Prod3OpsMargin</f>
        <v>1042659433.7924125</v>
      </c>
      <c r="F419" s="1182">
        <f ca="1">finPNLReg1Prod3OpsMargin</f>
        <v>1042659433.7924125</v>
      </c>
      <c r="G419" s="1182">
        <f ca="1">finPNLReg1Prod3OpsMargin</f>
        <v>1042659433.7924125</v>
      </c>
      <c r="H419" s="1182">
        <f ca="1">finPNLReg1Prod3OpsMargin</f>
        <v>1042659433.7924125</v>
      </c>
      <c r="I419" s="1182">
        <f ca="1">finPNLReg1Prod3OpsMargin</f>
        <v>1042659433.7924125</v>
      </c>
      <c r="J419" s="1182"/>
      <c r="K419" s="1188">
        <f ca="1">SUM(E419:I419)/xxNumOfTeams</f>
        <v>1042659433.7924125</v>
      </c>
    </row>
    <row r="420" spans="1:11">
      <c r="A420" s="132"/>
      <c r="B420" s="1453" t="s">
        <v>3059</v>
      </c>
      <c r="C420" s="21"/>
      <c r="D420" s="21"/>
      <c r="E420" s="1166">
        <f ca="1">E419/E412</f>
        <v>0.23185666750998721</v>
      </c>
      <c r="F420" s="1166">
        <f ca="1">F419/F412</f>
        <v>0.23185666750998721</v>
      </c>
      <c r="G420" s="1166">
        <f ca="1">G419/G412</f>
        <v>0.23185666750998721</v>
      </c>
      <c r="H420" s="1166">
        <f ca="1">H419/H412</f>
        <v>0.23185666750998721</v>
      </c>
      <c r="I420" s="1166">
        <f ca="1">I419/I412</f>
        <v>0.23185666750998721</v>
      </c>
      <c r="J420" s="809"/>
      <c r="K420" s="807">
        <f ca="1">SUM(E420:I420)/xxNumOfTeams</f>
        <v>0.23185666750998721</v>
      </c>
    </row>
    <row r="421" spans="1:11">
      <c r="A421" s="132"/>
      <c r="B421" s="550"/>
      <c r="C421" s="21"/>
      <c r="D421" s="21"/>
      <c r="E421" s="21"/>
      <c r="F421" s="21"/>
      <c r="G421" s="21"/>
      <c r="H421" s="21"/>
      <c r="I421" s="21"/>
      <c r="J421" s="180"/>
      <c r="K421" s="796"/>
    </row>
    <row r="422" spans="1:11">
      <c r="A422" s="132"/>
      <c r="B422" s="1430" t="str">
        <f>DataNameProd4</f>
        <v>F&amp;S</v>
      </c>
      <c r="C422" s="177"/>
      <c r="D422" s="177"/>
      <c r="E422" s="177"/>
      <c r="F422" s="177"/>
      <c r="G422" s="177"/>
      <c r="H422" s="177"/>
      <c r="I422" s="177"/>
      <c r="J422" s="1431"/>
      <c r="K422" s="796"/>
    </row>
    <row r="423" spans="1:11">
      <c r="A423" s="132"/>
      <c r="B423" s="21" t="s">
        <v>1476</v>
      </c>
      <c r="C423" s="21"/>
      <c r="D423" s="21"/>
      <c r="E423" s="1182">
        <f>finPNLReg1Prod4Rev</f>
        <v>6771250000</v>
      </c>
      <c r="F423" s="1182">
        <f>finPNLReg1Prod4Rev</f>
        <v>6771250000</v>
      </c>
      <c r="G423" s="1182">
        <f>finPNLReg1Prod4Rev</f>
        <v>6771250000</v>
      </c>
      <c r="H423" s="1182">
        <f>finPNLReg1Prod4Rev</f>
        <v>6771250000</v>
      </c>
      <c r="I423" s="1182">
        <f>finPNLReg1Prod4Rev</f>
        <v>6771250000</v>
      </c>
      <c r="J423" s="1182"/>
      <c r="K423" s="1188">
        <f>SUM(E423:I423)/xxNumOfTeams</f>
        <v>6771250000</v>
      </c>
    </row>
    <row r="424" spans="1:11">
      <c r="A424" s="132"/>
      <c r="B424" s="547" t="s">
        <v>2548</v>
      </c>
      <c r="C424" s="21"/>
      <c r="D424" s="21"/>
      <c r="E424" s="1182">
        <f>finPNLReg1Prod4PromoExp</f>
        <v>760000000</v>
      </c>
      <c r="F424" s="1182">
        <f>finPNLReg1Prod4PromoExp</f>
        <v>760000000</v>
      </c>
      <c r="G424" s="1182">
        <f>finPNLReg1Prod4PromoExp</f>
        <v>760000000</v>
      </c>
      <c r="H424" s="1182">
        <f>finPNLReg1Prod4PromoExp</f>
        <v>760000000</v>
      </c>
      <c r="I424" s="1182">
        <f>finPNLReg1Prod4PromoExp</f>
        <v>760000000</v>
      </c>
      <c r="J424" s="1182"/>
      <c r="K424" s="1188">
        <f>SUM(E424:I424)/xxNumOfTeams</f>
        <v>760000000</v>
      </c>
    </row>
    <row r="425" spans="1:11">
      <c r="A425" s="132"/>
      <c r="B425" s="21" t="s">
        <v>1475</v>
      </c>
      <c r="C425" s="21"/>
      <c r="D425" s="21"/>
      <c r="E425" s="1182">
        <f>finPNLReg1Prod4NetRev</f>
        <v>6011250000</v>
      </c>
      <c r="F425" s="1182">
        <f>finPNLReg1Prod4NetRev</f>
        <v>6011250000</v>
      </c>
      <c r="G425" s="1182">
        <f>finPNLReg1Prod4NetRev</f>
        <v>6011250000</v>
      </c>
      <c r="H425" s="1182">
        <f>finPNLReg1Prod4NetRev</f>
        <v>6011250000</v>
      </c>
      <c r="I425" s="1182">
        <f>finPNLReg1Prod4NetRev</f>
        <v>6011250000</v>
      </c>
      <c r="J425" s="1182"/>
      <c r="K425" s="1188">
        <f>SUM(E425:I425)/xxNumOfTeams</f>
        <v>6011250000</v>
      </c>
    </row>
    <row r="426" spans="1:11">
      <c r="A426" s="132"/>
      <c r="B426" s="21" t="s">
        <v>3640</v>
      </c>
      <c r="C426" s="21"/>
      <c r="D426" s="21"/>
      <c r="E426" s="1182">
        <f ca="1">finPNLReg1Prod4COGSExp</f>
        <v>2855397899.7046804</v>
      </c>
      <c r="F426" s="1182">
        <f ca="1">finPNLReg1Prod4COGSExp</f>
        <v>2855397899.7046804</v>
      </c>
      <c r="G426" s="1182">
        <f ca="1">finPNLReg1Prod4COGSExp</f>
        <v>2855397899.7046804</v>
      </c>
      <c r="H426" s="1182">
        <f ca="1">finPNLReg1Prod4COGSExp</f>
        <v>2855397899.7046804</v>
      </c>
      <c r="I426" s="1182">
        <f ca="1">finPNLReg1Prod4COGSExp</f>
        <v>2855397899.7046804</v>
      </c>
      <c r="J426" s="1182"/>
      <c r="K426" s="1188">
        <f ca="1">SUM(E426:I426)/xxNumOfTeams</f>
        <v>2855397899.7046804</v>
      </c>
    </row>
    <row r="427" spans="1:11">
      <c r="A427" s="132"/>
      <c r="B427" s="21" t="s">
        <v>3800</v>
      </c>
      <c r="C427" s="21"/>
      <c r="D427" s="21"/>
      <c r="E427" s="1182">
        <f ca="1">finPNLReg1Prod4GrossMargin</f>
        <v>3155852100.2953196</v>
      </c>
      <c r="F427" s="1182">
        <f ca="1">finPNLReg1Prod4GrossMargin</f>
        <v>3155852100.2953196</v>
      </c>
      <c r="G427" s="1182">
        <f ca="1">finPNLReg1Prod4GrossMargin</f>
        <v>3155852100.2953196</v>
      </c>
      <c r="H427" s="1182">
        <f ca="1">finPNLReg1Prod4GrossMargin</f>
        <v>3155852100.2953196</v>
      </c>
      <c r="I427" s="1182">
        <f ca="1">finPNLReg1Prod4GrossMargin</f>
        <v>3155852100.2953196</v>
      </c>
      <c r="J427" s="1182"/>
      <c r="K427" s="1188">
        <f ca="1">SUM(E427:I427)/xxNumOfTeams</f>
        <v>3155852100.2953196</v>
      </c>
    </row>
    <row r="428" spans="1:11">
      <c r="A428" s="132"/>
      <c r="B428" s="1453" t="s">
        <v>3058</v>
      </c>
      <c r="C428" s="1298"/>
      <c r="D428" s="62"/>
      <c r="E428" s="522">
        <f ca="1">E427/E425</f>
        <v>0.52499099193933363</v>
      </c>
      <c r="F428" s="522">
        <f ca="1">F427/F425</f>
        <v>0.52499099193933363</v>
      </c>
      <c r="G428" s="522">
        <f ca="1">G427/G425</f>
        <v>0.52499099193933363</v>
      </c>
      <c r="H428" s="522">
        <f ca="1">H427/H425</f>
        <v>0.52499099193933363</v>
      </c>
      <c r="I428" s="522">
        <f ca="1">I427/I425</f>
        <v>0.52499099193933363</v>
      </c>
      <c r="J428" s="520"/>
      <c r="K428" s="811"/>
    </row>
    <row r="429" spans="1:11">
      <c r="A429" s="132"/>
      <c r="B429" s="21" t="s">
        <v>1916</v>
      </c>
      <c r="C429" s="21"/>
      <c r="D429" s="21"/>
      <c r="E429" s="1182">
        <f ca="1">finPNLReg1Prod4SGAExp</f>
        <v>1235622307.1178322</v>
      </c>
      <c r="F429" s="1182">
        <f ca="1">finPNLReg1Prod4SGAExp</f>
        <v>1235622307.1178322</v>
      </c>
      <c r="G429" s="1182">
        <f ca="1">finPNLReg1Prod4SGAExp</f>
        <v>1235622307.1178322</v>
      </c>
      <c r="H429" s="1182">
        <f ca="1">finPNLReg1Prod4SGAExp</f>
        <v>1235622307.1178322</v>
      </c>
      <c r="I429" s="1182">
        <f ca="1">finPNLReg1Prod4SGAExp</f>
        <v>1235622307.1178322</v>
      </c>
      <c r="J429" s="1182"/>
      <c r="K429" s="1188">
        <f ca="1">SUM(E429:I429)/xxNumOfTeams</f>
        <v>1235622307.1178322</v>
      </c>
    </row>
    <row r="430" spans="1:11">
      <c r="A430" s="132"/>
      <c r="B430" s="21" t="s">
        <v>396</v>
      </c>
      <c r="C430" s="21"/>
      <c r="D430" s="21"/>
      <c r="E430" s="1182">
        <f ca="1">finPNLReg1Prod4DisposalExp</f>
        <v>42288449.139453106</v>
      </c>
      <c r="F430" s="1182">
        <f ca="1">finPNLReg1Prod4DisposalExp</f>
        <v>42288449.139453106</v>
      </c>
      <c r="G430" s="1182">
        <f ca="1">finPNLReg1Prod4DisposalExp</f>
        <v>42288449.139453106</v>
      </c>
      <c r="H430" s="1182">
        <f ca="1">finPNLReg1Prod4DisposalExp</f>
        <v>42288449.139453106</v>
      </c>
      <c r="I430" s="1182">
        <f ca="1">finPNLReg1Prod4DisposalExp</f>
        <v>42288449.139453106</v>
      </c>
      <c r="J430" s="1182"/>
      <c r="K430" s="1188">
        <f ca="1">SUM(E430:I430)/xxNumOfTeams</f>
        <v>42288449.139453106</v>
      </c>
    </row>
    <row r="431" spans="1:11">
      <c r="A431" s="132"/>
      <c r="B431" s="21" t="s">
        <v>3411</v>
      </c>
      <c r="C431" s="21"/>
      <c r="D431" s="21"/>
      <c r="E431" s="1182">
        <f>finPNLReg1Prod4SpecProgExp</f>
        <v>0</v>
      </c>
      <c r="F431" s="1182">
        <f>finPNLReg1Prod4SpecProgExp</f>
        <v>0</v>
      </c>
      <c r="G431" s="1182">
        <f>finPNLReg1Prod4SpecProgExp</f>
        <v>0</v>
      </c>
      <c r="H431" s="1182">
        <f>finPNLReg1Prod4SpecProgExp</f>
        <v>0</v>
      </c>
      <c r="I431" s="1182">
        <f>finPNLReg1Prod4SpecProgExp</f>
        <v>0</v>
      </c>
      <c r="J431" s="1182"/>
      <c r="K431" s="1188">
        <f>SUM(E431:I431)/xxNumOfTeams</f>
        <v>0</v>
      </c>
    </row>
    <row r="432" spans="1:11">
      <c r="A432" s="132"/>
      <c r="B432" s="21" t="s">
        <v>174</v>
      </c>
      <c r="C432" s="21"/>
      <c r="D432" s="21"/>
      <c r="E432" s="1182">
        <f ca="1">finPNLReg1Prod4OpsMargin</f>
        <v>1877941344.0380342</v>
      </c>
      <c r="F432" s="1182">
        <f ca="1">finPNLReg1Prod4OpsMargin</f>
        <v>1877941344.0380342</v>
      </c>
      <c r="G432" s="1182">
        <f ca="1">finPNLReg1Prod4OpsMargin</f>
        <v>1877941344.0380342</v>
      </c>
      <c r="H432" s="1182">
        <f ca="1">finPNLReg1Prod4OpsMargin</f>
        <v>1877941344.0380342</v>
      </c>
      <c r="I432" s="1182">
        <f ca="1">finPNLReg1Prod4OpsMargin</f>
        <v>1877941344.0380342</v>
      </c>
      <c r="J432" s="1182"/>
      <c r="K432" s="1188">
        <f ca="1">SUM(E432:I432)/xxNumOfTeams</f>
        <v>1877941344.038034</v>
      </c>
    </row>
    <row r="433" spans="1:17">
      <c r="A433" s="132"/>
      <c r="B433" s="1453" t="s">
        <v>3059</v>
      </c>
      <c r="C433" s="21"/>
      <c r="D433" s="21"/>
      <c r="E433" s="1166">
        <f ca="1">E432/E425</f>
        <v>0.31240446563327662</v>
      </c>
      <c r="F433" s="1166">
        <f ca="1">F432/F425</f>
        <v>0.31240446563327662</v>
      </c>
      <c r="G433" s="1166">
        <f ca="1">G432/G425</f>
        <v>0.31240446563327662</v>
      </c>
      <c r="H433" s="1166">
        <f ca="1">H432/H425</f>
        <v>0.31240446563327662</v>
      </c>
      <c r="I433" s="1166">
        <f ca="1">I432/I425</f>
        <v>0.31240446563327662</v>
      </c>
      <c r="J433" s="809"/>
      <c r="K433" s="807">
        <f ca="1">SUM(E433:I433)/xxNumOfTeams</f>
        <v>0.31240446563327662</v>
      </c>
    </row>
    <row r="434" spans="1:17">
      <c r="A434" s="132"/>
      <c r="B434" s="550"/>
      <c r="C434" s="21"/>
      <c r="D434" s="21"/>
      <c r="E434" s="21"/>
      <c r="F434" s="21"/>
      <c r="G434" s="21"/>
      <c r="H434" s="21"/>
      <c r="I434" s="21"/>
      <c r="J434" s="180"/>
      <c r="K434" s="796"/>
    </row>
    <row r="435" spans="1:17" hidden="1">
      <c r="A435" s="132"/>
      <c r="B435" s="1430" t="str">
        <f>DataNameProd2</f>
        <v>Breakthrough</v>
      </c>
      <c r="C435" s="177"/>
      <c r="D435" s="177"/>
      <c r="E435" s="177"/>
      <c r="F435" s="177"/>
      <c r="G435" s="177"/>
      <c r="H435" s="177"/>
      <c r="I435" s="177"/>
      <c r="J435" s="1431"/>
      <c r="K435" s="796"/>
      <c r="Q435">
        <f>IF($K$436&gt;0,0,1)</f>
        <v>1</v>
      </c>
    </row>
    <row r="436" spans="1:17" hidden="1">
      <c r="A436" s="132"/>
      <c r="B436" s="21" t="s">
        <v>1476</v>
      </c>
      <c r="C436" s="21"/>
      <c r="D436" s="21"/>
      <c r="E436" s="1182">
        <f>finPNLReg1Prod2Rev</f>
        <v>0</v>
      </c>
      <c r="F436" s="1182">
        <f>finPNLReg1Prod2Rev</f>
        <v>0</v>
      </c>
      <c r="G436" s="1182">
        <f>finPNLReg1Prod2Rev</f>
        <v>0</v>
      </c>
      <c r="H436" s="1182">
        <f>finPNLReg1Prod2Rev</f>
        <v>0</v>
      </c>
      <c r="I436" s="1182">
        <f>finPNLReg1Prod2Rev</f>
        <v>0</v>
      </c>
      <c r="J436" s="1182"/>
      <c r="K436" s="1188">
        <f>IF(SUM(E436:I436)=0,0,SUM(E436:I436)/COUNTIF(E436:I436,"&gt;0"))</f>
        <v>0</v>
      </c>
      <c r="Q436">
        <f t="shared" ref="Q436:Q447" si="11">IF($K$436&gt;0,0,1)</f>
        <v>1</v>
      </c>
    </row>
    <row r="437" spans="1:17" hidden="1">
      <c r="A437" s="132"/>
      <c r="B437" s="547" t="s">
        <v>2548</v>
      </c>
      <c r="C437" s="21"/>
      <c r="D437" s="21"/>
      <c r="E437" s="1182">
        <f>finPNLReg1Prod2PromoExp</f>
        <v>0</v>
      </c>
      <c r="F437" s="1182">
        <f>finPNLReg1Prod2PromoExp</f>
        <v>0</v>
      </c>
      <c r="G437" s="1182">
        <f>finPNLReg1Prod2PromoExp</f>
        <v>0</v>
      </c>
      <c r="H437" s="1182">
        <f>finPNLReg1Prod2PromoExp</f>
        <v>0</v>
      </c>
      <c r="I437" s="1182">
        <f>finPNLReg1Prod2PromoExp</f>
        <v>0</v>
      </c>
      <c r="J437" s="1182"/>
      <c r="K437" s="1188">
        <f t="shared" ref="K437:K446" si="12">IF(SUM(E437:I437)=0,0,SUM(E437:I437)/COUNTIF(E437:I437,"&gt;0"))</f>
        <v>0</v>
      </c>
      <c r="Q437">
        <f t="shared" si="11"/>
        <v>1</v>
      </c>
    </row>
    <row r="438" spans="1:17" hidden="1">
      <c r="A438" s="132"/>
      <c r="B438" s="21" t="s">
        <v>1475</v>
      </c>
      <c r="C438" s="21"/>
      <c r="D438" s="21"/>
      <c r="E438" s="1182">
        <f>finPNLReg1Prod2NetRev</f>
        <v>0</v>
      </c>
      <c r="F438" s="1182">
        <f>finPNLReg1Prod2NetRev</f>
        <v>0</v>
      </c>
      <c r="G438" s="1182">
        <f>finPNLReg1Prod2NetRev</f>
        <v>0</v>
      </c>
      <c r="H438" s="1182">
        <f>finPNLReg1Prod2NetRev</f>
        <v>0</v>
      </c>
      <c r="I438" s="1182">
        <f>finPNLReg1Prod2NetRev</f>
        <v>0</v>
      </c>
      <c r="J438" s="1182"/>
      <c r="K438" s="1188">
        <f t="shared" si="12"/>
        <v>0</v>
      </c>
      <c r="Q438">
        <f t="shared" si="11"/>
        <v>1</v>
      </c>
    </row>
    <row r="439" spans="1:17" hidden="1">
      <c r="A439" s="132"/>
      <c r="B439" s="21" t="s">
        <v>3640</v>
      </c>
      <c r="C439" s="21"/>
      <c r="D439" s="21"/>
      <c r="E439" s="1182">
        <f>finPNLReg1Prod2COGSExp</f>
        <v>0</v>
      </c>
      <c r="F439" s="1182">
        <f>finPNLReg1Prod2COGSExp</f>
        <v>0</v>
      </c>
      <c r="G439" s="1182">
        <f>finPNLReg1Prod2COGSExp</f>
        <v>0</v>
      </c>
      <c r="H439" s="1182">
        <f>finPNLReg1Prod2COGSExp</f>
        <v>0</v>
      </c>
      <c r="I439" s="1182">
        <f>finPNLReg1Prod2COGSExp</f>
        <v>0</v>
      </c>
      <c r="J439" s="1182"/>
      <c r="K439" s="1188">
        <f t="shared" si="12"/>
        <v>0</v>
      </c>
      <c r="Q439">
        <f t="shared" si="11"/>
        <v>1</v>
      </c>
    </row>
    <row r="440" spans="1:17" hidden="1">
      <c r="A440" s="132"/>
      <c r="B440" s="21" t="s">
        <v>3800</v>
      </c>
      <c r="C440" s="21"/>
      <c r="D440" s="21"/>
      <c r="E440" s="1182">
        <f>finPNLReg1Prod2GrossMargin</f>
        <v>0</v>
      </c>
      <c r="F440" s="1182">
        <f>finPNLReg1Prod2GrossMargin</f>
        <v>0</v>
      </c>
      <c r="G440" s="1182">
        <f>finPNLReg1Prod2GrossMargin</f>
        <v>0</v>
      </c>
      <c r="H440" s="1182">
        <f>finPNLReg1Prod2GrossMargin</f>
        <v>0</v>
      </c>
      <c r="I440" s="1182">
        <f>finPNLReg1Prod2GrossMargin</f>
        <v>0</v>
      </c>
      <c r="J440" s="1182"/>
      <c r="K440" s="1188">
        <f t="shared" si="12"/>
        <v>0</v>
      </c>
      <c r="Q440">
        <f t="shared" si="11"/>
        <v>1</v>
      </c>
    </row>
    <row r="441" spans="1:17" hidden="1">
      <c r="A441" s="132"/>
      <c r="B441" s="1453" t="s">
        <v>3058</v>
      </c>
      <c r="C441" s="1298"/>
      <c r="D441" s="62"/>
      <c r="E441" s="1415">
        <f>IF(E438=0,0,E440/E438)</f>
        <v>0</v>
      </c>
      <c r="F441" s="1415">
        <f>IF(F438=0,0,F440/F438)</f>
        <v>0</v>
      </c>
      <c r="G441" s="1415">
        <f>IF(G438=0,0,G440/G438)</f>
        <v>0</v>
      </c>
      <c r="H441" s="1415">
        <f>IF(H438=0,0,H440/H438)</f>
        <v>0</v>
      </c>
      <c r="I441" s="1415">
        <f>IF(I438=0,0,I440/I438)</f>
        <v>0</v>
      </c>
      <c r="J441" s="520"/>
      <c r="K441" s="1416">
        <f t="shared" si="12"/>
        <v>0</v>
      </c>
      <c r="Q441">
        <f t="shared" si="11"/>
        <v>1</v>
      </c>
    </row>
    <row r="442" spans="1:17" hidden="1">
      <c r="A442" s="132"/>
      <c r="B442" s="21" t="s">
        <v>1916</v>
      </c>
      <c r="C442" s="21"/>
      <c r="D442" s="21"/>
      <c r="E442" s="1182">
        <f>finPNLReg1Prod2SGAExp</f>
        <v>0</v>
      </c>
      <c r="F442" s="1182">
        <f>finPNLReg1Prod2SGAExp</f>
        <v>0</v>
      </c>
      <c r="G442" s="1182">
        <f>finPNLReg1Prod2SGAExp</f>
        <v>0</v>
      </c>
      <c r="H442" s="1182">
        <f>finPNLReg1Prod2SGAExp</f>
        <v>0</v>
      </c>
      <c r="I442" s="1182">
        <f>finPNLReg1Prod2SGAExp</f>
        <v>0</v>
      </c>
      <c r="J442" s="1182"/>
      <c r="K442" s="1188">
        <f t="shared" si="12"/>
        <v>0</v>
      </c>
      <c r="Q442">
        <f t="shared" si="11"/>
        <v>1</v>
      </c>
    </row>
    <row r="443" spans="1:17" hidden="1">
      <c r="A443" s="132"/>
      <c r="B443" s="21" t="s">
        <v>396</v>
      </c>
      <c r="C443" s="21"/>
      <c r="D443" s="21"/>
      <c r="E443" s="1182">
        <f>finPNLReg1Prod2DisposalExp</f>
        <v>0</v>
      </c>
      <c r="F443" s="1182">
        <f>finPNLReg1Prod2DisposalExp</f>
        <v>0</v>
      </c>
      <c r="G443" s="1182">
        <f>finPNLReg1Prod2DisposalExp</f>
        <v>0</v>
      </c>
      <c r="H443" s="1182">
        <f>finPNLReg1Prod2DisposalExp</f>
        <v>0</v>
      </c>
      <c r="I443" s="1182">
        <f>finPNLReg1Prod2DisposalExp</f>
        <v>0</v>
      </c>
      <c r="J443" s="1182"/>
      <c r="K443" s="1188">
        <f t="shared" si="12"/>
        <v>0</v>
      </c>
      <c r="Q443">
        <f t="shared" si="11"/>
        <v>1</v>
      </c>
    </row>
    <row r="444" spans="1:17" hidden="1">
      <c r="A444" s="132"/>
      <c r="B444" s="21" t="s">
        <v>3411</v>
      </c>
      <c r="C444" s="21"/>
      <c r="D444" s="21"/>
      <c r="E444" s="1182">
        <f ca="1">finPNLReg1Prod2SpecProgExp</f>
        <v>0</v>
      </c>
      <c r="F444" s="1182">
        <f ca="1">finPNLReg1Prod2SpecProgExp</f>
        <v>0</v>
      </c>
      <c r="G444" s="1182">
        <f ca="1">finPNLReg1Prod2SpecProgExp</f>
        <v>0</v>
      </c>
      <c r="H444" s="1182">
        <f ca="1">finPNLReg1Prod2SpecProgExp</f>
        <v>0</v>
      </c>
      <c r="I444" s="1182">
        <f ca="1">finPNLReg1Prod2SpecProgExp</f>
        <v>0</v>
      </c>
      <c r="J444" s="1182"/>
      <c r="K444" s="1188">
        <f t="shared" ca="1" si="12"/>
        <v>0</v>
      </c>
      <c r="Q444">
        <f t="shared" si="11"/>
        <v>1</v>
      </c>
    </row>
    <row r="445" spans="1:17" hidden="1">
      <c r="A445" s="132"/>
      <c r="B445" s="21" t="s">
        <v>174</v>
      </c>
      <c r="C445" s="21"/>
      <c r="D445" s="21"/>
      <c r="E445" s="1182">
        <f ca="1">finPNLReg1Prod2OpsMargin</f>
        <v>0</v>
      </c>
      <c r="F445" s="1182">
        <f ca="1">finPNLReg1Prod2OpsMargin</f>
        <v>0</v>
      </c>
      <c r="G445" s="1182">
        <f ca="1">finPNLReg1Prod2OpsMargin</f>
        <v>0</v>
      </c>
      <c r="H445" s="1182">
        <f ca="1">finPNLReg1Prod2OpsMargin</f>
        <v>0</v>
      </c>
      <c r="I445" s="1182">
        <f ca="1">finPNLReg1Prod2OpsMargin</f>
        <v>0</v>
      </c>
      <c r="J445" s="1182"/>
      <c r="K445" s="1188">
        <f t="shared" ca="1" si="12"/>
        <v>0</v>
      </c>
      <c r="Q445">
        <f t="shared" si="11"/>
        <v>1</v>
      </c>
    </row>
    <row r="446" spans="1:17" hidden="1">
      <c r="A446" s="132"/>
      <c r="B446" s="1453" t="s">
        <v>3059</v>
      </c>
      <c r="C446" s="21"/>
      <c r="D446" s="21"/>
      <c r="E446" s="1415">
        <f>IF(E438=0,0,E445/E438)</f>
        <v>0</v>
      </c>
      <c r="F446" s="1415">
        <f>IF(F438=0,0,F445/F438)</f>
        <v>0</v>
      </c>
      <c r="G446" s="1415">
        <f>IF(G438=0,0,G445/G438)</f>
        <v>0</v>
      </c>
      <c r="H446" s="1415">
        <f>IF(H438=0,0,H445/H438)</f>
        <v>0</v>
      </c>
      <c r="I446" s="1415">
        <f>IF(I438=0,0,I445/I438)</f>
        <v>0</v>
      </c>
      <c r="J446" s="809"/>
      <c r="K446" s="1416">
        <f t="shared" si="12"/>
        <v>0</v>
      </c>
      <c r="Q446">
        <f t="shared" si="11"/>
        <v>1</v>
      </c>
    </row>
    <row r="447" spans="1:17" hidden="1">
      <c r="A447" s="132"/>
      <c r="B447" s="550"/>
      <c r="C447" s="21"/>
      <c r="D447" s="21"/>
      <c r="E447" s="21"/>
      <c r="F447" s="21"/>
      <c r="G447" s="21"/>
      <c r="H447" s="21"/>
      <c r="I447" s="21"/>
      <c r="J447" s="180"/>
      <c r="K447" s="796"/>
      <c r="Q447">
        <f t="shared" si="11"/>
        <v>1</v>
      </c>
    </row>
    <row r="448" spans="1:17">
      <c r="A448" s="132"/>
      <c r="B448" s="1412" t="s">
        <v>3848</v>
      </c>
      <c r="C448" s="601"/>
      <c r="D448" s="601"/>
      <c r="E448" s="601"/>
      <c r="F448" s="601"/>
      <c r="G448" s="601"/>
      <c r="H448" s="601"/>
      <c r="I448" s="601"/>
      <c r="J448" s="1413"/>
      <c r="K448" s="796"/>
    </row>
    <row r="449" spans="1:11">
      <c r="A449" s="132"/>
      <c r="B449" s="21" t="s">
        <v>1476</v>
      </c>
      <c r="C449" s="21"/>
      <c r="D449" s="1414"/>
      <c r="E449" s="1182">
        <f>finPNLReg1Rev</f>
        <v>19169523699.5</v>
      </c>
      <c r="F449" s="1182">
        <f>finPNLReg1Rev</f>
        <v>19169523699.5</v>
      </c>
      <c r="G449" s="1182">
        <f>finPNLReg1Rev</f>
        <v>19169523699.5</v>
      </c>
      <c r="H449" s="1182">
        <f>finPNLReg1Rev</f>
        <v>19169523699.5</v>
      </c>
      <c r="I449" s="1182">
        <f>finPNLReg1Rev</f>
        <v>19169523699.5</v>
      </c>
      <c r="J449" s="1182"/>
      <c r="K449" s="1188">
        <f>SUM(E449:I449)/xxNumOfTeams</f>
        <v>19169523699.5</v>
      </c>
    </row>
    <row r="450" spans="1:11">
      <c r="A450" s="132"/>
      <c r="B450" s="547" t="s">
        <v>2548</v>
      </c>
      <c r="C450" s="21"/>
      <c r="D450" s="21"/>
      <c r="E450" s="1182">
        <f>finPNLReg1PromoExp</f>
        <v>3065000000</v>
      </c>
      <c r="F450" s="1182">
        <f>finPNLReg1PromoExp</f>
        <v>3065000000</v>
      </c>
      <c r="G450" s="1182">
        <f>finPNLReg1PromoExp</f>
        <v>3065000000</v>
      </c>
      <c r="H450" s="1182">
        <f>finPNLReg1PromoExp</f>
        <v>3065000000</v>
      </c>
      <c r="I450" s="1182">
        <f>finPNLReg1PromoExp</f>
        <v>3065000000</v>
      </c>
      <c r="J450" s="1182"/>
      <c r="K450" s="1188">
        <f>SUM(E450:I450)/xxNumOfTeams</f>
        <v>3065000000</v>
      </c>
    </row>
    <row r="451" spans="1:11">
      <c r="A451" s="132"/>
      <c r="B451" s="21" t="s">
        <v>1475</v>
      </c>
      <c r="C451" s="21"/>
      <c r="D451" s="21"/>
      <c r="E451" s="1182">
        <f>finPNLReg1NetRev</f>
        <v>16104523699.5</v>
      </c>
      <c r="F451" s="1182">
        <f>finPNLReg1NetRev</f>
        <v>16104523699.5</v>
      </c>
      <c r="G451" s="1182">
        <f>finPNLReg1NetRev</f>
        <v>16104523699.5</v>
      </c>
      <c r="H451" s="1182">
        <f>finPNLReg1NetRev</f>
        <v>16104523699.5</v>
      </c>
      <c r="I451" s="1182">
        <f>finPNLReg1NetRev</f>
        <v>16104523699.5</v>
      </c>
      <c r="J451" s="1182"/>
      <c r="K451" s="1188">
        <f>SUM(E451:I451)/xxNumOfTeams</f>
        <v>16104523699.5</v>
      </c>
    </row>
    <row r="452" spans="1:11">
      <c r="A452" s="132"/>
      <c r="B452" s="21" t="s">
        <v>3640</v>
      </c>
      <c r="C452" s="21"/>
      <c r="D452" s="21"/>
      <c r="E452" s="1182">
        <f ca="1">finPNLReg1COGSExp</f>
        <v>8063530692.197279</v>
      </c>
      <c r="F452" s="1182">
        <f ca="1">finPNLReg1COGSExp</f>
        <v>8063530692.197279</v>
      </c>
      <c r="G452" s="1182">
        <f ca="1">finPNLReg1COGSExp</f>
        <v>8063530692.197279</v>
      </c>
      <c r="H452" s="1182">
        <f ca="1">finPNLReg1COGSExp</f>
        <v>8063530692.197279</v>
      </c>
      <c r="I452" s="1182">
        <f ca="1">finPNLReg1COGSExp</f>
        <v>8063530692.197279</v>
      </c>
      <c r="J452" s="1182"/>
      <c r="K452" s="1188">
        <f ca="1">SUM(E452:I452)/xxNumOfTeams</f>
        <v>8063530692.197279</v>
      </c>
    </row>
    <row r="453" spans="1:11">
      <c r="A453" s="132"/>
      <c r="B453" s="21" t="s">
        <v>3800</v>
      </c>
      <c r="C453" s="21"/>
      <c r="D453" s="21"/>
      <c r="E453" s="1182">
        <f ca="1">finPNLReg1GrossMargin</f>
        <v>8040993007.302721</v>
      </c>
      <c r="F453" s="1182">
        <f ca="1">finPNLReg1GrossMargin</f>
        <v>8040993007.302721</v>
      </c>
      <c r="G453" s="1182">
        <f ca="1">finPNLReg1GrossMargin</f>
        <v>8040993007.302721</v>
      </c>
      <c r="H453" s="1182">
        <f ca="1">finPNLReg1GrossMargin</f>
        <v>8040993007.302721</v>
      </c>
      <c r="I453" s="1182">
        <f ca="1">finPNLReg1GrossMargin</f>
        <v>8040993007.302721</v>
      </c>
      <c r="J453" s="1182"/>
      <c r="K453" s="1188">
        <f ca="1">SUM(E453:I453)/xxNumOfTeams</f>
        <v>8040993007.302721</v>
      </c>
    </row>
    <row r="454" spans="1:11">
      <c r="A454" s="132"/>
      <c r="B454" s="1453" t="s">
        <v>3058</v>
      </c>
      <c r="C454" s="1298"/>
      <c r="D454" s="62"/>
      <c r="E454" s="522">
        <f ca="1">E453/E451</f>
        <v>0.49930026850482834</v>
      </c>
      <c r="F454" s="522">
        <f ca="1">F453/F451</f>
        <v>0.49930026850482834</v>
      </c>
      <c r="G454" s="522">
        <f ca="1">G453/G451</f>
        <v>0.49930026850482834</v>
      </c>
      <c r="H454" s="522">
        <f ca="1">H453/H451</f>
        <v>0.49930026850482834</v>
      </c>
      <c r="I454" s="522">
        <f ca="1">I453/I451</f>
        <v>0.49930026850482834</v>
      </c>
      <c r="J454" s="520"/>
      <c r="K454" s="811"/>
    </row>
    <row r="455" spans="1:11">
      <c r="A455" s="132"/>
      <c r="B455" s="21" t="s">
        <v>1916</v>
      </c>
      <c r="C455" s="21"/>
      <c r="D455" s="21"/>
      <c r="E455" s="1182">
        <f ca="1">finPNLReg1SGAExp</f>
        <v>3932530148.3283691</v>
      </c>
      <c r="F455" s="1182">
        <f ca="1">finPNLReg1SGAExp</f>
        <v>3932530148.3283691</v>
      </c>
      <c r="G455" s="1182">
        <f ca="1">finPNLReg1SGAExp</f>
        <v>3932530148.3283691</v>
      </c>
      <c r="H455" s="1182">
        <f ca="1">finPNLReg1SGAExp</f>
        <v>3932530148.3283691</v>
      </c>
      <c r="I455" s="1182">
        <f ca="1">finPNLReg1SGAExp</f>
        <v>3932530148.3283691</v>
      </c>
      <c r="J455" s="1182"/>
      <c r="K455" s="1188">
        <f ca="1">SUM(E455:I455)/xxNumOfTeams</f>
        <v>3932530148.3283691</v>
      </c>
    </row>
    <row r="456" spans="1:11">
      <c r="A456" s="132"/>
      <c r="B456" s="21" t="s">
        <v>396</v>
      </c>
      <c r="C456" s="21"/>
      <c r="D456" s="21"/>
      <c r="E456" s="1182">
        <f ca="1">finPNLReg1DisposalExp</f>
        <v>114609854.03557056</v>
      </c>
      <c r="F456" s="1182">
        <f ca="1">finPNLReg1DisposalExp</f>
        <v>114609854.03557056</v>
      </c>
      <c r="G456" s="1182">
        <f ca="1">finPNLReg1DisposalExp</f>
        <v>114609854.03557056</v>
      </c>
      <c r="H456" s="1182">
        <f ca="1">finPNLReg1DisposalExp</f>
        <v>114609854.03557056</v>
      </c>
      <c r="I456" s="1182">
        <f ca="1">finPNLReg1DisposalExp</f>
        <v>114609854.03557056</v>
      </c>
      <c r="J456" s="1182"/>
      <c r="K456" s="1188">
        <f ca="1">SUM(E456:I456)/xxNumOfTeams</f>
        <v>114609854.03557058</v>
      </c>
    </row>
    <row r="457" spans="1:11">
      <c r="A457" s="132"/>
      <c r="B457" s="21" t="s">
        <v>3411</v>
      </c>
      <c r="C457" s="21"/>
      <c r="D457" s="21"/>
      <c r="E457" s="1182">
        <f>finPNLReg1SpecProgExp</f>
        <v>0</v>
      </c>
      <c r="F457" s="1182">
        <f>finPNLReg1SpecProgExp</f>
        <v>0</v>
      </c>
      <c r="G457" s="1182">
        <f>finPNLReg1SpecProgExp</f>
        <v>0</v>
      </c>
      <c r="H457" s="1182">
        <f>finPNLReg1SpecProgExp</f>
        <v>0</v>
      </c>
      <c r="I457" s="1182">
        <f>finPNLReg1SpecProgExp</f>
        <v>0</v>
      </c>
      <c r="J457" s="1182"/>
      <c r="K457" s="1188">
        <f>SUM(E457:I457)/xxNumOfTeams</f>
        <v>0</v>
      </c>
    </row>
    <row r="458" spans="1:11">
      <c r="A458" s="132"/>
      <c r="B458" s="21" t="s">
        <v>174</v>
      </c>
      <c r="C458" s="21"/>
      <c r="D458" s="21"/>
      <c r="E458" s="1182">
        <f ca="1">finPNLReg1OpsMargin</f>
        <v>3866468225.2598801</v>
      </c>
      <c r="F458" s="1182">
        <f ca="1">finPNLReg1OpsMargin</f>
        <v>3866468225.2598801</v>
      </c>
      <c r="G458" s="1182">
        <f ca="1">finPNLReg1OpsMargin</f>
        <v>3866468225.2598801</v>
      </c>
      <c r="H458" s="1182">
        <f ca="1">finPNLReg1OpsMargin</f>
        <v>3866468225.2598801</v>
      </c>
      <c r="I458" s="1182">
        <f ca="1">finPNLReg1OpsMargin</f>
        <v>3866468225.2598801</v>
      </c>
      <c r="J458" s="1182"/>
      <c r="K458" s="1188">
        <f ca="1">SUM(E458:I458)/xxNumOfTeams</f>
        <v>3866468225.2598801</v>
      </c>
    </row>
    <row r="459" spans="1:11">
      <c r="A459" s="132"/>
      <c r="B459" s="1453" t="s">
        <v>3059</v>
      </c>
      <c r="C459" s="21"/>
      <c r="D459" s="21"/>
      <c r="E459" s="1166">
        <f ca="1">E458/E451</f>
        <v>0.24008584776586239</v>
      </c>
      <c r="F459" s="1166">
        <f ca="1">F458/F451</f>
        <v>0.24008584776586239</v>
      </c>
      <c r="G459" s="1166">
        <f ca="1">G458/G451</f>
        <v>0.24008584776586239</v>
      </c>
      <c r="H459" s="1166">
        <f ca="1">H458/H451</f>
        <v>0.24008584776586239</v>
      </c>
      <c r="I459" s="1166">
        <f ca="1">I458/I451</f>
        <v>0.24008584776586239</v>
      </c>
      <c r="J459" s="809"/>
      <c r="K459" s="807">
        <f ca="1">SUM(E459:I459)/xxNumOfTeams</f>
        <v>0.24008584776586242</v>
      </c>
    </row>
    <row r="460" spans="1:11" ht="12" thickBot="1">
      <c r="A460" s="134"/>
      <c r="B460" s="411"/>
      <c r="C460" s="411"/>
      <c r="D460" s="411"/>
      <c r="E460" s="411"/>
      <c r="F460" s="411"/>
      <c r="G460" s="411"/>
      <c r="H460" s="411"/>
      <c r="I460" s="411"/>
      <c r="J460" s="763"/>
      <c r="K460" s="812"/>
    </row>
    <row r="461" spans="1:11" ht="15.75">
      <c r="A461" s="407" t="s">
        <v>1599</v>
      </c>
      <c r="B461" s="182"/>
      <c r="C461" s="182"/>
      <c r="D461" s="182"/>
      <c r="E461" s="731" t="str">
        <f>decTeamName</f>
        <v>Vivia</v>
      </c>
      <c r="F461" s="731" t="str">
        <f>decTeamName</f>
        <v>Vivia</v>
      </c>
      <c r="G461" s="731" t="str">
        <f>decTeamName</f>
        <v>Vivia</v>
      </c>
      <c r="H461" s="731" t="str">
        <f>decTeamName</f>
        <v>Vivia</v>
      </c>
      <c r="I461" s="731" t="str">
        <f>decTeamName</f>
        <v>Vivia</v>
      </c>
      <c r="J461" s="742"/>
      <c r="K461" s="823" t="s">
        <v>2718</v>
      </c>
    </row>
    <row r="462" spans="1:11" s="33" customFormat="1" ht="5.0999999999999996" customHeight="1">
      <c r="A462" s="543"/>
      <c r="B462" s="568"/>
      <c r="C462" s="568"/>
      <c r="D462" s="568"/>
      <c r="E462" s="176"/>
      <c r="F462" s="176"/>
      <c r="G462" s="176"/>
      <c r="H462" s="176"/>
      <c r="I462" s="176"/>
      <c r="J462" s="536"/>
      <c r="K462" s="795"/>
    </row>
    <row r="463" spans="1:11" ht="12.75">
      <c r="A463" s="132"/>
      <c r="B463" s="893" t="s">
        <v>200</v>
      </c>
      <c r="C463" s="21"/>
      <c r="D463" s="21"/>
      <c r="E463" s="38"/>
      <c r="F463" s="38"/>
      <c r="G463" s="38"/>
      <c r="H463" s="38"/>
      <c r="I463" s="38"/>
      <c r="J463" s="180"/>
      <c r="K463" s="796"/>
    </row>
    <row r="464" spans="1:11">
      <c r="A464" s="132"/>
      <c r="B464" s="21" t="s">
        <v>243</v>
      </c>
      <c r="C464" s="21"/>
      <c r="D464" s="21"/>
      <c r="E464" s="520">
        <f>cbalEmp2</f>
        <v>2100</v>
      </c>
      <c r="F464" s="520">
        <f>cbalEmp2</f>
        <v>2100</v>
      </c>
      <c r="G464" s="520">
        <f>cbalEmp2</f>
        <v>2100</v>
      </c>
      <c r="H464" s="520">
        <f>cbalEmp2</f>
        <v>2100</v>
      </c>
      <c r="I464" s="520">
        <f>cbalEmp2</f>
        <v>2100</v>
      </c>
      <c r="J464" s="180"/>
      <c r="K464" s="817">
        <f>SUM(E464:I464)/xxNumOfTeams</f>
        <v>2100</v>
      </c>
    </row>
    <row r="465" spans="1:11">
      <c r="A465" s="132"/>
      <c r="B465" s="21" t="s">
        <v>1722</v>
      </c>
      <c r="C465" s="21"/>
      <c r="D465" s="21"/>
      <c r="E465" s="520">
        <f>capReg2ChanLevel</f>
        <v>3</v>
      </c>
      <c r="F465" s="520">
        <f>capReg2ChanLevel</f>
        <v>3</v>
      </c>
      <c r="G465" s="520">
        <f>capReg2ChanLevel</f>
        <v>3</v>
      </c>
      <c r="H465" s="520">
        <f>capReg2ChanLevel</f>
        <v>3</v>
      </c>
      <c r="I465" s="520">
        <f>capReg2ChanLevel</f>
        <v>3</v>
      </c>
      <c r="J465" s="180"/>
      <c r="K465" s="817">
        <f>SUM(E465:I465)/xxNumOfTeams</f>
        <v>3</v>
      </c>
    </row>
    <row r="466" spans="1:11" ht="11.25" customHeight="1">
      <c r="A466" s="132"/>
      <c r="B466" s="893"/>
      <c r="C466" s="21"/>
      <c r="D466" s="21"/>
      <c r="E466" s="38"/>
      <c r="F466" s="38"/>
      <c r="G466" s="38"/>
      <c r="H466" s="38"/>
      <c r="I466" s="38"/>
      <c r="J466" s="180"/>
      <c r="K466" s="796"/>
    </row>
    <row r="467" spans="1:11" ht="12.75">
      <c r="A467" s="132"/>
      <c r="B467" s="893" t="str">
        <f>DataNameProd1</f>
        <v>CSD</v>
      </c>
      <c r="C467" s="21"/>
      <c r="D467" s="21"/>
      <c r="E467" s="38"/>
      <c r="F467" s="38"/>
      <c r="G467" s="38"/>
      <c r="H467" s="38"/>
      <c r="I467" s="38"/>
      <c r="J467" s="180"/>
      <c r="K467" s="796"/>
    </row>
    <row r="468" spans="1:11">
      <c r="A468" s="132"/>
      <c r="B468" s="21" t="s">
        <v>1402</v>
      </c>
      <c r="C468" s="21"/>
      <c r="D468" s="21"/>
      <c r="E468" s="532">
        <f>capProd1Reg2Price</f>
        <v>7</v>
      </c>
      <c r="F468" s="532">
        <f>capProd1Reg2Price</f>
        <v>7</v>
      </c>
      <c r="G468" s="532">
        <f>capProd1Reg2Price</f>
        <v>7</v>
      </c>
      <c r="H468" s="532">
        <f>capProd1Reg2Price</f>
        <v>7</v>
      </c>
      <c r="I468" s="532">
        <f>capProd1Reg2Price</f>
        <v>7</v>
      </c>
      <c r="J468" s="525"/>
      <c r="K468" s="818">
        <f>SUM(E468:I468)/xxNumOfTeams</f>
        <v>7</v>
      </c>
    </row>
    <row r="469" spans="1:11" ht="6" customHeight="1">
      <c r="A469" s="132"/>
      <c r="B469" s="21"/>
      <c r="C469" s="21"/>
      <c r="D469" s="21"/>
      <c r="E469" s="532"/>
      <c r="F469" s="532"/>
      <c r="G469" s="532"/>
      <c r="H469" s="532"/>
      <c r="I469" s="532"/>
      <c r="J469" s="525"/>
      <c r="K469" s="818"/>
    </row>
    <row r="470" spans="1:11">
      <c r="A470" s="132"/>
      <c r="B470" s="21" t="s">
        <v>1508</v>
      </c>
      <c r="C470" s="21"/>
      <c r="D470" s="21"/>
      <c r="E470" s="809">
        <f>capProd1Reg2Units/INDEX(xxMMProd1Seg2Units,xxYear+3)</f>
        <v>0.1955199998922042</v>
      </c>
      <c r="F470" s="809">
        <f>capProd1Reg2Units/INDEX(xxMMProd1Seg2Units,xxYear+3)</f>
        <v>0.1955199998922042</v>
      </c>
      <c r="G470" s="809">
        <f>capProd1Reg2Units/INDEX(xxMMProd1Seg2Units,xxYear+3)</f>
        <v>0.1955199998922042</v>
      </c>
      <c r="H470" s="809">
        <f>capProd1Reg2Units/INDEX(xxMMProd1Seg2Units,xxYear+3)</f>
        <v>0.1955199998922042</v>
      </c>
      <c r="I470" s="809">
        <f>capProd1Reg2Units/INDEX(xxMMProd1Seg2Units,xxYear+3)</f>
        <v>0.1955199998922042</v>
      </c>
      <c r="J470" s="520"/>
      <c r="K470" s="811"/>
    </row>
    <row r="471" spans="1:11" ht="12.75">
      <c r="A471" s="132"/>
      <c r="B471" s="545" t="s">
        <v>2831</v>
      </c>
      <c r="C471" s="545"/>
      <c r="D471" s="545"/>
      <c r="E471" s="888">
        <f>mmProd1Seg2ActShare</f>
        <v>0.2</v>
      </c>
      <c r="F471" s="888">
        <f>mmProd1Seg2ActShare</f>
        <v>0.2</v>
      </c>
      <c r="G471" s="888">
        <f>mmProd1Seg2ActShare</f>
        <v>0.2</v>
      </c>
      <c r="H471" s="888">
        <f>mmProd1Seg2ActShare</f>
        <v>0.2</v>
      </c>
      <c r="I471" s="888">
        <f>mmProd1Seg2ActShare</f>
        <v>0.2</v>
      </c>
      <c r="J471" s="888"/>
      <c r="K471" s="889"/>
    </row>
    <row r="472" spans="1:11" ht="12.75">
      <c r="A472" s="132"/>
      <c r="B472" s="38" t="s">
        <v>3471</v>
      </c>
      <c r="C472" s="38"/>
      <c r="D472" s="38"/>
      <c r="E472" s="616">
        <f>E500</f>
        <v>0.2</v>
      </c>
      <c r="F472" s="616">
        <f>F500</f>
        <v>0.2</v>
      </c>
      <c r="G472" s="616">
        <f>G500</f>
        <v>0.2</v>
      </c>
      <c r="H472" s="616">
        <f>H500</f>
        <v>0.2</v>
      </c>
      <c r="I472" s="616">
        <f>I500</f>
        <v>0.2</v>
      </c>
      <c r="J472" s="888"/>
      <c r="K472" s="889"/>
    </row>
    <row r="473" spans="1:11" ht="6" customHeight="1">
      <c r="A473" s="132"/>
      <c r="B473" s="38"/>
      <c r="C473" s="38"/>
      <c r="D473" s="38"/>
      <c r="E473" s="616"/>
      <c r="F473" s="616"/>
      <c r="G473" s="616"/>
      <c r="H473" s="616"/>
      <c r="I473" s="616"/>
      <c r="J473" s="888"/>
      <c r="K473" s="889"/>
    </row>
    <row r="474" spans="1:11">
      <c r="A474" s="132"/>
      <c r="B474" s="149" t="s">
        <v>3469</v>
      </c>
      <c r="C474" s="21"/>
      <c r="D474" s="21"/>
      <c r="E474" s="520">
        <f>capReg2Prod1UnitsSold</f>
        <v>356800000</v>
      </c>
      <c r="F474" s="520">
        <f>capReg2Prod1UnitsSold</f>
        <v>356800000</v>
      </c>
      <c r="G474" s="520">
        <f>capReg2Prod1UnitsSold</f>
        <v>356800000</v>
      </c>
      <c r="H474" s="520">
        <f>capReg2Prod1UnitsSold</f>
        <v>356800000</v>
      </c>
      <c r="I474" s="520">
        <f>capReg2Prod1UnitsSold</f>
        <v>356800000</v>
      </c>
      <c r="J474" s="520"/>
      <c r="K474" s="817">
        <f>SUM(E474:I474)/xxNumOfTeams</f>
        <v>356800000</v>
      </c>
    </row>
    <row r="475" spans="1:11">
      <c r="A475" s="132"/>
      <c r="B475" s="149" t="s">
        <v>3331</v>
      </c>
      <c r="C475" s="21"/>
      <c r="D475" s="21"/>
      <c r="E475" s="526">
        <f>E474*E468</f>
        <v>2497600000</v>
      </c>
      <c r="F475" s="526">
        <f>F474*F468</f>
        <v>2497600000</v>
      </c>
      <c r="G475" s="526">
        <f>G474*G468</f>
        <v>2497600000</v>
      </c>
      <c r="H475" s="526">
        <f>H474*H468</f>
        <v>2497600000</v>
      </c>
      <c r="I475" s="526">
        <f>I474*I468</f>
        <v>2497600000</v>
      </c>
      <c r="J475" s="520"/>
      <c r="K475" s="820">
        <f>SUM(E475:I475)/xxNumOfTeams</f>
        <v>2497600000</v>
      </c>
    </row>
    <row r="476" spans="1:11" ht="12.75">
      <c r="A476" s="132"/>
      <c r="B476" s="181" t="s">
        <v>3470</v>
      </c>
      <c r="C476" s="545"/>
      <c r="D476" s="545"/>
      <c r="E476" s="890">
        <f>mmProd1!E243</f>
        <v>5959987</v>
      </c>
      <c r="F476" s="890">
        <f>mmProd1!F243</f>
        <v>5959987</v>
      </c>
      <c r="G476" s="890">
        <f>mmProd1!G243</f>
        <v>5959987</v>
      </c>
      <c r="H476" s="890">
        <f>mmProd1!H243</f>
        <v>5959987</v>
      </c>
      <c r="I476" s="890">
        <f>mmProd1!I243</f>
        <v>5959987</v>
      </c>
      <c r="J476" s="891"/>
      <c r="K476" s="892">
        <f>SUM(E476:I476)/xxNumOfTeams</f>
        <v>5959987</v>
      </c>
    </row>
    <row r="477" spans="1:11" ht="12.75">
      <c r="A477" s="132"/>
      <c r="B477" s="149" t="s">
        <v>3330</v>
      </c>
      <c r="C477" s="545"/>
      <c r="D477" s="545"/>
      <c r="E477" s="526">
        <f>IF(E476&gt;0,0,-1*E476*E468)</f>
        <v>0</v>
      </c>
      <c r="F477" s="526">
        <f>IF(F476&gt;0,0,-1*F476*F468)</f>
        <v>0</v>
      </c>
      <c r="G477" s="526">
        <f>IF(G476&gt;0,0,-1*G476*G468)</f>
        <v>0</v>
      </c>
      <c r="H477" s="526">
        <f>IF(H476&gt;0,0,-1*H476*H468)</f>
        <v>0</v>
      </c>
      <c r="I477" s="526">
        <f>IF(I476&gt;0,0,-1*I476*I468)</f>
        <v>0</v>
      </c>
      <c r="J477" s="891"/>
      <c r="K477" s="820">
        <f>SUM(E477:I477)/xxNumOfTeams</f>
        <v>0</v>
      </c>
    </row>
    <row r="478" spans="1:11" ht="6" customHeight="1">
      <c r="A478" s="132"/>
      <c r="B478" s="21"/>
      <c r="C478" s="21"/>
      <c r="D478" s="21"/>
      <c r="E478" s="38"/>
      <c r="F478" s="38"/>
      <c r="G478" s="38"/>
      <c r="H478" s="38"/>
      <c r="I478" s="38"/>
      <c r="J478" s="180"/>
      <c r="K478" s="796"/>
    </row>
    <row r="479" spans="1:11">
      <c r="A479" s="132"/>
      <c r="B479" s="548" t="s">
        <v>1726</v>
      </c>
      <c r="C479" s="21"/>
      <c r="D479" s="21"/>
      <c r="E479" s="21" t="str">
        <f>decProd1Ftr4LevelDec</f>
        <v>Intermediate</v>
      </c>
      <c r="F479" s="21" t="str">
        <f>decProd1Ftr4LevelDec</f>
        <v>Intermediate</v>
      </c>
      <c r="G479" s="21" t="str">
        <f>decProd1Ftr4LevelDec</f>
        <v>Intermediate</v>
      </c>
      <c r="H479" s="21" t="str">
        <f>decProd1Ftr4LevelDec</f>
        <v>Intermediate</v>
      </c>
      <c r="I479" s="21" t="str">
        <f>decProd1Ftr4LevelDec</f>
        <v>Intermediate</v>
      </c>
      <c r="J479" s="180"/>
      <c r="K479" s="796"/>
    </row>
    <row r="480" spans="1:11" ht="6" customHeight="1">
      <c r="A480" s="132"/>
      <c r="B480" s="548"/>
      <c r="C480" s="21"/>
      <c r="D480" s="21"/>
      <c r="E480" s="21"/>
      <c r="F480" s="21"/>
      <c r="G480" s="21"/>
      <c r="H480" s="21"/>
      <c r="I480" s="21"/>
      <c r="J480" s="180"/>
      <c r="K480" s="796"/>
    </row>
    <row r="481" spans="1:11">
      <c r="A481" s="132"/>
      <c r="B481" s="21" t="s">
        <v>3455</v>
      </c>
      <c r="C481" s="21"/>
      <c r="D481" s="21"/>
      <c r="E481" s="1182">
        <f>capProd1AdvR2</f>
        <v>80000000</v>
      </c>
      <c r="F481" s="1182">
        <f>capProd1AdvR2</f>
        <v>80000000</v>
      </c>
      <c r="G481" s="1182">
        <f>capProd1AdvR2</f>
        <v>80000000</v>
      </c>
      <c r="H481" s="1182">
        <f>capProd1AdvR2</f>
        <v>80000000</v>
      </c>
      <c r="I481" s="1182">
        <f>capProd1AdvR2</f>
        <v>80000000</v>
      </c>
      <c r="J481" s="1182"/>
      <c r="K481" s="1188">
        <f>SUM(E481:I481)/xxNumOfTeams</f>
        <v>80000000</v>
      </c>
    </row>
    <row r="482" spans="1:11">
      <c r="A482" s="132"/>
      <c r="B482" s="21" t="s">
        <v>3456</v>
      </c>
      <c r="C482" s="21"/>
      <c r="D482" s="21"/>
      <c r="E482" s="1182">
        <f>capProd1PromoR2</f>
        <v>195000000</v>
      </c>
      <c r="F482" s="1182">
        <f>capProd1PromoR2</f>
        <v>195000000</v>
      </c>
      <c r="G482" s="1182">
        <f>capProd1PromoR2</f>
        <v>195000000</v>
      </c>
      <c r="H482" s="1182">
        <f>capProd1PromoR2</f>
        <v>195000000</v>
      </c>
      <c r="I482" s="1182">
        <f>capProd1PromoR2</f>
        <v>195000000</v>
      </c>
      <c r="J482" s="1182"/>
      <c r="K482" s="1188">
        <f>SUM(E482:I482)/xxNumOfTeams</f>
        <v>195000000</v>
      </c>
    </row>
    <row r="483" spans="1:11">
      <c r="A483" s="132"/>
      <c r="B483" s="21" t="s">
        <v>199</v>
      </c>
      <c r="C483" s="21"/>
      <c r="D483" s="21"/>
      <c r="E483" s="92">
        <f>paramReg2Prod1CommSpendEffect</f>
        <v>1</v>
      </c>
      <c r="F483" s="92">
        <f>paramReg2Prod1CommSpendEffect</f>
        <v>1</v>
      </c>
      <c r="G483" s="92">
        <f>paramReg2Prod1CommSpendEffect</f>
        <v>1</v>
      </c>
      <c r="H483" s="92">
        <f>paramReg2Prod1CommSpendEffect</f>
        <v>1</v>
      </c>
      <c r="I483" s="92">
        <f>paramReg2Prod1CommSpendEffect</f>
        <v>1</v>
      </c>
      <c r="J483" s="92"/>
      <c r="K483" s="806">
        <f>SUM(E483:I483)/xxNumOfTeams</f>
        <v>1</v>
      </c>
    </row>
    <row r="484" spans="1:11" ht="6" customHeight="1">
      <c r="A484" s="132"/>
      <c r="B484" s="62"/>
      <c r="C484" s="62"/>
      <c r="D484" s="62"/>
      <c r="E484" s="520"/>
      <c r="F484" s="520"/>
      <c r="G484" s="520"/>
      <c r="H484" s="520"/>
      <c r="I484" s="520"/>
      <c r="J484" s="180"/>
      <c r="K484" s="796"/>
    </row>
    <row r="485" spans="1:11">
      <c r="A485" s="132"/>
      <c r="B485" s="452" t="str">
        <f>DataNameProd1&amp;" Escendia"</f>
        <v>CSD Escendia</v>
      </c>
      <c r="C485" s="452"/>
      <c r="D485" s="744"/>
      <c r="E485" s="744"/>
      <c r="F485" s="150"/>
      <c r="G485" s="150"/>
      <c r="H485" s="150"/>
      <c r="I485" s="150"/>
      <c r="J485" s="180"/>
      <c r="K485" s="796"/>
    </row>
    <row r="486" spans="1:11">
      <c r="A486" s="132"/>
      <c r="B486" s="757" t="s">
        <v>1135</v>
      </c>
      <c r="C486" s="758">
        <v>5530400000</v>
      </c>
      <c r="D486" s="759"/>
      <c r="E486" s="759"/>
      <c r="F486" s="643"/>
      <c r="G486" s="759"/>
      <c r="H486" s="644"/>
      <c r="I486" s="760" t="s">
        <v>2673</v>
      </c>
      <c r="J486" s="761">
        <v>3746399999.9999995</v>
      </c>
      <c r="K486" s="796"/>
    </row>
    <row r="487" spans="1:11">
      <c r="A487" s="132"/>
      <c r="B487" s="756" t="s">
        <v>2958</v>
      </c>
      <c r="C487" s="762"/>
      <c r="D487" s="325"/>
      <c r="E487" s="744" t="str">
        <f>decTeamName</f>
        <v>Vivia</v>
      </c>
      <c r="F487" s="744" t="str">
        <f>decTeamName</f>
        <v>Vivia</v>
      </c>
      <c r="G487" s="744" t="str">
        <f>decTeamName</f>
        <v>Vivia</v>
      </c>
      <c r="H487" s="744" t="str">
        <f>decTeamName</f>
        <v>Vivia</v>
      </c>
      <c r="I487" s="744" t="str">
        <f>decTeamName</f>
        <v>Vivia</v>
      </c>
      <c r="J487" s="745"/>
      <c r="K487" s="796"/>
    </row>
    <row r="488" spans="1:11">
      <c r="A488" s="132"/>
      <c r="B488" s="233" t="str">
        <f>mmProd1!C314</f>
        <v>Price</v>
      </c>
      <c r="C488" s="328">
        <f>mmProd1!D314</f>
        <v>54</v>
      </c>
      <c r="D488" s="634"/>
      <c r="E488" s="634">
        <f>mmProd1!E314</f>
        <v>0</v>
      </c>
      <c r="F488" s="635">
        <f>mmProd1!F314</f>
        <v>0</v>
      </c>
      <c r="G488" s="635">
        <f>mmProd1!G314</f>
        <v>0</v>
      </c>
      <c r="H488" s="635">
        <f>mmProd1!H314</f>
        <v>0</v>
      </c>
      <c r="I488" s="636">
        <f>mmProd1!I314</f>
        <v>0</v>
      </c>
      <c r="J488" s="331">
        <f>mmProd1!J314</f>
        <v>135</v>
      </c>
      <c r="K488" s="796"/>
    </row>
    <row r="489" spans="1:11">
      <c r="A489" s="132"/>
      <c r="B489" s="233" t="str">
        <f>mmProd1!C315</f>
        <v>Range Of Products</v>
      </c>
      <c r="C489" s="328">
        <f>mmProd1!D315</f>
        <v>8</v>
      </c>
      <c r="D489" s="637"/>
      <c r="E489" s="637">
        <f>mmProd1!E315</f>
        <v>0</v>
      </c>
      <c r="F489" s="624">
        <f>mmProd1!F315</f>
        <v>0</v>
      </c>
      <c r="G489" s="624">
        <f>mmProd1!G315</f>
        <v>0</v>
      </c>
      <c r="H489" s="624">
        <f>mmProd1!H315</f>
        <v>0</v>
      </c>
      <c r="I489" s="638">
        <f>mmProd1!I315</f>
        <v>0</v>
      </c>
      <c r="J489" s="334">
        <f>mmProd1!J315</f>
        <v>20</v>
      </c>
      <c r="K489" s="796"/>
    </row>
    <row r="490" spans="1:11">
      <c r="A490" s="132"/>
      <c r="B490" s="233" t="str">
        <f>mmProd1!C317</f>
        <v>Advertising</v>
      </c>
      <c r="C490" s="328">
        <f>mmProd1!D317</f>
        <v>7</v>
      </c>
      <c r="D490" s="637"/>
      <c r="E490" s="637">
        <f>mmProd1!E317</f>
        <v>0</v>
      </c>
      <c r="F490" s="624">
        <f>mmProd1!F317</f>
        <v>0</v>
      </c>
      <c r="G490" s="624">
        <f>mmProd1!G317</f>
        <v>0</v>
      </c>
      <c r="H490" s="624">
        <f>mmProd1!H317</f>
        <v>0</v>
      </c>
      <c r="I490" s="638">
        <f>mmProd1!I317</f>
        <v>0</v>
      </c>
      <c r="J490" s="334">
        <f>mmProd1!J317</f>
        <v>17.5</v>
      </c>
      <c r="K490" s="796"/>
    </row>
    <row r="491" spans="1:11">
      <c r="A491" s="132"/>
      <c r="B491" s="233" t="str">
        <f>mmProd1!C318</f>
        <v>Promotion</v>
      </c>
      <c r="C491" s="328">
        <f>mmProd1!D318</f>
        <v>9</v>
      </c>
      <c r="D491" s="637"/>
      <c r="E491" s="637">
        <f>mmProd1!E318</f>
        <v>0</v>
      </c>
      <c r="F491" s="624">
        <f>mmProd1!F318</f>
        <v>0</v>
      </c>
      <c r="G491" s="624">
        <f>mmProd1!G318</f>
        <v>0</v>
      </c>
      <c r="H491" s="624">
        <f>mmProd1!H318</f>
        <v>0</v>
      </c>
      <c r="I491" s="638">
        <f>mmProd1!I318</f>
        <v>0</v>
      </c>
      <c r="J491" s="334">
        <f>mmProd1!J318</f>
        <v>22.5</v>
      </c>
      <c r="K491" s="796"/>
    </row>
    <row r="492" spans="1:11">
      <c r="A492" s="132"/>
      <c r="B492" s="233" t="str">
        <f>mmProd1!C319</f>
        <v>Sales Force</v>
      </c>
      <c r="C492" s="328">
        <f>mmProd1!D319</f>
        <v>10</v>
      </c>
      <c r="D492" s="637"/>
      <c r="E492" s="637">
        <f>mmProd1!E319</f>
        <v>0</v>
      </c>
      <c r="F492" s="624">
        <f>mmProd1!F319</f>
        <v>0</v>
      </c>
      <c r="G492" s="624">
        <f>mmProd1!G319</f>
        <v>0</v>
      </c>
      <c r="H492" s="624">
        <f>mmProd1!H319</f>
        <v>0</v>
      </c>
      <c r="I492" s="638">
        <f>mmProd1!I319</f>
        <v>0</v>
      </c>
      <c r="J492" s="334">
        <f>mmProd1!J319</f>
        <v>25</v>
      </c>
      <c r="K492" s="796"/>
    </row>
    <row r="493" spans="1:11">
      <c r="A493" s="132"/>
      <c r="B493" s="746" t="str">
        <f>mmProd1!C320</f>
        <v>Innovation</v>
      </c>
      <c r="C493" s="328">
        <f>mmProd1!D320</f>
        <v>14</v>
      </c>
      <c r="D493" s="637"/>
      <c r="E493" s="637">
        <f>mmProd1!E320</f>
        <v>0</v>
      </c>
      <c r="F493" s="624">
        <f>mmProd1!F320</f>
        <v>0</v>
      </c>
      <c r="G493" s="624">
        <f>mmProd1!G320</f>
        <v>0</v>
      </c>
      <c r="H493" s="624">
        <f>mmProd1!H320</f>
        <v>0</v>
      </c>
      <c r="I493" s="638">
        <f>mmProd1!I320</f>
        <v>0</v>
      </c>
      <c r="J493" s="334">
        <f>mmProd1!J320</f>
        <v>0</v>
      </c>
      <c r="K493" s="796"/>
    </row>
    <row r="494" spans="1:11">
      <c r="A494" s="132"/>
      <c r="B494" s="746" t="str">
        <f>mmProd1!C321</f>
        <v>Channel Penetration</v>
      </c>
      <c r="C494" s="328">
        <f>mmProd1!D321</f>
        <v>17</v>
      </c>
      <c r="D494" s="637"/>
      <c r="E494" s="637">
        <f>mmProd1!E321</f>
        <v>0</v>
      </c>
      <c r="F494" s="624">
        <f>mmProd1!F321</f>
        <v>0</v>
      </c>
      <c r="G494" s="624">
        <f>mmProd1!G321</f>
        <v>0</v>
      </c>
      <c r="H494" s="624">
        <f>mmProd1!H321</f>
        <v>0</v>
      </c>
      <c r="I494" s="638">
        <f>mmProd1!I321</f>
        <v>0</v>
      </c>
      <c r="J494" s="334">
        <f>mmProd1!J321</f>
        <v>42.5</v>
      </c>
      <c r="K494" s="796"/>
    </row>
    <row r="495" spans="1:11">
      <c r="A495" s="132"/>
      <c r="B495" s="746" t="str">
        <f>mmProd1!C324</f>
        <v>Special Programs</v>
      </c>
      <c r="C495" s="328">
        <f>mmProd1!D324</f>
        <v>0</v>
      </c>
      <c r="D495" s="1169"/>
      <c r="E495" s="639">
        <f>mmProd1!E324</f>
        <v>0</v>
      </c>
      <c r="F495" s="640">
        <f>mmProd1!F324</f>
        <v>0</v>
      </c>
      <c r="G495" s="640">
        <f>mmProd1!G324</f>
        <v>0</v>
      </c>
      <c r="H495" s="640">
        <f>mmProd1!H324</f>
        <v>0</v>
      </c>
      <c r="I495" s="641">
        <f>mmProd1!I324</f>
        <v>0</v>
      </c>
      <c r="J495" s="1168">
        <f>mmProd1!J324</f>
        <v>0</v>
      </c>
      <c r="K495" s="796"/>
    </row>
    <row r="496" spans="1:11">
      <c r="A496" s="132"/>
      <c r="B496" s="746" t="s">
        <v>2959</v>
      </c>
      <c r="C496" s="328"/>
      <c r="D496" s="642"/>
      <c r="E496" s="1229">
        <f>mmProd1!E325</f>
        <v>0</v>
      </c>
      <c r="F496" s="1230">
        <f>mmProd1!F325</f>
        <v>0</v>
      </c>
      <c r="G496" s="1230">
        <f>mmProd1!G325</f>
        <v>0</v>
      </c>
      <c r="H496" s="1230">
        <f>mmProd1!H325</f>
        <v>0</v>
      </c>
      <c r="I496" s="1231">
        <f>mmProd1!I325</f>
        <v>0</v>
      </c>
      <c r="J496" s="331">
        <f>mmProd1!J325</f>
        <v>262.5</v>
      </c>
      <c r="K496" s="796"/>
    </row>
    <row r="497" spans="1:11" ht="12" thickBot="1">
      <c r="A497" s="132"/>
      <c r="B497" s="233" t="s">
        <v>974</v>
      </c>
      <c r="C497" s="328"/>
      <c r="D497" s="705"/>
      <c r="E497" s="705">
        <f>mmProd1!E326</f>
        <v>1</v>
      </c>
      <c r="F497" s="705">
        <f>mmProd1!F326</f>
        <v>1</v>
      </c>
      <c r="G497" s="705">
        <f>mmProd1!G326</f>
        <v>1</v>
      </c>
      <c r="H497" s="705">
        <f>mmProd1!H326</f>
        <v>1</v>
      </c>
      <c r="I497" s="705">
        <f>mmProd1!I326</f>
        <v>1</v>
      </c>
      <c r="J497" s="747" t="str">
        <f>mmProd1!J326</f>
        <v>Weight</v>
      </c>
      <c r="K497" s="796"/>
    </row>
    <row r="498" spans="1:11">
      <c r="A498" s="132"/>
      <c r="B498" s="748" t="s">
        <v>3201</v>
      </c>
      <c r="C498" s="628"/>
      <c r="D498" s="666"/>
      <c r="E498" s="666">
        <f>mmProd1!E327</f>
        <v>0.2</v>
      </c>
      <c r="F498" s="666">
        <f>mmProd1!F327</f>
        <v>0.2</v>
      </c>
      <c r="G498" s="666">
        <f>mmProd1!G327</f>
        <v>0.2</v>
      </c>
      <c r="H498" s="666">
        <f>mmProd1!H327</f>
        <v>0.2</v>
      </c>
      <c r="I498" s="666">
        <f>mmProd1!I327</f>
        <v>0.2</v>
      </c>
      <c r="J498" s="749">
        <f>mmProd1!J327</f>
        <v>0.35</v>
      </c>
      <c r="K498" s="796"/>
    </row>
    <row r="499" spans="1:11" ht="12" thickBot="1">
      <c r="A499" s="132"/>
      <c r="B499" s="750" t="s">
        <v>1999</v>
      </c>
      <c r="C499" s="135"/>
      <c r="D499" s="625"/>
      <c r="E499" s="625">
        <f>mmProd1!E328</f>
        <v>0.2</v>
      </c>
      <c r="F499" s="625">
        <f>mmProd1!F328</f>
        <v>0.2</v>
      </c>
      <c r="G499" s="625">
        <f>mmProd1!G328</f>
        <v>0.2</v>
      </c>
      <c r="H499" s="625">
        <f>mmProd1!H328</f>
        <v>0.2</v>
      </c>
      <c r="I499" s="625">
        <f>mmProd1!I328</f>
        <v>0.2</v>
      </c>
      <c r="J499" s="751">
        <f>mmProd1!J328</f>
        <v>0.65</v>
      </c>
      <c r="K499" s="796"/>
    </row>
    <row r="500" spans="1:11">
      <c r="A500" s="132"/>
      <c r="B500" s="752" t="s">
        <v>3472</v>
      </c>
      <c r="C500" s="753"/>
      <c r="D500" s="754"/>
      <c r="E500" s="754">
        <f>mmProd1Seg2PreSalesShare</f>
        <v>0.2</v>
      </c>
      <c r="F500" s="754">
        <f>mmProd1Seg2PreSalesShare</f>
        <v>0.2</v>
      </c>
      <c r="G500" s="754">
        <f>mmProd1Seg2PreSalesShare</f>
        <v>0.2</v>
      </c>
      <c r="H500" s="754">
        <f>mmProd1Seg2PreSalesShare</f>
        <v>0.2</v>
      </c>
      <c r="I500" s="754">
        <f>mmProd1Seg2PreSalesShare</f>
        <v>0.2</v>
      </c>
      <c r="J500" s="755">
        <f>mmProd1!J329</f>
        <v>1784000000</v>
      </c>
      <c r="K500" s="796"/>
    </row>
    <row r="501" spans="1:11">
      <c r="A501" s="132"/>
      <c r="B501" s="149"/>
      <c r="C501" s="149"/>
      <c r="D501" s="844"/>
      <c r="E501" s="844"/>
      <c r="F501" s="844"/>
      <c r="G501" s="844"/>
      <c r="H501" s="844"/>
      <c r="I501" s="728"/>
      <c r="J501" s="180"/>
      <c r="K501" s="796"/>
    </row>
    <row r="502" spans="1:11" ht="12.75">
      <c r="A502" s="132"/>
      <c r="B502" s="893" t="str">
        <f>DataNameProd3</f>
        <v>NCB</v>
      </c>
      <c r="C502" s="21"/>
      <c r="D502" s="21"/>
      <c r="E502" s="38"/>
      <c r="F502" s="38"/>
      <c r="G502" s="38"/>
      <c r="H502" s="38"/>
      <c r="I502" s="38"/>
      <c r="J502" s="180"/>
      <c r="K502" s="796"/>
    </row>
    <row r="503" spans="1:11">
      <c r="A503" s="132"/>
      <c r="B503" s="21" t="s">
        <v>1402</v>
      </c>
      <c r="C503" s="21"/>
      <c r="D503" s="21"/>
      <c r="E503" s="532">
        <f>capProd3Reg2Price</f>
        <v>10</v>
      </c>
      <c r="F503" s="532">
        <f>capProd3Reg2Price</f>
        <v>10</v>
      </c>
      <c r="G503" s="532">
        <f>capProd3Reg2Price</f>
        <v>10</v>
      </c>
      <c r="H503" s="532">
        <f>capProd3Reg2Price</f>
        <v>10</v>
      </c>
      <c r="I503" s="532">
        <f>capProd3Reg2Price</f>
        <v>10</v>
      </c>
      <c r="J503" s="525"/>
      <c r="K503" s="818">
        <f>SUM(E503:I503)/xxNumOfTeams</f>
        <v>10</v>
      </c>
    </row>
    <row r="504" spans="1:11" ht="6" customHeight="1">
      <c r="A504" s="132"/>
      <c r="B504" s="21"/>
      <c r="C504" s="21"/>
      <c r="D504" s="21"/>
      <c r="E504" s="532"/>
      <c r="F504" s="532"/>
      <c r="G504" s="532"/>
      <c r="H504" s="532"/>
      <c r="I504" s="532"/>
      <c r="J504" s="525"/>
      <c r="K504" s="818"/>
    </row>
    <row r="505" spans="1:11">
      <c r="A505" s="132"/>
      <c r="B505" s="21" t="s">
        <v>1508</v>
      </c>
      <c r="C505" s="21"/>
      <c r="D505" s="21"/>
      <c r="E505" s="809">
        <f>capProd3Reg2Units/INDEX(xxMMProd3Seg2Units,xxYear+3)</f>
        <v>0.19359999999999999</v>
      </c>
      <c r="F505" s="809">
        <f>capProd3Reg2Units/INDEX(xxMMProd3Seg2Units,xxYear+3)</f>
        <v>0.19359999999999999</v>
      </c>
      <c r="G505" s="809">
        <f>capProd3Reg2Units/INDEX(xxMMProd3Seg2Units,xxYear+3)</f>
        <v>0.19359999999999999</v>
      </c>
      <c r="H505" s="809">
        <f>capProd3Reg2Units/INDEX(xxMMProd3Seg2Units,xxYear+3)</f>
        <v>0.19359999999999999</v>
      </c>
      <c r="I505" s="809">
        <f>capProd3Reg2Units/INDEX(xxMMProd3Seg2Units,xxYear+3)</f>
        <v>0.19359999999999999</v>
      </c>
      <c r="J505" s="520"/>
      <c r="K505" s="811"/>
    </row>
    <row r="506" spans="1:11" ht="12.75">
      <c r="A506" s="132"/>
      <c r="B506" s="545" t="s">
        <v>2831</v>
      </c>
      <c r="C506" s="545"/>
      <c r="D506" s="545"/>
      <c r="E506" s="888">
        <f>mmProd3Seg2ActShare</f>
        <v>0.2</v>
      </c>
      <c r="F506" s="888">
        <f>mmProd3Seg2ActShare</f>
        <v>0.2</v>
      </c>
      <c r="G506" s="888">
        <f>mmProd3Seg2ActShare</f>
        <v>0.2</v>
      </c>
      <c r="H506" s="888">
        <f>mmProd3Seg2ActShare</f>
        <v>0.2</v>
      </c>
      <c r="I506" s="888">
        <f>mmProd3Seg2ActShare</f>
        <v>0.2</v>
      </c>
      <c r="J506" s="888"/>
      <c r="K506" s="889"/>
    </row>
    <row r="507" spans="1:11" ht="12.75">
      <c r="A507" s="132"/>
      <c r="B507" s="38" t="s">
        <v>3471</v>
      </c>
      <c r="C507" s="38"/>
      <c r="D507" s="38"/>
      <c r="E507" s="616">
        <f>E535</f>
        <v>0.2</v>
      </c>
      <c r="F507" s="616">
        <f>F535</f>
        <v>0.2</v>
      </c>
      <c r="G507" s="616">
        <f>G535</f>
        <v>0.2</v>
      </c>
      <c r="H507" s="616">
        <f>H535</f>
        <v>0.2</v>
      </c>
      <c r="I507" s="616">
        <f>I535</f>
        <v>0.2</v>
      </c>
      <c r="J507" s="888"/>
      <c r="K507" s="889"/>
    </row>
    <row r="508" spans="1:11" ht="6" customHeight="1">
      <c r="A508" s="132"/>
      <c r="B508" s="38"/>
      <c r="C508" s="38"/>
      <c r="D508" s="38"/>
      <c r="E508" s="616"/>
      <c r="F508" s="616"/>
      <c r="G508" s="616"/>
      <c r="H508" s="616"/>
      <c r="I508" s="616"/>
      <c r="J508" s="888"/>
      <c r="K508" s="889"/>
    </row>
    <row r="509" spans="1:11">
      <c r="A509" s="132"/>
      <c r="B509" s="149" t="s">
        <v>3469</v>
      </c>
      <c r="C509" s="21"/>
      <c r="D509" s="21"/>
      <c r="E509" s="520">
        <f>capReg2Prod3UnitsSold</f>
        <v>245000000</v>
      </c>
      <c r="F509" s="520">
        <f>capReg2Prod3UnitsSold</f>
        <v>245000000</v>
      </c>
      <c r="G509" s="520">
        <f>capReg2Prod3UnitsSold</f>
        <v>245000000</v>
      </c>
      <c r="H509" s="520">
        <f>capReg2Prod3UnitsSold</f>
        <v>245000000</v>
      </c>
      <c r="I509" s="520">
        <f>capReg2Prod3UnitsSold</f>
        <v>245000000</v>
      </c>
      <c r="J509" s="520"/>
      <c r="K509" s="817">
        <f>SUM(E509:I509)/xxNumOfTeams</f>
        <v>245000000</v>
      </c>
    </row>
    <row r="510" spans="1:11">
      <c r="A510" s="132"/>
      <c r="B510" s="149" t="s">
        <v>3332</v>
      </c>
      <c r="C510" s="21"/>
      <c r="D510" s="21"/>
      <c r="E510" s="526">
        <f>E509*E503</f>
        <v>2450000000</v>
      </c>
      <c r="F510" s="526">
        <f>F509*F503</f>
        <v>2450000000</v>
      </c>
      <c r="G510" s="526">
        <f>G509*G503</f>
        <v>2450000000</v>
      </c>
      <c r="H510" s="526">
        <f>H509*H503</f>
        <v>2450000000</v>
      </c>
      <c r="I510" s="526">
        <f>I509*I503</f>
        <v>2450000000</v>
      </c>
      <c r="J510" s="520"/>
      <c r="K510" s="820">
        <f>SUM(E510:I510)/xxNumOfTeams</f>
        <v>2450000000</v>
      </c>
    </row>
    <row r="511" spans="1:11" ht="12.75">
      <c r="A511" s="132"/>
      <c r="B511" s="181" t="s">
        <v>3470</v>
      </c>
      <c r="C511" s="545"/>
      <c r="D511" s="545"/>
      <c r="E511" s="890">
        <f>mmProd3!E242</f>
        <v>15876000</v>
      </c>
      <c r="F511" s="890">
        <f>mmProd3!F242</f>
        <v>15876000</v>
      </c>
      <c r="G511" s="890">
        <f>mmProd3!G242</f>
        <v>15876000</v>
      </c>
      <c r="H511" s="890">
        <f>mmProd3!H242</f>
        <v>15876000</v>
      </c>
      <c r="I511" s="890">
        <f>mmProd3!I242</f>
        <v>15876000</v>
      </c>
      <c r="J511" s="891"/>
      <c r="K511" s="892">
        <f>SUM(E511:I511)/xxNumOfTeams</f>
        <v>15876000</v>
      </c>
    </row>
    <row r="512" spans="1:11" ht="12.75">
      <c r="A512" s="132"/>
      <c r="B512" s="149" t="s">
        <v>3330</v>
      </c>
      <c r="C512" s="545"/>
      <c r="D512" s="545"/>
      <c r="E512" s="526">
        <f>IF(E511&gt;0,0,-1*E511*E503)</f>
        <v>0</v>
      </c>
      <c r="F512" s="526">
        <f>IF(F511&gt;0,0,-1*F511*F503)</f>
        <v>0</v>
      </c>
      <c r="G512" s="526">
        <f>IF(G511&gt;0,0,-1*G511*G503)</f>
        <v>0</v>
      </c>
      <c r="H512" s="526">
        <f>IF(H511&gt;0,0,-1*H511*H503)</f>
        <v>0</v>
      </c>
      <c r="I512" s="526">
        <f>IF(I511&gt;0,0,-1*I511*I503)</f>
        <v>0</v>
      </c>
      <c r="J512" s="891"/>
      <c r="K512" s="820">
        <f>SUM(E512:I512)/xxNumOfTeams</f>
        <v>0</v>
      </c>
    </row>
    <row r="513" spans="1:11" ht="6" customHeight="1">
      <c r="A513" s="132"/>
      <c r="B513" s="21"/>
      <c r="C513" s="21"/>
      <c r="D513" s="21"/>
      <c r="E513" s="38"/>
      <c r="F513" s="38"/>
      <c r="G513" s="38"/>
      <c r="H513" s="38"/>
      <c r="I513" s="38"/>
      <c r="J513" s="180"/>
      <c r="K513" s="796"/>
    </row>
    <row r="514" spans="1:11">
      <c r="A514" s="132"/>
      <c r="B514" s="548" t="s">
        <v>246</v>
      </c>
      <c r="C514" s="21"/>
      <c r="D514" s="21"/>
      <c r="E514" s="21" t="str">
        <f>decProd3Ftr4LevelDec</f>
        <v>Narrow</v>
      </c>
      <c r="F514" s="21" t="str">
        <f>decProd3Ftr4LevelDec</f>
        <v>Narrow</v>
      </c>
      <c r="G514" s="21" t="str">
        <f>decProd3Ftr4LevelDec</f>
        <v>Narrow</v>
      </c>
      <c r="H514" s="21" t="str">
        <f>decProd3Ftr4LevelDec</f>
        <v>Narrow</v>
      </c>
      <c r="I514" s="21" t="str">
        <f>decProd3Ftr4LevelDec</f>
        <v>Narrow</v>
      </c>
      <c r="J514" s="180"/>
      <c r="K514" s="796"/>
    </row>
    <row r="515" spans="1:11" ht="6" customHeight="1">
      <c r="A515" s="132"/>
      <c r="B515" s="548"/>
      <c r="C515" s="21"/>
      <c r="D515" s="21"/>
      <c r="E515" s="21"/>
      <c r="F515" s="21"/>
      <c r="G515" s="21"/>
      <c r="H515" s="21"/>
      <c r="I515" s="21"/>
      <c r="J515" s="180"/>
      <c r="K515" s="796"/>
    </row>
    <row r="516" spans="1:11">
      <c r="A516" s="132"/>
      <c r="B516" s="21" t="s">
        <v>3455</v>
      </c>
      <c r="C516" s="21"/>
      <c r="D516" s="21"/>
      <c r="E516" s="1182">
        <f>capProd3AdvR2</f>
        <v>65000000</v>
      </c>
      <c r="F516" s="1182">
        <f>capProd3AdvR2</f>
        <v>65000000</v>
      </c>
      <c r="G516" s="1182">
        <f>capProd3AdvR2</f>
        <v>65000000</v>
      </c>
      <c r="H516" s="1182">
        <f>capProd3AdvR2</f>
        <v>65000000</v>
      </c>
      <c r="I516" s="1182">
        <f>capProd3AdvR2</f>
        <v>65000000</v>
      </c>
      <c r="J516" s="1182"/>
      <c r="K516" s="1188">
        <f>SUM(E516:I516)/xxNumOfTeams</f>
        <v>65000000</v>
      </c>
    </row>
    <row r="517" spans="1:11">
      <c r="A517" s="132"/>
      <c r="B517" s="21" t="s">
        <v>3456</v>
      </c>
      <c r="C517" s="21"/>
      <c r="D517" s="21"/>
      <c r="E517" s="1182">
        <f>capProd3PromoR2</f>
        <v>165000000</v>
      </c>
      <c r="F517" s="1182">
        <f>capProd3PromoR2</f>
        <v>165000000</v>
      </c>
      <c r="G517" s="1182">
        <f>capProd3PromoR2</f>
        <v>165000000</v>
      </c>
      <c r="H517" s="1182">
        <f>capProd3PromoR2</f>
        <v>165000000</v>
      </c>
      <c r="I517" s="1182">
        <f>capProd3PromoR2</f>
        <v>165000000</v>
      </c>
      <c r="J517" s="1182"/>
      <c r="K517" s="1188">
        <f>SUM(E517:I517)/xxNumOfTeams</f>
        <v>165000000</v>
      </c>
    </row>
    <row r="518" spans="1:11">
      <c r="A518" s="132"/>
      <c r="B518" s="21" t="s">
        <v>199</v>
      </c>
      <c r="C518" s="21"/>
      <c r="D518" s="21"/>
      <c r="E518" s="92">
        <f>paramReg2Prod3CommSpendEffect</f>
        <v>1</v>
      </c>
      <c r="F518" s="92">
        <f>paramReg2Prod3CommSpendEffect</f>
        <v>1</v>
      </c>
      <c r="G518" s="92">
        <f>paramReg2Prod3CommSpendEffect</f>
        <v>1</v>
      </c>
      <c r="H518" s="92">
        <f>paramReg2Prod3CommSpendEffect</f>
        <v>1</v>
      </c>
      <c r="I518" s="92">
        <f>paramReg2Prod3CommSpendEffect</f>
        <v>1</v>
      </c>
      <c r="J518" s="92"/>
      <c r="K518" s="806">
        <f>SUM(E518:I518)/xxNumOfTeams</f>
        <v>1</v>
      </c>
    </row>
    <row r="519" spans="1:11" ht="6" customHeight="1">
      <c r="A519" s="132"/>
      <c r="B519" s="62"/>
      <c r="C519" s="62"/>
      <c r="D519" s="62"/>
      <c r="E519" s="520"/>
      <c r="F519" s="520"/>
      <c r="G519" s="520"/>
      <c r="H519" s="520"/>
      <c r="I519" s="520"/>
      <c r="J519" s="180"/>
      <c r="K519" s="796"/>
    </row>
    <row r="520" spans="1:11" s="21" customFormat="1">
      <c r="A520" s="132"/>
      <c r="B520" s="62" t="str">
        <f>DataNameProd3&amp;" Escendia"</f>
        <v>NCB Escendia</v>
      </c>
      <c r="C520" s="39"/>
      <c r="D520" s="616"/>
      <c r="E520" s="616"/>
      <c r="F520" s="616"/>
      <c r="G520" s="616"/>
      <c r="H520" s="616"/>
      <c r="I520" s="616"/>
      <c r="J520" s="535"/>
      <c r="K520" s="796"/>
    </row>
    <row r="521" spans="1:11" s="21" customFormat="1">
      <c r="A521" s="132"/>
      <c r="B521" s="49" t="str">
        <f>mmProd3!C311</f>
        <v>Total  Volume</v>
      </c>
      <c r="C521" s="773">
        <f>mmProd3!D311</f>
        <v>3009000000</v>
      </c>
      <c r="D521" s="60"/>
      <c r="E521" s="60"/>
      <c r="F521" s="774"/>
      <c r="G521" s="60"/>
      <c r="H521" s="775"/>
      <c r="I521" s="776" t="str">
        <f>mmProd3!I311</f>
        <v>Segment Vol</v>
      </c>
      <c r="J521" s="777">
        <f>mmProd3!J311</f>
        <v>1225000000</v>
      </c>
      <c r="K521" s="796"/>
    </row>
    <row r="522" spans="1:11" s="21" customFormat="1">
      <c r="A522" s="132"/>
      <c r="B522" s="70" t="s">
        <v>2958</v>
      </c>
      <c r="C522" s="778"/>
      <c r="D522" s="161"/>
      <c r="E522" s="744" t="str">
        <f>decTeamName</f>
        <v>Vivia</v>
      </c>
      <c r="F522" s="744" t="str">
        <f>decTeamName</f>
        <v>Vivia</v>
      </c>
      <c r="G522" s="744" t="str">
        <f>decTeamName</f>
        <v>Vivia</v>
      </c>
      <c r="H522" s="744" t="str">
        <f>decTeamName</f>
        <v>Vivia</v>
      </c>
      <c r="I522" s="744" t="str">
        <f>decTeamName</f>
        <v>Vivia</v>
      </c>
      <c r="J522" s="779"/>
      <c r="K522" s="796"/>
    </row>
    <row r="523" spans="1:11" s="21" customFormat="1">
      <c r="A523" s="132"/>
      <c r="B523" s="37" t="str">
        <f>mmProd3!C313</f>
        <v>Price</v>
      </c>
      <c r="C523" s="39">
        <f>mmProd3!D313</f>
        <v>50</v>
      </c>
      <c r="D523" s="667"/>
      <c r="E523" s="667">
        <f>mmProd3!E313</f>
        <v>0</v>
      </c>
      <c r="F523" s="668">
        <f>mmProd3!F313</f>
        <v>0</v>
      </c>
      <c r="G523" s="668">
        <f>mmProd3!G313</f>
        <v>0</v>
      </c>
      <c r="H523" s="668">
        <f>mmProd3!H313</f>
        <v>0</v>
      </c>
      <c r="I523" s="669">
        <f>mmProd3!I313</f>
        <v>0</v>
      </c>
      <c r="J523" s="53">
        <f>mmProd3!J313</f>
        <v>125</v>
      </c>
      <c r="K523" s="796"/>
    </row>
    <row r="524" spans="1:11" s="21" customFormat="1">
      <c r="A524" s="132"/>
      <c r="B524" s="37" t="str">
        <f>mmProd3!C314</f>
        <v>Range Of Products</v>
      </c>
      <c r="C524" s="39">
        <f>mmProd3!D314</f>
        <v>8</v>
      </c>
      <c r="D524" s="660"/>
      <c r="E524" s="660">
        <f>mmProd3!E314</f>
        <v>0</v>
      </c>
      <c r="F524" s="616">
        <f>mmProd3!F314</f>
        <v>0</v>
      </c>
      <c r="G524" s="616">
        <f>mmProd3!G314</f>
        <v>0</v>
      </c>
      <c r="H524" s="616">
        <f>mmProd3!H314</f>
        <v>0</v>
      </c>
      <c r="I524" s="661">
        <f>mmProd3!I314</f>
        <v>0</v>
      </c>
      <c r="J524" s="55">
        <f>mmProd3!J314</f>
        <v>20</v>
      </c>
      <c r="K524" s="796"/>
    </row>
    <row r="525" spans="1:11" s="21" customFormat="1">
      <c r="A525" s="132"/>
      <c r="B525" s="37" t="str">
        <f>mmProd3!C316</f>
        <v>Advertising</v>
      </c>
      <c r="C525" s="39">
        <f>mmProd3!D316</f>
        <v>7</v>
      </c>
      <c r="D525" s="660"/>
      <c r="E525" s="660">
        <f>mmProd3!E316</f>
        <v>0</v>
      </c>
      <c r="F525" s="616">
        <f>mmProd3!F316</f>
        <v>0</v>
      </c>
      <c r="G525" s="616">
        <f>mmProd3!G316</f>
        <v>0</v>
      </c>
      <c r="H525" s="616">
        <f>mmProd3!H316</f>
        <v>0</v>
      </c>
      <c r="I525" s="661">
        <f>mmProd3!I316</f>
        <v>0</v>
      </c>
      <c r="J525" s="55">
        <f>mmProd3!J316</f>
        <v>17.5</v>
      </c>
      <c r="K525" s="796"/>
    </row>
    <row r="526" spans="1:11" s="21" customFormat="1">
      <c r="A526" s="132"/>
      <c r="B526" s="37" t="str">
        <f>mmProd3!C317</f>
        <v>Promotion</v>
      </c>
      <c r="C526" s="39">
        <f>mmProd3!D317</f>
        <v>10</v>
      </c>
      <c r="D526" s="660"/>
      <c r="E526" s="660">
        <f>mmProd3!E317</f>
        <v>0</v>
      </c>
      <c r="F526" s="616">
        <f>mmProd3!F317</f>
        <v>0</v>
      </c>
      <c r="G526" s="616">
        <f>mmProd3!G317</f>
        <v>0</v>
      </c>
      <c r="H526" s="616">
        <f>mmProd3!H317</f>
        <v>0</v>
      </c>
      <c r="I526" s="661">
        <f>mmProd3!I317</f>
        <v>0</v>
      </c>
      <c r="J526" s="55">
        <f>mmProd3!J317</f>
        <v>25</v>
      </c>
      <c r="K526" s="796"/>
    </row>
    <row r="527" spans="1:11" s="21" customFormat="1">
      <c r="A527" s="132"/>
      <c r="B527" s="37" t="str">
        <f>mmProd3!C318</f>
        <v>Sales Force</v>
      </c>
      <c r="C527" s="39">
        <f>mmProd3!D318</f>
        <v>13</v>
      </c>
      <c r="D527" s="660"/>
      <c r="E527" s="660">
        <f>mmProd3!E318</f>
        <v>0</v>
      </c>
      <c r="F527" s="616">
        <f>mmProd3!F318</f>
        <v>0</v>
      </c>
      <c r="G527" s="616">
        <f>mmProd3!G318</f>
        <v>0</v>
      </c>
      <c r="H527" s="616">
        <f>mmProd3!H318</f>
        <v>0</v>
      </c>
      <c r="I527" s="661">
        <f>mmProd3!I318</f>
        <v>0</v>
      </c>
      <c r="J527" s="55">
        <f>mmProd3!J318</f>
        <v>32.5</v>
      </c>
      <c r="K527" s="796"/>
    </row>
    <row r="528" spans="1:11" s="21" customFormat="1">
      <c r="A528" s="132"/>
      <c r="B528" s="780" t="str">
        <f>mmProd3!C319</f>
        <v>Innovation</v>
      </c>
      <c r="C528" s="38">
        <f>mmProd3!D319</f>
        <v>15</v>
      </c>
      <c r="D528" s="660"/>
      <c r="E528" s="660">
        <f>mmProd3!E319</f>
        <v>0</v>
      </c>
      <c r="F528" s="616">
        <f>mmProd3!F319</f>
        <v>0</v>
      </c>
      <c r="G528" s="616">
        <f>mmProd3!G319</f>
        <v>0</v>
      </c>
      <c r="H528" s="616">
        <f>mmProd3!H319</f>
        <v>0</v>
      </c>
      <c r="I528" s="661">
        <f>mmProd3!I319</f>
        <v>0</v>
      </c>
      <c r="J528" s="55">
        <f>mmProd3!J319</f>
        <v>0</v>
      </c>
      <c r="K528" s="796"/>
    </row>
    <row r="529" spans="1:11" s="21" customFormat="1">
      <c r="A529" s="132"/>
      <c r="B529" s="780" t="str">
        <f>mmProd3!C320</f>
        <v>Channel Penetration</v>
      </c>
      <c r="C529" s="38">
        <f>mmProd3!D320</f>
        <v>18</v>
      </c>
      <c r="D529" s="660"/>
      <c r="E529" s="660">
        <f>mmProd3!E320</f>
        <v>0</v>
      </c>
      <c r="F529" s="616">
        <f>mmProd3!F320</f>
        <v>0</v>
      </c>
      <c r="G529" s="616">
        <f>mmProd3!G320</f>
        <v>0</v>
      </c>
      <c r="H529" s="616">
        <f>mmProd3!H320</f>
        <v>0</v>
      </c>
      <c r="I529" s="661">
        <f>mmProd3!I320</f>
        <v>0</v>
      </c>
      <c r="J529" s="55">
        <f>mmProd3!J320</f>
        <v>45</v>
      </c>
      <c r="K529" s="796"/>
    </row>
    <row r="530" spans="1:11" s="21" customFormat="1">
      <c r="A530" s="132"/>
      <c r="B530" s="780" t="str">
        <f>mmProd3!C323</f>
        <v>Special Programs</v>
      </c>
      <c r="C530" s="38">
        <f>mmProd3!D323</f>
        <v>0</v>
      </c>
      <c r="D530" s="662"/>
      <c r="E530" s="662">
        <f>mmProd3!E323</f>
        <v>0</v>
      </c>
      <c r="F530" s="618">
        <f>mmProd3!F323</f>
        <v>0</v>
      </c>
      <c r="G530" s="618">
        <f>mmProd3!G323</f>
        <v>0</v>
      </c>
      <c r="H530" s="618">
        <f>mmProd3!H323</f>
        <v>0</v>
      </c>
      <c r="I530" s="663">
        <f>mmProd3!I323</f>
        <v>0</v>
      </c>
      <c r="J530" s="1170">
        <f>mmProd3!J323</f>
        <v>0</v>
      </c>
      <c r="K530" s="796"/>
    </row>
    <row r="531" spans="1:11" s="21" customFormat="1">
      <c r="A531" s="132"/>
      <c r="B531" s="37" t="s">
        <v>2959</v>
      </c>
      <c r="C531" s="38"/>
      <c r="D531" s="686"/>
      <c r="E531" s="1314">
        <f>mmProd3!E324</f>
        <v>0</v>
      </c>
      <c r="F531" s="1315">
        <f>mmProd3!F324</f>
        <v>0</v>
      </c>
      <c r="G531" s="1315">
        <f>mmProd3!G324</f>
        <v>0</v>
      </c>
      <c r="H531" s="1315">
        <f>mmProd3!H324</f>
        <v>0</v>
      </c>
      <c r="I531" s="1316">
        <f>mmProd3!I324</f>
        <v>0</v>
      </c>
      <c r="J531" s="155">
        <f>mmProd3!J324</f>
        <v>265</v>
      </c>
      <c r="K531" s="796"/>
    </row>
    <row r="532" spans="1:11" s="21" customFormat="1" ht="12" thickBot="1">
      <c r="A532" s="132"/>
      <c r="B532" s="781" t="s">
        <v>974</v>
      </c>
      <c r="C532" s="50"/>
      <c r="D532" s="50"/>
      <c r="E532" s="50">
        <f>mmProd3!E325</f>
        <v>1</v>
      </c>
      <c r="F532" s="50">
        <f>mmProd3!F325</f>
        <v>1</v>
      </c>
      <c r="G532" s="50">
        <f>mmProd3!G325</f>
        <v>1</v>
      </c>
      <c r="H532" s="50">
        <f>mmProd3!H325</f>
        <v>1</v>
      </c>
      <c r="I532" s="50">
        <f>mmProd3!I325</f>
        <v>1</v>
      </c>
      <c r="J532" s="764" t="str">
        <f>mmProd3!J325</f>
        <v>Weight</v>
      </c>
      <c r="K532" s="796"/>
    </row>
    <row r="533" spans="1:11" s="21" customFormat="1">
      <c r="A533" s="132"/>
      <c r="B533" s="37" t="s">
        <v>3201</v>
      </c>
      <c r="C533" s="38"/>
      <c r="D533" s="653"/>
      <c r="E533" s="616">
        <f>mmProd3!E326</f>
        <v>0.2</v>
      </c>
      <c r="F533" s="616">
        <f>mmProd3!F326</f>
        <v>0.2</v>
      </c>
      <c r="G533" s="616">
        <f>mmProd3!G326</f>
        <v>0.2</v>
      </c>
      <c r="H533" s="616">
        <f>mmProd3!H326</f>
        <v>0.2</v>
      </c>
      <c r="I533" s="616">
        <f>mmProd3!I326</f>
        <v>0.2</v>
      </c>
      <c r="J533" s="766">
        <f>mmProd3!J326</f>
        <v>0.6</v>
      </c>
      <c r="K533" s="796"/>
    </row>
    <row r="534" spans="1:11" s="21" customFormat="1" ht="12" thickBot="1">
      <c r="A534" s="132"/>
      <c r="B534" s="91" t="s">
        <v>1999</v>
      </c>
      <c r="D534" s="109"/>
      <c r="E534" s="1260">
        <f>mmProd3!E327</f>
        <v>0.2</v>
      </c>
      <c r="F534" s="1260">
        <f>mmProd3!F327</f>
        <v>0.2</v>
      </c>
      <c r="G534" s="1260">
        <f>mmProd3!G327</f>
        <v>0.2</v>
      </c>
      <c r="H534" s="1260">
        <f>mmProd3!H327</f>
        <v>0.2</v>
      </c>
      <c r="I534" s="1260">
        <f>mmProd3!I327</f>
        <v>0.2</v>
      </c>
      <c r="J534" s="766">
        <f>mmProd3!J327</f>
        <v>0.4</v>
      </c>
      <c r="K534" s="796"/>
    </row>
    <row r="535" spans="1:11" s="21" customFormat="1">
      <c r="A535" s="132"/>
      <c r="B535" s="768" t="s">
        <v>2830</v>
      </c>
      <c r="C535" s="769"/>
      <c r="D535" s="782"/>
      <c r="E535" s="1483">
        <f>mmProd3Seg2PreSalesShare</f>
        <v>0.2</v>
      </c>
      <c r="F535" s="1483">
        <f>mmProd3Seg2PreSalesShare</f>
        <v>0.2</v>
      </c>
      <c r="G535" s="1483">
        <f>mmProd3Seg2PreSalesShare</f>
        <v>0.2</v>
      </c>
      <c r="H535" s="1483">
        <f>mmProd3Seg2PreSalesShare</f>
        <v>0.2</v>
      </c>
      <c r="I535" s="1483">
        <f>mmProd3Seg2PreSalesShare</f>
        <v>0.2</v>
      </c>
      <c r="J535" s="783">
        <f>mmProd3!J328</f>
        <v>1225000000</v>
      </c>
      <c r="K535" s="796"/>
    </row>
    <row r="536" spans="1:11" ht="12.75">
      <c r="A536" s="132"/>
      <c r="B536" s="893"/>
      <c r="C536" s="21"/>
      <c r="D536" s="21"/>
      <c r="E536" s="38"/>
      <c r="F536" s="38"/>
      <c r="G536" s="38"/>
      <c r="H536" s="38"/>
      <c r="I536" s="38"/>
      <c r="J536" s="180"/>
      <c r="K536" s="796"/>
    </row>
    <row r="537" spans="1:11" ht="12.75">
      <c r="A537" s="132"/>
      <c r="B537" s="893" t="str">
        <f>DataNameProd4</f>
        <v>F&amp;S</v>
      </c>
      <c r="C537" s="21"/>
      <c r="D537" s="21"/>
      <c r="E537" s="38"/>
      <c r="F537" s="38"/>
      <c r="G537" s="38"/>
      <c r="H537" s="38"/>
      <c r="I537" s="38"/>
      <c r="J537" s="180"/>
      <c r="K537" s="796"/>
    </row>
    <row r="538" spans="1:11">
      <c r="A538" s="132"/>
      <c r="B538" s="21" t="s">
        <v>1402</v>
      </c>
      <c r="C538" s="21"/>
      <c r="D538" s="21"/>
      <c r="E538" s="532">
        <f>capProd4Reg2Price</f>
        <v>9</v>
      </c>
      <c r="F538" s="532">
        <f>capProd4Reg2Price</f>
        <v>9</v>
      </c>
      <c r="G538" s="532">
        <f>capProd4Reg2Price</f>
        <v>9</v>
      </c>
      <c r="H538" s="532">
        <f>capProd4Reg2Price</f>
        <v>9</v>
      </c>
      <c r="I538" s="532">
        <f>capProd4Reg2Price</f>
        <v>9</v>
      </c>
      <c r="J538" s="525"/>
      <c r="K538" s="818">
        <f>SUM(E538:I538)/xxNumOfTeams</f>
        <v>9</v>
      </c>
    </row>
    <row r="539" spans="1:11" ht="6" customHeight="1">
      <c r="A539" s="132"/>
      <c r="B539" s="21"/>
      <c r="C539" s="21"/>
      <c r="D539" s="21"/>
      <c r="E539" s="532"/>
      <c r="F539" s="532"/>
      <c r="G539" s="532"/>
      <c r="H539" s="532"/>
      <c r="I539" s="532"/>
      <c r="J539" s="525"/>
      <c r="K539" s="818"/>
    </row>
    <row r="540" spans="1:11">
      <c r="A540" s="132"/>
      <c r="B540" s="21" t="s">
        <v>1508</v>
      </c>
      <c r="C540" s="21"/>
      <c r="D540" s="21"/>
      <c r="E540" s="809">
        <f>capProd4Reg2Units/INDEX(xxMMProd4Seg2Units,xxYear+3)</f>
        <v>0.2</v>
      </c>
      <c r="F540" s="809">
        <f>capProd4Reg2Units/INDEX(xxMMProd4Seg2Units,xxYear+3)</f>
        <v>0.2</v>
      </c>
      <c r="G540" s="809">
        <f>capProd4Reg2Units/INDEX(xxMMProd4Seg2Units,xxYear+3)</f>
        <v>0.2</v>
      </c>
      <c r="H540" s="809">
        <f>capProd4Reg2Units/INDEX(xxMMProd4Seg2Units,xxYear+3)</f>
        <v>0.2</v>
      </c>
      <c r="I540" s="809">
        <f>capProd4Reg2Units/INDEX(xxMMProd4Seg2Units,xxYear+3)</f>
        <v>0.2</v>
      </c>
      <c r="J540" s="520"/>
      <c r="K540" s="811"/>
    </row>
    <row r="541" spans="1:11" ht="12.75">
      <c r="A541" s="132"/>
      <c r="B541" s="545" t="s">
        <v>2831</v>
      </c>
      <c r="C541" s="545"/>
      <c r="D541" s="545"/>
      <c r="E541" s="888">
        <f>mmProd4Seg2ActShare</f>
        <v>0.2</v>
      </c>
      <c r="F541" s="888">
        <f>mmProd4Seg2ActShare</f>
        <v>0.2</v>
      </c>
      <c r="G541" s="888">
        <f>mmProd4Seg2ActShare</f>
        <v>0.2</v>
      </c>
      <c r="H541" s="888">
        <f>mmProd4Seg2ActShare</f>
        <v>0.2</v>
      </c>
      <c r="I541" s="888">
        <f>mmProd4Seg2ActShare</f>
        <v>0.2</v>
      </c>
      <c r="J541" s="888"/>
      <c r="K541" s="889"/>
    </row>
    <row r="542" spans="1:11" ht="12.75">
      <c r="A542" s="132"/>
      <c r="B542" s="38" t="s">
        <v>3471</v>
      </c>
      <c r="C542" s="38"/>
      <c r="D542" s="38"/>
      <c r="E542" s="616">
        <f>E570</f>
        <v>0.2</v>
      </c>
      <c r="F542" s="616">
        <f>F570</f>
        <v>0.2</v>
      </c>
      <c r="G542" s="616">
        <f>G570</f>
        <v>0.2</v>
      </c>
      <c r="H542" s="616">
        <f>H570</f>
        <v>0.2</v>
      </c>
      <c r="I542" s="616">
        <f>I570</f>
        <v>0.2</v>
      </c>
      <c r="J542" s="888"/>
      <c r="K542" s="889"/>
    </row>
    <row r="543" spans="1:11" ht="6" customHeight="1">
      <c r="A543" s="132"/>
      <c r="B543" s="38"/>
      <c r="C543" s="38"/>
      <c r="D543" s="38"/>
      <c r="E543" s="616"/>
      <c r="F543" s="616"/>
      <c r="G543" s="616"/>
      <c r="H543" s="616"/>
      <c r="I543" s="616"/>
      <c r="J543" s="888"/>
      <c r="K543" s="889"/>
    </row>
    <row r="544" spans="1:11">
      <c r="A544" s="132"/>
      <c r="B544" s="149" t="s">
        <v>3469</v>
      </c>
      <c r="C544" s="21"/>
      <c r="D544" s="21"/>
      <c r="E544" s="520">
        <f>mmProd4Reg2UnitsSold</f>
        <v>225000000</v>
      </c>
      <c r="F544" s="520">
        <f>mmProd4Reg2UnitsSold</f>
        <v>225000000</v>
      </c>
      <c r="G544" s="520">
        <f>mmProd4Reg2UnitsSold</f>
        <v>225000000</v>
      </c>
      <c r="H544" s="520">
        <f>mmProd4Reg2UnitsSold</f>
        <v>225000000</v>
      </c>
      <c r="I544" s="520">
        <f>mmProd4Reg2UnitsSold</f>
        <v>225000000</v>
      </c>
      <c r="J544" s="520"/>
      <c r="K544" s="817">
        <f>SUM(E544:I544)/xxNumOfTeams</f>
        <v>225000000</v>
      </c>
    </row>
    <row r="545" spans="1:11">
      <c r="A545" s="132"/>
      <c r="B545" s="149" t="s">
        <v>3331</v>
      </c>
      <c r="C545" s="21"/>
      <c r="D545" s="21"/>
      <c r="E545" s="526">
        <f>E544*E538</f>
        <v>2025000000</v>
      </c>
      <c r="F545" s="526">
        <f>F544*F538</f>
        <v>2025000000</v>
      </c>
      <c r="G545" s="526">
        <f>G544*G538</f>
        <v>2025000000</v>
      </c>
      <c r="H545" s="526">
        <f>H544*H538</f>
        <v>2025000000</v>
      </c>
      <c r="I545" s="526">
        <f>I544*I538</f>
        <v>2025000000</v>
      </c>
      <c r="J545" s="520"/>
      <c r="K545" s="820">
        <f>SUM(E545:I545)/xxNumOfTeams</f>
        <v>2025000000</v>
      </c>
    </row>
    <row r="546" spans="1:11" ht="12.75">
      <c r="A546" s="132"/>
      <c r="B546" s="181" t="s">
        <v>3470</v>
      </c>
      <c r="C546" s="545"/>
      <c r="D546" s="545"/>
      <c r="E546" s="890">
        <f>mmProd4!E244</f>
        <v>18000000</v>
      </c>
      <c r="F546" s="890">
        <f>mmProd4!F244</f>
        <v>18000000</v>
      </c>
      <c r="G546" s="890">
        <f>mmProd4!G244</f>
        <v>18000000</v>
      </c>
      <c r="H546" s="890">
        <f>mmProd4!H244</f>
        <v>18000000</v>
      </c>
      <c r="I546" s="890">
        <f>mmProd4!I244</f>
        <v>18000000</v>
      </c>
      <c r="J546" s="891"/>
      <c r="K546" s="892">
        <f>SUM(E546:I546)/xxNumOfTeams</f>
        <v>18000000</v>
      </c>
    </row>
    <row r="547" spans="1:11" ht="12.75">
      <c r="A547" s="132"/>
      <c r="B547" s="149" t="s">
        <v>3330</v>
      </c>
      <c r="C547" s="545"/>
      <c r="D547" s="545"/>
      <c r="E547" s="526">
        <f>IF(E546&gt;0,0,-1*E546*E538)</f>
        <v>0</v>
      </c>
      <c r="F547" s="526">
        <f>IF(F546&gt;0,0,-1*F546*F538)</f>
        <v>0</v>
      </c>
      <c r="G547" s="526">
        <f>IF(G546&gt;0,0,-1*G546*G538)</f>
        <v>0</v>
      </c>
      <c r="H547" s="526">
        <f>IF(H546&gt;0,0,-1*H546*H538)</f>
        <v>0</v>
      </c>
      <c r="I547" s="526">
        <f>IF(I546&gt;0,0,-1*I546*I538)</f>
        <v>0</v>
      </c>
      <c r="J547" s="891"/>
      <c r="K547" s="820">
        <f>SUM(E547:I547)/xxNumOfTeams</f>
        <v>0</v>
      </c>
    </row>
    <row r="548" spans="1:11" ht="6" customHeight="1">
      <c r="A548" s="132"/>
      <c r="B548" s="21"/>
      <c r="C548" s="21"/>
      <c r="D548" s="21"/>
      <c r="E548" s="38"/>
      <c r="F548" s="38"/>
      <c r="G548" s="38"/>
      <c r="H548" s="38"/>
      <c r="I548" s="38"/>
      <c r="J548" s="180"/>
      <c r="K548" s="796"/>
    </row>
    <row r="549" spans="1:11">
      <c r="A549" s="132"/>
      <c r="B549" s="548" t="s">
        <v>246</v>
      </c>
      <c r="C549" s="21"/>
      <c r="D549" s="21"/>
      <c r="E549" s="21" t="str">
        <f>decProd4Ftr4LevelDec</f>
        <v>Narrow</v>
      </c>
      <c r="F549" s="21" t="str">
        <f>decProd4Ftr4LevelDec</f>
        <v>Narrow</v>
      </c>
      <c r="G549" s="21" t="str">
        <f>decProd4Ftr4LevelDec</f>
        <v>Narrow</v>
      </c>
      <c r="H549" s="21" t="str">
        <f>decProd4Ftr4LevelDec</f>
        <v>Narrow</v>
      </c>
      <c r="I549" s="21" t="str">
        <f>decProd4Ftr4LevelDec</f>
        <v>Narrow</v>
      </c>
      <c r="J549" s="180"/>
      <c r="K549" s="796"/>
    </row>
    <row r="550" spans="1:11" ht="6" customHeight="1">
      <c r="A550" s="132"/>
      <c r="B550" s="548"/>
      <c r="C550" s="21"/>
      <c r="D550" s="21"/>
      <c r="E550" s="21"/>
      <c r="F550" s="21"/>
      <c r="G550" s="21"/>
      <c r="H550" s="21"/>
      <c r="I550" s="21"/>
      <c r="J550" s="180"/>
      <c r="K550" s="796"/>
    </row>
    <row r="551" spans="1:11">
      <c r="A551" s="132"/>
      <c r="B551" s="21" t="s">
        <v>3455</v>
      </c>
      <c r="C551" s="21"/>
      <c r="D551" s="21"/>
      <c r="E551" s="1182">
        <f>capProd4AdvR2</f>
        <v>52000000</v>
      </c>
      <c r="F551" s="1182">
        <f>capProd4AdvR2</f>
        <v>52000000</v>
      </c>
      <c r="G551" s="1182">
        <f>capProd4AdvR2</f>
        <v>52000000</v>
      </c>
      <c r="H551" s="1182">
        <f>capProd4AdvR2</f>
        <v>52000000</v>
      </c>
      <c r="I551" s="1182">
        <f>capProd4AdvR2</f>
        <v>52000000</v>
      </c>
      <c r="J551" s="1182"/>
      <c r="K551" s="1188">
        <f>SUM(E551:I551)/xxNumOfTeams</f>
        <v>52000000</v>
      </c>
    </row>
    <row r="552" spans="1:11">
      <c r="A552" s="132"/>
      <c r="B552" s="21" t="s">
        <v>3456</v>
      </c>
      <c r="C552" s="21"/>
      <c r="D552" s="21"/>
      <c r="E552" s="1182">
        <f>capProd4PromoR2</f>
        <v>95000000</v>
      </c>
      <c r="F552" s="1182">
        <f>capProd4PromoR2</f>
        <v>95000000</v>
      </c>
      <c r="G552" s="1182">
        <f>capProd4PromoR2</f>
        <v>95000000</v>
      </c>
      <c r="H552" s="1182">
        <f>capProd4PromoR2</f>
        <v>95000000</v>
      </c>
      <c r="I552" s="1182">
        <f>capProd4PromoR2</f>
        <v>95000000</v>
      </c>
      <c r="J552" s="1182"/>
      <c r="K552" s="1188">
        <f>SUM(E552:I552)/xxNumOfTeams</f>
        <v>95000000</v>
      </c>
    </row>
    <row r="553" spans="1:11">
      <c r="A553" s="132"/>
      <c r="B553" s="21" t="s">
        <v>199</v>
      </c>
      <c r="C553" s="21"/>
      <c r="D553" s="21"/>
      <c r="E553" s="92">
        <f>paramReg2Prod4CommSpendEffect</f>
        <v>1</v>
      </c>
      <c r="F553" s="92">
        <f>paramReg2Prod4CommSpendEffect</f>
        <v>1</v>
      </c>
      <c r="G553" s="92">
        <f>paramReg2Prod4CommSpendEffect</f>
        <v>1</v>
      </c>
      <c r="H553" s="92">
        <f>paramReg2Prod4CommSpendEffect</f>
        <v>1</v>
      </c>
      <c r="I553" s="92">
        <f>paramReg2Prod4CommSpendEffect</f>
        <v>1</v>
      </c>
      <c r="J553" s="92"/>
      <c r="K553" s="806">
        <f>SUM(E553:I553)/xxNumOfTeams</f>
        <v>1</v>
      </c>
    </row>
    <row r="554" spans="1:11" ht="6" customHeight="1">
      <c r="A554" s="132"/>
      <c r="B554" s="62"/>
      <c r="C554" s="62"/>
      <c r="D554" s="62"/>
      <c r="E554" s="520"/>
      <c r="F554" s="520"/>
      <c r="G554" s="520"/>
      <c r="H554" s="520"/>
      <c r="I554" s="520"/>
      <c r="J554" s="180"/>
      <c r="K554" s="796"/>
    </row>
    <row r="555" spans="1:11" s="33" customFormat="1">
      <c r="A555" s="554"/>
      <c r="B555" s="452" t="str">
        <f>DataNameProd4&amp;" Escendia"</f>
        <v>F&amp;S Escendia</v>
      </c>
      <c r="C555" s="149"/>
      <c r="D555" s="727"/>
      <c r="E555" s="727"/>
      <c r="F555" s="727"/>
      <c r="G555" s="727"/>
      <c r="H555" s="727"/>
      <c r="I555" s="728"/>
      <c r="J555" s="523"/>
      <c r="K555" s="797"/>
    </row>
    <row r="556" spans="1:11" s="33" customFormat="1">
      <c r="A556" s="554"/>
      <c r="B556" s="49" t="s">
        <v>2672</v>
      </c>
      <c r="C556" s="773">
        <f>mmProd4!D318</f>
        <v>3833500000</v>
      </c>
      <c r="D556" s="60"/>
      <c r="E556" s="60"/>
      <c r="F556" s="774"/>
      <c r="G556" s="60"/>
      <c r="H556" s="775"/>
      <c r="I556" s="776" t="s">
        <v>2673</v>
      </c>
      <c r="J556" s="777">
        <f>mmProd4!J318</f>
        <v>1125000000</v>
      </c>
      <c r="K556" s="797"/>
    </row>
    <row r="557" spans="1:11" s="33" customFormat="1">
      <c r="A557" s="554"/>
      <c r="B557" s="70" t="s">
        <v>2958</v>
      </c>
      <c r="C557" s="778"/>
      <c r="D557" s="161"/>
      <c r="E557" s="744" t="str">
        <f>decTeamName</f>
        <v>Vivia</v>
      </c>
      <c r="F557" s="744" t="str">
        <f>decTeamName</f>
        <v>Vivia</v>
      </c>
      <c r="G557" s="744" t="str">
        <f>decTeamName</f>
        <v>Vivia</v>
      </c>
      <c r="H557" s="744" t="str">
        <f>decTeamName</f>
        <v>Vivia</v>
      </c>
      <c r="I557" s="744" t="str">
        <f>decTeamName</f>
        <v>Vivia</v>
      </c>
      <c r="J557" s="779"/>
      <c r="K557" s="797"/>
    </row>
    <row r="558" spans="1:11" s="33" customFormat="1">
      <c r="A558" s="554"/>
      <c r="B558" s="37" t="str">
        <f>mmProd4!C320</f>
        <v>Price</v>
      </c>
      <c r="C558" s="55">
        <f>mmProd4!D320</f>
        <v>40</v>
      </c>
      <c r="D558" s="667"/>
      <c r="E558" s="667">
        <f>mmProd4!E320</f>
        <v>0</v>
      </c>
      <c r="F558" s="668">
        <f>mmProd4!F320</f>
        <v>0</v>
      </c>
      <c r="G558" s="668">
        <f>mmProd4!G320</f>
        <v>0</v>
      </c>
      <c r="H558" s="668">
        <f>mmProd4!H320</f>
        <v>0</v>
      </c>
      <c r="I558" s="669">
        <f>mmProd4!I320</f>
        <v>0</v>
      </c>
      <c r="J558" s="700">
        <f>mmProd4!J320</f>
        <v>100</v>
      </c>
      <c r="K558" s="797"/>
    </row>
    <row r="559" spans="1:11" s="33" customFormat="1">
      <c r="A559" s="554"/>
      <c r="B559" s="37" t="str">
        <f>mmProd4!C321</f>
        <v>Range Of Products</v>
      </c>
      <c r="C559" s="55">
        <f>mmProd4!D321</f>
        <v>9</v>
      </c>
      <c r="D559" s="660"/>
      <c r="E559" s="660">
        <f>mmProd4!E321</f>
        <v>0</v>
      </c>
      <c r="F559" s="616">
        <f>mmProd4!F321</f>
        <v>0</v>
      </c>
      <c r="G559" s="616">
        <f>mmProd4!G321</f>
        <v>0</v>
      </c>
      <c r="H559" s="616">
        <f>mmProd4!H321</f>
        <v>0</v>
      </c>
      <c r="I559" s="661">
        <f>mmProd4!I321</f>
        <v>0</v>
      </c>
      <c r="J559" s="701">
        <f>mmProd4!J321</f>
        <v>22.5</v>
      </c>
      <c r="K559" s="797"/>
    </row>
    <row r="560" spans="1:11" s="33" customFormat="1">
      <c r="A560" s="554"/>
      <c r="B560" s="37" t="str">
        <f>mmProd4!C323</f>
        <v>Advertising</v>
      </c>
      <c r="C560" s="55">
        <f>mmProd4!D323</f>
        <v>8</v>
      </c>
      <c r="D560" s="660"/>
      <c r="E560" s="660">
        <f>mmProd4!E323</f>
        <v>0</v>
      </c>
      <c r="F560" s="616">
        <f>mmProd4!F323</f>
        <v>0</v>
      </c>
      <c r="G560" s="616">
        <f>mmProd4!G323</f>
        <v>0</v>
      </c>
      <c r="H560" s="616">
        <f>mmProd4!H323</f>
        <v>0</v>
      </c>
      <c r="I560" s="661">
        <f>mmProd4!I323</f>
        <v>0</v>
      </c>
      <c r="J560" s="701">
        <f>mmProd4!J323</f>
        <v>20</v>
      </c>
      <c r="K560" s="797"/>
    </row>
    <row r="561" spans="1:11" s="33" customFormat="1">
      <c r="A561" s="554"/>
      <c r="B561" s="37" t="str">
        <f>mmProd4!C324</f>
        <v>Promotion</v>
      </c>
      <c r="C561" s="55">
        <f>mmProd4!D324</f>
        <v>10</v>
      </c>
      <c r="D561" s="660"/>
      <c r="E561" s="660">
        <f>mmProd4!E324</f>
        <v>0</v>
      </c>
      <c r="F561" s="616">
        <f>mmProd4!F324</f>
        <v>0</v>
      </c>
      <c r="G561" s="616">
        <f>mmProd4!G324</f>
        <v>0</v>
      </c>
      <c r="H561" s="616">
        <f>mmProd4!H324</f>
        <v>0</v>
      </c>
      <c r="I561" s="661">
        <f>mmProd4!I324</f>
        <v>0</v>
      </c>
      <c r="J561" s="701">
        <f>mmProd4!J324</f>
        <v>25</v>
      </c>
      <c r="K561" s="797"/>
    </row>
    <row r="562" spans="1:11" s="33" customFormat="1">
      <c r="A562" s="554"/>
      <c r="B562" s="37" t="str">
        <f>mmProd4!C325</f>
        <v>Sales Force</v>
      </c>
      <c r="C562" s="55">
        <f>mmProd4!D325</f>
        <v>15</v>
      </c>
      <c r="D562" s="660"/>
      <c r="E562" s="660">
        <f>mmProd4!E325</f>
        <v>0</v>
      </c>
      <c r="F562" s="616">
        <f>mmProd4!F325</f>
        <v>0</v>
      </c>
      <c r="G562" s="616">
        <f>mmProd4!G325</f>
        <v>0</v>
      </c>
      <c r="H562" s="616">
        <f>mmProd4!H325</f>
        <v>0</v>
      </c>
      <c r="I562" s="661">
        <f>mmProd4!I325</f>
        <v>0</v>
      </c>
      <c r="J562" s="701">
        <f>mmProd4!J325</f>
        <v>37.5</v>
      </c>
      <c r="K562" s="797"/>
    </row>
    <row r="563" spans="1:11" s="33" customFormat="1">
      <c r="A563" s="554"/>
      <c r="B563" s="780" t="str">
        <f>mmProd4!C326</f>
        <v>Innovation</v>
      </c>
      <c r="C563" s="55">
        <f>mmProd4!D326</f>
        <v>7</v>
      </c>
      <c r="D563" s="660"/>
      <c r="E563" s="660">
        <f>mmProd4!E326</f>
        <v>0</v>
      </c>
      <c r="F563" s="616">
        <f>mmProd4!F326</f>
        <v>0</v>
      </c>
      <c r="G563" s="616">
        <f>mmProd4!G326</f>
        <v>0</v>
      </c>
      <c r="H563" s="616">
        <f>mmProd4!H326</f>
        <v>0</v>
      </c>
      <c r="I563" s="661">
        <f>mmProd4!I326</f>
        <v>0</v>
      </c>
      <c r="J563" s="701">
        <f>mmProd4!J326</f>
        <v>0</v>
      </c>
      <c r="K563" s="797"/>
    </row>
    <row r="564" spans="1:11" s="33" customFormat="1">
      <c r="A564" s="554"/>
      <c r="B564" s="780" t="str">
        <f>mmProd4!C327</f>
        <v>Channel Penetration</v>
      </c>
      <c r="C564" s="55">
        <f>mmProd4!D327</f>
        <v>16</v>
      </c>
      <c r="D564" s="660"/>
      <c r="E564" s="660">
        <f>mmProd4!E327</f>
        <v>0</v>
      </c>
      <c r="F564" s="616">
        <f>mmProd4!F327</f>
        <v>0</v>
      </c>
      <c r="G564" s="616">
        <f>mmProd4!G327</f>
        <v>0</v>
      </c>
      <c r="H564" s="616">
        <f>mmProd4!H327</f>
        <v>0</v>
      </c>
      <c r="I564" s="661">
        <f>mmProd4!I327</f>
        <v>0</v>
      </c>
      <c r="J564" s="55">
        <f>mmProd4!J327</f>
        <v>40</v>
      </c>
      <c r="K564" s="797"/>
    </row>
    <row r="565" spans="1:11" s="33" customFormat="1">
      <c r="A565" s="554"/>
      <c r="B565" s="780" t="str">
        <f>mmProd4!C330</f>
        <v>Special Programs</v>
      </c>
      <c r="C565" s="55"/>
      <c r="D565" s="662"/>
      <c r="E565" s="662">
        <f>mmProd4!E330</f>
        <v>0</v>
      </c>
      <c r="F565" s="618">
        <f>mmProd4!F330</f>
        <v>0</v>
      </c>
      <c r="G565" s="618">
        <f>mmProd4!G330</f>
        <v>0</v>
      </c>
      <c r="H565" s="618">
        <f>mmProd4!H330</f>
        <v>0</v>
      </c>
      <c r="I565" s="663">
        <f>mmProd4!I330</f>
        <v>0</v>
      </c>
      <c r="J565" s="702">
        <f>mmProd4!J330</f>
        <v>0</v>
      </c>
      <c r="K565" s="797"/>
    </row>
    <row r="566" spans="1:11" s="33" customFormat="1">
      <c r="A566" s="554"/>
      <c r="B566" s="37" t="s">
        <v>2959</v>
      </c>
      <c r="C566" s="38"/>
      <c r="D566" s="686"/>
      <c r="E566" s="1314">
        <f>mmProd4!E331</f>
        <v>0</v>
      </c>
      <c r="F566" s="1315">
        <f>mmProd4!F331</f>
        <v>0</v>
      </c>
      <c r="G566" s="1315">
        <f>mmProd4!G331</f>
        <v>0</v>
      </c>
      <c r="H566" s="1315">
        <f>mmProd4!H331</f>
        <v>0</v>
      </c>
      <c r="I566" s="1316">
        <f>mmProd4!I331</f>
        <v>0</v>
      </c>
      <c r="J566" s="53">
        <f>mmProd4!J331</f>
        <v>245</v>
      </c>
      <c r="K566" s="797"/>
    </row>
    <row r="567" spans="1:11" s="33" customFormat="1" ht="12" thickBot="1">
      <c r="A567" s="554"/>
      <c r="B567" s="37" t="s">
        <v>974</v>
      </c>
      <c r="C567" s="38"/>
      <c r="D567" s="38"/>
      <c r="E567" s="38">
        <f>mmProd4!E332</f>
        <v>1</v>
      </c>
      <c r="F567" s="38">
        <f>mmProd4!F332</f>
        <v>1</v>
      </c>
      <c r="G567" s="38">
        <f>mmProd4!G332</f>
        <v>1</v>
      </c>
      <c r="H567" s="38">
        <f>mmProd4!H332</f>
        <v>1</v>
      </c>
      <c r="I567" s="38">
        <f>mmProd4!I332</f>
        <v>1</v>
      </c>
      <c r="J567" s="764" t="s">
        <v>2227</v>
      </c>
      <c r="K567" s="797"/>
    </row>
    <row r="568" spans="1:11" s="33" customFormat="1">
      <c r="A568" s="554"/>
      <c r="B568" s="765" t="s">
        <v>3201</v>
      </c>
      <c r="C568" s="645"/>
      <c r="D568" s="646"/>
      <c r="E568" s="1484">
        <f>mmProd4!E333</f>
        <v>0.2</v>
      </c>
      <c r="F568" s="1484">
        <f>mmProd4!F333</f>
        <v>0.2</v>
      </c>
      <c r="G568" s="1484">
        <f>mmProd4!G333</f>
        <v>0.2</v>
      </c>
      <c r="H568" s="1484">
        <f>mmProd4!H333</f>
        <v>0.2</v>
      </c>
      <c r="I568" s="1484">
        <f>mmProd4!I333</f>
        <v>0.2</v>
      </c>
      <c r="J568" s="749">
        <f>mmProd4!J333</f>
        <v>0.45</v>
      </c>
      <c r="K568" s="797"/>
    </row>
    <row r="569" spans="1:11" s="33" customFormat="1" ht="12" thickBot="1">
      <c r="A569" s="554"/>
      <c r="B569" s="91" t="s">
        <v>1999</v>
      </c>
      <c r="C569" s="21"/>
      <c r="D569" s="106"/>
      <c r="E569" s="809">
        <f>mmProd4!E334</f>
        <v>0.2</v>
      </c>
      <c r="F569" s="809">
        <f>mmProd4!F334</f>
        <v>0.2</v>
      </c>
      <c r="G569" s="809">
        <f>mmProd4!G334</f>
        <v>0.2</v>
      </c>
      <c r="H569" s="809">
        <f>mmProd4!H334</f>
        <v>0.2</v>
      </c>
      <c r="I569" s="809">
        <f>mmProd4!I334</f>
        <v>0.2</v>
      </c>
      <c r="J569" s="767">
        <f>mmProd4!J334</f>
        <v>0.55000000000000004</v>
      </c>
      <c r="K569" s="797"/>
    </row>
    <row r="570" spans="1:11" s="33" customFormat="1">
      <c r="A570" s="554"/>
      <c r="B570" s="768" t="s">
        <v>2830</v>
      </c>
      <c r="C570" s="769"/>
      <c r="D570" s="770"/>
      <c r="E570" s="1482">
        <f>mmProd4Seg2PreSalesShare</f>
        <v>0.2</v>
      </c>
      <c r="F570" s="1482">
        <f>mmProd4Seg2PreSalesShare</f>
        <v>0.2</v>
      </c>
      <c r="G570" s="1482">
        <f>mmProd4Seg2PreSalesShare</f>
        <v>0.2</v>
      </c>
      <c r="H570" s="1482">
        <f>mmProd4Seg2PreSalesShare</f>
        <v>0.2</v>
      </c>
      <c r="I570" s="1482">
        <f>mmProd4Seg2PreSalesShare</f>
        <v>0.2</v>
      </c>
      <c r="J570" s="784">
        <f>mmProd4!J335</f>
        <v>1125000000</v>
      </c>
      <c r="K570" s="797"/>
    </row>
    <row r="571" spans="1:11" s="21" customFormat="1" ht="12" thickBot="1">
      <c r="A571" s="134"/>
      <c r="B571" s="1199"/>
      <c r="C571" s="1199"/>
      <c r="D571" s="1394"/>
      <c r="E571" s="1394"/>
      <c r="F571" s="1394"/>
      <c r="G571" s="1394"/>
      <c r="H571" s="1394"/>
      <c r="I571" s="1395"/>
      <c r="J571" s="763"/>
      <c r="K571" s="812"/>
    </row>
    <row r="572" spans="1:11" ht="15.75">
      <c r="A572" s="565" t="s">
        <v>1486</v>
      </c>
      <c r="B572" s="566"/>
      <c r="C572" s="1398"/>
      <c r="D572" s="1399"/>
      <c r="E572" s="732" t="str">
        <f>decTeamName</f>
        <v>Vivia</v>
      </c>
      <c r="F572" s="732" t="str">
        <f>decTeamName</f>
        <v>Vivia</v>
      </c>
      <c r="G572" s="732" t="str">
        <f>decTeamName</f>
        <v>Vivia</v>
      </c>
      <c r="H572" s="732" t="str">
        <f>decTeamName</f>
        <v>Vivia</v>
      </c>
      <c r="I572" s="732" t="str">
        <f>decTeamName</f>
        <v>Vivia</v>
      </c>
      <c r="J572" s="802"/>
      <c r="K572" s="803" t="s">
        <v>2718</v>
      </c>
    </row>
    <row r="573" spans="1:11" ht="15.75">
      <c r="A573" s="707" t="s">
        <v>829</v>
      </c>
      <c r="B573" s="541"/>
      <c r="C573" s="38"/>
      <c r="D573" s="150"/>
      <c r="E573" s="149"/>
      <c r="F573" s="149"/>
      <c r="G573" s="149"/>
      <c r="H573" s="149"/>
      <c r="I573" s="149"/>
      <c r="J573" s="180"/>
      <c r="K573" s="796"/>
    </row>
    <row r="574" spans="1:11">
      <c r="A574" s="132"/>
      <c r="B574" s="1430" t="str">
        <f>DataNameProd1</f>
        <v>CSD</v>
      </c>
      <c r="C574" s="177"/>
      <c r="D574" s="177"/>
      <c r="E574" s="177"/>
      <c r="F574" s="177"/>
      <c r="G574" s="177"/>
      <c r="H574" s="177"/>
      <c r="I574" s="177"/>
      <c r="J574" s="1431"/>
      <c r="K574" s="796"/>
    </row>
    <row r="575" spans="1:11">
      <c r="A575" s="132"/>
      <c r="B575" s="21" t="s">
        <v>1476</v>
      </c>
      <c r="C575" s="21"/>
      <c r="D575" s="21"/>
      <c r="E575" s="1182">
        <f>finPNLReg2Prod1Rev</f>
        <v>2497600000</v>
      </c>
      <c r="F575" s="1182">
        <f>finPNLReg2Prod1Rev</f>
        <v>2497600000</v>
      </c>
      <c r="G575" s="1182">
        <f>finPNLReg2Prod1Rev</f>
        <v>2497600000</v>
      </c>
      <c r="H575" s="1182">
        <f>finPNLReg2Prod1Rev</f>
        <v>2497600000</v>
      </c>
      <c r="I575" s="1182">
        <f>finPNLReg2Prod1Rev</f>
        <v>2497600000</v>
      </c>
      <c r="J575" s="1182"/>
      <c r="K575" s="1188">
        <f>SUM(E575:I575)/xxNumOfTeams</f>
        <v>2497600000</v>
      </c>
    </row>
    <row r="576" spans="1:11">
      <c r="A576" s="132"/>
      <c r="B576" s="547" t="s">
        <v>2548</v>
      </c>
      <c r="C576" s="21"/>
      <c r="D576" s="21"/>
      <c r="E576" s="1182">
        <f>finPNLReg2Prod1PromoExp</f>
        <v>195000000</v>
      </c>
      <c r="F576" s="1182">
        <f>finPNLReg2Prod1PromoExp</f>
        <v>195000000</v>
      </c>
      <c r="G576" s="1182">
        <f>finPNLReg2Prod1PromoExp</f>
        <v>195000000</v>
      </c>
      <c r="H576" s="1182">
        <f>finPNLReg2Prod1PromoExp</f>
        <v>195000000</v>
      </c>
      <c r="I576" s="1182">
        <f>finPNLReg2Prod1PromoExp</f>
        <v>195000000</v>
      </c>
      <c r="J576" s="1182"/>
      <c r="K576" s="1188">
        <f>SUM(E576:I576)/xxNumOfTeams</f>
        <v>195000000</v>
      </c>
    </row>
    <row r="577" spans="1:11">
      <c r="A577" s="132"/>
      <c r="B577" s="21" t="s">
        <v>1475</v>
      </c>
      <c r="C577" s="21"/>
      <c r="D577" s="21"/>
      <c r="E577" s="1182">
        <f>finPNLReg2Prod1NetRev</f>
        <v>2302600000</v>
      </c>
      <c r="F577" s="1182">
        <f>finPNLReg2Prod1NetRev</f>
        <v>2302600000</v>
      </c>
      <c r="G577" s="1182">
        <f>finPNLReg2Prod1NetRev</f>
        <v>2302600000</v>
      </c>
      <c r="H577" s="1182">
        <f>finPNLReg2Prod1NetRev</f>
        <v>2302600000</v>
      </c>
      <c r="I577" s="1182">
        <f>finPNLReg2Prod1NetRev</f>
        <v>2302600000</v>
      </c>
      <c r="J577" s="1182"/>
      <c r="K577" s="1188">
        <f>SUM(E577:I577)/xxNumOfTeams</f>
        <v>2302600000</v>
      </c>
    </row>
    <row r="578" spans="1:11">
      <c r="A578" s="132"/>
      <c r="B578" s="21" t="s">
        <v>3640</v>
      </c>
      <c r="C578" s="21"/>
      <c r="D578" s="21"/>
      <c r="E578" s="1182">
        <f ca="1">finPNLReg2Prod1COGSExp</f>
        <v>1052319877.9526795</v>
      </c>
      <c r="F578" s="1182">
        <f ca="1">finPNLReg2Prod1COGSExp</f>
        <v>1052319877.9526795</v>
      </c>
      <c r="G578" s="1182">
        <f ca="1">finPNLReg2Prod1COGSExp</f>
        <v>1052319877.9526795</v>
      </c>
      <c r="H578" s="1182">
        <f ca="1">finPNLReg2Prod1COGSExp</f>
        <v>1052319877.9526795</v>
      </c>
      <c r="I578" s="1182">
        <f ca="1">finPNLReg2Prod1COGSExp</f>
        <v>1052319877.9526795</v>
      </c>
      <c r="J578" s="1182"/>
      <c r="K578" s="1188">
        <f ca="1">SUM(E578:I578)/xxNumOfTeams</f>
        <v>1052319877.9526794</v>
      </c>
    </row>
    <row r="579" spans="1:11">
      <c r="A579" s="132"/>
      <c r="B579" s="21" t="s">
        <v>3800</v>
      </c>
      <c r="C579" s="21"/>
      <c r="D579" s="21"/>
      <c r="E579" s="1182">
        <f ca="1">finPNLReg2Prod1GrossMargin</f>
        <v>1250280122.0473204</v>
      </c>
      <c r="F579" s="1182">
        <f ca="1">finPNLReg2Prod1GrossMargin</f>
        <v>1250280122.0473204</v>
      </c>
      <c r="G579" s="1182">
        <f ca="1">finPNLReg2Prod1GrossMargin</f>
        <v>1250280122.0473204</v>
      </c>
      <c r="H579" s="1182">
        <f ca="1">finPNLReg2Prod1GrossMargin</f>
        <v>1250280122.0473204</v>
      </c>
      <c r="I579" s="1182">
        <f ca="1">finPNLReg2Prod1GrossMargin</f>
        <v>1250280122.0473204</v>
      </c>
      <c r="J579" s="1182"/>
      <c r="K579" s="1188">
        <f ca="1">SUM(E579:I579)/xxNumOfTeams</f>
        <v>1250280122.0473204</v>
      </c>
    </row>
    <row r="580" spans="1:11">
      <c r="A580" s="132"/>
      <c r="B580" s="1453" t="s">
        <v>3058</v>
      </c>
      <c r="C580" s="1298"/>
      <c r="D580" s="62"/>
      <c r="E580" s="522">
        <f ca="1">E579/E577</f>
        <v>0.5429862425290195</v>
      </c>
      <c r="F580" s="522">
        <f ca="1">F579/F577</f>
        <v>0.5429862425290195</v>
      </c>
      <c r="G580" s="522">
        <f ca="1">G579/G577</f>
        <v>0.5429862425290195</v>
      </c>
      <c r="H580" s="522">
        <f ca="1">H579/H577</f>
        <v>0.5429862425290195</v>
      </c>
      <c r="I580" s="522">
        <f ca="1">I579/I577</f>
        <v>0.5429862425290195</v>
      </c>
      <c r="J580" s="520"/>
      <c r="K580" s="811"/>
    </row>
    <row r="581" spans="1:11">
      <c r="A581" s="132"/>
      <c r="B581" s="21" t="s">
        <v>1916</v>
      </c>
      <c r="C581" s="21"/>
      <c r="D581" s="21"/>
      <c r="E581" s="1182">
        <f ca="1">finPNLReg2Prod1SGAExp</f>
        <v>623872773.43925011</v>
      </c>
      <c r="F581" s="1182">
        <f ca="1">finPNLReg2Prod1SGAExp</f>
        <v>623872773.43925011</v>
      </c>
      <c r="G581" s="1182">
        <f ca="1">finPNLReg2Prod1SGAExp</f>
        <v>623872773.43925011</v>
      </c>
      <c r="H581" s="1182">
        <f ca="1">finPNLReg2Prod1SGAExp</f>
        <v>623872773.43925011</v>
      </c>
      <c r="I581" s="1182">
        <f ca="1">finPNLReg2Prod1SGAExp</f>
        <v>623872773.43925011</v>
      </c>
      <c r="J581" s="1182"/>
      <c r="K581" s="1188">
        <f ca="1">SUM(E581:I581)/xxNumOfTeams</f>
        <v>623872773.43925011</v>
      </c>
    </row>
    <row r="582" spans="1:11">
      <c r="A582" s="132"/>
      <c r="B582" s="21" t="s">
        <v>396</v>
      </c>
      <c r="C582" s="21"/>
      <c r="D582" s="21"/>
      <c r="E582" s="1182">
        <f ca="1">finPNLReg2Prod1DisposalExp</f>
        <v>4875250.8117562346</v>
      </c>
      <c r="F582" s="1182">
        <f ca="1">finPNLReg2Prod1DisposalExp</f>
        <v>4875250.8117562346</v>
      </c>
      <c r="G582" s="1182">
        <f ca="1">finPNLReg2Prod1DisposalExp</f>
        <v>4875250.8117562346</v>
      </c>
      <c r="H582" s="1182">
        <f ca="1">finPNLReg2Prod1DisposalExp</f>
        <v>4875250.8117562346</v>
      </c>
      <c r="I582" s="1182">
        <f ca="1">finPNLReg2Prod1DisposalExp</f>
        <v>4875250.8117562346</v>
      </c>
      <c r="J582" s="1182"/>
      <c r="K582" s="1188">
        <f ca="1">SUM(E582:I582)/xxNumOfTeams</f>
        <v>4875250.8117562346</v>
      </c>
    </row>
    <row r="583" spans="1:11">
      <c r="A583" s="132"/>
      <c r="B583" s="21" t="s">
        <v>3411</v>
      </c>
      <c r="C583" s="21"/>
      <c r="D583" s="21"/>
      <c r="E583" s="1182">
        <f ca="1">finPNLReg2Prod1SpecProgExp</f>
        <v>0</v>
      </c>
      <c r="F583" s="1182">
        <f ca="1">finPNLReg2Prod1SpecProgExp</f>
        <v>0</v>
      </c>
      <c r="G583" s="1182">
        <f ca="1">finPNLReg2Prod1SpecProgExp</f>
        <v>0</v>
      </c>
      <c r="H583" s="1182">
        <f ca="1">finPNLReg2Prod1SpecProgExp</f>
        <v>0</v>
      </c>
      <c r="I583" s="1182">
        <f ca="1">finPNLReg2Prod1SpecProgExp</f>
        <v>0</v>
      </c>
      <c r="J583" s="1182"/>
      <c r="K583" s="1188">
        <f ca="1">SUM(E583:I583)/xxNumOfTeams</f>
        <v>0</v>
      </c>
    </row>
    <row r="584" spans="1:11">
      <c r="A584" s="132"/>
      <c r="B584" s="21" t="s">
        <v>174</v>
      </c>
      <c r="C584" s="21"/>
      <c r="D584" s="21"/>
      <c r="E584" s="1182">
        <f ca="1">finPNLReg2Prod1OpsMargin</f>
        <v>621532097.796314</v>
      </c>
      <c r="F584" s="1182">
        <f ca="1">finPNLReg2Prod1OpsMargin</f>
        <v>621532097.796314</v>
      </c>
      <c r="G584" s="1182">
        <f ca="1">finPNLReg2Prod1OpsMargin</f>
        <v>621532097.796314</v>
      </c>
      <c r="H584" s="1182">
        <f ca="1">finPNLReg2Prod1OpsMargin</f>
        <v>621532097.796314</v>
      </c>
      <c r="I584" s="1182">
        <f ca="1">finPNLReg2Prod1OpsMargin</f>
        <v>621532097.796314</v>
      </c>
      <c r="J584" s="1182"/>
      <c r="K584" s="1188">
        <f ca="1">SUM(E584:I584)/xxNumOfTeams</f>
        <v>621532097.796314</v>
      </c>
    </row>
    <row r="585" spans="1:11">
      <c r="A585" s="132"/>
      <c r="B585" s="1453" t="s">
        <v>3059</v>
      </c>
      <c r="C585" s="21"/>
      <c r="D585" s="21"/>
      <c r="E585" s="1166">
        <f ca="1">E584/E577</f>
        <v>0.26992621288817598</v>
      </c>
      <c r="F585" s="1166">
        <f ca="1">F584/F577</f>
        <v>0.26992621288817598</v>
      </c>
      <c r="G585" s="1166">
        <f ca="1">G584/G577</f>
        <v>0.26992621288817598</v>
      </c>
      <c r="H585" s="1166">
        <f ca="1">H584/H577</f>
        <v>0.26992621288817598</v>
      </c>
      <c r="I585" s="1166">
        <f ca="1">I584/I577</f>
        <v>0.26992621288817598</v>
      </c>
      <c r="J585" s="809"/>
      <c r="K585" s="807">
        <f ca="1">SUM(E585:I585)/xxNumOfTeams</f>
        <v>0.26992621288817598</v>
      </c>
    </row>
    <row r="586" spans="1:11">
      <c r="A586" s="132"/>
      <c r="B586" s="550"/>
      <c r="C586" s="21"/>
      <c r="D586" s="21"/>
      <c r="E586" s="21"/>
      <c r="F586" s="21"/>
      <c r="G586" s="21"/>
      <c r="H586" s="21"/>
      <c r="I586" s="21"/>
      <c r="J586" s="180"/>
      <c r="K586" s="796"/>
    </row>
    <row r="587" spans="1:11">
      <c r="A587" s="132"/>
      <c r="B587" s="1430" t="str">
        <f>DataNameProd3</f>
        <v>NCB</v>
      </c>
      <c r="C587" s="177"/>
      <c r="D587" s="177"/>
      <c r="E587" s="177"/>
      <c r="F587" s="177"/>
      <c r="G587" s="177"/>
      <c r="H587" s="177"/>
      <c r="I587" s="177"/>
      <c r="J587" s="1431"/>
      <c r="K587" s="796"/>
    </row>
    <row r="588" spans="1:11">
      <c r="A588" s="132"/>
      <c r="B588" s="21" t="s">
        <v>1476</v>
      </c>
      <c r="C588" s="21"/>
      <c r="D588" s="21"/>
      <c r="E588" s="1182">
        <f>finPNLReg2Prod3Rev</f>
        <v>2450000000</v>
      </c>
      <c r="F588" s="1182">
        <f>finPNLReg2Prod3Rev</f>
        <v>2450000000</v>
      </c>
      <c r="G588" s="1182">
        <f>finPNLReg2Prod3Rev</f>
        <v>2450000000</v>
      </c>
      <c r="H588" s="1182">
        <f>finPNLReg2Prod3Rev</f>
        <v>2450000000</v>
      </c>
      <c r="I588" s="1182">
        <f>finPNLReg2Prod3Rev</f>
        <v>2450000000</v>
      </c>
      <c r="J588" s="1182"/>
      <c r="K588" s="1188">
        <f>SUM(E588:I588)/xxNumOfTeams</f>
        <v>2450000000</v>
      </c>
    </row>
    <row r="589" spans="1:11">
      <c r="A589" s="132"/>
      <c r="B589" s="547" t="s">
        <v>2548</v>
      </c>
      <c r="C589" s="21"/>
      <c r="D589" s="21"/>
      <c r="E589" s="1182">
        <f>finPNLReg2Prod3PromoExp</f>
        <v>165000000</v>
      </c>
      <c r="F589" s="1182">
        <f>finPNLReg2Prod3PromoExp</f>
        <v>165000000</v>
      </c>
      <c r="G589" s="1182">
        <f>finPNLReg2Prod3PromoExp</f>
        <v>165000000</v>
      </c>
      <c r="H589" s="1182">
        <f>finPNLReg2Prod3PromoExp</f>
        <v>165000000</v>
      </c>
      <c r="I589" s="1182">
        <f>finPNLReg2Prod3PromoExp</f>
        <v>165000000</v>
      </c>
      <c r="J589" s="1182"/>
      <c r="K589" s="1188">
        <f>SUM(E589:I589)/xxNumOfTeams</f>
        <v>165000000</v>
      </c>
    </row>
    <row r="590" spans="1:11">
      <c r="A590" s="132"/>
      <c r="B590" s="21" t="s">
        <v>1475</v>
      </c>
      <c r="C590" s="21"/>
      <c r="D590" s="21"/>
      <c r="E590" s="1182">
        <f>finPNLReg2Prod3NetRev</f>
        <v>2285000000</v>
      </c>
      <c r="F590" s="1182">
        <f>finPNLReg2Prod3NetRev</f>
        <v>2285000000</v>
      </c>
      <c r="G590" s="1182">
        <f>finPNLReg2Prod3NetRev</f>
        <v>2285000000</v>
      </c>
      <c r="H590" s="1182">
        <f>finPNLReg2Prod3NetRev</f>
        <v>2285000000</v>
      </c>
      <c r="I590" s="1182">
        <f>finPNLReg2Prod3NetRev</f>
        <v>2285000000</v>
      </c>
      <c r="J590" s="1182"/>
      <c r="K590" s="1188">
        <f>SUM(E590:I590)/xxNumOfTeams</f>
        <v>2285000000</v>
      </c>
    </row>
    <row r="591" spans="1:11">
      <c r="A591" s="132"/>
      <c r="B591" s="21" t="s">
        <v>3640</v>
      </c>
      <c r="C591" s="21"/>
      <c r="D591" s="21"/>
      <c r="E591" s="1182">
        <f ca="1">finPNLReg2Prod3COGSExp</f>
        <v>1204383373.3116179</v>
      </c>
      <c r="F591" s="1182">
        <f ca="1">finPNLReg2Prod3COGSExp</f>
        <v>1204383373.3116179</v>
      </c>
      <c r="G591" s="1182">
        <f ca="1">finPNLReg2Prod3COGSExp</f>
        <v>1204383373.3116179</v>
      </c>
      <c r="H591" s="1182">
        <f ca="1">finPNLReg2Prod3COGSExp</f>
        <v>1204383373.3116179</v>
      </c>
      <c r="I591" s="1182">
        <f ca="1">finPNLReg2Prod3COGSExp</f>
        <v>1204383373.3116179</v>
      </c>
      <c r="J591" s="1182"/>
      <c r="K591" s="1188">
        <f ca="1">SUM(E591:I591)/xxNumOfTeams</f>
        <v>1204383373.3116179</v>
      </c>
    </row>
    <row r="592" spans="1:11">
      <c r="A592" s="132"/>
      <c r="B592" s="21" t="s">
        <v>3800</v>
      </c>
      <c r="C592" s="21"/>
      <c r="D592" s="21"/>
      <c r="E592" s="1182">
        <f ca="1">finPNLReg2Prod3GrossMargin</f>
        <v>1080616626.6883821</v>
      </c>
      <c r="F592" s="1182">
        <f ca="1">finPNLReg2Prod3GrossMargin</f>
        <v>1080616626.6883821</v>
      </c>
      <c r="G592" s="1182">
        <f ca="1">finPNLReg2Prod3GrossMargin</f>
        <v>1080616626.6883821</v>
      </c>
      <c r="H592" s="1182">
        <f ca="1">finPNLReg2Prod3GrossMargin</f>
        <v>1080616626.6883821</v>
      </c>
      <c r="I592" s="1182">
        <f ca="1">finPNLReg2Prod3GrossMargin</f>
        <v>1080616626.6883821</v>
      </c>
      <c r="J592" s="1182"/>
      <c r="K592" s="1188">
        <f ca="1">SUM(E592:I592)/xxNumOfTeams</f>
        <v>1080616626.6883821</v>
      </c>
    </row>
    <row r="593" spans="1:11">
      <c r="A593" s="132"/>
      <c r="B593" s="1453" t="s">
        <v>3058</v>
      </c>
      <c r="C593" s="1298"/>
      <c r="D593" s="62"/>
      <c r="E593" s="522">
        <f ca="1">E592/E590</f>
        <v>0.47291756091395282</v>
      </c>
      <c r="F593" s="522">
        <f ca="1">F592/F590</f>
        <v>0.47291756091395282</v>
      </c>
      <c r="G593" s="522">
        <f ca="1">G592/G590</f>
        <v>0.47291756091395282</v>
      </c>
      <c r="H593" s="522">
        <f ca="1">H592/H590</f>
        <v>0.47291756091395282</v>
      </c>
      <c r="I593" s="522">
        <f ca="1">I592/I590</f>
        <v>0.47291756091395282</v>
      </c>
      <c r="J593" s="520"/>
      <c r="K593" s="811"/>
    </row>
    <row r="594" spans="1:11">
      <c r="A594" s="132"/>
      <c r="B594" s="21" t="s">
        <v>1916</v>
      </c>
      <c r="C594" s="21"/>
      <c r="D594" s="21"/>
      <c r="E594" s="1182">
        <f ca="1">finPNLReg2Prod3SGAExp</f>
        <v>533836545.86337274</v>
      </c>
      <c r="F594" s="1182">
        <f ca="1">finPNLReg2Prod3SGAExp</f>
        <v>533836545.86337274</v>
      </c>
      <c r="G594" s="1182">
        <f ca="1">finPNLReg2Prod3SGAExp</f>
        <v>533836545.86337274</v>
      </c>
      <c r="H594" s="1182">
        <f ca="1">finPNLReg2Prod3SGAExp</f>
        <v>533836545.86337274</v>
      </c>
      <c r="I594" s="1182">
        <f ca="1">finPNLReg2Prod3SGAExp</f>
        <v>533836545.86337274</v>
      </c>
      <c r="J594" s="1182"/>
      <c r="K594" s="1188">
        <f ca="1">SUM(E594:I594)/xxNumOfTeams</f>
        <v>533836545.86337268</v>
      </c>
    </row>
    <row r="595" spans="1:11">
      <c r="A595" s="132"/>
      <c r="B595" s="21" t="s">
        <v>396</v>
      </c>
      <c r="C595" s="21"/>
      <c r="D595" s="21"/>
      <c r="E595" s="1182">
        <f ca="1">finPNLReg2Prod3DisposalExp</f>
        <v>26565769.104291297</v>
      </c>
      <c r="F595" s="1182">
        <f ca="1">finPNLReg2Prod3DisposalExp</f>
        <v>26565769.104291297</v>
      </c>
      <c r="G595" s="1182">
        <f ca="1">finPNLReg2Prod3DisposalExp</f>
        <v>26565769.104291297</v>
      </c>
      <c r="H595" s="1182">
        <f ca="1">finPNLReg2Prod3DisposalExp</f>
        <v>26565769.104291297</v>
      </c>
      <c r="I595" s="1182">
        <f ca="1">finPNLReg2Prod3DisposalExp</f>
        <v>26565769.104291297</v>
      </c>
      <c r="J595" s="1182"/>
      <c r="K595" s="1188">
        <f ca="1">SUM(E595:I595)/xxNumOfTeams</f>
        <v>26565769.104291297</v>
      </c>
    </row>
    <row r="596" spans="1:11">
      <c r="A596" s="132"/>
      <c r="B596" s="21" t="s">
        <v>3411</v>
      </c>
      <c r="C596" s="21"/>
      <c r="D596" s="21"/>
      <c r="E596" s="1182">
        <f ca="1">finPNLReg2Prod3SpecProgExp</f>
        <v>0</v>
      </c>
      <c r="F596" s="1182">
        <f ca="1">finPNLReg2Prod3SpecProgExp</f>
        <v>0</v>
      </c>
      <c r="G596" s="1182">
        <f ca="1">finPNLReg2Prod3SpecProgExp</f>
        <v>0</v>
      </c>
      <c r="H596" s="1182">
        <f ca="1">finPNLReg2Prod3SpecProgExp</f>
        <v>0</v>
      </c>
      <c r="I596" s="1182">
        <f ca="1">finPNLReg2Prod3SpecProgExp</f>
        <v>0</v>
      </c>
      <c r="J596" s="1182"/>
      <c r="K596" s="1188">
        <f ca="1">SUM(E596:I596)/xxNumOfTeams</f>
        <v>0</v>
      </c>
    </row>
    <row r="597" spans="1:11">
      <c r="A597" s="132"/>
      <c r="B597" s="21" t="s">
        <v>174</v>
      </c>
      <c r="C597" s="21"/>
      <c r="D597" s="21"/>
      <c r="E597" s="1182">
        <f ca="1">finPNLReg2Prod3OpsMargin</f>
        <v>520214311.72071815</v>
      </c>
      <c r="F597" s="1182">
        <f ca="1">finPNLReg2Prod3OpsMargin</f>
        <v>520214311.72071815</v>
      </c>
      <c r="G597" s="1182">
        <f ca="1">finPNLReg2Prod3OpsMargin</f>
        <v>520214311.72071815</v>
      </c>
      <c r="H597" s="1182">
        <f ca="1">finPNLReg2Prod3OpsMargin</f>
        <v>520214311.72071815</v>
      </c>
      <c r="I597" s="1182">
        <f ca="1">finPNLReg2Prod3OpsMargin</f>
        <v>520214311.72071815</v>
      </c>
      <c r="J597" s="1182"/>
      <c r="K597" s="1188">
        <f ca="1">SUM(E597:I597)/xxNumOfTeams</f>
        <v>520214311.7207182</v>
      </c>
    </row>
    <row r="598" spans="1:11">
      <c r="A598" s="132"/>
      <c r="B598" s="1453" t="s">
        <v>3059</v>
      </c>
      <c r="C598" s="21"/>
      <c r="D598" s="21"/>
      <c r="E598" s="1166">
        <f ca="1">E597/E590</f>
        <v>0.2276649066611458</v>
      </c>
      <c r="F598" s="1166">
        <f ca="1">F597/F590</f>
        <v>0.2276649066611458</v>
      </c>
      <c r="G598" s="1166">
        <f ca="1">G597/G590</f>
        <v>0.2276649066611458</v>
      </c>
      <c r="H598" s="1166">
        <f ca="1">H597/H590</f>
        <v>0.2276649066611458</v>
      </c>
      <c r="I598" s="1166">
        <f ca="1">I597/I590</f>
        <v>0.2276649066611458</v>
      </c>
      <c r="J598" s="809"/>
      <c r="K598" s="807">
        <f ca="1">SUM(E598:I598)/xxNumOfTeams</f>
        <v>0.2276649066611458</v>
      </c>
    </row>
    <row r="599" spans="1:11">
      <c r="A599" s="132"/>
      <c r="B599" s="550"/>
      <c r="C599" s="21"/>
      <c r="D599" s="21"/>
      <c r="E599" s="21"/>
      <c r="F599" s="21"/>
      <c r="G599" s="21"/>
      <c r="H599" s="21"/>
      <c r="I599" s="21"/>
      <c r="J599" s="180"/>
      <c r="K599" s="796"/>
    </row>
    <row r="600" spans="1:11">
      <c r="A600" s="132"/>
      <c r="B600" s="1430" t="str">
        <f>DataNameProd4</f>
        <v>F&amp;S</v>
      </c>
      <c r="C600" s="177"/>
      <c r="D600" s="177"/>
      <c r="E600" s="177"/>
      <c r="F600" s="177"/>
      <c r="G600" s="177"/>
      <c r="H600" s="177"/>
      <c r="I600" s="177"/>
      <c r="J600" s="1431"/>
      <c r="K600" s="796"/>
    </row>
    <row r="601" spans="1:11">
      <c r="A601" s="132"/>
      <c r="B601" s="21" t="s">
        <v>1476</v>
      </c>
      <c r="C601" s="21"/>
      <c r="D601" s="21"/>
      <c r="E601" s="1182">
        <f>finPNLReg2Prod4Rev</f>
        <v>2025000000</v>
      </c>
      <c r="F601" s="1182">
        <f>finPNLReg2Prod4Rev</f>
        <v>2025000000</v>
      </c>
      <c r="G601" s="1182">
        <f>finPNLReg2Prod4Rev</f>
        <v>2025000000</v>
      </c>
      <c r="H601" s="1182">
        <f>finPNLReg2Prod4Rev</f>
        <v>2025000000</v>
      </c>
      <c r="I601" s="1182">
        <f>finPNLReg2Prod4Rev</f>
        <v>2025000000</v>
      </c>
      <c r="J601" s="1182"/>
      <c r="K601" s="1188">
        <f>SUM(E601:I601)/xxNumOfTeams</f>
        <v>2025000000</v>
      </c>
    </row>
    <row r="602" spans="1:11">
      <c r="A602" s="132"/>
      <c r="B602" s="547" t="s">
        <v>2548</v>
      </c>
      <c r="C602" s="21"/>
      <c r="D602" s="21"/>
      <c r="E602" s="1182">
        <f>finPNLReg2Prod4PromoExp</f>
        <v>95000000</v>
      </c>
      <c r="F602" s="1182">
        <f>finPNLReg2Prod4PromoExp</f>
        <v>95000000</v>
      </c>
      <c r="G602" s="1182">
        <f>finPNLReg2Prod4PromoExp</f>
        <v>95000000</v>
      </c>
      <c r="H602" s="1182">
        <f>finPNLReg2Prod4PromoExp</f>
        <v>95000000</v>
      </c>
      <c r="I602" s="1182">
        <f>finPNLReg2Prod4PromoExp</f>
        <v>95000000</v>
      </c>
      <c r="J602" s="1182"/>
      <c r="K602" s="1188">
        <f>SUM(E602:I602)/xxNumOfTeams</f>
        <v>95000000</v>
      </c>
    </row>
    <row r="603" spans="1:11">
      <c r="A603" s="132"/>
      <c r="B603" s="21" t="s">
        <v>1475</v>
      </c>
      <c r="C603" s="21"/>
      <c r="D603" s="21"/>
      <c r="E603" s="1182">
        <f>finPNLReg2Prod4NetRev</f>
        <v>1930000000</v>
      </c>
      <c r="F603" s="1182">
        <f>finPNLReg2Prod4NetRev</f>
        <v>1930000000</v>
      </c>
      <c r="G603" s="1182">
        <f>finPNLReg2Prod4NetRev</f>
        <v>1930000000</v>
      </c>
      <c r="H603" s="1182">
        <f>finPNLReg2Prod4NetRev</f>
        <v>1930000000</v>
      </c>
      <c r="I603" s="1182">
        <f>finPNLReg2Prod4NetRev</f>
        <v>1930000000</v>
      </c>
      <c r="J603" s="1182"/>
      <c r="K603" s="1188">
        <f>SUM(E603:I603)/xxNumOfTeams</f>
        <v>1930000000</v>
      </c>
    </row>
    <row r="604" spans="1:11">
      <c r="A604" s="132"/>
      <c r="B604" s="21" t="s">
        <v>3640</v>
      </c>
      <c r="C604" s="21"/>
      <c r="D604" s="21"/>
      <c r="E604" s="1182">
        <f ca="1">finPNLReg2Prod4COGSExp</f>
        <v>928676875.46728945</v>
      </c>
      <c r="F604" s="1182">
        <f ca="1">finPNLReg2Prod4COGSExp</f>
        <v>928676875.46728945</v>
      </c>
      <c r="G604" s="1182">
        <f ca="1">finPNLReg2Prod4COGSExp</f>
        <v>928676875.46728945</v>
      </c>
      <c r="H604" s="1182">
        <f ca="1">finPNLReg2Prod4COGSExp</f>
        <v>928676875.46728945</v>
      </c>
      <c r="I604" s="1182">
        <f ca="1">finPNLReg2Prod4COGSExp</f>
        <v>928676875.46728945</v>
      </c>
      <c r="J604" s="1182"/>
      <c r="K604" s="1188">
        <f t="shared" ref="K604:K611" ca="1" si="13">SUM(E604:I604)/xxNumOfTeams</f>
        <v>928676875.46728933</v>
      </c>
    </row>
    <row r="605" spans="1:11">
      <c r="A605" s="132"/>
      <c r="B605" s="21" t="s">
        <v>3800</v>
      </c>
      <c r="C605" s="21"/>
      <c r="D605" s="21"/>
      <c r="E605" s="1182">
        <f ca="1">finPNLReg2Prod4GrossMargin</f>
        <v>1001323124.5327106</v>
      </c>
      <c r="F605" s="1182">
        <f ca="1">finPNLReg2Prod4GrossMargin</f>
        <v>1001323124.5327106</v>
      </c>
      <c r="G605" s="1182">
        <f ca="1">finPNLReg2Prod4GrossMargin</f>
        <v>1001323124.5327106</v>
      </c>
      <c r="H605" s="1182">
        <f ca="1">finPNLReg2Prod4GrossMargin</f>
        <v>1001323124.5327106</v>
      </c>
      <c r="I605" s="1182">
        <f ca="1">finPNLReg2Prod4GrossMargin</f>
        <v>1001323124.5327106</v>
      </c>
      <c r="J605" s="1182"/>
      <c r="K605" s="1188">
        <f t="shared" ca="1" si="13"/>
        <v>1001323124.5327107</v>
      </c>
    </row>
    <row r="606" spans="1:11">
      <c r="A606" s="132"/>
      <c r="B606" s="1453" t="s">
        <v>3058</v>
      </c>
      <c r="C606" s="1298"/>
      <c r="D606" s="62"/>
      <c r="E606" s="522">
        <f ca="1">E605/E603</f>
        <v>0.51882027177860646</v>
      </c>
      <c r="F606" s="522">
        <f ca="1">F605/F603</f>
        <v>0.51882027177860646</v>
      </c>
      <c r="G606" s="522">
        <f ca="1">G605/G603</f>
        <v>0.51882027177860646</v>
      </c>
      <c r="H606" s="522">
        <f ca="1">H605/H603</f>
        <v>0.51882027177860646</v>
      </c>
      <c r="I606" s="522">
        <f ca="1">I605/I603</f>
        <v>0.51882027177860646</v>
      </c>
      <c r="J606" s="520"/>
      <c r="K606" s="811"/>
    </row>
    <row r="607" spans="1:11">
      <c r="A607" s="132"/>
      <c r="B607" s="21" t="s">
        <v>1916</v>
      </c>
      <c r="C607" s="21"/>
      <c r="D607" s="21"/>
      <c r="E607" s="1182">
        <f ca="1">finPNLReg2Prod4SGAExp</f>
        <v>460397171.50128555</v>
      </c>
      <c r="F607" s="1182">
        <f ca="1">finPNLReg2Prod4SGAExp</f>
        <v>460397171.50128555</v>
      </c>
      <c r="G607" s="1182">
        <f ca="1">finPNLReg2Prod4SGAExp</f>
        <v>460397171.50128555</v>
      </c>
      <c r="H607" s="1182">
        <f ca="1">finPNLReg2Prod4SGAExp</f>
        <v>460397171.50128555</v>
      </c>
      <c r="I607" s="1182">
        <f ca="1">finPNLReg2Prod4SGAExp</f>
        <v>460397171.50128555</v>
      </c>
      <c r="J607" s="1182"/>
      <c r="K607" s="1188">
        <f t="shared" ca="1" si="13"/>
        <v>460397171.50128555</v>
      </c>
    </row>
    <row r="608" spans="1:11">
      <c r="A608" s="132"/>
      <c r="B608" s="21" t="s">
        <v>396</v>
      </c>
      <c r="C608" s="21"/>
      <c r="D608" s="21"/>
      <c r="E608" s="1182">
        <f ca="1">finPNLReg2Prod4DisposalExp</f>
        <v>26895574.697045017</v>
      </c>
      <c r="F608" s="1182">
        <f ca="1">finPNLReg2Prod4DisposalExp</f>
        <v>26895574.697045017</v>
      </c>
      <c r="G608" s="1182">
        <f ca="1">finPNLReg2Prod4DisposalExp</f>
        <v>26895574.697045017</v>
      </c>
      <c r="H608" s="1182">
        <f ca="1">finPNLReg2Prod4DisposalExp</f>
        <v>26895574.697045017</v>
      </c>
      <c r="I608" s="1182">
        <f ca="1">finPNLReg2Prod4DisposalExp</f>
        <v>26895574.697045017</v>
      </c>
      <c r="J608" s="1182"/>
      <c r="K608" s="1188">
        <f t="shared" ca="1" si="13"/>
        <v>26895574.697045017</v>
      </c>
    </row>
    <row r="609" spans="1:17">
      <c r="A609" s="132"/>
      <c r="B609" s="21" t="s">
        <v>3411</v>
      </c>
      <c r="C609" s="21"/>
      <c r="D609" s="21"/>
      <c r="E609" s="1182">
        <f ca="1">finPNLReg2Prod4SpecProgExp</f>
        <v>0</v>
      </c>
      <c r="F609" s="1182">
        <f ca="1">finPNLReg2Prod4SpecProgExp</f>
        <v>0</v>
      </c>
      <c r="G609" s="1182">
        <f ca="1">finPNLReg2Prod4SpecProgExp</f>
        <v>0</v>
      </c>
      <c r="H609" s="1182">
        <f ca="1">finPNLReg2Prod4SpecProgExp</f>
        <v>0</v>
      </c>
      <c r="I609" s="1182">
        <f ca="1">finPNLReg2Prod4SpecProgExp</f>
        <v>0</v>
      </c>
      <c r="J609" s="1182"/>
      <c r="K609" s="1188">
        <f t="shared" ca="1" si="13"/>
        <v>0</v>
      </c>
    </row>
    <row r="610" spans="1:17">
      <c r="A610" s="132"/>
      <c r="B610" s="21" t="s">
        <v>174</v>
      </c>
      <c r="C610" s="21"/>
      <c r="D610" s="21"/>
      <c r="E610" s="1182">
        <f ca="1">finPNLReg2Prod4OpsMargin</f>
        <v>514030378.33437997</v>
      </c>
      <c r="F610" s="1182">
        <f ca="1">finPNLReg2Prod4OpsMargin</f>
        <v>514030378.33437997</v>
      </c>
      <c r="G610" s="1182">
        <f ca="1">finPNLReg2Prod4OpsMargin</f>
        <v>514030378.33437997</v>
      </c>
      <c r="H610" s="1182">
        <f ca="1">finPNLReg2Prod4OpsMargin</f>
        <v>514030378.33437997</v>
      </c>
      <c r="I610" s="1182">
        <f ca="1">finPNLReg2Prod4OpsMargin</f>
        <v>514030378.33437997</v>
      </c>
      <c r="J610" s="1182"/>
      <c r="K610" s="1188">
        <f t="shared" ca="1" si="13"/>
        <v>514030378.33437997</v>
      </c>
    </row>
    <row r="611" spans="1:17">
      <c r="A611" s="132"/>
      <c r="B611" s="1453" t="s">
        <v>3059</v>
      </c>
      <c r="C611" s="21"/>
      <c r="D611" s="21"/>
      <c r="E611" s="1166">
        <f ca="1">E610/E603</f>
        <v>0.266336983592943</v>
      </c>
      <c r="F611" s="1166">
        <f ca="1">F610/F603</f>
        <v>0.266336983592943</v>
      </c>
      <c r="G611" s="1166">
        <f ca="1">G610/G603</f>
        <v>0.266336983592943</v>
      </c>
      <c r="H611" s="1166">
        <f ca="1">H610/H603</f>
        <v>0.266336983592943</v>
      </c>
      <c r="I611" s="1166">
        <f ca="1">I610/I603</f>
        <v>0.266336983592943</v>
      </c>
      <c r="J611" s="809"/>
      <c r="K611" s="807">
        <f t="shared" ca="1" si="13"/>
        <v>0.266336983592943</v>
      </c>
    </row>
    <row r="612" spans="1:17">
      <c r="A612" s="132"/>
      <c r="B612" s="550"/>
      <c r="C612" s="21"/>
      <c r="D612" s="21"/>
      <c r="E612" s="21"/>
      <c r="F612" s="21"/>
      <c r="G612" s="21"/>
      <c r="H612" s="21"/>
      <c r="I612" s="21"/>
      <c r="J612" s="180"/>
      <c r="K612" s="796"/>
    </row>
    <row r="613" spans="1:17" hidden="1">
      <c r="A613" s="132"/>
      <c r="B613" s="1430" t="str">
        <f>DataNameProd2</f>
        <v>Breakthrough</v>
      </c>
      <c r="C613" s="177"/>
      <c r="D613" s="177"/>
      <c r="E613" s="177"/>
      <c r="F613" s="177"/>
      <c r="G613" s="177"/>
      <c r="H613" s="177"/>
      <c r="I613" s="177"/>
      <c r="J613" s="1431"/>
      <c r="K613" s="796"/>
      <c r="Q613">
        <f>IF($K$614&gt;0,0,1)</f>
        <v>1</v>
      </c>
    </row>
    <row r="614" spans="1:17" hidden="1">
      <c r="A614" s="132"/>
      <c r="B614" s="21" t="s">
        <v>1476</v>
      </c>
      <c r="C614" s="21"/>
      <c r="D614" s="21"/>
      <c r="E614" s="1182">
        <f>finPNLReg2Prod2Rev</f>
        <v>0</v>
      </c>
      <c r="F614" s="1182">
        <f>finPNLReg2Prod2Rev</f>
        <v>0</v>
      </c>
      <c r="G614" s="1182">
        <f>finPNLReg2Prod2Rev</f>
        <v>0</v>
      </c>
      <c r="H614" s="1182">
        <f>finPNLReg2Prod2Rev</f>
        <v>0</v>
      </c>
      <c r="I614" s="1182">
        <f>finPNLReg2Prod2Rev</f>
        <v>0</v>
      </c>
      <c r="J614" s="1182"/>
      <c r="K614" s="1188">
        <f>IF(SUM(E614:I614)=0,0,SUM(E614:I614)/COUNTIF(E614:I614,"&gt;0"))</f>
        <v>0</v>
      </c>
      <c r="Q614">
        <f t="shared" ref="Q614:Q624" si="14">IF($K$614&gt;0,0,1)</f>
        <v>1</v>
      </c>
    </row>
    <row r="615" spans="1:17" hidden="1">
      <c r="A615" s="132"/>
      <c r="B615" s="547" t="s">
        <v>2548</v>
      </c>
      <c r="C615" s="21"/>
      <c r="D615" s="21"/>
      <c r="E615" s="1182">
        <f>finPNLReg2Prod2PromoExp</f>
        <v>0</v>
      </c>
      <c r="F615" s="1182">
        <f>finPNLReg2Prod2PromoExp</f>
        <v>0</v>
      </c>
      <c r="G615" s="1182">
        <f>finPNLReg2Prod2PromoExp</f>
        <v>0</v>
      </c>
      <c r="H615" s="1182">
        <f>finPNLReg2Prod2PromoExp</f>
        <v>0</v>
      </c>
      <c r="I615" s="1182">
        <f>finPNLReg2Prod2PromoExp</f>
        <v>0</v>
      </c>
      <c r="J615" s="1182"/>
      <c r="K615" s="1188">
        <f t="shared" ref="K615:K624" si="15">IF(SUM(E615:I615)=0,0,SUM(E615:I615)/COUNTIF(E615:I615,"&gt;0"))</f>
        <v>0</v>
      </c>
      <c r="Q615">
        <f t="shared" si="14"/>
        <v>1</v>
      </c>
    </row>
    <row r="616" spans="1:17" hidden="1">
      <c r="A616" s="132"/>
      <c r="B616" s="21" t="s">
        <v>1475</v>
      </c>
      <c r="C616" s="21"/>
      <c r="D616" s="21"/>
      <c r="E616" s="1182">
        <f>finPNLReg2Prod2NetRev</f>
        <v>0</v>
      </c>
      <c r="F616" s="1182">
        <f>finPNLReg2Prod2NetRev</f>
        <v>0</v>
      </c>
      <c r="G616" s="1182">
        <f>finPNLReg2Prod2NetRev</f>
        <v>0</v>
      </c>
      <c r="H616" s="1182">
        <f>finPNLReg2Prod2NetRev</f>
        <v>0</v>
      </c>
      <c r="I616" s="1182">
        <f>finPNLReg2Prod2NetRev</f>
        <v>0</v>
      </c>
      <c r="J616" s="1182"/>
      <c r="K616" s="1188">
        <f t="shared" si="15"/>
        <v>0</v>
      </c>
      <c r="Q616">
        <f t="shared" si="14"/>
        <v>1</v>
      </c>
    </row>
    <row r="617" spans="1:17" hidden="1">
      <c r="A617" s="132"/>
      <c r="B617" s="21" t="s">
        <v>3640</v>
      </c>
      <c r="C617" s="21"/>
      <c r="D617" s="21"/>
      <c r="E617" s="1182">
        <f>finPNLReg2Prod2COGSExp</f>
        <v>0</v>
      </c>
      <c r="F617" s="1182">
        <f>finPNLReg2Prod2COGSExp</f>
        <v>0</v>
      </c>
      <c r="G617" s="1182">
        <f>finPNLReg2Prod2COGSExp</f>
        <v>0</v>
      </c>
      <c r="H617" s="1182">
        <f>finPNLReg2Prod2COGSExp</f>
        <v>0</v>
      </c>
      <c r="I617" s="1182">
        <f>finPNLReg2Prod2COGSExp</f>
        <v>0</v>
      </c>
      <c r="J617" s="1182"/>
      <c r="K617" s="1188">
        <f t="shared" si="15"/>
        <v>0</v>
      </c>
      <c r="Q617">
        <f t="shared" si="14"/>
        <v>1</v>
      </c>
    </row>
    <row r="618" spans="1:17" hidden="1">
      <c r="A618" s="132"/>
      <c r="B618" s="21" t="s">
        <v>3800</v>
      </c>
      <c r="C618" s="21"/>
      <c r="D618" s="21"/>
      <c r="E618" s="1182">
        <f>finPNLReg2Prod2GrossMargin</f>
        <v>0</v>
      </c>
      <c r="F618" s="1182">
        <f>finPNLReg2Prod2GrossMargin</f>
        <v>0</v>
      </c>
      <c r="G618" s="1182">
        <f>finPNLReg2Prod2GrossMargin</f>
        <v>0</v>
      </c>
      <c r="H618" s="1182">
        <f>finPNLReg2Prod2GrossMargin</f>
        <v>0</v>
      </c>
      <c r="I618" s="1182">
        <f>finPNLReg2Prod2GrossMargin</f>
        <v>0</v>
      </c>
      <c r="J618" s="1182"/>
      <c r="K618" s="1188">
        <f t="shared" si="15"/>
        <v>0</v>
      </c>
      <c r="Q618">
        <f t="shared" si="14"/>
        <v>1</v>
      </c>
    </row>
    <row r="619" spans="1:17" hidden="1">
      <c r="A619" s="132"/>
      <c r="B619" s="1453" t="s">
        <v>3058</v>
      </c>
      <c r="C619" s="1298"/>
      <c r="D619" s="62"/>
      <c r="E619" s="1415">
        <f>IF(E616=0,0,E618/E616)</f>
        <v>0</v>
      </c>
      <c r="F619" s="1415">
        <f>IF(F616=0,0,F618/F616)</f>
        <v>0</v>
      </c>
      <c r="G619" s="1415">
        <f>IF(G616=0,0,G618/G616)</f>
        <v>0</v>
      </c>
      <c r="H619" s="1415">
        <f>IF(H616=0,0,H618/H616)</f>
        <v>0</v>
      </c>
      <c r="I619" s="1415">
        <f>IF(I616=0,0,I618/I616)</f>
        <v>0</v>
      </c>
      <c r="J619" s="520"/>
      <c r="K619" s="1416">
        <f t="shared" si="15"/>
        <v>0</v>
      </c>
      <c r="Q619">
        <f t="shared" si="14"/>
        <v>1</v>
      </c>
    </row>
    <row r="620" spans="1:17" hidden="1">
      <c r="A620" s="132"/>
      <c r="B620" s="21" t="s">
        <v>1916</v>
      </c>
      <c r="C620" s="21"/>
      <c r="D620" s="21"/>
      <c r="E620" s="1182">
        <f>finPNLReg2Prod2SGAExp</f>
        <v>0</v>
      </c>
      <c r="F620" s="1182">
        <f>finPNLReg2Prod2SGAExp</f>
        <v>0</v>
      </c>
      <c r="G620" s="1182">
        <f>finPNLReg2Prod2SGAExp</f>
        <v>0</v>
      </c>
      <c r="H620" s="1182">
        <f>finPNLReg2Prod2SGAExp</f>
        <v>0</v>
      </c>
      <c r="I620" s="1182">
        <f>finPNLReg2Prod2SGAExp</f>
        <v>0</v>
      </c>
      <c r="J620" s="1182"/>
      <c r="K620" s="1188">
        <f t="shared" si="15"/>
        <v>0</v>
      </c>
      <c r="Q620">
        <f t="shared" si="14"/>
        <v>1</v>
      </c>
    </row>
    <row r="621" spans="1:17" hidden="1">
      <c r="A621" s="132"/>
      <c r="B621" s="21" t="s">
        <v>396</v>
      </c>
      <c r="C621" s="21"/>
      <c r="D621" s="21"/>
      <c r="E621" s="1182">
        <f>finPNLReg2Prod2DisposalExp</f>
        <v>0</v>
      </c>
      <c r="F621" s="1182">
        <f>finPNLReg2Prod2DisposalExp</f>
        <v>0</v>
      </c>
      <c r="G621" s="1182">
        <f>finPNLReg2Prod2DisposalExp</f>
        <v>0</v>
      </c>
      <c r="H621" s="1182">
        <f>finPNLReg2Prod2DisposalExp</f>
        <v>0</v>
      </c>
      <c r="I621" s="1182">
        <f>finPNLReg2Prod2DisposalExp</f>
        <v>0</v>
      </c>
      <c r="J621" s="1182"/>
      <c r="K621" s="1188">
        <f t="shared" si="15"/>
        <v>0</v>
      </c>
      <c r="Q621">
        <f t="shared" si="14"/>
        <v>1</v>
      </c>
    </row>
    <row r="622" spans="1:17" hidden="1">
      <c r="A622" s="132"/>
      <c r="B622" s="21" t="s">
        <v>3411</v>
      </c>
      <c r="C622" s="21"/>
      <c r="D622" s="21"/>
      <c r="E622" s="1182">
        <f ca="1">finPNLReg2Prod2SpecProgExp</f>
        <v>0</v>
      </c>
      <c r="F622" s="1182">
        <f ca="1">finPNLReg2Prod2SpecProgExp</f>
        <v>0</v>
      </c>
      <c r="G622" s="1182">
        <f ca="1">finPNLReg2Prod2SpecProgExp</f>
        <v>0</v>
      </c>
      <c r="H622" s="1182">
        <f ca="1">finPNLReg2Prod2SpecProgExp</f>
        <v>0</v>
      </c>
      <c r="I622" s="1182">
        <f ca="1">finPNLReg2Prod2SpecProgExp</f>
        <v>0</v>
      </c>
      <c r="J622" s="1182"/>
      <c r="K622" s="1188">
        <f t="shared" ca="1" si="15"/>
        <v>0</v>
      </c>
      <c r="Q622">
        <f t="shared" si="14"/>
        <v>1</v>
      </c>
    </row>
    <row r="623" spans="1:17" hidden="1">
      <c r="A623" s="132"/>
      <c r="B623" s="21" t="s">
        <v>174</v>
      </c>
      <c r="C623" s="21"/>
      <c r="D623" s="21"/>
      <c r="E623" s="1182">
        <f ca="1">finPNLReg2Prod2OpsMargin</f>
        <v>0</v>
      </c>
      <c r="F623" s="1182">
        <f ca="1">finPNLReg2Prod2OpsMargin</f>
        <v>0</v>
      </c>
      <c r="G623" s="1182">
        <f ca="1">finPNLReg2Prod2OpsMargin</f>
        <v>0</v>
      </c>
      <c r="H623" s="1182">
        <f ca="1">finPNLReg2Prod2OpsMargin</f>
        <v>0</v>
      </c>
      <c r="I623" s="1182">
        <f ca="1">finPNLReg2Prod2OpsMargin</f>
        <v>0</v>
      </c>
      <c r="J623" s="1182"/>
      <c r="K623" s="1188">
        <f t="shared" ca="1" si="15"/>
        <v>0</v>
      </c>
      <c r="Q623">
        <f t="shared" si="14"/>
        <v>1</v>
      </c>
    </row>
    <row r="624" spans="1:17" hidden="1">
      <c r="A624" s="132"/>
      <c r="B624" s="1453" t="s">
        <v>3059</v>
      </c>
      <c r="C624" s="21"/>
      <c r="D624" s="21"/>
      <c r="E624" s="1415">
        <f>IF(E616=0,0,E623/E616)</f>
        <v>0</v>
      </c>
      <c r="F624" s="1415">
        <f>IF(F616=0,0,F623/F616)</f>
        <v>0</v>
      </c>
      <c r="G624" s="1415">
        <f>IF(G616=0,0,G623/G616)</f>
        <v>0</v>
      </c>
      <c r="H624" s="1415">
        <f>IF(H616=0,0,H623/H616)</f>
        <v>0</v>
      </c>
      <c r="I624" s="1415">
        <f>IF(I616=0,0,I623/I616)</f>
        <v>0</v>
      </c>
      <c r="J624" s="809"/>
      <c r="K624" s="1416">
        <f t="shared" si="15"/>
        <v>0</v>
      </c>
      <c r="Q624">
        <f t="shared" si="14"/>
        <v>1</v>
      </c>
    </row>
    <row r="625" spans="1:11">
      <c r="A625" s="132"/>
      <c r="B625" s="550"/>
      <c r="C625" s="21"/>
      <c r="D625" s="21"/>
      <c r="E625" s="21"/>
      <c r="F625" s="21"/>
      <c r="G625" s="21"/>
      <c r="H625" s="21"/>
      <c r="I625" s="21"/>
      <c r="J625" s="180"/>
      <c r="K625" s="796"/>
    </row>
    <row r="626" spans="1:11">
      <c r="A626" s="132"/>
      <c r="B626" s="1412" t="s">
        <v>3848</v>
      </c>
      <c r="C626" s="601"/>
      <c r="D626" s="601"/>
      <c r="E626" s="601"/>
      <c r="F626" s="601"/>
      <c r="G626" s="601"/>
      <c r="H626" s="601"/>
      <c r="I626" s="601"/>
      <c r="J626" s="1413"/>
      <c r="K626" s="796"/>
    </row>
    <row r="627" spans="1:11">
      <c r="A627" s="132"/>
      <c r="B627" s="21" t="s">
        <v>1476</v>
      </c>
      <c r="C627" s="21"/>
      <c r="D627" s="1414"/>
      <c r="E627" s="1182">
        <f>finPNLReg2Rev</f>
        <v>6972600000</v>
      </c>
      <c r="F627" s="1182">
        <f>finPNLReg2Rev</f>
        <v>6972600000</v>
      </c>
      <c r="G627" s="1182">
        <f>finPNLReg2Rev</f>
        <v>6972600000</v>
      </c>
      <c r="H627" s="1182">
        <f>finPNLReg2Rev</f>
        <v>6972600000</v>
      </c>
      <c r="I627" s="1182">
        <f>finPNLReg2Rev</f>
        <v>6972600000</v>
      </c>
      <c r="J627" s="1182"/>
      <c r="K627" s="1188">
        <f>SUM(E627:I627)/xxNumOfTeams</f>
        <v>6972600000</v>
      </c>
    </row>
    <row r="628" spans="1:11">
      <c r="A628" s="132"/>
      <c r="B628" s="547" t="s">
        <v>2548</v>
      </c>
      <c r="C628" s="21"/>
      <c r="D628" s="21"/>
      <c r="E628" s="1182">
        <f>finPNLReg2PromoExp</f>
        <v>455000000</v>
      </c>
      <c r="F628" s="1182">
        <f>finPNLReg2PromoExp</f>
        <v>455000000</v>
      </c>
      <c r="G628" s="1182">
        <f>finPNLReg2PromoExp</f>
        <v>455000000</v>
      </c>
      <c r="H628" s="1182">
        <f>finPNLReg2PromoExp</f>
        <v>455000000</v>
      </c>
      <c r="I628" s="1182">
        <f>finPNLReg2PromoExp</f>
        <v>455000000</v>
      </c>
      <c r="J628" s="1182"/>
      <c r="K628" s="1188">
        <f>SUM(E628:I628)/xxNumOfTeams</f>
        <v>455000000</v>
      </c>
    </row>
    <row r="629" spans="1:11">
      <c r="A629" s="132"/>
      <c r="B629" s="21" t="s">
        <v>1475</v>
      </c>
      <c r="C629" s="21"/>
      <c r="D629" s="21"/>
      <c r="E629" s="1182">
        <f>finPNLReg2NetRev</f>
        <v>6517600000</v>
      </c>
      <c r="F629" s="1182">
        <f>finPNLReg2NetRev</f>
        <v>6517600000</v>
      </c>
      <c r="G629" s="1182">
        <f>finPNLReg2NetRev</f>
        <v>6517600000</v>
      </c>
      <c r="H629" s="1182">
        <f>finPNLReg2NetRev</f>
        <v>6517600000</v>
      </c>
      <c r="I629" s="1182">
        <f>finPNLReg2NetRev</f>
        <v>6517600000</v>
      </c>
      <c r="J629" s="1182"/>
      <c r="K629" s="1188">
        <f>SUM(E629:I629)/xxNumOfTeams</f>
        <v>6517600000</v>
      </c>
    </row>
    <row r="630" spans="1:11">
      <c r="A630" s="132"/>
      <c r="B630" s="21" t="s">
        <v>3640</v>
      </c>
      <c r="C630" s="21"/>
      <c r="D630" s="21"/>
      <c r="E630" s="1182">
        <f ca="1">finPNLReg2COGSExp</f>
        <v>3185380126.7315865</v>
      </c>
      <c r="F630" s="1182">
        <f ca="1">finPNLReg2COGSExp</f>
        <v>3185380126.7315865</v>
      </c>
      <c r="G630" s="1182">
        <f ca="1">finPNLReg2COGSExp</f>
        <v>3185380126.7315865</v>
      </c>
      <c r="H630" s="1182">
        <f ca="1">finPNLReg2COGSExp</f>
        <v>3185380126.7315865</v>
      </c>
      <c r="I630" s="1182">
        <f ca="1">finPNLReg2COGSExp</f>
        <v>3185380126.7315865</v>
      </c>
      <c r="J630" s="1182"/>
      <c r="K630" s="1188">
        <f ca="1">SUM(E630:I630)/xxNumOfTeams</f>
        <v>3185380126.7315865</v>
      </c>
    </row>
    <row r="631" spans="1:11">
      <c r="A631" s="132"/>
      <c r="B631" s="21" t="s">
        <v>3800</v>
      </c>
      <c r="C631" s="21"/>
      <c r="D631" s="21"/>
      <c r="E631" s="1182">
        <f ca="1">finPNLReg2GrossMargin</f>
        <v>3332219873.2684135</v>
      </c>
      <c r="F631" s="1182">
        <f ca="1">finPNLReg2GrossMargin</f>
        <v>3332219873.2684135</v>
      </c>
      <c r="G631" s="1182">
        <f ca="1">finPNLReg2GrossMargin</f>
        <v>3332219873.2684135</v>
      </c>
      <c r="H631" s="1182">
        <f ca="1">finPNLReg2GrossMargin</f>
        <v>3332219873.2684135</v>
      </c>
      <c r="I631" s="1182">
        <f ca="1">finPNLReg2GrossMargin</f>
        <v>3332219873.2684135</v>
      </c>
      <c r="J631" s="1182"/>
      <c r="K631" s="1188">
        <f ca="1">SUM(E631:I631)/xxNumOfTeams</f>
        <v>3332219873.2684135</v>
      </c>
    </row>
    <row r="632" spans="1:11">
      <c r="A632" s="132"/>
      <c r="B632" s="1453" t="s">
        <v>3058</v>
      </c>
      <c r="C632" s="1298"/>
      <c r="D632" s="62"/>
      <c r="E632" s="522">
        <f ca="1">E631/E629</f>
        <v>0.51126486333441967</v>
      </c>
      <c r="F632" s="522">
        <f ca="1">F631/F629</f>
        <v>0.51126486333441967</v>
      </c>
      <c r="G632" s="522">
        <f ca="1">G631/G629</f>
        <v>0.51126486333441967</v>
      </c>
      <c r="H632" s="522">
        <f ca="1">H631/H629</f>
        <v>0.51126486333441967</v>
      </c>
      <c r="I632" s="522">
        <f ca="1">I631/I629</f>
        <v>0.51126486333441967</v>
      </c>
      <c r="J632" s="520"/>
      <c r="K632" s="811"/>
    </row>
    <row r="633" spans="1:11">
      <c r="A633" s="132"/>
      <c r="B633" s="21" t="s">
        <v>1916</v>
      </c>
      <c r="C633" s="21"/>
      <c r="D633" s="21"/>
      <c r="E633" s="1182">
        <f ca="1">finPNLReg2SGAExp</f>
        <v>1618106490.8039083</v>
      </c>
      <c r="F633" s="1182">
        <f ca="1">finPNLReg2SGAExp</f>
        <v>1618106490.8039083</v>
      </c>
      <c r="G633" s="1182">
        <f ca="1">finPNLReg2SGAExp</f>
        <v>1618106490.8039083</v>
      </c>
      <c r="H633" s="1182">
        <f ca="1">finPNLReg2SGAExp</f>
        <v>1618106490.8039083</v>
      </c>
      <c r="I633" s="1182">
        <f ca="1">finPNLReg2SGAExp</f>
        <v>1618106490.8039083</v>
      </c>
      <c r="J633" s="1182"/>
      <c r="K633" s="1188">
        <f ca="1">SUM(E633:I633)/xxNumOfTeams</f>
        <v>1618106490.8039083</v>
      </c>
    </row>
    <row r="634" spans="1:11">
      <c r="A634" s="132"/>
      <c r="B634" s="21" t="s">
        <v>396</v>
      </c>
      <c r="C634" s="21"/>
      <c r="D634" s="21"/>
      <c r="E634" s="1182">
        <f ca="1">finPNLReg2DisposalExp</f>
        <v>58336594.613092557</v>
      </c>
      <c r="F634" s="1182">
        <f ca="1">finPNLReg2DisposalExp</f>
        <v>58336594.613092557</v>
      </c>
      <c r="G634" s="1182">
        <f ca="1">finPNLReg2DisposalExp</f>
        <v>58336594.613092557</v>
      </c>
      <c r="H634" s="1182">
        <f ca="1">finPNLReg2DisposalExp</f>
        <v>58336594.613092557</v>
      </c>
      <c r="I634" s="1182">
        <f ca="1">finPNLReg2DisposalExp</f>
        <v>58336594.613092557</v>
      </c>
      <c r="J634" s="1182"/>
      <c r="K634" s="1188">
        <f ca="1">SUM(E634:I634)/xxNumOfTeams</f>
        <v>58336594.613092557</v>
      </c>
    </row>
    <row r="635" spans="1:11">
      <c r="A635" s="132"/>
      <c r="B635" s="21" t="s">
        <v>3411</v>
      </c>
      <c r="C635" s="21"/>
      <c r="D635" s="21"/>
      <c r="E635" s="1182">
        <f ca="1">finPNLReg2SpecProgExp</f>
        <v>0</v>
      </c>
      <c r="F635" s="1182">
        <f ca="1">finPNLReg2SpecProgExp</f>
        <v>0</v>
      </c>
      <c r="G635" s="1182">
        <f ca="1">finPNLReg2SpecProgExp</f>
        <v>0</v>
      </c>
      <c r="H635" s="1182">
        <f ca="1">finPNLReg2SpecProgExp</f>
        <v>0</v>
      </c>
      <c r="I635" s="1182">
        <f ca="1">finPNLReg2SpecProgExp</f>
        <v>0</v>
      </c>
      <c r="J635" s="1182"/>
      <c r="K635" s="1188">
        <f ca="1">SUM(E635:I635)/xxNumOfTeams</f>
        <v>0</v>
      </c>
    </row>
    <row r="636" spans="1:11">
      <c r="A636" s="132"/>
      <c r="B636" s="21" t="s">
        <v>174</v>
      </c>
      <c r="C636" s="21"/>
      <c r="D636" s="21"/>
      <c r="E636" s="1182">
        <f ca="1">finPNLReg2OpsMargin</f>
        <v>1589907604.3803139</v>
      </c>
      <c r="F636" s="1182">
        <f ca="1">finPNLReg2OpsMargin</f>
        <v>1589907604.3803139</v>
      </c>
      <c r="G636" s="1182">
        <f ca="1">finPNLReg2OpsMargin</f>
        <v>1589907604.3803139</v>
      </c>
      <c r="H636" s="1182">
        <f ca="1">finPNLReg2OpsMargin</f>
        <v>1589907604.3803139</v>
      </c>
      <c r="I636" s="1182">
        <f ca="1">finPNLReg2OpsMargin</f>
        <v>1589907604.3803139</v>
      </c>
      <c r="J636" s="1182"/>
      <c r="K636" s="1188">
        <f ca="1">SUM(E636:I636)/xxNumOfTeams</f>
        <v>1589907604.3803139</v>
      </c>
    </row>
    <row r="637" spans="1:11">
      <c r="A637" s="132"/>
      <c r="B637" s="1453" t="s">
        <v>3059</v>
      </c>
      <c r="C637" s="21"/>
      <c r="D637" s="21"/>
      <c r="E637" s="1166">
        <f ca="1">E636/E629</f>
        <v>0.24394065367317938</v>
      </c>
      <c r="F637" s="1166">
        <f ca="1">F636/F629</f>
        <v>0.24394065367317938</v>
      </c>
      <c r="G637" s="1166">
        <f ca="1">G636/G629</f>
        <v>0.24394065367317938</v>
      </c>
      <c r="H637" s="1166">
        <f ca="1">H636/H629</f>
        <v>0.24394065367317938</v>
      </c>
      <c r="I637" s="1166">
        <f ca="1">I636/I629</f>
        <v>0.24394065367317938</v>
      </c>
      <c r="J637" s="809"/>
      <c r="K637" s="807">
        <f ca="1">SUM(E637:I637)/xxNumOfTeams</f>
        <v>0.24394065367317935</v>
      </c>
    </row>
    <row r="638" spans="1:11" s="21" customFormat="1" ht="12" thickBot="1">
      <c r="A638" s="134"/>
      <c r="B638" s="50"/>
      <c r="C638" s="58"/>
      <c r="D638" s="726"/>
      <c r="E638" s="726"/>
      <c r="F638" s="726"/>
      <c r="G638" s="726"/>
      <c r="H638" s="726"/>
      <c r="I638" s="739"/>
      <c r="J638" s="763"/>
      <c r="K638" s="812"/>
    </row>
    <row r="639" spans="1:11" ht="15.75">
      <c r="A639" s="407" t="s">
        <v>2430</v>
      </c>
      <c r="B639" s="182"/>
      <c r="C639" s="182"/>
      <c r="D639" s="182"/>
      <c r="E639" s="731" t="str">
        <f>decTeamName</f>
        <v>Vivia</v>
      </c>
      <c r="F639" s="731" t="str">
        <f>decTeamName</f>
        <v>Vivia</v>
      </c>
      <c r="G639" s="731" t="str">
        <f>decTeamName</f>
        <v>Vivia</v>
      </c>
      <c r="H639" s="731" t="str">
        <f>decTeamName</f>
        <v>Vivia</v>
      </c>
      <c r="I639" s="731" t="str">
        <f>decTeamName</f>
        <v>Vivia</v>
      </c>
      <c r="J639" s="742"/>
      <c r="K639" s="823" t="s">
        <v>2718</v>
      </c>
    </row>
    <row r="640" spans="1:11">
      <c r="A640" s="132"/>
      <c r="B640" s="555"/>
      <c r="C640" s="21"/>
      <c r="D640" s="21"/>
      <c r="E640" s="524"/>
      <c r="F640" s="737"/>
      <c r="G640" s="524"/>
      <c r="H640" s="524"/>
      <c r="I640" s="524"/>
      <c r="J640" s="520"/>
      <c r="K640" s="811"/>
    </row>
    <row r="641" spans="1:11">
      <c r="A641" s="132"/>
      <c r="B641" s="1272" t="s">
        <v>201</v>
      </c>
      <c r="C641" s="62"/>
      <c r="D641" s="62"/>
      <c r="E641" s="840">
        <f>decRecruitLevel</f>
        <v>3</v>
      </c>
      <c r="F641" s="840">
        <f>decRecruitLevel</f>
        <v>3</v>
      </c>
      <c r="G641" s="840">
        <f>decRecruitLevel</f>
        <v>3</v>
      </c>
      <c r="H641" s="840">
        <f>decRecruitLevel</f>
        <v>3</v>
      </c>
      <c r="I641" s="840">
        <f>decRecruitLevel</f>
        <v>3</v>
      </c>
      <c r="J641" s="521"/>
      <c r="K641" s="811">
        <f t="shared" ref="K641:K657" si="16">SUM(E641:I641)/xxNumOfTeams</f>
        <v>3</v>
      </c>
    </row>
    <row r="642" spans="1:11">
      <c r="A642" s="132"/>
      <c r="B642" s="1270" t="s">
        <v>202</v>
      </c>
      <c r="C642" s="38"/>
      <c r="D642" s="38"/>
      <c r="E642" s="520">
        <f>decRecruitLevel-obalRecruitLevel</f>
        <v>0</v>
      </c>
      <c r="F642" s="520">
        <f>decRecruitLevel-obalRecruitLevel</f>
        <v>0</v>
      </c>
      <c r="G642" s="520">
        <f>decRecruitLevel-obalRecruitLevel</f>
        <v>0</v>
      </c>
      <c r="H642" s="520">
        <f>decRecruitLevel-obalRecruitLevel</f>
        <v>0</v>
      </c>
      <c r="I642" s="520">
        <f>decRecruitLevel-obalRecruitLevel</f>
        <v>0</v>
      </c>
      <c r="J642" s="521"/>
      <c r="K642" s="811">
        <f t="shared" si="16"/>
        <v>0</v>
      </c>
    </row>
    <row r="643" spans="1:11">
      <c r="A643" s="132"/>
      <c r="B643" s="1271" t="s">
        <v>203</v>
      </c>
      <c r="C643" s="38"/>
      <c r="D643" s="38"/>
      <c r="E643" s="520">
        <f>paramRecruitLevelRamp</f>
        <v>0</v>
      </c>
      <c r="F643" s="520">
        <f>paramRecruitLevelRamp</f>
        <v>0</v>
      </c>
      <c r="G643" s="520">
        <f>paramRecruitLevelRamp</f>
        <v>0</v>
      </c>
      <c r="H643" s="520">
        <f>paramRecruitLevelRamp</f>
        <v>0</v>
      </c>
      <c r="I643" s="520">
        <f>paramRecruitLevelRamp</f>
        <v>0</v>
      </c>
      <c r="J643" s="521"/>
      <c r="K643" s="811">
        <f t="shared" si="16"/>
        <v>0</v>
      </c>
    </row>
    <row r="644" spans="1:11" ht="3.75" customHeight="1">
      <c r="A644" s="132"/>
      <c r="B644" s="551"/>
      <c r="C644" s="38"/>
      <c r="D644" s="38"/>
      <c r="E644" s="527"/>
      <c r="F644" s="527"/>
      <c r="G644" s="527"/>
      <c r="H644" s="527"/>
      <c r="I644" s="527"/>
      <c r="J644" s="526"/>
      <c r="K644" s="811">
        <f t="shared" si="16"/>
        <v>0</v>
      </c>
    </row>
    <row r="645" spans="1:11">
      <c r="A645" s="132"/>
      <c r="B645" s="548" t="s">
        <v>204</v>
      </c>
      <c r="C645" s="38"/>
      <c r="D645" s="38"/>
      <c r="E645" s="520">
        <f>paramRecruitLevelCost</f>
        <v>7438016.5289256191</v>
      </c>
      <c r="F645" s="520">
        <f>paramRecruitLevelCost</f>
        <v>7438016.5289256191</v>
      </c>
      <c r="G645" s="520">
        <f>paramRecruitLevelCost</f>
        <v>7438016.5289256191</v>
      </c>
      <c r="H645" s="520">
        <f>paramRecruitLevelCost</f>
        <v>7438016.5289256191</v>
      </c>
      <c r="I645" s="520">
        <f>paramRecruitLevelCost</f>
        <v>7438016.5289256191</v>
      </c>
      <c r="J645" s="180"/>
      <c r="K645" s="811">
        <f t="shared" si="16"/>
        <v>7438016.5289256182</v>
      </c>
    </row>
    <row r="646" spans="1:11" ht="11.25" customHeight="1">
      <c r="A646" s="544"/>
      <c r="B646" s="541"/>
      <c r="C646" s="38"/>
      <c r="D646" s="38"/>
      <c r="E646" s="520"/>
      <c r="F646" s="520"/>
      <c r="G646" s="520"/>
      <c r="H646" s="520"/>
      <c r="I646" s="520"/>
      <c r="J646" s="180"/>
      <c r="K646" s="811"/>
    </row>
    <row r="647" spans="1:11" ht="11.25" customHeight="1">
      <c r="A647" s="544"/>
      <c r="B647" s="1272" t="s">
        <v>3336</v>
      </c>
      <c r="C647" s="62"/>
      <c r="D647" s="62"/>
      <c r="E647" s="840">
        <f>decEmpDevLevel</f>
        <v>3</v>
      </c>
      <c r="F647" s="840">
        <f>decEmpDevLevel</f>
        <v>3</v>
      </c>
      <c r="G647" s="840">
        <f>decEmpDevLevel</f>
        <v>3</v>
      </c>
      <c r="H647" s="840">
        <f>decEmpDevLevel</f>
        <v>3</v>
      </c>
      <c r="I647" s="840">
        <f>decEmpDevLevel</f>
        <v>3</v>
      </c>
      <c r="J647" s="180"/>
      <c r="K647" s="811">
        <f t="shared" si="16"/>
        <v>3</v>
      </c>
    </row>
    <row r="648" spans="1:11" ht="11.25" customHeight="1">
      <c r="A648" s="544"/>
      <c r="B648" s="1270" t="s">
        <v>205</v>
      </c>
      <c r="C648" s="38"/>
      <c r="D648" s="38"/>
      <c r="E648" s="520">
        <f>decEmpDevLevel-obalEmpDevLevel</f>
        <v>0</v>
      </c>
      <c r="F648" s="520">
        <f>decEmpDevLevel-obalEmpDevLevel</f>
        <v>0</v>
      </c>
      <c r="G648" s="520">
        <f>decEmpDevLevel-obalEmpDevLevel</f>
        <v>0</v>
      </c>
      <c r="H648" s="520">
        <f>decEmpDevLevel-obalEmpDevLevel</f>
        <v>0</v>
      </c>
      <c r="I648" s="520">
        <f>decEmpDevLevel-obalEmpDevLevel</f>
        <v>0</v>
      </c>
      <c r="J648" s="180"/>
      <c r="K648" s="811">
        <f t="shared" si="16"/>
        <v>0</v>
      </c>
    </row>
    <row r="649" spans="1:11">
      <c r="A649" s="132"/>
      <c r="B649" s="1271" t="s">
        <v>203</v>
      </c>
      <c r="C649" s="38"/>
      <c r="D649" s="38"/>
      <c r="E649" s="520">
        <f>paramEmpDevRamp</f>
        <v>0</v>
      </c>
      <c r="F649" s="520">
        <f>paramEmpDevRamp</f>
        <v>0</v>
      </c>
      <c r="G649" s="520">
        <f>paramEmpDevRamp</f>
        <v>0</v>
      </c>
      <c r="H649" s="520">
        <f>paramEmpDevRamp</f>
        <v>0</v>
      </c>
      <c r="I649" s="520">
        <f>paramEmpDevRamp</f>
        <v>0</v>
      </c>
      <c r="J649" s="520"/>
      <c r="K649" s="811">
        <f t="shared" si="16"/>
        <v>0</v>
      </c>
    </row>
    <row r="650" spans="1:11" ht="3.75" customHeight="1">
      <c r="A650" s="132"/>
      <c r="B650" s="551"/>
      <c r="C650" s="38"/>
      <c r="D650" s="38"/>
      <c r="E650" s="520"/>
      <c r="F650" s="520"/>
      <c r="G650" s="520"/>
      <c r="H650" s="520"/>
      <c r="I650" s="520"/>
      <c r="J650" s="521"/>
      <c r="K650" s="811"/>
    </row>
    <row r="651" spans="1:11">
      <c r="A651" s="132"/>
      <c r="B651" s="548" t="s">
        <v>206</v>
      </c>
      <c r="C651" s="38"/>
      <c r="D651" s="38"/>
      <c r="E651" s="520">
        <f>paramEmpDevCost</f>
        <v>32400000</v>
      </c>
      <c r="F651" s="520">
        <f>paramEmpDevCost</f>
        <v>32400000</v>
      </c>
      <c r="G651" s="520">
        <f>paramEmpDevCost</f>
        <v>32400000</v>
      </c>
      <c r="H651" s="520">
        <f>paramEmpDevCost</f>
        <v>32400000</v>
      </c>
      <c r="I651" s="520">
        <f>paramEmpDevCost</f>
        <v>32400000</v>
      </c>
      <c r="J651" s="521"/>
      <c r="K651" s="811">
        <f t="shared" si="16"/>
        <v>32400000</v>
      </c>
    </row>
    <row r="652" spans="1:11">
      <c r="A652" s="132"/>
      <c r="B652" s="548"/>
      <c r="C652" s="38"/>
      <c r="D652" s="38"/>
      <c r="E652" s="520"/>
      <c r="F652" s="520"/>
      <c r="G652" s="520"/>
      <c r="H652" s="520"/>
      <c r="I652" s="520"/>
      <c r="J652" s="521"/>
      <c r="K652" s="811"/>
    </row>
    <row r="653" spans="1:11">
      <c r="A653" s="132"/>
      <c r="B653" s="551" t="s">
        <v>208</v>
      </c>
      <c r="C653" s="62"/>
      <c r="D653" s="62"/>
      <c r="E653" s="840">
        <f>cbalITcapLevel</f>
        <v>2</v>
      </c>
      <c r="F653" s="840">
        <f>cbalITcapLevel</f>
        <v>2</v>
      </c>
      <c r="G653" s="840">
        <f>cbalITcapLevel</f>
        <v>2</v>
      </c>
      <c r="H653" s="840">
        <f>cbalITcapLevel</f>
        <v>2</v>
      </c>
      <c r="I653" s="840">
        <f>cbalITcapLevel</f>
        <v>2</v>
      </c>
      <c r="J653" s="521"/>
      <c r="K653" s="811">
        <f t="shared" si="16"/>
        <v>2</v>
      </c>
    </row>
    <row r="654" spans="1:11">
      <c r="A654" s="132"/>
      <c r="B654" s="548" t="s">
        <v>209</v>
      </c>
      <c r="C654" s="38"/>
      <c r="D654" s="38"/>
      <c r="E654" s="520">
        <f>decITcapAdd</f>
        <v>1</v>
      </c>
      <c r="F654" s="520">
        <f>decITcapAdd</f>
        <v>1</v>
      </c>
      <c r="G654" s="520">
        <f>decITcapAdd</f>
        <v>1</v>
      </c>
      <c r="H654" s="520">
        <f>decITcapAdd</f>
        <v>1</v>
      </c>
      <c r="I654" s="520">
        <f>decITcapAdd</f>
        <v>1</v>
      </c>
      <c r="J654" s="521"/>
      <c r="K654" s="811">
        <f t="shared" si="16"/>
        <v>1</v>
      </c>
    </row>
    <row r="655" spans="1:11">
      <c r="A655" s="132"/>
      <c r="B655" s="548" t="s">
        <v>210</v>
      </c>
      <c r="C655" s="38"/>
      <c r="D655" s="38"/>
      <c r="E655" s="520">
        <f>paramITlevelCost</f>
        <v>5500000</v>
      </c>
      <c r="F655" s="520">
        <f>paramITlevelCost</f>
        <v>5500000</v>
      </c>
      <c r="G655" s="520">
        <f>paramITlevelCost</f>
        <v>5500000</v>
      </c>
      <c r="H655" s="520">
        <f>paramITlevelCost</f>
        <v>5500000</v>
      </c>
      <c r="I655" s="520">
        <f>paramITlevelCost</f>
        <v>5500000</v>
      </c>
      <c r="J655" s="521"/>
      <c r="K655" s="811">
        <f t="shared" si="16"/>
        <v>5500000</v>
      </c>
    </row>
    <row r="656" spans="1:11">
      <c r="A656" s="132"/>
      <c r="B656" s="548"/>
      <c r="C656" s="38"/>
      <c r="D656" s="38"/>
      <c r="E656" s="520"/>
      <c r="F656" s="520"/>
      <c r="G656" s="520"/>
      <c r="H656" s="520"/>
      <c r="I656" s="520"/>
      <c r="J656" s="521"/>
      <c r="K656" s="811"/>
    </row>
    <row r="657" spans="1:11">
      <c r="A657" s="132"/>
      <c r="B657" s="551" t="s">
        <v>211</v>
      </c>
      <c r="C657" s="62"/>
      <c r="D657" s="62"/>
      <c r="E657" s="528">
        <f>SUM(E655,E651,E645)</f>
        <v>45338016.52892562</v>
      </c>
      <c r="F657" s="528">
        <f>SUM(F655,F651,F645)</f>
        <v>45338016.52892562</v>
      </c>
      <c r="G657" s="528">
        <f>SUM(G655,G651,G645)</f>
        <v>45338016.52892562</v>
      </c>
      <c r="H657" s="528">
        <f>SUM(H655,H651,H645)</f>
        <v>45338016.52892562</v>
      </c>
      <c r="I657" s="528">
        <f>SUM(I655,I651,I645)</f>
        <v>45338016.52892562</v>
      </c>
      <c r="J657" s="521"/>
      <c r="K657" s="811">
        <f t="shared" si="16"/>
        <v>45338016.52892562</v>
      </c>
    </row>
    <row r="658" spans="1:11">
      <c r="A658" s="132"/>
      <c r="B658" s="548"/>
      <c r="C658" s="21"/>
      <c r="D658" s="21"/>
      <c r="E658" s="21"/>
      <c r="F658" s="21"/>
      <c r="G658" s="21"/>
      <c r="H658" s="21"/>
      <c r="I658" s="21"/>
      <c r="J658" s="180"/>
      <c r="K658" s="796"/>
    </row>
    <row r="659" spans="1:11" ht="15.75">
      <c r="A659" s="407" t="s">
        <v>247</v>
      </c>
      <c r="B659" s="182"/>
      <c r="C659" s="182"/>
      <c r="D659" s="182"/>
      <c r="E659" s="731" t="str">
        <f>decTeamName</f>
        <v>Vivia</v>
      </c>
      <c r="F659" s="731" t="str">
        <f>decTeamName</f>
        <v>Vivia</v>
      </c>
      <c r="G659" s="731" t="str">
        <f>decTeamName</f>
        <v>Vivia</v>
      </c>
      <c r="H659" s="731" t="str">
        <f>decTeamName</f>
        <v>Vivia</v>
      </c>
      <c r="I659" s="731" t="str">
        <f>decTeamName</f>
        <v>Vivia</v>
      </c>
      <c r="J659" s="742"/>
      <c r="K659" s="823" t="s">
        <v>2718</v>
      </c>
    </row>
    <row r="660" spans="1:11">
      <c r="A660" s="132"/>
      <c r="B660" s="555"/>
      <c r="C660" s="21"/>
      <c r="D660" s="21"/>
      <c r="E660" s="524"/>
      <c r="F660" s="737"/>
      <c r="G660" s="524"/>
      <c r="H660" s="524"/>
      <c r="I660" s="524"/>
      <c r="J660" s="520"/>
      <c r="K660" s="811"/>
    </row>
    <row r="661" spans="1:11">
      <c r="A661" s="132"/>
      <c r="B661" s="555" t="s">
        <v>571</v>
      </c>
      <c r="C661" s="21"/>
      <c r="D661" s="21"/>
      <c r="E661" s="524">
        <f>obalEmp1</f>
        <v>4000</v>
      </c>
      <c r="F661" s="737">
        <f>obalEmp1</f>
        <v>4000</v>
      </c>
      <c r="G661" s="524">
        <f>obalEmp1</f>
        <v>4000</v>
      </c>
      <c r="H661" s="524">
        <f>obalEmp1</f>
        <v>4000</v>
      </c>
      <c r="I661" s="524">
        <f>obalEmp1</f>
        <v>4000</v>
      </c>
      <c r="J661" s="520"/>
      <c r="K661" s="811">
        <f t="shared" ref="K661:K666" si="17">SUM(E661:I661)/xxNumOfTeams</f>
        <v>4000</v>
      </c>
    </row>
    <row r="662" spans="1:11">
      <c r="A662" s="132"/>
      <c r="B662" s="555" t="s">
        <v>572</v>
      </c>
      <c r="C662" s="21"/>
      <c r="D662" s="21"/>
      <c r="E662" s="1140" t="str">
        <f>TEXT(capEmp1Att/E661,"##%")&amp;" ("&amp;TEXT(capEmp1Att,"#,###")&amp;")"</f>
        <v>10% (400)</v>
      </c>
      <c r="F662" s="1140" t="str">
        <f>TEXT(capEmp1Att/F661,"##%")&amp;" ("&amp;TEXT(capEmp1Att,"#,###")&amp;")"</f>
        <v>10% (400)</v>
      </c>
      <c r="G662" s="1140" t="str">
        <f>TEXT(capEmp1Att/G661,"##%")&amp;" ("&amp;TEXT(capEmp1Att,"#,###")&amp;")"</f>
        <v>10% (400)</v>
      </c>
      <c r="H662" s="1140" t="str">
        <f>TEXT(capEmp1Att/H661,"##%")&amp;" ("&amp;TEXT(capEmp1Att,"#,###")&amp;")"</f>
        <v>10% (400)</v>
      </c>
      <c r="I662" s="1140" t="str">
        <f>TEXT(capEmp1Att/I661,"##%")&amp;" ("&amp;TEXT(capEmp1Att,"#,###")&amp;")"</f>
        <v>10% (400)</v>
      </c>
      <c r="J662" s="521"/>
      <c r="K662" s="811">
        <f t="shared" si="17"/>
        <v>0</v>
      </c>
    </row>
    <row r="663" spans="1:11">
      <c r="A663" s="132"/>
      <c r="B663" s="556" t="s">
        <v>573</v>
      </c>
      <c r="C663" s="38"/>
      <c r="D663" s="38"/>
      <c r="E663" s="520">
        <f>capEmp1Change</f>
        <v>400</v>
      </c>
      <c r="F663" s="520">
        <f>capEmp1Change</f>
        <v>400</v>
      </c>
      <c r="G663" s="520">
        <f>capEmp1Change</f>
        <v>400</v>
      </c>
      <c r="H663" s="520">
        <f>capEmp1Change</f>
        <v>400</v>
      </c>
      <c r="I663" s="520">
        <f>capEmp1Change</f>
        <v>400</v>
      </c>
      <c r="J663" s="521"/>
      <c r="K663" s="811">
        <f t="shared" si="17"/>
        <v>400</v>
      </c>
    </row>
    <row r="664" spans="1:11">
      <c r="A664" s="132"/>
      <c r="B664" s="555" t="s">
        <v>574</v>
      </c>
      <c r="C664" s="38"/>
      <c r="D664" s="38"/>
      <c r="E664" s="520">
        <f>cbalEmp1</f>
        <v>4000</v>
      </c>
      <c r="F664" s="520">
        <f>cbalEmp1</f>
        <v>4000</v>
      </c>
      <c r="G664" s="520">
        <f>cbalEmp1</f>
        <v>4000</v>
      </c>
      <c r="H664" s="520">
        <f>cbalEmp1</f>
        <v>4000</v>
      </c>
      <c r="I664" s="520">
        <f>cbalEmp1</f>
        <v>4000</v>
      </c>
      <c r="J664" s="521"/>
      <c r="K664" s="811">
        <f t="shared" si="17"/>
        <v>4000</v>
      </c>
    </row>
    <row r="665" spans="1:11">
      <c r="A665" s="132"/>
      <c r="B665" s="551" t="s">
        <v>1729</v>
      </c>
      <c r="C665" s="38"/>
      <c r="D665" s="38"/>
      <c r="E665" s="520">
        <f>(capProd1Reg1Units+capProd2Reg1Units+capProd3Reg1Units+capProd4Reg1Units)/cbalEmp1</f>
        <v>417237.60525000002</v>
      </c>
      <c r="F665" s="520">
        <f>(capProd1Reg1Units+capProd2Reg1Units+capProd3Reg1Units+capProd4Reg1Units)/cbalEmp1</f>
        <v>417237.60525000002</v>
      </c>
      <c r="G665" s="520">
        <f>(capProd1Reg1Units+capProd2Reg1Units+capProd3Reg1Units+capProd4Reg1Units)/cbalEmp1</f>
        <v>417237.60525000002</v>
      </c>
      <c r="H665" s="520">
        <f>(capProd1Reg1Units+capProd2Reg1Units+capProd3Reg1Units+capProd4Reg1Units)/cbalEmp1</f>
        <v>417237.60525000002</v>
      </c>
      <c r="I665" s="520">
        <f>(capProd1Reg1Units+capProd2Reg1Units+capProd3Reg1Units+capProd4Reg1Units)/cbalEmp1</f>
        <v>417237.60525000002</v>
      </c>
      <c r="J665" s="521"/>
      <c r="K665" s="811">
        <f t="shared" si="17"/>
        <v>417237.60525000002</v>
      </c>
    </row>
    <row r="666" spans="1:11">
      <c r="A666" s="132"/>
      <c r="B666" s="551" t="s">
        <v>1730</v>
      </c>
      <c r="C666" s="38"/>
      <c r="D666" s="38"/>
      <c r="E666" s="527">
        <f>finPNLReg1Rev/cbalEmp1</f>
        <v>4792380.9248749996</v>
      </c>
      <c r="F666" s="527">
        <f>finPNLReg1Rev/cbalEmp1</f>
        <v>4792380.9248749996</v>
      </c>
      <c r="G666" s="527">
        <f>finPNLReg1Rev/cbalEmp1</f>
        <v>4792380.9248749996</v>
      </c>
      <c r="H666" s="527">
        <f>finPNLReg1Rev/cbalEmp1</f>
        <v>4792380.9248749996</v>
      </c>
      <c r="I666" s="527">
        <f>finPNLReg1Rev/cbalEmp1</f>
        <v>4792380.9248749996</v>
      </c>
      <c r="J666" s="526"/>
      <c r="K666" s="820">
        <f t="shared" si="17"/>
        <v>4792380.9248749996</v>
      </c>
    </row>
    <row r="667" spans="1:11">
      <c r="A667" s="132"/>
      <c r="B667" s="548"/>
      <c r="C667" s="38"/>
      <c r="D667" s="38"/>
      <c r="E667" s="520"/>
      <c r="F667" s="520"/>
      <c r="G667" s="520"/>
      <c r="H667" s="520"/>
      <c r="I667" s="520"/>
      <c r="J667" s="180"/>
      <c r="K667" s="796"/>
    </row>
    <row r="668" spans="1:11" ht="15.75">
      <c r="A668" s="544" t="s">
        <v>575</v>
      </c>
      <c r="B668" s="541"/>
      <c r="C668" s="38"/>
      <c r="D668" s="38"/>
      <c r="E668" s="520"/>
      <c r="F668" s="520"/>
      <c r="G668" s="520"/>
      <c r="H668" s="520"/>
      <c r="I668" s="520"/>
      <c r="J668" s="180"/>
      <c r="K668" s="796"/>
    </row>
    <row r="669" spans="1:11">
      <c r="A669" s="132"/>
      <c r="B669" s="548" t="s">
        <v>3266</v>
      </c>
      <c r="C669" s="38"/>
      <c r="D669" s="38"/>
      <c r="E669" s="520">
        <f>finPNLReg1Emp1Exp</f>
        <v>320000000</v>
      </c>
      <c r="F669" s="520">
        <f>finPNLReg1Emp1Exp</f>
        <v>320000000</v>
      </c>
      <c r="G669" s="520">
        <f>finPNLReg1Emp1Exp</f>
        <v>320000000</v>
      </c>
      <c r="H669" s="520">
        <f>finPNLReg1Emp1Exp</f>
        <v>320000000</v>
      </c>
      <c r="I669" s="520">
        <f>finPNLReg1Emp1Exp</f>
        <v>320000000</v>
      </c>
      <c r="J669" s="520"/>
      <c r="K669" s="811">
        <f>SUM(E669:I669)/xxNumOfTeams</f>
        <v>320000000</v>
      </c>
    </row>
    <row r="670" spans="1:11">
      <c r="A670" s="132"/>
      <c r="B670" s="548" t="s">
        <v>576</v>
      </c>
      <c r="C670" s="38"/>
      <c r="D670" s="38"/>
      <c r="E670" s="520">
        <f>capProd1Emp1RecDismExp+capProd2Emp1RecDismExp+capProd3Emp1RecDismExp+capProd4Emp1RecDismExp</f>
        <v>12160000</v>
      </c>
      <c r="F670" s="520">
        <f>capProd1Emp1RecDismExp+capProd2Emp1RecDismExp+capProd3Emp1RecDismExp+capProd4Emp1RecDismExp</f>
        <v>12160000</v>
      </c>
      <c r="G670" s="520">
        <f>capProd1Emp1RecDismExp+capProd2Emp1RecDismExp+capProd3Emp1RecDismExp+capProd4Emp1RecDismExp</f>
        <v>12160000</v>
      </c>
      <c r="H670" s="520">
        <f>capProd1Emp1RecDismExp+capProd2Emp1RecDismExp+capProd3Emp1RecDismExp+capProd4Emp1RecDismExp</f>
        <v>12160000</v>
      </c>
      <c r="I670" s="520">
        <f>capProd1Emp1RecDismExp+capProd2Emp1RecDismExp+capProd3Emp1RecDismExp+capProd4Emp1RecDismExp</f>
        <v>12160000</v>
      </c>
      <c r="J670" s="521"/>
      <c r="K670" s="811">
        <f>SUM(E670:I670)/xxNumOfTeams</f>
        <v>12160000</v>
      </c>
    </row>
    <row r="671" spans="1:11">
      <c r="A671" s="132"/>
      <c r="B671" s="548" t="s">
        <v>577</v>
      </c>
      <c r="C671" s="38"/>
      <c r="D671" s="38"/>
      <c r="E671" s="520">
        <f>capProd1Emp1AdminExp+capProd2Emp1AdminExp+capProd3Emp1AdminExp+capProd4Emp1AdminExp</f>
        <v>64000000</v>
      </c>
      <c r="F671" s="520">
        <f>capProd1Emp1AdminExp+capProd2Emp1AdminExp+capProd3Emp1AdminExp+capProd4Emp1AdminExp</f>
        <v>64000000</v>
      </c>
      <c r="G671" s="520">
        <f>capProd1Emp1AdminExp+capProd2Emp1AdminExp+capProd3Emp1AdminExp+capProd4Emp1AdminExp</f>
        <v>64000000</v>
      </c>
      <c r="H671" s="520">
        <f>capProd1Emp1AdminExp+capProd2Emp1AdminExp+capProd3Emp1AdminExp+capProd4Emp1AdminExp</f>
        <v>64000000</v>
      </c>
      <c r="I671" s="520">
        <f>capProd1Emp1AdminExp+capProd2Emp1AdminExp+capProd3Emp1AdminExp+capProd4Emp1AdminExp</f>
        <v>64000000</v>
      </c>
      <c r="J671" s="521"/>
      <c r="K671" s="811">
        <f>SUM(E671:I671)/xxNumOfTeams</f>
        <v>64000000</v>
      </c>
    </row>
    <row r="672" spans="1:11">
      <c r="A672" s="132"/>
      <c r="B672" s="557" t="s">
        <v>2377</v>
      </c>
      <c r="C672" s="38"/>
      <c r="D672" s="38"/>
      <c r="E672" s="527">
        <f>SUM(E669:E671)</f>
        <v>396160000</v>
      </c>
      <c r="F672" s="527">
        <f>SUM(F669:F671)</f>
        <v>396160000</v>
      </c>
      <c r="G672" s="527">
        <f>SUM(G669:G671)</f>
        <v>396160000</v>
      </c>
      <c r="H672" s="527">
        <f>SUM(H669:H671)</f>
        <v>396160000</v>
      </c>
      <c r="I672" s="527">
        <f>SUM(I669:I671)</f>
        <v>396160000</v>
      </c>
      <c r="J672" s="526"/>
      <c r="K672" s="821">
        <f>SUM(E672:I672)/xxNumOfTeams</f>
        <v>396160000</v>
      </c>
    </row>
    <row r="673" spans="1:11">
      <c r="A673" s="132"/>
      <c r="B673" s="548"/>
      <c r="C673" s="21"/>
      <c r="D673" s="21"/>
      <c r="E673" s="21"/>
      <c r="F673" s="21"/>
      <c r="G673" s="21"/>
      <c r="H673" s="21"/>
      <c r="I673" s="21"/>
      <c r="J673" s="180"/>
      <c r="K673" s="796"/>
    </row>
    <row r="674" spans="1:11" ht="15.75">
      <c r="A674" s="407" t="s">
        <v>248</v>
      </c>
      <c r="B674" s="182"/>
      <c r="C674" s="182"/>
      <c r="D674" s="182"/>
      <c r="E674" s="731" t="str">
        <f>decTeamName</f>
        <v>Vivia</v>
      </c>
      <c r="F674" s="731" t="str">
        <f>decTeamName</f>
        <v>Vivia</v>
      </c>
      <c r="G674" s="731" t="str">
        <f>decTeamName</f>
        <v>Vivia</v>
      </c>
      <c r="H674" s="731" t="str">
        <f>decTeamName</f>
        <v>Vivia</v>
      </c>
      <c r="I674" s="731" t="str">
        <f>decTeamName</f>
        <v>Vivia</v>
      </c>
      <c r="J674" s="742"/>
      <c r="K674" s="823" t="s">
        <v>2718</v>
      </c>
    </row>
    <row r="675" spans="1:11">
      <c r="A675" s="132"/>
      <c r="B675" s="555"/>
      <c r="C675" s="21"/>
      <c r="D675" s="21"/>
      <c r="E675" s="524"/>
      <c r="F675" s="524"/>
      <c r="G675" s="524"/>
      <c r="H675" s="524"/>
      <c r="I675" s="524"/>
      <c r="J675" s="520"/>
      <c r="K675" s="811"/>
    </row>
    <row r="676" spans="1:11">
      <c r="A676" s="132"/>
      <c r="B676" s="555" t="s">
        <v>571</v>
      </c>
      <c r="C676" s="21"/>
      <c r="D676" s="21"/>
      <c r="E676" s="524">
        <f>obalEmp2</f>
        <v>2100</v>
      </c>
      <c r="F676" s="524">
        <f>obalEmp2</f>
        <v>2100</v>
      </c>
      <c r="G676" s="524">
        <f>obalEmp2</f>
        <v>2100</v>
      </c>
      <c r="H676" s="524">
        <f>obalEmp2</f>
        <v>2100</v>
      </c>
      <c r="I676" s="524">
        <f>obalEmp2</f>
        <v>2100</v>
      </c>
      <c r="J676" s="520"/>
      <c r="K676" s="811">
        <f t="shared" ref="K676:K681" si="18">SUM(E676:I676)/xxNumOfTeams</f>
        <v>2100</v>
      </c>
    </row>
    <row r="677" spans="1:11">
      <c r="A677" s="132"/>
      <c r="B677" s="555" t="s">
        <v>572</v>
      </c>
      <c r="C677" s="21"/>
      <c r="D677" s="21"/>
      <c r="E677" s="1140" t="str">
        <f>TEXT(capEmp2Att/E676,"##%")&amp;" ("&amp;TEXT(capEmp2Att,"#,###")&amp;")"</f>
        <v>12% (245)</v>
      </c>
      <c r="F677" s="1140" t="str">
        <f>TEXT(capEmp2Att/F676,"##%")&amp;" ("&amp;TEXT(capEmp2Att,"#,###")&amp;")"</f>
        <v>12% (245)</v>
      </c>
      <c r="G677" s="1140" t="str">
        <f>TEXT(capEmp2Att/G676,"##%")&amp;" ("&amp;TEXT(capEmp2Att,"#,###")&amp;")"</f>
        <v>12% (245)</v>
      </c>
      <c r="H677" s="1140" t="str">
        <f>TEXT(capEmp2Att/H676,"##%")&amp;" ("&amp;TEXT(capEmp2Att,"#,###")&amp;")"</f>
        <v>12% (245)</v>
      </c>
      <c r="I677" s="1140" t="str">
        <f>TEXT(capEmp2Att/I676,"##%")&amp;" ("&amp;TEXT(capEmp2Att,"#,###")&amp;")"</f>
        <v>12% (245)</v>
      </c>
      <c r="J677" s="520"/>
      <c r="K677" s="811">
        <f t="shared" si="18"/>
        <v>0</v>
      </c>
    </row>
    <row r="678" spans="1:11">
      <c r="A678" s="132"/>
      <c r="B678" s="556" t="s">
        <v>573</v>
      </c>
      <c r="C678" s="21"/>
      <c r="D678" s="21"/>
      <c r="E678" s="520">
        <f>capEmp2Change</f>
        <v>245</v>
      </c>
      <c r="F678" s="520">
        <f>capEmp2Change</f>
        <v>245</v>
      </c>
      <c r="G678" s="520">
        <f>capEmp2Change</f>
        <v>245</v>
      </c>
      <c r="H678" s="520">
        <f>capEmp2Change</f>
        <v>245</v>
      </c>
      <c r="I678" s="520">
        <f>capEmp2Change</f>
        <v>245</v>
      </c>
      <c r="J678" s="520"/>
      <c r="K678" s="811">
        <f t="shared" si="18"/>
        <v>245</v>
      </c>
    </row>
    <row r="679" spans="1:11">
      <c r="A679" s="132"/>
      <c r="B679" s="555" t="s">
        <v>574</v>
      </c>
      <c r="C679" s="21"/>
      <c r="D679" s="21"/>
      <c r="E679" s="520">
        <f>cbalEmp2</f>
        <v>2100</v>
      </c>
      <c r="F679" s="520">
        <f>cbalEmp2</f>
        <v>2100</v>
      </c>
      <c r="G679" s="520">
        <f>cbalEmp2</f>
        <v>2100</v>
      </c>
      <c r="H679" s="520">
        <f>cbalEmp2</f>
        <v>2100</v>
      </c>
      <c r="I679" s="520">
        <f>cbalEmp2</f>
        <v>2100</v>
      </c>
      <c r="J679" s="520"/>
      <c r="K679" s="811">
        <f t="shared" si="18"/>
        <v>2100</v>
      </c>
    </row>
    <row r="680" spans="1:11">
      <c r="A680" s="132"/>
      <c r="B680" s="551" t="s">
        <v>1729</v>
      </c>
      <c r="C680" s="38"/>
      <c r="D680" s="38"/>
      <c r="E680" s="520">
        <f>(capProd1Reg2Units+capProd2Reg2Units+capProd3Reg2Units+capProd4Reg2Units)/cbalEmp2</f>
        <v>413159.99380952382</v>
      </c>
      <c r="F680" s="520">
        <f>(capProd1Reg2Units+capProd2Reg2Units+capProd3Reg2Units+capProd4Reg2Units)/cbalEmp2</f>
        <v>413159.99380952382</v>
      </c>
      <c r="G680" s="520">
        <f>(capProd1Reg2Units+capProd2Reg2Units+capProd3Reg2Units+capProd4Reg2Units)/cbalEmp2</f>
        <v>413159.99380952382</v>
      </c>
      <c r="H680" s="520">
        <f>(capProd1Reg2Units+capProd2Reg2Units+capProd3Reg2Units+capProd4Reg2Units)/cbalEmp2</f>
        <v>413159.99380952382</v>
      </c>
      <c r="I680" s="520">
        <f>(capProd1Reg2Units+capProd2Reg2Units+capProd3Reg2Units+capProd4Reg2Units)/cbalEmp2</f>
        <v>413159.99380952382</v>
      </c>
      <c r="J680" s="520"/>
      <c r="K680" s="811">
        <f t="shared" si="18"/>
        <v>413159.99380952382</v>
      </c>
    </row>
    <row r="681" spans="1:11">
      <c r="A681" s="132"/>
      <c r="B681" s="551" t="s">
        <v>1730</v>
      </c>
      <c r="C681" s="38"/>
      <c r="D681" s="150"/>
      <c r="E681" s="526">
        <f>finPNLReg2Rev/cbalEmp2</f>
        <v>3320285.7142857141</v>
      </c>
      <c r="F681" s="527">
        <f>finPNLReg2Rev/cbalEmp2</f>
        <v>3320285.7142857141</v>
      </c>
      <c r="G681" s="527">
        <f>finPNLReg2Rev/cbalEmp2</f>
        <v>3320285.7142857141</v>
      </c>
      <c r="H681" s="527">
        <f>finPNLReg2Rev/cbalEmp2</f>
        <v>3320285.7142857141</v>
      </c>
      <c r="I681" s="527">
        <f>finPNLReg2Rev/cbalEmp2</f>
        <v>3320285.7142857141</v>
      </c>
      <c r="J681" s="526"/>
      <c r="K681" s="821">
        <f t="shared" si="18"/>
        <v>3320285.7142857141</v>
      </c>
    </row>
    <row r="682" spans="1:11">
      <c r="A682" s="132"/>
      <c r="B682" s="548"/>
      <c r="C682" s="21"/>
      <c r="D682" s="21"/>
      <c r="E682" s="520"/>
      <c r="F682" s="21"/>
      <c r="G682" s="21"/>
      <c r="H682" s="21"/>
      <c r="I682" s="21"/>
      <c r="K682" s="133"/>
    </row>
    <row r="683" spans="1:11" ht="15.75">
      <c r="A683" s="544" t="s">
        <v>575</v>
      </c>
      <c r="B683" s="541"/>
      <c r="C683" s="21"/>
      <c r="D683" s="21"/>
      <c r="E683" s="520"/>
      <c r="F683" s="520"/>
      <c r="G683" s="520"/>
      <c r="H683" s="520"/>
      <c r="I683" s="520"/>
      <c r="J683" s="180"/>
      <c r="K683" s="796"/>
    </row>
    <row r="684" spans="1:11">
      <c r="A684" s="132"/>
      <c r="B684" s="548" t="s">
        <v>3266</v>
      </c>
      <c r="C684" s="21"/>
      <c r="D684" s="21"/>
      <c r="E684" s="520">
        <f>finPNLReg2Emp2Exp</f>
        <v>115500000</v>
      </c>
      <c r="F684" s="520">
        <f>finPNLReg2Emp2Exp</f>
        <v>115500000</v>
      </c>
      <c r="G684" s="520">
        <f>finPNLReg2Emp2Exp</f>
        <v>115500000</v>
      </c>
      <c r="H684" s="520">
        <f>finPNLReg2Emp2Exp</f>
        <v>115500000</v>
      </c>
      <c r="I684" s="520">
        <f>finPNLReg2Emp2Exp</f>
        <v>115500000</v>
      </c>
      <c r="J684" s="520"/>
      <c r="K684" s="811">
        <f>SUM(E684:I684)/xxNumOfTeams</f>
        <v>115500000</v>
      </c>
    </row>
    <row r="685" spans="1:11">
      <c r="A685" s="132"/>
      <c r="B685" s="548" t="s">
        <v>576</v>
      </c>
      <c r="C685" s="21"/>
      <c r="D685" s="21"/>
      <c r="E685" s="520">
        <f>capProd1Emp2RecDismExp+capProd2Emp2RecDismExp+capProd3Emp2RecDismExp+capProd4Emp2RecDismExp</f>
        <v>5120500</v>
      </c>
      <c r="F685" s="520">
        <f>capProd1Emp2RecDismExp+capProd2Emp2RecDismExp+capProd3Emp2RecDismExp+capProd4Emp2RecDismExp</f>
        <v>5120500</v>
      </c>
      <c r="G685" s="520">
        <f>capProd1Emp2RecDismExp+capProd2Emp2RecDismExp+capProd3Emp2RecDismExp+capProd4Emp2RecDismExp</f>
        <v>5120500</v>
      </c>
      <c r="H685" s="520">
        <f>capProd1Emp2RecDismExp+capProd2Emp2RecDismExp+capProd3Emp2RecDismExp+capProd4Emp2RecDismExp</f>
        <v>5120500</v>
      </c>
      <c r="I685" s="520">
        <f>capProd1Emp2RecDismExp+capProd2Emp2RecDismExp+capProd3Emp2RecDismExp+capProd4Emp2RecDismExp</f>
        <v>5120500</v>
      </c>
      <c r="J685" s="520"/>
      <c r="K685" s="811">
        <f>SUM(E685:I685)/xxNumOfTeams</f>
        <v>5120500</v>
      </c>
    </row>
    <row r="686" spans="1:11">
      <c r="A686" s="132"/>
      <c r="B686" s="548" t="s">
        <v>577</v>
      </c>
      <c r="C686" s="21"/>
      <c r="D686" s="21"/>
      <c r="E686" s="520">
        <f>capProd1Emp2AdminExp+capProd2Emp2AdminExp+capProd3Emp2AdminExp+capProd4Emp2AdminExp</f>
        <v>19635000</v>
      </c>
      <c r="F686" s="520">
        <f>capProd1Emp2AdminExp+capProd2Emp2AdminExp+capProd3Emp2AdminExp+capProd4Emp2AdminExp</f>
        <v>19635000</v>
      </c>
      <c r="G686" s="520">
        <f>capProd1Emp2AdminExp+capProd2Emp2AdminExp+capProd3Emp2AdminExp+capProd4Emp2AdminExp</f>
        <v>19635000</v>
      </c>
      <c r="H686" s="520">
        <f>capProd1Emp2AdminExp+capProd2Emp2AdminExp+capProd3Emp2AdminExp+capProd4Emp2AdminExp</f>
        <v>19635000</v>
      </c>
      <c r="I686" s="520">
        <f>capProd1Emp2AdminExp+capProd2Emp2AdminExp+capProd3Emp2AdminExp+capProd4Emp2AdminExp</f>
        <v>19635000</v>
      </c>
      <c r="J686" s="520"/>
      <c r="K686" s="811">
        <f>SUM(E686:I686)/xxNumOfTeams</f>
        <v>19635000</v>
      </c>
    </row>
    <row r="687" spans="1:11">
      <c r="A687" s="132"/>
      <c r="B687" s="557" t="s">
        <v>2377</v>
      </c>
      <c r="C687" s="21"/>
      <c r="D687" s="21"/>
      <c r="E687" s="527">
        <f>SUM(E684:E686)</f>
        <v>140255500</v>
      </c>
      <c r="F687" s="527">
        <f>SUM(F684:F686)</f>
        <v>140255500</v>
      </c>
      <c r="G687" s="527">
        <f>SUM(G684:G686)</f>
        <v>140255500</v>
      </c>
      <c r="H687" s="527">
        <f>SUM(H684:H686)</f>
        <v>140255500</v>
      </c>
      <c r="I687" s="527">
        <f>SUM(I684:I686)</f>
        <v>140255500</v>
      </c>
      <c r="J687" s="526"/>
      <c r="K687" s="821">
        <f>SUM(E687:I687)/xxNumOfTeams</f>
        <v>140255500</v>
      </c>
    </row>
    <row r="688" spans="1:11">
      <c r="A688" s="132"/>
      <c r="B688" s="21"/>
      <c r="C688" s="21"/>
      <c r="D688" s="21"/>
      <c r="E688" s="520"/>
      <c r="F688" s="520"/>
      <c r="G688" s="520"/>
      <c r="H688" s="520"/>
      <c r="I688" s="520"/>
      <c r="J688" s="180"/>
      <c r="K688" s="796"/>
    </row>
    <row r="689" spans="1:11" ht="15.75">
      <c r="A689" s="407" t="s">
        <v>1460</v>
      </c>
      <c r="B689" s="182"/>
      <c r="C689" s="558"/>
      <c r="D689" s="558"/>
      <c r="E689" s="731" t="str">
        <f>decTeamName</f>
        <v>Vivia</v>
      </c>
      <c r="F689" s="731" t="str">
        <f>decTeamName</f>
        <v>Vivia</v>
      </c>
      <c r="G689" s="731" t="str">
        <f>decTeamName</f>
        <v>Vivia</v>
      </c>
      <c r="H689" s="731" t="str">
        <f>decTeamName</f>
        <v>Vivia</v>
      </c>
      <c r="I689" s="731" t="str">
        <f>decTeamName</f>
        <v>Vivia</v>
      </c>
      <c r="J689" s="742"/>
      <c r="K689" s="823" t="s">
        <v>2718</v>
      </c>
    </row>
    <row r="690" spans="1:11">
      <c r="A690" s="132"/>
      <c r="B690" s="555"/>
      <c r="C690" s="21"/>
      <c r="D690" s="21"/>
      <c r="E690" s="520"/>
      <c r="F690" s="520"/>
      <c r="G690" s="520"/>
      <c r="H690" s="520"/>
      <c r="I690" s="520"/>
      <c r="J690" s="520"/>
      <c r="K690" s="811"/>
    </row>
    <row r="691" spans="1:11">
      <c r="A691" s="132"/>
      <c r="B691" s="555" t="s">
        <v>1461</v>
      </c>
      <c r="C691" s="21"/>
      <c r="D691" s="21"/>
      <c r="E691" s="520">
        <f>obalEmp3</f>
        <v>76566</v>
      </c>
      <c r="F691" s="520">
        <f>obalEmp3</f>
        <v>76566</v>
      </c>
      <c r="G691" s="520">
        <f>obalEmp3</f>
        <v>76566</v>
      </c>
      <c r="H691" s="520">
        <f>obalEmp3</f>
        <v>76566</v>
      </c>
      <c r="I691" s="520">
        <f>obalEmp3</f>
        <v>76566</v>
      </c>
      <c r="J691" s="520"/>
      <c r="K691" s="811">
        <f>SUM(E691:I691)/xxNumOfTeams</f>
        <v>76566</v>
      </c>
    </row>
    <row r="692" spans="1:11">
      <c r="A692" s="132"/>
      <c r="B692" s="555" t="s">
        <v>572</v>
      </c>
      <c r="C692" s="21"/>
      <c r="D692" s="21"/>
      <c r="E692" s="1140" t="str">
        <f>TEXT(capEmp3Att/E691,"##%")&amp;" ("&amp;TEXT(capEmp3Att,"#,###")&amp;")"</f>
        <v>10% (7,657)</v>
      </c>
      <c r="F692" s="1140" t="str">
        <f>TEXT(capEmp3Att/F691,"##%")&amp;" ("&amp;TEXT(capEmp3Att,"#,###")&amp;")"</f>
        <v>10% (7,657)</v>
      </c>
      <c r="G692" s="1140" t="str">
        <f>TEXT(capEmp3Att/G691,"##%")&amp;" ("&amp;TEXT(capEmp3Att,"#,###")&amp;")"</f>
        <v>10% (7,657)</v>
      </c>
      <c r="H692" s="1140" t="str">
        <f>TEXT(capEmp3Att/H691,"##%")&amp;" ("&amp;TEXT(capEmp3Att,"#,###")&amp;")"</f>
        <v>10% (7,657)</v>
      </c>
      <c r="I692" s="1140" t="str">
        <f>TEXT(capEmp3Att/I691,"##%")&amp;" ("&amp;TEXT(capEmp3Att,"#,###")&amp;")"</f>
        <v>10% (7,657)</v>
      </c>
      <c r="J692" s="520"/>
      <c r="K692" s="811">
        <f>SUM(E692:I692)/xxNumOfTeams</f>
        <v>0</v>
      </c>
    </row>
    <row r="693" spans="1:11">
      <c r="A693" s="132"/>
      <c r="B693" s="556" t="s">
        <v>573</v>
      </c>
      <c r="C693" s="21"/>
      <c r="D693" s="21"/>
      <c r="E693" s="520">
        <f>capEmp3Change</f>
        <v>1000</v>
      </c>
      <c r="F693" s="520">
        <f>capEmp3Change</f>
        <v>1000</v>
      </c>
      <c r="G693" s="520">
        <f>capEmp3Change</f>
        <v>1000</v>
      </c>
      <c r="H693" s="520">
        <f>capEmp3Change</f>
        <v>1000</v>
      </c>
      <c r="I693" s="520">
        <f>capEmp3Change</f>
        <v>1000</v>
      </c>
      <c r="J693" s="520"/>
      <c r="K693" s="811">
        <f>SUM(E693:I693)/xxNumOfTeams</f>
        <v>1000</v>
      </c>
    </row>
    <row r="694" spans="1:11">
      <c r="A694" s="132"/>
      <c r="B694" s="555" t="s">
        <v>1462</v>
      </c>
      <c r="C694" s="21"/>
      <c r="D694" s="21"/>
      <c r="E694" s="521">
        <f>cbalEmp3</f>
        <v>69909</v>
      </c>
      <c r="F694" s="521">
        <f>cbalEmp3</f>
        <v>69909</v>
      </c>
      <c r="G694" s="521">
        <f>cbalEmp3</f>
        <v>69909</v>
      </c>
      <c r="H694" s="521">
        <f>cbalEmp3</f>
        <v>69909</v>
      </c>
      <c r="I694" s="521">
        <f>cbalEmp3</f>
        <v>69909</v>
      </c>
      <c r="J694" s="520"/>
      <c r="K694" s="811">
        <f>SUM(E694:I694)/xxNumOfTeams</f>
        <v>69909</v>
      </c>
    </row>
    <row r="695" spans="1:11">
      <c r="A695" s="132"/>
      <c r="B695" s="555"/>
      <c r="C695" s="21"/>
      <c r="D695" s="21"/>
      <c r="E695" s="21"/>
      <c r="F695" s="21"/>
      <c r="G695" s="21"/>
      <c r="H695" s="21"/>
      <c r="I695" s="21"/>
      <c r="J695" s="180"/>
      <c r="K695" s="796"/>
    </row>
    <row r="696" spans="1:11">
      <c r="A696" s="132"/>
      <c r="B696" s="559" t="s">
        <v>1463</v>
      </c>
      <c r="C696" s="21"/>
      <c r="D696" s="21"/>
      <c r="E696" s="826">
        <f>capEmp3Utiliz</f>
        <v>1.0371559793673131</v>
      </c>
      <c r="F696" s="826">
        <f>capEmp3Utiliz</f>
        <v>1.0371559793673131</v>
      </c>
      <c r="G696" s="826">
        <f>capEmp3Utiliz</f>
        <v>1.0371559793673131</v>
      </c>
      <c r="H696" s="826">
        <f>capEmp3Utiliz</f>
        <v>1.0371559793673131</v>
      </c>
      <c r="I696" s="826">
        <f>capEmp3Utiliz</f>
        <v>1.0371559793673131</v>
      </c>
      <c r="J696" s="522"/>
      <c r="K696" s="827">
        <f>SUM(E696:I696)/xxNumOfTeams</f>
        <v>1.0371559793673131</v>
      </c>
    </row>
    <row r="697" spans="1:11">
      <c r="A697" s="132"/>
      <c r="B697" s="548"/>
      <c r="C697" s="21"/>
      <c r="D697" s="21"/>
      <c r="E697" s="520"/>
      <c r="F697" s="520"/>
      <c r="G697" s="520"/>
      <c r="H697" s="520"/>
      <c r="I697" s="520"/>
      <c r="J697" s="180"/>
      <c r="K697" s="796"/>
    </row>
    <row r="698" spans="1:11" ht="15.75">
      <c r="A698" s="407" t="s">
        <v>1843</v>
      </c>
      <c r="B698" s="182"/>
      <c r="C698" s="558"/>
      <c r="D698" s="558"/>
      <c r="E698" s="731" t="str">
        <f>decTeamName</f>
        <v>Vivia</v>
      </c>
      <c r="F698" s="731" t="str">
        <f>decTeamName</f>
        <v>Vivia</v>
      </c>
      <c r="G698" s="731" t="str">
        <f>decTeamName</f>
        <v>Vivia</v>
      </c>
      <c r="H698" s="731" t="str">
        <f>decTeamName</f>
        <v>Vivia</v>
      </c>
      <c r="I698" s="731" t="str">
        <f>decTeamName</f>
        <v>Vivia</v>
      </c>
      <c r="J698" s="742"/>
      <c r="K698" s="823" t="s">
        <v>2718</v>
      </c>
    </row>
    <row r="699" spans="1:11">
      <c r="A699" s="132"/>
      <c r="B699" s="548"/>
      <c r="C699" s="21"/>
      <c r="D699" s="21"/>
      <c r="E699" s="520"/>
      <c r="F699" s="520"/>
      <c r="G699" s="520"/>
      <c r="H699" s="520"/>
      <c r="I699" s="520"/>
      <c r="J699" s="520"/>
      <c r="K699" s="811"/>
    </row>
    <row r="700" spans="1:11">
      <c r="A700" s="132"/>
      <c r="B700" s="548" t="s">
        <v>1464</v>
      </c>
      <c r="C700" s="21"/>
      <c r="D700" s="21"/>
      <c r="E700" s="520">
        <f>obalPlant1Units</f>
        <v>911</v>
      </c>
      <c r="F700" s="520">
        <f>obalPlant1Units</f>
        <v>911</v>
      </c>
      <c r="G700" s="520">
        <f>obalPlant1Units</f>
        <v>911</v>
      </c>
      <c r="H700" s="520">
        <f>obalPlant1Units</f>
        <v>911</v>
      </c>
      <c r="I700" s="520">
        <f>obalPlant1Units</f>
        <v>911</v>
      </c>
      <c r="J700" s="520"/>
      <c r="K700" s="811">
        <f t="shared" ref="K700:K714" si="19">SUM(E700:I700)/xxNumOfTeams</f>
        <v>911</v>
      </c>
    </row>
    <row r="701" spans="1:11">
      <c r="A701" s="132"/>
      <c r="B701" s="21" t="s">
        <v>2403</v>
      </c>
      <c r="C701" s="21"/>
      <c r="D701" s="21"/>
      <c r="E701" s="520">
        <f>cap!E220</f>
        <v>20</v>
      </c>
      <c r="F701" s="520">
        <f>cap!F220</f>
        <v>20</v>
      </c>
      <c r="G701" s="520">
        <f>cap!G220</f>
        <v>20</v>
      </c>
      <c r="H701" s="520">
        <f>cap!H220</f>
        <v>20</v>
      </c>
      <c r="I701" s="520">
        <f>cap!I220</f>
        <v>20</v>
      </c>
      <c r="J701" s="520"/>
      <c r="K701" s="811">
        <f t="shared" si="19"/>
        <v>20</v>
      </c>
    </row>
    <row r="702" spans="1:11">
      <c r="A702" s="132"/>
      <c r="B702" s="21" t="s">
        <v>2404</v>
      </c>
      <c r="C702" s="21"/>
      <c r="D702" s="21"/>
      <c r="E702" s="520">
        <f>cap!E219</f>
        <v>0</v>
      </c>
      <c r="F702" s="520">
        <f>cap!F219</f>
        <v>0</v>
      </c>
      <c r="G702" s="520">
        <f>cap!G219</f>
        <v>0</v>
      </c>
      <c r="H702" s="520">
        <f>cap!H219</f>
        <v>0</v>
      </c>
      <c r="I702" s="520">
        <f>cap!I219</f>
        <v>0</v>
      </c>
      <c r="J702" s="520"/>
      <c r="K702" s="811">
        <f t="shared" si="19"/>
        <v>0</v>
      </c>
    </row>
    <row r="703" spans="1:11">
      <c r="A703" s="132"/>
      <c r="B703" s="551" t="s">
        <v>2696</v>
      </c>
      <c r="C703" s="21"/>
      <c r="D703" s="21"/>
      <c r="E703" s="533">
        <f>capPlant1UnitsAvail</f>
        <v>931</v>
      </c>
      <c r="F703" s="533">
        <f>capPlant1UnitsAvail</f>
        <v>931</v>
      </c>
      <c r="G703" s="533">
        <f>capPlant1UnitsAvail</f>
        <v>931</v>
      </c>
      <c r="H703" s="533">
        <f>capPlant1UnitsAvail</f>
        <v>931</v>
      </c>
      <c r="I703" s="533">
        <f>capPlant1UnitsAvail</f>
        <v>931</v>
      </c>
      <c r="J703" s="520"/>
      <c r="K703" s="811">
        <f t="shared" si="19"/>
        <v>931</v>
      </c>
    </row>
    <row r="704" spans="1:11">
      <c r="A704" s="132"/>
      <c r="B704" s="551" t="s">
        <v>1150</v>
      </c>
      <c r="C704" s="21"/>
      <c r="D704" s="21"/>
      <c r="E704" s="533">
        <f>capPlant1UnitsEnd</f>
        <v>931</v>
      </c>
      <c r="F704" s="533">
        <f>capPlant1UnitsEnd</f>
        <v>931</v>
      </c>
      <c r="G704" s="533">
        <f>capPlant1UnitsEnd</f>
        <v>931</v>
      </c>
      <c r="H704" s="533">
        <f>capPlant1UnitsEnd</f>
        <v>931</v>
      </c>
      <c r="I704" s="533">
        <f>capPlant1UnitsEnd</f>
        <v>931</v>
      </c>
      <c r="J704" s="520"/>
      <c r="K704" s="811">
        <f t="shared" si="19"/>
        <v>931</v>
      </c>
    </row>
    <row r="705" spans="1:13">
      <c r="A705" s="132"/>
      <c r="B705" s="551"/>
      <c r="C705" s="21"/>
      <c r="D705" s="21"/>
      <c r="E705" s="92"/>
      <c r="F705" s="92"/>
      <c r="G705" s="92"/>
      <c r="H705" s="92"/>
      <c r="I705" s="92"/>
      <c r="J705" s="180"/>
      <c r="K705" s="811"/>
    </row>
    <row r="706" spans="1:13">
      <c r="A706" s="132"/>
      <c r="B706" s="21" t="s">
        <v>3656</v>
      </c>
      <c r="C706" s="21"/>
      <c r="D706" s="21"/>
      <c r="E706" s="533">
        <f>capPlant1Investment</f>
        <v>999556000</v>
      </c>
      <c r="F706" s="533">
        <f>capPlant1Investment</f>
        <v>999556000</v>
      </c>
      <c r="G706" s="533">
        <f>capPlant1Investment</f>
        <v>999556000</v>
      </c>
      <c r="H706" s="533">
        <f>capPlant1Investment</f>
        <v>999556000</v>
      </c>
      <c r="I706" s="533">
        <f>capPlant1Investment</f>
        <v>999556000</v>
      </c>
      <c r="J706" s="521"/>
      <c r="K706" s="811">
        <f t="shared" si="19"/>
        <v>999556000</v>
      </c>
    </row>
    <row r="707" spans="1:13">
      <c r="A707" s="132"/>
      <c r="B707" s="553" t="s">
        <v>1149</v>
      </c>
      <c r="C707" s="21"/>
      <c r="D707" s="21"/>
      <c r="E707" s="533">
        <f>capPlant1CapitalLoss</f>
        <v>0</v>
      </c>
      <c r="F707" s="533">
        <f>capPlant1CapitalLoss</f>
        <v>0</v>
      </c>
      <c r="G707" s="533">
        <f>capPlant1CapitalLoss</f>
        <v>0</v>
      </c>
      <c r="H707" s="533">
        <f>capPlant1CapitalLoss</f>
        <v>0</v>
      </c>
      <c r="I707" s="533">
        <f>capPlant1CapitalLoss</f>
        <v>0</v>
      </c>
      <c r="J707" s="521"/>
      <c r="K707" s="811">
        <f t="shared" si="19"/>
        <v>0</v>
      </c>
    </row>
    <row r="708" spans="1:13">
      <c r="A708" s="132"/>
      <c r="B708" s="553" t="s">
        <v>3657</v>
      </c>
      <c r="C708" s="21"/>
      <c r="D708" s="21"/>
      <c r="E708" s="533">
        <f>capPlant1Leasing</f>
        <v>0</v>
      </c>
      <c r="F708" s="533">
        <f>capPlant1Leasing</f>
        <v>0</v>
      </c>
      <c r="G708" s="533">
        <f>capPlant1Leasing</f>
        <v>0</v>
      </c>
      <c r="H708" s="533">
        <f>capPlant1Leasing</f>
        <v>0</v>
      </c>
      <c r="I708" s="533">
        <f>capPlant1Leasing</f>
        <v>0</v>
      </c>
      <c r="J708" s="521"/>
      <c r="K708" s="811">
        <f t="shared" si="19"/>
        <v>0</v>
      </c>
    </row>
    <row r="709" spans="1:13">
      <c r="A709" s="132"/>
      <c r="B709" s="553"/>
      <c r="C709" s="21"/>
      <c r="D709" s="21"/>
      <c r="E709" s="533"/>
      <c r="F709" s="533"/>
      <c r="G709" s="533"/>
      <c r="H709" s="533"/>
      <c r="I709" s="533"/>
      <c r="J709" s="521"/>
      <c r="K709" s="811"/>
    </row>
    <row r="710" spans="1:13">
      <c r="A710" s="132"/>
      <c r="B710" s="553" t="s">
        <v>709</v>
      </c>
      <c r="C710" s="21"/>
      <c r="D710" s="21"/>
      <c r="E710" s="533">
        <f>decPlant1Flex</f>
        <v>3</v>
      </c>
      <c r="F710" s="533">
        <f>decPlant1Flex</f>
        <v>3</v>
      </c>
      <c r="G710" s="533">
        <f>decPlant1Flex</f>
        <v>3</v>
      </c>
      <c r="H710" s="533">
        <f>decPlant1Flex</f>
        <v>3</v>
      </c>
      <c r="I710" s="533">
        <f>decPlant1Flex</f>
        <v>3</v>
      </c>
      <c r="J710" s="521"/>
      <c r="K710" s="811">
        <f t="shared" si="19"/>
        <v>3</v>
      </c>
    </row>
    <row r="711" spans="1:13">
      <c r="A711" s="132"/>
      <c r="B711" s="553" t="s">
        <v>207</v>
      </c>
      <c r="C711" s="21"/>
      <c r="D711" s="21"/>
      <c r="E711" s="533">
        <f>capPlant1UpgradeCost</f>
        <v>0</v>
      </c>
      <c r="F711" s="533">
        <f>capPlant1UpgradeCost</f>
        <v>0</v>
      </c>
      <c r="G711" s="533">
        <f>capPlant1UpgradeCost</f>
        <v>0</v>
      </c>
      <c r="H711" s="533">
        <f>capPlant1UpgradeCost</f>
        <v>0</v>
      </c>
      <c r="I711" s="533">
        <f>capPlant1UpgradeCost</f>
        <v>0</v>
      </c>
      <c r="J711" s="521"/>
      <c r="K711" s="811">
        <f t="shared" si="19"/>
        <v>0</v>
      </c>
    </row>
    <row r="712" spans="1:13">
      <c r="A712" s="132"/>
      <c r="B712" s="553"/>
      <c r="C712" s="21"/>
      <c r="D712" s="21"/>
      <c r="E712" s="533"/>
      <c r="F712" s="533"/>
      <c r="G712" s="533"/>
      <c r="H712" s="533"/>
      <c r="I712" s="533"/>
      <c r="J712" s="521"/>
      <c r="K712" s="811"/>
    </row>
    <row r="713" spans="1:13">
      <c r="A713" s="132"/>
      <c r="B713" s="560" t="s">
        <v>3968</v>
      </c>
      <c r="C713" s="21"/>
      <c r="D713" s="21"/>
      <c r="E713" s="522">
        <f ca="1">paramPlant1Efficiency</f>
        <v>0.76500000000000001</v>
      </c>
      <c r="F713" s="522">
        <f ca="1">paramPlant1Efficiency</f>
        <v>0.76500000000000001</v>
      </c>
      <c r="G713" s="522">
        <f ca="1">paramPlant1Efficiency</f>
        <v>0.76500000000000001</v>
      </c>
      <c r="H713" s="522">
        <f ca="1">paramPlant1Efficiency</f>
        <v>0.76500000000000001</v>
      </c>
      <c r="I713" s="522">
        <f ca="1">paramPlant1Efficiency</f>
        <v>0.76500000000000001</v>
      </c>
      <c r="J713" s="180"/>
      <c r="K713" s="827">
        <f t="shared" ca="1" si="19"/>
        <v>0.76500000000000001</v>
      </c>
    </row>
    <row r="714" spans="1:13">
      <c r="A714" s="132"/>
      <c r="B714" s="560" t="s">
        <v>2260</v>
      </c>
      <c r="C714" s="21"/>
      <c r="D714" s="21"/>
      <c r="E714" s="522">
        <f ca="1">capPlant1Utiliz</f>
        <v>0.91400000000000003</v>
      </c>
      <c r="F714" s="522">
        <f ca="1">capPlant1Utiliz</f>
        <v>0.91400000000000003</v>
      </c>
      <c r="G714" s="522">
        <f ca="1">capPlant1Utiliz</f>
        <v>0.91400000000000003</v>
      </c>
      <c r="H714" s="522">
        <f ca="1">capPlant1Utiliz</f>
        <v>0.91400000000000003</v>
      </c>
      <c r="I714" s="522">
        <f ca="1">capPlant1Utiliz</f>
        <v>0.91400000000000003</v>
      </c>
      <c r="J714" s="842"/>
      <c r="K714" s="827">
        <f t="shared" ca="1" si="19"/>
        <v>0.91400000000000003</v>
      </c>
      <c r="L714" s="442"/>
      <c r="M714" s="442"/>
    </row>
    <row r="715" spans="1:13" ht="12" thickBot="1">
      <c r="A715" s="134"/>
      <c r="B715" s="1390"/>
      <c r="C715" s="135"/>
      <c r="D715" s="135"/>
      <c r="E715" s="857"/>
      <c r="F715" s="857"/>
      <c r="G715" s="857"/>
      <c r="H715" s="857"/>
      <c r="I715" s="857"/>
      <c r="J715" s="1391"/>
      <c r="K715" s="1392"/>
      <c r="L715" s="442"/>
      <c r="M715" s="442"/>
    </row>
    <row r="716" spans="1:13" ht="15.75">
      <c r="A716" s="407" t="s">
        <v>2966</v>
      </c>
      <c r="B716" s="182"/>
      <c r="C716" s="182"/>
      <c r="D716" s="182"/>
      <c r="E716" s="731" t="str">
        <f>decTeamName</f>
        <v>Vivia</v>
      </c>
      <c r="F716" s="731" t="str">
        <f>decTeamName</f>
        <v>Vivia</v>
      </c>
      <c r="G716" s="731" t="str">
        <f>decTeamName</f>
        <v>Vivia</v>
      </c>
      <c r="H716" s="731" t="str">
        <f>decTeamName</f>
        <v>Vivia</v>
      </c>
      <c r="I716" s="731" t="str">
        <f>decTeamName</f>
        <v>Vivia</v>
      </c>
      <c r="J716" s="742"/>
      <c r="K716" s="798"/>
    </row>
    <row r="717" spans="1:13">
      <c r="A717" s="132"/>
      <c r="B717" s="560"/>
      <c r="C717" s="21"/>
      <c r="D717" s="21"/>
      <c r="E717" s="522"/>
      <c r="F717" s="522"/>
      <c r="G717" s="522"/>
      <c r="H717" s="522"/>
      <c r="I717" s="522"/>
      <c r="J717" s="842"/>
      <c r="K717" s="827"/>
      <c r="L717" s="442"/>
      <c r="M717" s="442"/>
    </row>
    <row r="718" spans="1:13" ht="12.75">
      <c r="A718" s="132"/>
      <c r="B718" s="1400" t="s">
        <v>2212</v>
      </c>
      <c r="C718" s="21"/>
      <c r="D718" s="21"/>
      <c r="E718" s="522"/>
      <c r="F718" s="522"/>
      <c r="G718" s="522"/>
      <c r="H718" s="522"/>
      <c r="I718" s="522"/>
      <c r="J718" s="842"/>
      <c r="K718" s="827"/>
      <c r="L718" s="442"/>
      <c r="M718" s="442"/>
    </row>
    <row r="719" spans="1:13" ht="5.25" customHeight="1">
      <c r="A719" s="132"/>
      <c r="B719" s="1400"/>
      <c r="C719" s="21"/>
      <c r="D719" s="21"/>
      <c r="E719" s="522"/>
      <c r="F719" s="522"/>
      <c r="G719" s="522"/>
      <c r="H719" s="522"/>
      <c r="I719" s="522"/>
      <c r="J719" s="842"/>
      <c r="K719" s="827"/>
      <c r="L719" s="442"/>
      <c r="M719" s="442"/>
    </row>
    <row r="720" spans="1:13">
      <c r="A720" s="132"/>
      <c r="B720" s="560" t="s">
        <v>845</v>
      </c>
      <c r="C720" s="21"/>
      <c r="D720" s="21"/>
      <c r="E720" s="1311">
        <f>capRFSHrnd</f>
        <v>0</v>
      </c>
      <c r="F720" s="1311">
        <f>capRFSHrnd</f>
        <v>0</v>
      </c>
      <c r="G720" s="1311">
        <f>capRFSHrnd</f>
        <v>0</v>
      </c>
      <c r="H720" s="1311">
        <f>capRFSHrnd</f>
        <v>0</v>
      </c>
      <c r="I720" s="1311">
        <f>capRFSHrnd</f>
        <v>0</v>
      </c>
      <c r="J720" s="842"/>
      <c r="K720" s="827"/>
      <c r="L720" s="442"/>
      <c r="M720" s="442"/>
    </row>
    <row r="721" spans="1:13">
      <c r="A721" s="132"/>
      <c r="B721" s="560" t="s">
        <v>4095</v>
      </c>
      <c r="C721" s="21"/>
      <c r="D721" s="21"/>
      <c r="E721" s="1311">
        <f>capBKTHrnd</f>
        <v>0</v>
      </c>
      <c r="F721" s="1311">
        <f>capBKTHrnd</f>
        <v>0</v>
      </c>
      <c r="G721" s="1311">
        <f>capBKTHrnd</f>
        <v>0</v>
      </c>
      <c r="H721" s="1311">
        <f>capBKTHrnd</f>
        <v>0</v>
      </c>
      <c r="I721" s="1311">
        <f>capBKTHrnd</f>
        <v>0</v>
      </c>
      <c r="J721" s="842"/>
      <c r="K721" s="827"/>
      <c r="L721" s="442"/>
      <c r="M721" s="442"/>
    </row>
    <row r="722" spans="1:13">
      <c r="A722" s="132"/>
      <c r="B722" s="560" t="s">
        <v>846</v>
      </c>
      <c r="C722" s="21"/>
      <c r="D722" s="21"/>
      <c r="E722" s="1311">
        <f>capDSRPrnd</f>
        <v>0</v>
      </c>
      <c r="F722" s="1311">
        <f>capDSRPrnd</f>
        <v>0</v>
      </c>
      <c r="G722" s="1311">
        <f>capDSRPrnd</f>
        <v>0</v>
      </c>
      <c r="H722" s="1311">
        <f>capDSRPrnd</f>
        <v>0</v>
      </c>
      <c r="I722" s="1311">
        <f>capDSRPrnd</f>
        <v>0</v>
      </c>
      <c r="J722" s="842"/>
      <c r="K722" s="827"/>
      <c r="L722" s="442"/>
      <c r="M722" s="442"/>
    </row>
    <row r="723" spans="1:13">
      <c r="A723" s="132"/>
      <c r="B723" s="21"/>
      <c r="C723" s="21"/>
      <c r="D723" s="21"/>
      <c r="E723" s="21"/>
      <c r="F723" s="21"/>
      <c r="G723" s="21"/>
      <c r="H723" s="21"/>
      <c r="I723" s="21"/>
      <c r="K723" s="133"/>
    </row>
    <row r="724" spans="1:13" ht="33.75" customHeight="1">
      <c r="A724" s="132"/>
      <c r="B724" s="894" t="s">
        <v>1674</v>
      </c>
      <c r="C724" s="894"/>
      <c r="D724" s="894"/>
      <c r="E724" s="895" t="str">
        <f>IF(cbal!E304=0,"-  ",cbal!E304&amp;": "&amp;VLOOKUP(cbal!E304,adj!$B$208:$C$301,2,0))</f>
        <v xml:space="preserve">-  </v>
      </c>
      <c r="F724" s="895" t="str">
        <f>IF(cbal!F304=0,"-  ",cbal!F304&amp;": "&amp;VLOOKUP(cbal!F304,adj!$B$208:$C$301,2,0))</f>
        <v xml:space="preserve">-  </v>
      </c>
      <c r="G724" s="895" t="str">
        <f>IF(cbal!G304=0,"-  ",cbal!G304&amp;": "&amp;VLOOKUP(cbal!G304,adj!$B$208:$C$301,2,0))</f>
        <v xml:space="preserve">-  </v>
      </c>
      <c r="H724" s="895" t="str">
        <f>IF(cbal!H304=0,"-  ",cbal!H304&amp;": "&amp;VLOOKUP(cbal!H304,adj!$B$208:$C$301,2,0))</f>
        <v xml:space="preserve">-  </v>
      </c>
      <c r="I724" s="895" t="str">
        <f>IF(cbal!I304=0,"-  ",cbal!I304&amp;": "&amp;VLOOKUP(cbal!I304,adj!$B$208:$C$301,2,0))</f>
        <v xml:space="preserve">-  </v>
      </c>
      <c r="J724" s="180"/>
      <c r="K724" s="796"/>
    </row>
    <row r="725" spans="1:13" ht="33.75" customHeight="1">
      <c r="A725" s="132"/>
      <c r="B725" s="1266" t="s">
        <v>1040</v>
      </c>
      <c r="C725" s="1266"/>
      <c r="D725" s="1266"/>
      <c r="E725" s="1267" t="str">
        <f>IF(cbal!E305=0,"-  ",cbal!E305&amp;": "&amp;VLOOKUP(cbal!E305,adj!$B$208:$C$301,2,0))</f>
        <v xml:space="preserve">-  </v>
      </c>
      <c r="F725" s="1267" t="str">
        <f>IF(cbal!F305=0,"-  ",cbal!F305&amp;": "&amp;VLOOKUP(cbal!F305,adj!$B$208:$C$301,2,0))</f>
        <v xml:space="preserve">-  </v>
      </c>
      <c r="G725" s="1267" t="str">
        <f>IF(cbal!G305=0,"-  ",cbal!G305&amp;": "&amp;VLOOKUP(cbal!G305,adj!$B$208:$C$301,2,0))</f>
        <v xml:space="preserve">-  </v>
      </c>
      <c r="H725" s="1267" t="str">
        <f>IF(cbal!H305=0,"-  ",cbal!H305&amp;": "&amp;VLOOKUP(cbal!H305,adj!$B$208:$C$301,2,0))</f>
        <v xml:space="preserve">-  </v>
      </c>
      <c r="I725" s="1267" t="str">
        <f>IF(cbal!I305=0,"-  ",cbal!I305&amp;": "&amp;VLOOKUP(cbal!I305,adj!$B$208:$C$301,2,0))</f>
        <v xml:space="preserve">-  </v>
      </c>
      <c r="J725" s="1268"/>
      <c r="K725" s="796"/>
    </row>
    <row r="726" spans="1:13" ht="33.75" customHeight="1">
      <c r="A726" s="132"/>
      <c r="B726" s="894" t="s">
        <v>1690</v>
      </c>
      <c r="C726" s="894"/>
      <c r="D726" s="894"/>
      <c r="E726" s="895" t="str">
        <f>IF(cbal!E308=0,"-  ",cbal!E308&amp;": "&amp;VLOOKUP(cbal!E308,adj!$B$208:$C$301,2,0))</f>
        <v xml:space="preserve">-  </v>
      </c>
      <c r="F726" s="895" t="str">
        <f>IF(cbal!F308=0,"-  ",cbal!F308&amp;": "&amp;VLOOKUP(cbal!F308,adj!$B$208:$C$301,2,0))</f>
        <v xml:space="preserve">-  </v>
      </c>
      <c r="G726" s="895" t="str">
        <f>IF(cbal!G308=0,"-  ",cbal!G308&amp;": "&amp;VLOOKUP(cbal!G308,adj!$B$208:$C$301,2,0))</f>
        <v xml:space="preserve">-  </v>
      </c>
      <c r="H726" s="895" t="str">
        <f>IF(cbal!H308=0,"-  ",cbal!H308&amp;": "&amp;VLOOKUP(cbal!H308,adj!$B$208:$C$301,2,0))</f>
        <v xml:space="preserve">-  </v>
      </c>
      <c r="I726" s="895" t="str">
        <f>IF(cbal!I308=0,"-  ",cbal!I308&amp;": "&amp;VLOOKUP(cbal!I308,adj!$B$208:$C$301,2,0))</f>
        <v xml:space="preserve">-  </v>
      </c>
      <c r="K726" s="133"/>
    </row>
    <row r="727" spans="1:13" ht="33.75" customHeight="1">
      <c r="A727" s="132"/>
      <c r="B727" s="894" t="s">
        <v>1691</v>
      </c>
      <c r="C727" s="894"/>
      <c r="D727" s="894"/>
      <c r="E727" s="895" t="str">
        <f>IF(cbal!E309=0,"-  ",cbal!E309&amp;": "&amp;VLOOKUP(cbal!E309,adj!$B$208:$C$301,2,0))</f>
        <v xml:space="preserve">-  </v>
      </c>
      <c r="F727" s="895" t="str">
        <f>IF(cbal!F309=0,"-  ",cbal!F309&amp;": "&amp;VLOOKUP(cbal!F309,adj!$B$208:$C$301,2,0))</f>
        <v xml:space="preserve">-  </v>
      </c>
      <c r="G727" s="895" t="str">
        <f>IF(cbal!G309=0,"-  ",cbal!G309&amp;": "&amp;VLOOKUP(cbal!G309,adj!$B$208:$C$301,2,0))</f>
        <v xml:space="preserve">-  </v>
      </c>
      <c r="H727" s="895" t="str">
        <f>IF(cbal!H309=0,"-  ",cbal!H309&amp;": "&amp;VLOOKUP(cbal!H309,adj!$B$208:$C$301,2,0))</f>
        <v xml:space="preserve">-  </v>
      </c>
      <c r="I727" s="895" t="str">
        <f>IF(cbal!I309=0,"-  ",cbal!I309&amp;": "&amp;VLOOKUP(cbal!I309,adj!$B$208:$C$301,2,0))</f>
        <v xml:space="preserve">-  </v>
      </c>
      <c r="K727" s="133"/>
    </row>
    <row r="728" spans="1:13" ht="33.75" customHeight="1">
      <c r="A728" s="132"/>
      <c r="B728" s="1266" t="s">
        <v>1692</v>
      </c>
      <c r="C728" s="1266"/>
      <c r="D728" s="1266"/>
      <c r="E728" s="1267" t="str">
        <f>IF(cbal!E310=0,"-  ",cbal!E310&amp;": "&amp;VLOOKUP(cbal!E310,adj!$B$208:$C$301,2,0))</f>
        <v xml:space="preserve">-  </v>
      </c>
      <c r="F728" s="1267" t="str">
        <f>IF(cbal!F310=0,"-  ",cbal!F310&amp;": "&amp;VLOOKUP(cbal!F310,adj!$B$208:$C$301,2,0))</f>
        <v xml:space="preserve">-  </v>
      </c>
      <c r="G728" s="1267" t="str">
        <f>IF(cbal!G310=0,"-  ",cbal!G310&amp;": "&amp;VLOOKUP(cbal!G310,adj!$B$208:$C$301,2,0))</f>
        <v xml:space="preserve">-  </v>
      </c>
      <c r="H728" s="1267" t="str">
        <f>IF(cbal!H310=0,"-  ",cbal!H310&amp;": "&amp;VLOOKUP(cbal!H310,adj!$B$208:$C$301,2,0))</f>
        <v xml:space="preserve">-  </v>
      </c>
      <c r="I728" s="1267" t="str">
        <f>IF(cbal!I310=0,"-  ",cbal!I310&amp;": "&amp;VLOOKUP(cbal!I310,adj!$B$208:$C$301,2,0))</f>
        <v xml:space="preserve">-  </v>
      </c>
      <c r="J728" s="94"/>
      <c r="K728" s="133"/>
    </row>
    <row r="729" spans="1:13" ht="33.75" customHeight="1">
      <c r="A729" s="132"/>
      <c r="B729" s="894" t="s">
        <v>1693</v>
      </c>
      <c r="C729" s="894"/>
      <c r="D729" s="894"/>
      <c r="E729" s="895" t="str">
        <f>IF(cbal!E312=0,"-  ",cbal!E312&amp;": "&amp;VLOOKUP(cbal!E312,adj!$B$208:$C$301,2,0))</f>
        <v xml:space="preserve">-  </v>
      </c>
      <c r="F729" s="895" t="str">
        <f>IF(cbal!F312=0,"-  ",cbal!F312&amp;": "&amp;VLOOKUP(cbal!F312,adj!$B$208:$C$301,2,0))</f>
        <v xml:space="preserve">-  </v>
      </c>
      <c r="G729" s="895" t="str">
        <f>IF(cbal!G312=0,"-  ",cbal!G312&amp;": "&amp;VLOOKUP(cbal!G312,adj!$B$208:$C$301,2,0))</f>
        <v xml:space="preserve">-  </v>
      </c>
      <c r="H729" s="895" t="str">
        <f>IF(cbal!H312=0,"-  ",cbal!H312&amp;": "&amp;VLOOKUP(cbal!H312,adj!$B$208:$C$301,2,0))</f>
        <v xml:space="preserve">-  </v>
      </c>
      <c r="I729" s="895" t="str">
        <f>IF(cbal!I312=0,"-  ",cbal!I312&amp;": "&amp;VLOOKUP(cbal!I312,adj!$B$208:$C$301,2,0))</f>
        <v xml:space="preserve">-  </v>
      </c>
      <c r="K729" s="133"/>
    </row>
    <row r="730" spans="1:13" ht="33.75" customHeight="1">
      <c r="A730" s="132"/>
      <c r="B730" s="894" t="s">
        <v>1694</v>
      </c>
      <c r="C730" s="894"/>
      <c r="D730" s="894"/>
      <c r="E730" s="895" t="str">
        <f>IF(cbal!E313=0,"-  ",cbal!E313&amp;": "&amp;VLOOKUP(cbal!E313,adj!$B$208:$C$301,2,0))</f>
        <v xml:space="preserve">-  </v>
      </c>
      <c r="F730" s="895" t="str">
        <f>IF(cbal!F313=0,"-  ",cbal!F313&amp;": "&amp;VLOOKUP(cbal!F313,adj!$B$208:$C$301,2,0))</f>
        <v xml:space="preserve">-  </v>
      </c>
      <c r="G730" s="895" t="str">
        <f>IF(cbal!G313=0,"-  ",cbal!G313&amp;": "&amp;VLOOKUP(cbal!G313,adj!$B$208:$C$301,2,0))</f>
        <v xml:space="preserve">-  </v>
      </c>
      <c r="H730" s="895" t="str">
        <f>IF(cbal!H313=0,"-  ",cbal!H313&amp;": "&amp;VLOOKUP(cbal!H313,adj!$B$208:$C$301,2,0))</f>
        <v xml:space="preserve">-  </v>
      </c>
      <c r="I730" s="895" t="str">
        <f>IF(cbal!I313=0,"-  ",cbal!I313&amp;": "&amp;VLOOKUP(cbal!I313,adj!$B$208:$C$301,2,0))</f>
        <v xml:space="preserve">-  </v>
      </c>
      <c r="K730" s="133"/>
    </row>
    <row r="731" spans="1:13" ht="33.75" customHeight="1">
      <c r="A731" s="132"/>
      <c r="B731" s="894" t="s">
        <v>1695</v>
      </c>
      <c r="C731" s="894"/>
      <c r="D731" s="894"/>
      <c r="E731" s="895" t="str">
        <f>IF(cbal!E314=0,"-  ",cbal!E314&amp;": "&amp;VLOOKUP(cbal!E314,adj!$B$208:$C$301,2,0))</f>
        <v xml:space="preserve">-  </v>
      </c>
      <c r="F731" s="895" t="str">
        <f>IF(cbal!F314=0,"-  ",cbal!F314&amp;": "&amp;VLOOKUP(cbal!F314,adj!$B$208:$C$301,2,0))</f>
        <v xml:space="preserve">-  </v>
      </c>
      <c r="G731" s="895" t="str">
        <f>IF(cbal!G314=0,"-  ",cbal!G314&amp;": "&amp;VLOOKUP(cbal!G314,adj!$B$208:$C$301,2,0))</f>
        <v xml:space="preserve">-  </v>
      </c>
      <c r="H731" s="895" t="str">
        <f>IF(cbal!H314=0,"-  ",cbal!H314&amp;": "&amp;VLOOKUP(cbal!H314,adj!$B$208:$C$301,2,0))</f>
        <v xml:space="preserve">-  </v>
      </c>
      <c r="I731" s="895" t="str">
        <f>IF(cbal!I314=0,"-  ",cbal!I314&amp;": "&amp;VLOOKUP(cbal!I314,adj!$B$208:$C$301,2,0))</f>
        <v xml:space="preserve">-  </v>
      </c>
      <c r="K731" s="133"/>
    </row>
    <row r="732" spans="1:13">
      <c r="A732" s="132"/>
      <c r="B732" s="550"/>
      <c r="C732" s="21"/>
      <c r="D732" s="21"/>
      <c r="E732" s="92"/>
      <c r="F732" s="92"/>
      <c r="G732" s="92"/>
      <c r="H732" s="92"/>
      <c r="I732" s="92"/>
      <c r="J732" s="180"/>
      <c r="K732" s="796"/>
    </row>
    <row r="733" spans="1:13" ht="15.75">
      <c r="A733" s="407" t="s">
        <v>2089</v>
      </c>
      <c r="B733" s="182"/>
      <c r="C733" s="182"/>
      <c r="D733" s="182"/>
      <c r="E733" s="731" t="str">
        <f>decTeamName</f>
        <v>Vivia</v>
      </c>
      <c r="F733" s="731" t="str">
        <f>decTeamName</f>
        <v>Vivia</v>
      </c>
      <c r="G733" s="731" t="str">
        <f>decTeamName</f>
        <v>Vivia</v>
      </c>
      <c r="H733" s="731" t="str">
        <f>decTeamName</f>
        <v>Vivia</v>
      </c>
      <c r="I733" s="731" t="str">
        <f>decTeamName</f>
        <v>Vivia</v>
      </c>
      <c r="J733" s="742"/>
      <c r="K733" s="798"/>
    </row>
    <row r="734" spans="1:13" ht="33.75" customHeight="1">
      <c r="A734" s="132"/>
      <c r="B734" s="894" t="s">
        <v>2090</v>
      </c>
      <c r="C734" s="894"/>
      <c r="D734" s="894"/>
      <c r="E734" s="895" t="str">
        <f>IF(cbal!E280=0,"-  ",cbal!E280&amp;": "&amp;VLOOKUP(cbal!E280,adj!$B$322:$C$1084,2,0))</f>
        <v xml:space="preserve">-  </v>
      </c>
      <c r="F734" s="895" t="str">
        <f>IF(cbal!F280=0,"-  ",cbal!F280&amp;": "&amp;VLOOKUP(cbal!F280,adj!$B$322:$C$1084,2,0))</f>
        <v xml:space="preserve">-  </v>
      </c>
      <c r="G734" s="895" t="str">
        <f>IF(cbal!G280=0,"-  ",cbal!G280&amp;": "&amp;VLOOKUP(cbal!G280,adj!$B$322:$C$1084,2,0))</f>
        <v xml:space="preserve">-  </v>
      </c>
      <c r="H734" s="895" t="str">
        <f>IF(cbal!H280=0,"-  ",cbal!H280&amp;": "&amp;VLOOKUP(cbal!H280,adj!$B$322:$C$1084,2,0))</f>
        <v xml:space="preserve">-  </v>
      </c>
      <c r="I734" s="895" t="str">
        <f>IF(cbal!I280=0,"-  ",cbal!I280&amp;": "&amp;VLOOKUP(cbal!I280,adj!$B$322:$C$1084,2,0))</f>
        <v xml:space="preserve">-  </v>
      </c>
      <c r="J734" s="180"/>
      <c r="K734" s="796"/>
    </row>
    <row r="735" spans="1:13" ht="33.75" customHeight="1">
      <c r="A735" s="132"/>
      <c r="B735" s="894" t="s">
        <v>2091</v>
      </c>
      <c r="C735" s="894"/>
      <c r="D735" s="894"/>
      <c r="E735" s="895" t="str">
        <f>IF(cbal!E281=0,"-  ",cbal!E281&amp;": "&amp;VLOOKUP(cbal!E281,adj!$B$322:$C$1084,2,0))</f>
        <v xml:space="preserve">-  </v>
      </c>
      <c r="F735" s="895" t="str">
        <f>IF(cbal!F281=0,"-  ",cbal!F281&amp;": "&amp;VLOOKUP(cbal!F281,adj!$B$322:$C$1084,2,0))</f>
        <v xml:space="preserve">-  </v>
      </c>
      <c r="G735" s="895" t="str">
        <f>IF(cbal!G281=0,"-  ",cbal!G281&amp;": "&amp;VLOOKUP(cbal!G281,adj!$B$322:$C$1084,2,0))</f>
        <v xml:space="preserve">-  </v>
      </c>
      <c r="H735" s="895" t="str">
        <f>IF(cbal!H281=0,"-  ",cbal!H281&amp;": "&amp;VLOOKUP(cbal!H281,adj!$B$322:$C$1084,2,0))</f>
        <v xml:space="preserve">-  </v>
      </c>
      <c r="I735" s="895" t="str">
        <f>IF(cbal!I281=0,"-  ",cbal!I281&amp;": "&amp;VLOOKUP(cbal!I281,adj!$B$322:$C$1084,2,0))</f>
        <v xml:space="preserve">-  </v>
      </c>
      <c r="J735" s="180"/>
      <c r="K735" s="796"/>
    </row>
    <row r="736" spans="1:13" ht="33.75" customHeight="1">
      <c r="A736" s="132"/>
      <c r="B736" s="894" t="s">
        <v>3213</v>
      </c>
      <c r="C736" s="894"/>
      <c r="D736" s="894"/>
      <c r="E736" s="895" t="str">
        <f>IF(cbal!E282=0,"-  ",cbal!E282&amp;": "&amp;VLOOKUP(cbal!E282,adj!$B$322:$C$1084,2,0))</f>
        <v xml:space="preserve">-  </v>
      </c>
      <c r="F736" s="895" t="str">
        <f>IF(cbal!F282=0,"-  ",cbal!F282&amp;": "&amp;VLOOKUP(cbal!F282,adj!$B$322:$C$1084,2,0))</f>
        <v xml:space="preserve">-  </v>
      </c>
      <c r="G736" s="895" t="str">
        <f>IF(cbal!G282=0,"-  ",cbal!G282&amp;": "&amp;VLOOKUP(cbal!G282,adj!$B$322:$C$1084,2,0))</f>
        <v xml:space="preserve">-  </v>
      </c>
      <c r="H736" s="895" t="str">
        <f>IF(cbal!H282=0,"-  ",cbal!H282&amp;": "&amp;VLOOKUP(cbal!H282,adj!$B$322:$C$1084,2,0))</f>
        <v xml:space="preserve">-  </v>
      </c>
      <c r="I736" s="895" t="str">
        <f>IF(cbal!I282=0,"-  ",cbal!I282&amp;": "&amp;VLOOKUP(cbal!I282,adj!$B$322:$C$1084,2,0))</f>
        <v xml:space="preserve">-  </v>
      </c>
      <c r="K736" s="133"/>
    </row>
    <row r="737" spans="1:17" ht="33.75" customHeight="1">
      <c r="A737" s="132"/>
      <c r="B737" s="894" t="s">
        <v>3214</v>
      </c>
      <c r="C737" s="894"/>
      <c r="D737" s="894"/>
      <c r="E737" s="895" t="str">
        <f>IF(cbal!E283=0,"-  ",cbal!E283&amp;": "&amp;VLOOKUP(cbal!E283,adj!$B$322:$C$1084,2,0))</f>
        <v xml:space="preserve">-  </v>
      </c>
      <c r="F737" s="895" t="str">
        <f>IF(cbal!F283=0,"-  ",cbal!F283&amp;": "&amp;VLOOKUP(cbal!F283,adj!$B$322:$C$1084,2,0))</f>
        <v xml:space="preserve">-  </v>
      </c>
      <c r="G737" s="895" t="str">
        <f>IF(cbal!G283=0,"-  ",cbal!G283&amp;": "&amp;VLOOKUP(cbal!G283,adj!$B$322:$C$1084,2,0))</f>
        <v xml:space="preserve">-  </v>
      </c>
      <c r="H737" s="895" t="str">
        <f>IF(cbal!H283=0,"-  ",cbal!H283&amp;": "&amp;VLOOKUP(cbal!H283,adj!$B$322:$C$1084,2,0))</f>
        <v xml:space="preserve">-  </v>
      </c>
      <c r="I737" s="895" t="str">
        <f>IF(cbal!I283=0,"-  ",cbal!I283&amp;": "&amp;VLOOKUP(cbal!I283,adj!$B$322:$C$1084,2,0))</f>
        <v xml:space="preserve">-  </v>
      </c>
      <c r="K737" s="133"/>
    </row>
    <row r="738" spans="1:17" ht="33.75" customHeight="1">
      <c r="A738" s="132"/>
      <c r="B738" s="1266" t="s">
        <v>3215</v>
      </c>
      <c r="C738" s="1266"/>
      <c r="D738" s="1266"/>
      <c r="E738" s="895" t="str">
        <f>IF(cbal!E284=0,"-  ",cbal!E284&amp;": "&amp;VLOOKUP(cbal!E284,adj!$B$322:$C$1084,2,0))</f>
        <v xml:space="preserve">-  </v>
      </c>
      <c r="F738" s="895" t="str">
        <f>IF(cbal!F284=0,"-  ",cbal!F284&amp;": "&amp;VLOOKUP(cbal!F284,adj!$B$322:$C$1084,2,0))</f>
        <v xml:space="preserve">-  </v>
      </c>
      <c r="G738" s="895" t="str">
        <f>IF(cbal!G284=0,"-  ",cbal!G284&amp;": "&amp;VLOOKUP(cbal!G284,adj!$B$322:$C$1084,2,0))</f>
        <v xml:space="preserve">-  </v>
      </c>
      <c r="H738" s="895" t="str">
        <f>IF(cbal!H284=0,"-  ",cbal!H284&amp;": "&amp;VLOOKUP(cbal!H284,adj!$B$322:$C$1084,2,0))</f>
        <v xml:space="preserve">-  </v>
      </c>
      <c r="I738" s="895" t="str">
        <f>IF(cbal!I284=0,"-  ",cbal!I284&amp;": "&amp;VLOOKUP(cbal!I284,adj!$B$322:$C$1084,2,0))</f>
        <v xml:space="preserve">-  </v>
      </c>
      <c r="J738" s="94"/>
      <c r="K738" s="133"/>
    </row>
    <row r="739" spans="1:17" ht="33.75" hidden="1" customHeight="1">
      <c r="A739" s="132"/>
      <c r="B739" s="894" t="s">
        <v>3144</v>
      </c>
      <c r="C739" s="894"/>
      <c r="D739" s="894"/>
      <c r="E739" s="895" t="str">
        <f>IF(cbal!E285=0,"-  ",cbal!E285&amp;": "&amp;VLOOKUP(cbal!E285,adj!$B$322:$C$873,2,0))</f>
        <v xml:space="preserve">-  </v>
      </c>
      <c r="F739" s="895" t="str">
        <f>IF(cbal!F285=0,"-  ",cbal!F285&amp;": "&amp;VLOOKUP(cbal!F285,adj!$B$322:$C$873,2,0))</f>
        <v xml:space="preserve">-  </v>
      </c>
      <c r="G739" s="895" t="str">
        <f>IF(cbal!G285=0,"-  ",cbal!G285&amp;": "&amp;VLOOKUP(cbal!G285,adj!$B$322:$C$873,2,0))</f>
        <v xml:space="preserve">-  </v>
      </c>
      <c r="H739" s="895" t="str">
        <f>IF(cbal!H285=0,"-  ",cbal!H285&amp;": "&amp;VLOOKUP(cbal!H285,adj!$B$322:$C$873,2,0))</f>
        <v xml:space="preserve">-  </v>
      </c>
      <c r="I739" s="895" t="str">
        <f>IF(cbal!I285=0,"-  ",cbal!I285&amp;": "&amp;VLOOKUP(cbal!I285,adj!$B$322:$C$873,2,0))</f>
        <v xml:space="preserve">-  </v>
      </c>
      <c r="K739" s="133"/>
      <c r="Q739">
        <v>1</v>
      </c>
    </row>
    <row r="740" spans="1:17" ht="33.75" customHeight="1">
      <c r="A740" s="132"/>
      <c r="B740" s="894" t="s">
        <v>2869</v>
      </c>
      <c r="C740" s="894"/>
      <c r="D740" s="894"/>
      <c r="E740" s="1625" t="str">
        <f>IF(cbal!E286=0,"-  ",cbal!E286&amp;": "&amp;VLOOKUP(cbal!E286,adj!$B$322:$C$1084,2,0))</f>
        <v xml:space="preserve">-  </v>
      </c>
      <c r="F740" s="1625" t="str">
        <f>IF(cbal!F286=0,"-  ",cbal!F286&amp;": "&amp;VLOOKUP(cbal!F286,adj!$B$322:$C$1084,2,0))</f>
        <v xml:space="preserve">-  </v>
      </c>
      <c r="G740" s="1625" t="str">
        <f>IF(cbal!G286=0,"-  ",cbal!G286&amp;": "&amp;VLOOKUP(cbal!G286,adj!$B$322:$C$1084,2,0))</f>
        <v xml:space="preserve">-  </v>
      </c>
      <c r="H740" s="1625" t="str">
        <f>IF(cbal!H286=0,"-  ",cbal!H286&amp;": "&amp;VLOOKUP(cbal!H286,adj!$B$322:$C$1084,2,0))</f>
        <v xml:space="preserve">-  </v>
      </c>
      <c r="I740" s="1625" t="str">
        <f>IF(cbal!I286=0,"-  ",cbal!I286&amp;": "&amp;VLOOKUP(cbal!I286,adj!$B$322:$C$1084,2,0))</f>
        <v xml:space="preserve">-  </v>
      </c>
      <c r="K740" s="133"/>
    </row>
    <row r="741" spans="1:17" ht="33.75" customHeight="1">
      <c r="A741" s="132"/>
      <c r="B741" s="894" t="s">
        <v>2871</v>
      </c>
      <c r="C741" s="894"/>
      <c r="D741" s="894"/>
      <c r="E741" s="895" t="str">
        <f>IF(cbal!E287=0,"-  ",cbal!E287&amp;": "&amp;VLOOKUP(cbal!E287,adj!$B$322:$C$1084,2,0))</f>
        <v xml:space="preserve">-  </v>
      </c>
      <c r="F741" s="895" t="str">
        <f>IF(cbal!F287=0,"-  ",cbal!F287&amp;": "&amp;VLOOKUP(cbal!F287,adj!$B$322:$C$1084,2,0))</f>
        <v xml:space="preserve">-  </v>
      </c>
      <c r="G741" s="895" t="str">
        <f>IF(cbal!G287=0,"-  ",cbal!G287&amp;": "&amp;VLOOKUP(cbal!G287,adj!$B$322:$C$1084,2,0))</f>
        <v xml:space="preserve">-  </v>
      </c>
      <c r="H741" s="895" t="str">
        <f>IF(cbal!H287=0,"-  ",cbal!H287&amp;": "&amp;VLOOKUP(cbal!H287,adj!$B$322:$C$1084,2,0))</f>
        <v xml:space="preserve">-  </v>
      </c>
      <c r="I741" s="895" t="str">
        <f>IF(cbal!I287=0,"-  ",cbal!I287&amp;": "&amp;VLOOKUP(cbal!I287,adj!$B$322:$C$1084,2,0))</f>
        <v xml:space="preserve">-  </v>
      </c>
      <c r="K741" s="133"/>
    </row>
    <row r="742" spans="1:17" ht="33.75" customHeight="1">
      <c r="A742" s="132"/>
      <c r="B742" s="894" t="s">
        <v>2872</v>
      </c>
      <c r="C742" s="894"/>
      <c r="D742" s="894"/>
      <c r="E742" s="895" t="str">
        <f>IF(cbal!E288=0,"-  ",cbal!E288&amp;": "&amp;VLOOKUP(cbal!E288,adj!$B$322:$C$1084,2,0))</f>
        <v xml:space="preserve">-  </v>
      </c>
      <c r="F742" s="895" t="str">
        <f>IF(cbal!F288=0,"-  ",cbal!F288&amp;": "&amp;VLOOKUP(cbal!F288,adj!$B$322:$C$1084,2,0))</f>
        <v xml:space="preserve">-  </v>
      </c>
      <c r="G742" s="895" t="str">
        <f>IF(cbal!G288=0,"-  ",cbal!G288&amp;": "&amp;VLOOKUP(cbal!G288,adj!$B$322:$C$1084,2,0))</f>
        <v xml:space="preserve">-  </v>
      </c>
      <c r="H742" s="895" t="str">
        <f>IF(cbal!H288=0,"-  ",cbal!H288&amp;": "&amp;VLOOKUP(cbal!H288,adj!$B$322:$C$1084,2,0))</f>
        <v xml:space="preserve">-  </v>
      </c>
      <c r="I742" s="895" t="str">
        <f>IF(cbal!I288=0,"-  ",cbal!I288&amp;": "&amp;VLOOKUP(cbal!I288,adj!$B$322:$C$1084,2,0))</f>
        <v xml:space="preserve">-  </v>
      </c>
      <c r="J742" s="180"/>
      <c r="K742" s="796"/>
    </row>
    <row r="743" spans="1:17" ht="33.75" customHeight="1">
      <c r="A743" s="132"/>
      <c r="B743" s="894" t="s">
        <v>2876</v>
      </c>
      <c r="C743" s="894"/>
      <c r="D743" s="894"/>
      <c r="E743" s="895" t="str">
        <f>IF(cbal!E289=0,"-  ",cbal!E289&amp;": "&amp;VLOOKUP(cbal!E289,adj!$B$322:$C$1084,2,0))</f>
        <v xml:space="preserve">-  </v>
      </c>
      <c r="F743" s="895" t="str">
        <f>IF(cbal!F289=0,"-  ",cbal!F289&amp;": "&amp;VLOOKUP(cbal!F289,adj!$B$322:$C$1084,2,0))</f>
        <v xml:space="preserve">-  </v>
      </c>
      <c r="G743" s="895" t="str">
        <f>IF(cbal!G289=0,"-  ",cbal!G289&amp;": "&amp;VLOOKUP(cbal!G289,adj!$B$322:$C$1084,2,0))</f>
        <v xml:space="preserve">-  </v>
      </c>
      <c r="H743" s="895" t="str">
        <f>IF(cbal!H289=0,"-  ",cbal!H289&amp;": "&amp;VLOOKUP(cbal!H289,adj!$B$322:$C$1084,2,0))</f>
        <v xml:space="preserve">-  </v>
      </c>
      <c r="I743" s="895" t="str">
        <f>IF(cbal!I289=0,"-  ",cbal!I289&amp;": "&amp;VLOOKUP(cbal!I289,adj!$B$322:$C$1084,2,0))</f>
        <v xml:space="preserve">-  </v>
      </c>
      <c r="J743" s="180"/>
      <c r="K743" s="796"/>
    </row>
    <row r="744" spans="1:17" ht="33.75" customHeight="1">
      <c r="A744" s="132"/>
      <c r="B744" s="1266" t="s">
        <v>2877</v>
      </c>
      <c r="C744" s="1266"/>
      <c r="D744" s="1266"/>
      <c r="E744" s="1267" t="str">
        <f>IF(cbal!E290=0,"-  ",cbal!E290&amp;": "&amp;VLOOKUP(cbal!E290,adj!$B$322:$C$1084,2,0))</f>
        <v xml:space="preserve">-  </v>
      </c>
      <c r="F744" s="1267" t="str">
        <f>IF(cbal!F290=0,"-  ",cbal!F290&amp;": "&amp;VLOOKUP(cbal!F290,adj!$B$322:$C$1084,2,0))</f>
        <v xml:space="preserve">-  </v>
      </c>
      <c r="G744" s="1267" t="str">
        <f>IF(cbal!G290=0,"-  ",cbal!G290&amp;": "&amp;VLOOKUP(cbal!G290,adj!$B$322:$C$1084,2,0))</f>
        <v xml:space="preserve">-  </v>
      </c>
      <c r="H744" s="1267" t="str">
        <f>IF(cbal!H290=0,"-  ",cbal!H290&amp;": "&amp;VLOOKUP(cbal!H290,adj!$B$322:$C$1084,2,0))</f>
        <v xml:space="preserve">-  </v>
      </c>
      <c r="I744" s="1267" t="str">
        <f>IF(cbal!I290=0,"-  ",cbal!I290&amp;": "&amp;VLOOKUP(cbal!I290,adj!$B$322:$C$1084,2,0))</f>
        <v xml:space="preserve">-  </v>
      </c>
      <c r="J744" s="1268"/>
      <c r="K744" s="796"/>
    </row>
    <row r="745" spans="1:17" ht="33.75" hidden="1" customHeight="1">
      <c r="A745" s="132"/>
      <c r="B745" s="894" t="s">
        <v>3895</v>
      </c>
      <c r="C745" s="894"/>
      <c r="D745" s="894"/>
      <c r="E745" s="895" t="str">
        <f>IF(cbal!E291=0,"-  ",cbal!E291&amp;": "&amp;VLOOKUP(cbal!E291,adj!$B$322:$C$873,2,0))</f>
        <v xml:space="preserve">-  </v>
      </c>
      <c r="F745" s="895" t="str">
        <f>IF(cbal!F291=0,"-  ",cbal!F291&amp;": "&amp;VLOOKUP(cbal!F291,adj!$B$322:$C$873,2,0))</f>
        <v xml:space="preserve">-  </v>
      </c>
      <c r="G745" s="895" t="str">
        <f>IF(cbal!G291=0,"-  ",cbal!G291&amp;": "&amp;VLOOKUP(cbal!G291,adj!$B$322:$C$873,2,0))</f>
        <v xml:space="preserve">-  </v>
      </c>
      <c r="H745" s="895" t="str">
        <f>IF(cbal!H291=0,"-  ",cbal!H291&amp;": "&amp;VLOOKUP(cbal!H291,adj!$B$322:$C$873,2,0))</f>
        <v xml:space="preserve">-  </v>
      </c>
      <c r="I745" s="895" t="str">
        <f>IF(cbal!I291=0,"-  ",cbal!I291&amp;": "&amp;VLOOKUP(cbal!I291,adj!$B$322:$C$873,2,0))</f>
        <v xml:space="preserve">-  </v>
      </c>
      <c r="J745" s="180"/>
      <c r="K745" s="796"/>
      <c r="Q745">
        <v>1</v>
      </c>
    </row>
    <row r="746" spans="1:17" ht="33.75" customHeight="1">
      <c r="A746" s="132"/>
      <c r="B746" s="894" t="s">
        <v>2878</v>
      </c>
      <c r="C746" s="894"/>
      <c r="D746" s="894"/>
      <c r="E746" s="895" t="str">
        <f>IF(cbal!E292=0,"-  ",cbal!E292&amp;": "&amp;VLOOKUP(cbal!E292,adj!$B$322:$C$1084,2,0))</f>
        <v xml:space="preserve">-  </v>
      </c>
      <c r="F746" s="895" t="str">
        <f>IF(cbal!F292=0,"-  ",cbal!F292&amp;": "&amp;VLOOKUP(cbal!F292,adj!$B$322:$C$1084,2,0))</f>
        <v xml:space="preserve">-  </v>
      </c>
      <c r="G746" s="895" t="str">
        <f>IF(cbal!G292=0,"-  ",cbal!G292&amp;": "&amp;VLOOKUP(cbal!G292,adj!$B$322:$C$1084,2,0))</f>
        <v xml:space="preserve">-  </v>
      </c>
      <c r="H746" s="895" t="str">
        <f>IF(cbal!H292=0,"-  ",cbal!H292&amp;": "&amp;VLOOKUP(cbal!H292,adj!$B$322:$C$1084,2,0))</f>
        <v xml:space="preserve">-  </v>
      </c>
      <c r="I746" s="895" t="str">
        <f>IF(cbal!I292=0,"-  ",cbal!I292&amp;": "&amp;VLOOKUP(cbal!I292,adj!$B$322:$C$1084,2,0))</f>
        <v xml:space="preserve">-  </v>
      </c>
      <c r="J746" s="180"/>
      <c r="K746" s="796"/>
    </row>
    <row r="747" spans="1:17" ht="33.75" customHeight="1">
      <c r="A747" s="132"/>
      <c r="B747" s="894" t="s">
        <v>2879</v>
      </c>
      <c r="C747" s="894"/>
      <c r="D747" s="894"/>
      <c r="E747" s="895" t="str">
        <f>IF(cbal!E293=0,"-  ",cbal!E293&amp;": "&amp;VLOOKUP(cbal!E293,adj!$B$322:$C$1084,2,0))</f>
        <v xml:space="preserve">-  </v>
      </c>
      <c r="F747" s="895" t="str">
        <f>IF(cbal!F293=0,"-  ",cbal!F293&amp;": "&amp;VLOOKUP(cbal!F293,adj!$B$322:$C$1084,2,0))</f>
        <v xml:space="preserve">-  </v>
      </c>
      <c r="G747" s="895" t="str">
        <f>IF(cbal!G293=0,"-  ",cbal!G293&amp;": "&amp;VLOOKUP(cbal!G293,adj!$B$322:$C$1084,2,0))</f>
        <v xml:space="preserve">-  </v>
      </c>
      <c r="H747" s="895" t="str">
        <f>IF(cbal!H293=0,"-  ",cbal!H293&amp;": "&amp;VLOOKUP(cbal!H293,adj!$B$322:$C$1084,2,0))</f>
        <v xml:space="preserve">-  </v>
      </c>
      <c r="I747" s="895" t="str">
        <f>IF(cbal!I293=0,"-  ",cbal!I293&amp;": "&amp;VLOOKUP(cbal!I293,adj!$B$322:$C$1084,2,0))</f>
        <v xml:space="preserve">-  </v>
      </c>
      <c r="J747" s="180"/>
      <c r="K747" s="796"/>
    </row>
    <row r="748" spans="1:17" ht="33.75" customHeight="1">
      <c r="A748" s="132"/>
      <c r="B748" s="894" t="s">
        <v>2880</v>
      </c>
      <c r="C748" s="894"/>
      <c r="D748" s="894"/>
      <c r="E748" s="895" t="str">
        <f>IF(cbal!E294=0,"-  ",cbal!E294&amp;": "&amp;VLOOKUP(cbal!E294,adj!$B$322:$C$1084,2,0))</f>
        <v xml:space="preserve">-  </v>
      </c>
      <c r="F748" s="895" t="str">
        <f>IF(cbal!F294=0,"-  ",cbal!F294&amp;": "&amp;VLOOKUP(cbal!F294,adj!$B$322:$C$1084,2,0))</f>
        <v xml:space="preserve">-  </v>
      </c>
      <c r="G748" s="895" t="str">
        <f>IF(cbal!G294=0,"-  ",cbal!G294&amp;": "&amp;VLOOKUP(cbal!G294,adj!$B$322:$C$1084,2,0))</f>
        <v xml:space="preserve">-  </v>
      </c>
      <c r="H748" s="895" t="str">
        <f>IF(cbal!H294=0,"-  ",cbal!H294&amp;": "&amp;VLOOKUP(cbal!H294,adj!$B$322:$C$1084,2,0))</f>
        <v xml:space="preserve">-  </v>
      </c>
      <c r="I748" s="895" t="str">
        <f>IF(cbal!I294=0,"-  ",cbal!I294&amp;": "&amp;VLOOKUP(cbal!I294,adj!$B$322:$C$1084,2,0))</f>
        <v xml:space="preserve">-  </v>
      </c>
      <c r="J748" s="180"/>
      <c r="K748" s="796"/>
    </row>
    <row r="749" spans="1:17" ht="33.75" customHeight="1">
      <c r="A749" s="132"/>
      <c r="B749" s="894" t="s">
        <v>644</v>
      </c>
      <c r="C749" s="894"/>
      <c r="D749" s="894"/>
      <c r="E749" s="895" t="str">
        <f>IF(cbal!E295=0,"-  ",cbal!E295&amp;": "&amp;VLOOKUP(cbal!E295,adj!$B$322:$C$1084,2,0))</f>
        <v xml:space="preserve">-  </v>
      </c>
      <c r="F749" s="895" t="str">
        <f>IF(cbal!F295=0,"-  ",cbal!F295&amp;": "&amp;VLOOKUP(cbal!F295,adj!$B$322:$C$1084,2,0))</f>
        <v xml:space="preserve">-  </v>
      </c>
      <c r="G749" s="895" t="str">
        <f>IF(cbal!G295=0,"-  ",cbal!G295&amp;": "&amp;VLOOKUP(cbal!G295,adj!$B$322:$C$1084,2,0))</f>
        <v xml:space="preserve">-  </v>
      </c>
      <c r="H749" s="895" t="str">
        <f>IF(cbal!H295=0,"-  ",cbal!H295&amp;": "&amp;VLOOKUP(cbal!H295,adj!$B$322:$C$1084,2,0))</f>
        <v xml:space="preserve">-  </v>
      </c>
      <c r="I749" s="895" t="str">
        <f>IF(cbal!I295=0,"-  ",cbal!I295&amp;": "&amp;VLOOKUP(cbal!I295,adj!$B$322:$C$1084,2,0))</f>
        <v xml:space="preserve">-  </v>
      </c>
      <c r="J749" s="180"/>
      <c r="K749" s="796"/>
    </row>
    <row r="750" spans="1:17" ht="33.75" customHeight="1" thickBot="1">
      <c r="A750" s="134"/>
      <c r="B750" s="896" t="s">
        <v>645</v>
      </c>
      <c r="C750" s="896"/>
      <c r="D750" s="896"/>
      <c r="E750" s="897" t="str">
        <f>IF(cbal!E296=0,"-  ",cbal!E296&amp;": "&amp;VLOOKUP(cbal!E296,adj!$B$322:$C$1084,2,0))</f>
        <v xml:space="preserve">-  </v>
      </c>
      <c r="F750" s="897" t="str">
        <f>IF(cbal!F296=0,"-  ",cbal!F296&amp;": "&amp;VLOOKUP(cbal!F296,adj!$B$322:$C$1084,2,0))</f>
        <v xml:space="preserve">-  </v>
      </c>
      <c r="G750" s="897" t="str">
        <f>IF(cbal!G296=0,"-  ",cbal!G296&amp;": "&amp;VLOOKUP(cbal!G296,adj!$B$322:$C$1084,2,0))</f>
        <v xml:space="preserve">-  </v>
      </c>
      <c r="H750" s="897" t="str">
        <f>IF(cbal!H296=0,"-  ",cbal!H296&amp;": "&amp;VLOOKUP(cbal!H296,adj!$B$322:$C$1084,2,0))</f>
        <v xml:space="preserve">-  </v>
      </c>
      <c r="I750" s="897" t="str">
        <f>IF(cbal!I296=0,"-  ",cbal!I296&amp;": "&amp;VLOOKUP(cbal!I296,adj!$B$322:$C$1084,2,0))</f>
        <v xml:space="preserve">-  </v>
      </c>
      <c r="J750" s="763"/>
      <c r="K750" s="812"/>
    </row>
    <row r="751" spans="1:17" ht="12" hidden="1" customHeight="1" thickBot="1">
      <c r="A751" s="134"/>
      <c r="B751" s="896" t="s">
        <v>3143</v>
      </c>
      <c r="C751" s="896"/>
      <c r="D751" s="896"/>
      <c r="E751" s="897" t="str">
        <f>IF(cbal!E297=0,"-  ",cbal!E297&amp;": "&amp;VLOOKUP(cbal!E297,adj!$B$322:$C$873,2,0))</f>
        <v xml:space="preserve">-  </v>
      </c>
      <c r="F751" s="897" t="str">
        <f>IF(cbal!F297=0,"-  ",cbal!F297&amp;": "&amp;VLOOKUP(cbal!F297,adj!$B$322:$C$873,2,0))</f>
        <v xml:space="preserve">-  </v>
      </c>
      <c r="G751" s="897" t="str">
        <f>IF(cbal!G297=0,"-  ",cbal!G297&amp;": "&amp;VLOOKUP(cbal!G297,adj!$B$322:$C$873,2,0))</f>
        <v xml:space="preserve">-  </v>
      </c>
      <c r="H751" s="897" t="str">
        <f>IF(cbal!H297=0,"-  ",cbal!H297&amp;": "&amp;VLOOKUP(cbal!H297,adj!$B$322:$C$873,2,0))</f>
        <v xml:space="preserve">-  </v>
      </c>
      <c r="I751" s="897" t="str">
        <f>IF(cbal!I297=0,"-  ",cbal!I297&amp;": "&amp;VLOOKUP(cbal!I297,adj!$B$322:$C$873,2,0))</f>
        <v xml:space="preserve">-  </v>
      </c>
      <c r="J751" s="135"/>
      <c r="K751" s="136"/>
      <c r="Q751">
        <v>1</v>
      </c>
    </row>
    <row r="752" spans="1:17" ht="15.75">
      <c r="A752" s="407" t="s">
        <v>3120</v>
      </c>
      <c r="B752" s="182"/>
      <c r="C752" s="182"/>
      <c r="D752" s="182"/>
      <c r="E752" s="731" t="str">
        <f>decTeamName</f>
        <v>Vivia</v>
      </c>
      <c r="F752" s="731" t="str">
        <f>decTeamName</f>
        <v>Vivia</v>
      </c>
      <c r="G752" s="731" t="str">
        <f>decTeamName</f>
        <v>Vivia</v>
      </c>
      <c r="H752" s="731" t="str">
        <f>decTeamName</f>
        <v>Vivia</v>
      </c>
      <c r="I752" s="731" t="str">
        <f>decTeamName</f>
        <v>Vivia</v>
      </c>
      <c r="J752" s="731"/>
      <c r="K752" s="800" t="s">
        <v>2718</v>
      </c>
    </row>
    <row r="753" spans="1:11" s="33" customFormat="1" ht="5.0999999999999996" customHeight="1">
      <c r="A753" s="543"/>
      <c r="B753" s="568"/>
      <c r="C753" s="568"/>
      <c r="D753" s="568"/>
      <c r="E753" s="176"/>
      <c r="F753" s="176"/>
      <c r="G753" s="176"/>
      <c r="H753" s="176"/>
      <c r="I753" s="176"/>
      <c r="J753" s="176"/>
      <c r="K753" s="569"/>
    </row>
    <row r="754" spans="1:11" ht="15.75">
      <c r="A754" s="570" t="s">
        <v>1487</v>
      </c>
      <c r="B754" s="571"/>
      <c r="C754" s="35"/>
      <c r="D754" s="572"/>
      <c r="E754" s="733"/>
      <c r="F754" s="733"/>
      <c r="G754" s="733"/>
      <c r="H754" s="733"/>
      <c r="I754" s="733"/>
      <c r="J754" s="741"/>
      <c r="K754" s="804"/>
    </row>
    <row r="755" spans="1:11" ht="15.75">
      <c r="A755" s="707" t="s">
        <v>829</v>
      </c>
      <c r="B755" s="541"/>
      <c r="C755" s="38"/>
      <c r="D755" s="150"/>
      <c r="E755" s="149"/>
      <c r="F755" s="149"/>
      <c r="G755" s="149"/>
      <c r="H755" s="149"/>
      <c r="I755" s="149"/>
      <c r="J755" s="180"/>
      <c r="K755" s="796"/>
    </row>
    <row r="756" spans="1:11" ht="11.25" customHeight="1">
      <c r="A756" s="544"/>
      <c r="B756" s="541"/>
      <c r="C756" s="38"/>
      <c r="D756" s="150"/>
      <c r="E756" s="149"/>
      <c r="F756" s="149"/>
      <c r="G756" s="149"/>
      <c r="H756" s="149"/>
      <c r="I756" s="149"/>
      <c r="J756" s="180"/>
      <c r="K756" s="796"/>
    </row>
    <row r="757" spans="1:11" ht="15.75">
      <c r="A757" s="544"/>
      <c r="B757" s="541" t="str">
        <f>DataNameProd1</f>
        <v>CSD</v>
      </c>
      <c r="C757" s="38"/>
      <c r="D757" s="150"/>
      <c r="E757" s="149"/>
      <c r="F757" s="149"/>
      <c r="G757" s="149"/>
      <c r="H757" s="149"/>
      <c r="I757" s="149"/>
      <c r="J757" s="180"/>
      <c r="K757" s="796"/>
    </row>
    <row r="758" spans="1:11" ht="6" customHeight="1">
      <c r="A758" s="544"/>
      <c r="B758" s="541"/>
      <c r="C758" s="38"/>
      <c r="D758" s="150"/>
      <c r="E758" s="149"/>
      <c r="F758" s="149"/>
      <c r="G758" s="149"/>
      <c r="H758" s="149"/>
      <c r="I758" s="149"/>
      <c r="J758" s="180"/>
      <c r="K758" s="796"/>
    </row>
    <row r="759" spans="1:11">
      <c r="A759" s="132"/>
      <c r="B759" s="553" t="s">
        <v>568</v>
      </c>
      <c r="C759" s="21"/>
      <c r="D759" s="21"/>
      <c r="E759" s="519">
        <f>capProd1Promo/(capProd1Reg1Units+capProd1Reg2Units)</f>
        <v>1.3128433103364714</v>
      </c>
      <c r="F759" s="519">
        <f>capProd1Promo/(capProd1Reg1Units+capProd1Reg2Units)</f>
        <v>1.3128433103364714</v>
      </c>
      <c r="G759" s="519">
        <f>capProd1Promo/(capProd1Reg1Units+capProd1Reg2Units)</f>
        <v>1.3128433103364714</v>
      </c>
      <c r="H759" s="519">
        <f>capProd1Promo/(capProd1Reg1Units+capProd1Reg2Units)</f>
        <v>1.3128433103364714</v>
      </c>
      <c r="I759" s="519">
        <f>capProd1Promo/(capProd1Reg1Units+capProd1Reg2Units)</f>
        <v>1.3128433103364714</v>
      </c>
      <c r="J759" s="519"/>
      <c r="K759" s="810">
        <f>SUM(E759:I759)/xxNumOfTeams</f>
        <v>1.3128433103364714</v>
      </c>
    </row>
    <row r="760" spans="1:11" ht="6" customHeight="1">
      <c r="A760" s="544"/>
      <c r="B760" s="541"/>
      <c r="C760" s="38"/>
      <c r="D760" s="150"/>
      <c r="E760" s="149"/>
      <c r="F760" s="149"/>
      <c r="G760" s="149"/>
      <c r="H760" s="149"/>
      <c r="I760" s="149"/>
      <c r="J760" s="180"/>
      <c r="K760" s="796"/>
    </row>
    <row r="761" spans="1:11">
      <c r="A761" s="132"/>
      <c r="B761" s="551" t="s">
        <v>244</v>
      </c>
      <c r="C761" s="21"/>
      <c r="D761" s="21"/>
      <c r="E761" s="21"/>
      <c r="F761" s="21"/>
      <c r="G761" s="21"/>
      <c r="H761" s="21"/>
      <c r="I761" s="21"/>
      <c r="J761" s="180"/>
      <c r="K761" s="796"/>
    </row>
    <row r="762" spans="1:11">
      <c r="A762" s="132"/>
      <c r="B762" s="38" t="s">
        <v>1286</v>
      </c>
      <c r="C762" s="21"/>
      <c r="D762" s="21"/>
      <c r="E762" s="531">
        <f>paramProd1MatCostPUnit</f>
        <v>2.3189045275850999</v>
      </c>
      <c r="F762" s="531">
        <f>paramProd1MatCostPUnit</f>
        <v>2.3189045275850999</v>
      </c>
      <c r="G762" s="531">
        <f>paramProd1MatCostPUnit</f>
        <v>2.3189045275850999</v>
      </c>
      <c r="H762" s="531">
        <f>paramProd1MatCostPUnit</f>
        <v>2.3189045275850999</v>
      </c>
      <c r="I762" s="531">
        <f>paramProd1MatCostPUnit</f>
        <v>2.3189045275850999</v>
      </c>
      <c r="J762" s="525"/>
      <c r="K762" s="822">
        <f>SUM(E762:I762)/xxNumOfTeams</f>
        <v>2.3189045275850999</v>
      </c>
    </row>
    <row r="763" spans="1:11">
      <c r="A763" s="132"/>
      <c r="B763" s="38" t="s">
        <v>1287</v>
      </c>
      <c r="C763" s="21"/>
      <c r="D763" s="21"/>
      <c r="E763" s="519">
        <f>(capReg1Prod1CostPUnitEmp3*capReg1Prod1UnitsSold+capReg2Prod1CostPUnitEmp3*capReg2Prod1UnitsSold)/(capReg1Prod1UnitsSold+capReg2Prod1UnitsSold)</f>
        <v>1.1563150881403297</v>
      </c>
      <c r="F763" s="519">
        <f>(capReg1Prod1CostPUnitEmp3*capReg1Prod1UnitsSold+capReg2Prod1CostPUnitEmp3*capReg2Prod1UnitsSold)/(capReg1Prod1UnitsSold+capReg2Prod1UnitsSold)</f>
        <v>1.1563150881403297</v>
      </c>
      <c r="G763" s="519">
        <f>(capReg1Prod1CostPUnitEmp3*capReg1Prod1UnitsSold+capReg2Prod1CostPUnitEmp3*capReg2Prod1UnitsSold)/(capReg1Prod1UnitsSold+capReg2Prod1UnitsSold)</f>
        <v>1.1563150881403297</v>
      </c>
      <c r="H763" s="519">
        <f>(capReg1Prod1CostPUnitEmp3*capReg1Prod1UnitsSold+capReg2Prod1CostPUnitEmp3*capReg2Prod1UnitsSold)/(capReg1Prod1UnitsSold+capReg2Prod1UnitsSold)</f>
        <v>1.1563150881403297</v>
      </c>
      <c r="I763" s="519">
        <f>(capReg1Prod1CostPUnitEmp3*capReg1Prod1UnitsSold+capReg2Prod1CostPUnitEmp3*capReg2Prod1UnitsSold)/(capReg1Prod1UnitsSold+capReg2Prod1UnitsSold)</f>
        <v>1.1563150881403297</v>
      </c>
      <c r="J763" s="519"/>
      <c r="K763" s="810">
        <f>SUM(E763:I763)/xxNumOfTeams</f>
        <v>1.1563150881403297</v>
      </c>
    </row>
    <row r="764" spans="1:11">
      <c r="A764" s="132"/>
      <c r="B764" s="38" t="s">
        <v>2994</v>
      </c>
      <c r="C764" s="21"/>
      <c r="D764" s="21"/>
      <c r="E764" s="1377">
        <f ca="1">capProd1COGSPUnitPlant1+capProd1COGSPUnitDep</f>
        <v>0.22355773594064218</v>
      </c>
      <c r="F764" s="1377">
        <f ca="1">capProd1COGSPUnitPlant1+capProd1COGSPUnitDep</f>
        <v>0.22355773594064218</v>
      </c>
      <c r="G764" s="1377">
        <f ca="1">capProd1COGSPUnitPlant1+capProd1COGSPUnitDep</f>
        <v>0.22355773594064218</v>
      </c>
      <c r="H764" s="1377">
        <f ca="1">capProd1COGSPUnitPlant1+capProd1COGSPUnitDep</f>
        <v>0.22355773594064218</v>
      </c>
      <c r="I764" s="1377">
        <f ca="1">capProd1COGSPUnitPlant1+capProd1COGSPUnitDep</f>
        <v>0.22355773594064218</v>
      </c>
      <c r="J764" s="519"/>
      <c r="K764" s="810">
        <f ca="1">SUM(E764:I764)/xxNumOfTeams</f>
        <v>0.22355773594064215</v>
      </c>
    </row>
    <row r="765" spans="1:11">
      <c r="A765" s="132"/>
      <c r="B765" s="62" t="s">
        <v>244</v>
      </c>
      <c r="C765" s="21"/>
      <c r="D765" s="21"/>
      <c r="E765" s="856">
        <f ca="1">SUM(E762:E764)</f>
        <v>3.698777351666072</v>
      </c>
      <c r="F765" s="856">
        <f ca="1">SUM(F762:F764)</f>
        <v>3.698777351666072</v>
      </c>
      <c r="G765" s="856">
        <f ca="1">SUM(G762:G764)</f>
        <v>3.698777351666072</v>
      </c>
      <c r="H765" s="856">
        <f ca="1">SUM(H762:H764)</f>
        <v>3.698777351666072</v>
      </c>
      <c r="I765" s="856">
        <f ca="1">SUM(I762:I764)</f>
        <v>3.698777351666072</v>
      </c>
      <c r="J765" s="525"/>
      <c r="K765" s="822">
        <f ca="1">SUM(E765:I765)/xxNumOfTeams</f>
        <v>3.6987773516660725</v>
      </c>
    </row>
    <row r="766" spans="1:11">
      <c r="A766" s="132"/>
      <c r="B766" s="550"/>
      <c r="C766" s="21"/>
      <c r="D766" s="21"/>
      <c r="E766" s="21"/>
      <c r="F766" s="21"/>
      <c r="G766" s="21"/>
      <c r="H766" s="21"/>
      <c r="I766" s="21"/>
      <c r="J766" s="180"/>
      <c r="K766" s="819"/>
    </row>
    <row r="767" spans="1:11">
      <c r="A767" s="132"/>
      <c r="B767" s="551" t="s">
        <v>3172</v>
      </c>
      <c r="C767" s="21"/>
      <c r="D767" s="21"/>
      <c r="E767" s="21"/>
      <c r="F767" s="21"/>
      <c r="G767" s="21"/>
      <c r="H767" s="21"/>
      <c r="I767" s="21"/>
      <c r="J767" s="180"/>
      <c r="K767" s="819"/>
    </row>
    <row r="768" spans="1:11">
      <c r="A768" s="132"/>
      <c r="B768" s="553" t="s">
        <v>567</v>
      </c>
      <c r="C768" s="21"/>
      <c r="D768" s="21"/>
      <c r="E768" s="525">
        <f>capProd1Adv/(capProd1Reg1Units+capProd1Reg2Units)</f>
        <v>0.37121776361238157</v>
      </c>
      <c r="F768" s="525">
        <f>capProd1Adv/(capProd1Reg1Units+capProd1Reg2Units)</f>
        <v>0.37121776361238157</v>
      </c>
      <c r="G768" s="525">
        <f>capProd1Adv/(capProd1Reg1Units+capProd1Reg2Units)</f>
        <v>0.37121776361238157</v>
      </c>
      <c r="H768" s="525">
        <f>capProd1Adv/(capProd1Reg1Units+capProd1Reg2Units)</f>
        <v>0.37121776361238157</v>
      </c>
      <c r="I768" s="525">
        <f>capProd1Adv/(capProd1Reg1Units+capProd1Reg2Units)</f>
        <v>0.37121776361238157</v>
      </c>
      <c r="J768" s="525"/>
      <c r="K768" s="822">
        <f>SUM(E768:I768)/xxNumOfTeams</f>
        <v>0.37121776361238157</v>
      </c>
    </row>
    <row r="769" spans="1:11">
      <c r="A769" s="132"/>
      <c r="B769" s="553" t="s">
        <v>1978</v>
      </c>
      <c r="C769" s="21"/>
      <c r="D769" s="21"/>
      <c r="E769" s="519">
        <f>(finPNLReg1Prod1Emp1Exp+finPNLReg2Prod1Emp2Exp)/(capProd1Reg1Units+capProd1Reg2Units)</f>
        <v>0.20362920377799804</v>
      </c>
      <c r="F769" s="519">
        <f>(finPNLReg1Prod1Emp1Exp+finPNLReg2Prod1Emp2Exp)/(capProd1Reg1Units+capProd1Reg2Units)</f>
        <v>0.20362920377799804</v>
      </c>
      <c r="G769" s="519">
        <f>(finPNLReg1Prod1Emp1Exp+finPNLReg2Prod1Emp2Exp)/(capProd1Reg1Units+capProd1Reg2Units)</f>
        <v>0.20362920377799804</v>
      </c>
      <c r="H769" s="519">
        <f>(finPNLReg1Prod1Emp1Exp+finPNLReg2Prod1Emp2Exp)/(capProd1Reg1Units+capProd1Reg2Units)</f>
        <v>0.20362920377799804</v>
      </c>
      <c r="I769" s="519">
        <f>(finPNLReg1Prod1Emp1Exp+finPNLReg2Prod1Emp2Exp)/(capProd1Reg1Units+capProd1Reg2Units)</f>
        <v>0.20362920377799804</v>
      </c>
      <c r="J769" s="519"/>
      <c r="K769" s="810">
        <f>SUM(E769:I769)/xxNumOfTeams</f>
        <v>0.20362920377799804</v>
      </c>
    </row>
    <row r="770" spans="1:11">
      <c r="A770" s="132"/>
      <c r="B770" s="38" t="s">
        <v>3796</v>
      </c>
      <c r="C770" s="21"/>
      <c r="D770" s="21"/>
      <c r="E770" s="519"/>
      <c r="F770" s="519"/>
      <c r="G770" s="519"/>
      <c r="H770" s="519"/>
      <c r="I770" s="519"/>
      <c r="J770" s="180"/>
      <c r="K770" s="819"/>
    </row>
    <row r="771" spans="1:11">
      <c r="A771" s="132"/>
      <c r="B771" s="552" t="s">
        <v>1598</v>
      </c>
      <c r="C771" s="21"/>
      <c r="D771" s="21"/>
      <c r="E771" s="519">
        <f>paramReg1Prod1DistCostPUnit</f>
        <v>0.84305082862924008</v>
      </c>
      <c r="F771" s="519">
        <f>paramReg1Prod1DistCostPUnit</f>
        <v>0.84305082862924008</v>
      </c>
      <c r="G771" s="519">
        <f>paramReg1Prod1DistCostPUnit</f>
        <v>0.84305082862924008</v>
      </c>
      <c r="H771" s="519">
        <f>paramReg1Prod1DistCostPUnit</f>
        <v>0.84305082862924008</v>
      </c>
      <c r="I771" s="519">
        <f>paramReg1Prod1DistCostPUnit</f>
        <v>0.84305082862924008</v>
      </c>
      <c r="J771" s="519"/>
      <c r="K771" s="810">
        <f>SUM(E771:I771)/xxNumOfTeams</f>
        <v>0.84305082862924008</v>
      </c>
    </row>
    <row r="772" spans="1:11">
      <c r="A772" s="132"/>
      <c r="B772" s="552" t="s">
        <v>1599</v>
      </c>
      <c r="C772" s="21"/>
      <c r="D772" s="21"/>
      <c r="E772" s="519">
        <f>paramReg2Prod1DistCostPUnit</f>
        <v>0.94617817917480518</v>
      </c>
      <c r="F772" s="519">
        <f>paramReg2Prod1DistCostPUnit</f>
        <v>0.94617817917480518</v>
      </c>
      <c r="G772" s="519">
        <f>paramReg2Prod1DistCostPUnit</f>
        <v>0.94617817917480518</v>
      </c>
      <c r="H772" s="519">
        <f>paramReg2Prod1DistCostPUnit</f>
        <v>0.94617817917480518</v>
      </c>
      <c r="I772" s="519">
        <f>paramReg2Prod1DistCostPUnit</f>
        <v>0.94617817917480518</v>
      </c>
      <c r="J772" s="519"/>
      <c r="K772" s="810">
        <f>SUM(E772:I772)/xxNumOfTeams</f>
        <v>0.94617817917480518</v>
      </c>
    </row>
    <row r="773" spans="1:11">
      <c r="A773" s="132"/>
      <c r="B773" s="560" t="s">
        <v>2377</v>
      </c>
      <c r="C773" s="21"/>
      <c r="D773" s="21"/>
      <c r="E773" s="856">
        <f>SUM(E768:E769)+AVERAGE(E771:E772)</f>
        <v>1.4694614712924021</v>
      </c>
      <c r="F773" s="856">
        <f>SUM(F768:F769)+AVERAGE(F771:F772)</f>
        <v>1.4694614712924021</v>
      </c>
      <c r="G773" s="856">
        <f>SUM(G768:G769)+AVERAGE(G771:G772)</f>
        <v>1.4694614712924021</v>
      </c>
      <c r="H773" s="856">
        <f>SUM(H768:H769)+AVERAGE(H771:H772)</f>
        <v>1.4694614712924021</v>
      </c>
      <c r="I773" s="856">
        <f>SUM(I768:I769)+AVERAGE(I771:I772)</f>
        <v>1.4694614712924021</v>
      </c>
      <c r="J773" s="525"/>
      <c r="K773" s="822">
        <f>SUM(E773:I773)/xxNumOfTeams</f>
        <v>1.4694614712924021</v>
      </c>
    </row>
    <row r="774" spans="1:11" ht="12" thickBot="1">
      <c r="A774" s="134"/>
      <c r="B774" s="564"/>
      <c r="C774" s="135"/>
      <c r="D774" s="135"/>
      <c r="E774" s="135"/>
      <c r="F774" s="135"/>
      <c r="G774" s="135"/>
      <c r="H774" s="135"/>
      <c r="I774" s="135"/>
      <c r="J774" s="763"/>
      <c r="K774" s="812"/>
    </row>
    <row r="775" spans="1:11" ht="15.75">
      <c r="A775" s="132"/>
      <c r="B775" s="541" t="str">
        <f>DataNameProd3</f>
        <v>NCB</v>
      </c>
      <c r="C775" s="21"/>
      <c r="D775" s="21"/>
      <c r="E775" s="21"/>
      <c r="F775" s="21"/>
      <c r="G775" s="21"/>
      <c r="H775" s="21"/>
      <c r="I775" s="21"/>
      <c r="J775" s="180"/>
      <c r="K775" s="796"/>
    </row>
    <row r="776" spans="1:11" ht="6" customHeight="1">
      <c r="A776" s="132"/>
      <c r="B776" s="541"/>
      <c r="C776" s="21"/>
      <c r="D776" s="21"/>
      <c r="E776" s="21"/>
      <c r="F776" s="21"/>
      <c r="G776" s="21"/>
      <c r="H776" s="21"/>
      <c r="I776" s="21"/>
      <c r="J776" s="180"/>
      <c r="K776" s="796"/>
    </row>
    <row r="777" spans="1:11">
      <c r="A777" s="132"/>
      <c r="B777" s="553" t="s">
        <v>568</v>
      </c>
      <c r="C777" s="21"/>
      <c r="D777" s="21"/>
      <c r="E777" s="519">
        <f>capProd3Promo/(capProd3Reg1Units+capProd3Reg2Units)</f>
        <v>1.3473491260510506</v>
      </c>
      <c r="F777" s="519">
        <f>capProd3Promo/(capProd3Reg1Units+capProd3Reg2Units)</f>
        <v>1.3473491260510506</v>
      </c>
      <c r="G777" s="519">
        <f>capProd3Promo/(capProd3Reg1Units+capProd3Reg2Units)</f>
        <v>1.3473491260510506</v>
      </c>
      <c r="H777" s="519">
        <f>capProd3Promo/(capProd3Reg1Units+capProd3Reg2Units)</f>
        <v>1.3473491260510506</v>
      </c>
      <c r="I777" s="519">
        <f>capProd3Promo/(capProd3Reg1Units+capProd3Reg2Units)</f>
        <v>1.3473491260510506</v>
      </c>
      <c r="J777" s="519"/>
      <c r="K777" s="810">
        <f>SUM(E777:I777)/xxNumOfTeams</f>
        <v>1.3473491260510506</v>
      </c>
    </row>
    <row r="778" spans="1:11" ht="6" customHeight="1">
      <c r="A778" s="132"/>
      <c r="B778" s="550"/>
      <c r="C778" s="21"/>
      <c r="D778" s="21"/>
      <c r="E778" s="21"/>
      <c r="F778" s="21"/>
      <c r="G778" s="21"/>
      <c r="H778" s="21"/>
      <c r="I778" s="21"/>
      <c r="J778" s="180"/>
      <c r="K778" s="796"/>
    </row>
    <row r="779" spans="1:11">
      <c r="A779" s="132"/>
      <c r="B779" s="551" t="s">
        <v>244</v>
      </c>
      <c r="C779" s="21"/>
      <c r="D779" s="21"/>
      <c r="E779" s="21"/>
      <c r="F779" s="21"/>
      <c r="G779" s="21"/>
      <c r="H779" s="21"/>
      <c r="I779" s="21"/>
      <c r="J779" s="180"/>
      <c r="K779" s="796"/>
    </row>
    <row r="780" spans="1:11">
      <c r="A780" s="132"/>
      <c r="B780" s="38" t="s">
        <v>1286</v>
      </c>
      <c r="C780" s="21"/>
      <c r="D780" s="21"/>
      <c r="E780" s="531">
        <f>paramProd3MatCostPUnit</f>
        <v>4.004969096</v>
      </c>
      <c r="F780" s="531">
        <f>paramProd3MatCostPUnit</f>
        <v>4.004969096</v>
      </c>
      <c r="G780" s="531">
        <f>paramProd3MatCostPUnit</f>
        <v>4.004969096</v>
      </c>
      <c r="H780" s="531">
        <f>paramProd3MatCostPUnit</f>
        <v>4.004969096</v>
      </c>
      <c r="I780" s="531">
        <f>paramProd3MatCostPUnit</f>
        <v>4.004969096</v>
      </c>
      <c r="J780" s="525"/>
      <c r="K780" s="822">
        <f>SUM(E780:I780)/xxNumOfTeams</f>
        <v>4.004969096</v>
      </c>
    </row>
    <row r="781" spans="1:11">
      <c r="A781" s="132"/>
      <c r="B781" s="38" t="s">
        <v>1287</v>
      </c>
      <c r="C781" s="21"/>
      <c r="D781" s="21"/>
      <c r="E781" s="519">
        <f>(capReg1Prod3CostPUnitEmp3*capReg1Prod3UnitsSold+capReg2Prod3CostPUnitEmp3*capReg2Prod3UnitsSold)/(capReg1Prod3UnitsSold+capReg2Prod3UnitsSold)</f>
        <v>1.1920757015839649</v>
      </c>
      <c r="F781" s="519">
        <f>(capReg1Prod3CostPUnitEmp3*capReg1Prod3UnitsSold+capReg2Prod3CostPUnitEmp3*capReg2Prod3UnitsSold)/(capReg1Prod3UnitsSold+capReg2Prod3UnitsSold)</f>
        <v>1.1920757015839649</v>
      </c>
      <c r="G781" s="519">
        <f>(capReg1Prod3CostPUnitEmp3*capReg1Prod3UnitsSold+capReg2Prod3CostPUnitEmp3*capReg2Prod3UnitsSold)/(capReg1Prod3UnitsSold+capReg2Prod3UnitsSold)</f>
        <v>1.1920757015839649</v>
      </c>
      <c r="H781" s="519">
        <f>(capReg1Prod3CostPUnitEmp3*capReg1Prod3UnitsSold+capReg2Prod3CostPUnitEmp3*capReg2Prod3UnitsSold)/(capReg1Prod3UnitsSold+capReg2Prod3UnitsSold)</f>
        <v>1.1920757015839649</v>
      </c>
      <c r="I781" s="519">
        <f>(capReg1Prod3CostPUnitEmp3*capReg1Prod3UnitsSold+capReg2Prod3CostPUnitEmp3*capReg2Prod3UnitsSold)/(capReg1Prod3UnitsSold+capReg2Prod3UnitsSold)</f>
        <v>1.1920757015839649</v>
      </c>
      <c r="J781" s="519"/>
      <c r="K781" s="810">
        <f>SUM(E781:I781)/xxNumOfTeams</f>
        <v>1.1920757015839649</v>
      </c>
    </row>
    <row r="782" spans="1:11">
      <c r="A782" s="132"/>
      <c r="B782" s="38" t="s">
        <v>2994</v>
      </c>
      <c r="C782" s="21"/>
      <c r="D782" s="21"/>
      <c r="E782" s="1377">
        <f ca="1">capProd3COGSPUnitPlant1+capProd3COGSPUnitDep</f>
        <v>0.45544503636414352</v>
      </c>
      <c r="F782" s="1377">
        <f ca="1">capProd3COGSPUnitPlant1+capProd3COGSPUnitDep</f>
        <v>0.45544503636414352</v>
      </c>
      <c r="G782" s="1377">
        <f ca="1">capProd3COGSPUnitPlant1+capProd3COGSPUnitDep</f>
        <v>0.45544503636414352</v>
      </c>
      <c r="H782" s="1377">
        <f ca="1">capProd3COGSPUnitPlant1+capProd3COGSPUnitDep</f>
        <v>0.45544503636414352</v>
      </c>
      <c r="I782" s="1377">
        <f ca="1">capProd3COGSPUnitPlant1+capProd3COGSPUnitDep</f>
        <v>0.45544503636414352</v>
      </c>
      <c r="J782" s="519"/>
      <c r="K782" s="810">
        <f ca="1">SUM(E782:I782)/xxNumOfTeams</f>
        <v>0.45544503636414352</v>
      </c>
    </row>
    <row r="783" spans="1:11">
      <c r="A783" s="132"/>
      <c r="B783" s="62" t="s">
        <v>244</v>
      </c>
      <c r="C783" s="21"/>
      <c r="D783" s="21"/>
      <c r="E783" s="1244">
        <f ca="1">SUM(E780:E782)</f>
        <v>5.6524898339481089</v>
      </c>
      <c r="F783" s="1244">
        <f ca="1">SUM(F780:F782)</f>
        <v>5.6524898339481089</v>
      </c>
      <c r="G783" s="1244">
        <f ca="1">SUM(G780:G782)</f>
        <v>5.6524898339481089</v>
      </c>
      <c r="H783" s="1244">
        <f ca="1">SUM(H780:H782)</f>
        <v>5.6524898339481089</v>
      </c>
      <c r="I783" s="1244">
        <f ca="1">SUM(I780:I782)</f>
        <v>5.6524898339481089</v>
      </c>
      <c r="J783" s="525"/>
      <c r="K783" s="818">
        <f ca="1">SUM(E783:I783)/xxNumOfTeams</f>
        <v>5.6524898339481089</v>
      </c>
    </row>
    <row r="784" spans="1:11">
      <c r="A784" s="132"/>
      <c r="B784" s="550"/>
      <c r="C784" s="21"/>
      <c r="D784" s="21"/>
      <c r="E784" s="21"/>
      <c r="F784" s="21"/>
      <c r="G784" s="21"/>
      <c r="H784" s="21"/>
      <c r="I784" s="21"/>
      <c r="J784" s="180"/>
      <c r="K784" s="796"/>
    </row>
    <row r="785" spans="1:11">
      <c r="A785" s="132"/>
      <c r="B785" s="551" t="s">
        <v>245</v>
      </c>
      <c r="C785" s="21"/>
      <c r="D785" s="21"/>
      <c r="E785" s="21"/>
      <c r="F785" s="21"/>
      <c r="G785" s="21"/>
      <c r="H785" s="21"/>
      <c r="I785" s="21"/>
      <c r="J785" s="180"/>
      <c r="K785" s="796"/>
    </row>
    <row r="786" spans="1:11">
      <c r="A786" s="132"/>
      <c r="B786" s="553" t="s">
        <v>567</v>
      </c>
      <c r="C786" s="21"/>
      <c r="D786" s="21"/>
      <c r="E786" s="531">
        <f>capProd3Adv/(capProd3Reg1Units+capProd3Reg2Units)</f>
        <v>0.78004423087166086</v>
      </c>
      <c r="F786" s="531">
        <f>capProd3Adv/(capProd3Reg1Units+capProd3Reg2Units)</f>
        <v>0.78004423087166086</v>
      </c>
      <c r="G786" s="531">
        <f>capProd3Adv/(capProd3Reg1Units+capProd3Reg2Units)</f>
        <v>0.78004423087166086</v>
      </c>
      <c r="H786" s="531">
        <f>capProd3Adv/(capProd3Reg1Units+capProd3Reg2Units)</f>
        <v>0.78004423087166086</v>
      </c>
      <c r="I786" s="531">
        <f>capProd3Adv/(capProd3Reg1Units+capProd3Reg2Units)</f>
        <v>0.78004423087166086</v>
      </c>
      <c r="J786" s="525"/>
      <c r="K786" s="818">
        <f>SUM(E786:I786)/xxNumOfTeams</f>
        <v>0.78004423087166086</v>
      </c>
    </row>
    <row r="787" spans="1:11">
      <c r="A787" s="132"/>
      <c r="B787" s="553" t="s">
        <v>1978</v>
      </c>
      <c r="C787" s="21"/>
      <c r="D787" s="21"/>
      <c r="E787" s="519">
        <f>(finPNLReg1Prod3Emp1Exp+finPNLReg2Prod3Emp2Exp)/(capProd3Reg1Units+capProd3Reg2Units)</f>
        <v>0.29645579878050804</v>
      </c>
      <c r="F787" s="519">
        <f>(finPNLReg1Prod3Emp1Exp+finPNLReg2Prod3Emp2Exp)/(capProd3Reg1Units+capProd3Reg2Units)</f>
        <v>0.29645579878050804</v>
      </c>
      <c r="G787" s="519">
        <f>(finPNLReg1Prod3Emp1Exp+finPNLReg2Prod3Emp2Exp)/(capProd3Reg1Units+capProd3Reg2Units)</f>
        <v>0.29645579878050804</v>
      </c>
      <c r="H787" s="519">
        <f>(finPNLReg1Prod3Emp1Exp+finPNLReg2Prod3Emp2Exp)/(capProd3Reg1Units+capProd3Reg2Units)</f>
        <v>0.29645579878050804</v>
      </c>
      <c r="I787" s="519">
        <f>(finPNLReg1Prod3Emp1Exp+finPNLReg2Prod3Emp2Exp)/(capProd3Reg1Units+capProd3Reg2Units)</f>
        <v>0.29645579878050804</v>
      </c>
      <c r="J787" s="519"/>
      <c r="K787" s="810">
        <f>SUM(E787:I787)/xxNumOfTeams</f>
        <v>0.29645579878050804</v>
      </c>
    </row>
    <row r="788" spans="1:11">
      <c r="A788" s="132"/>
      <c r="B788" s="38" t="s">
        <v>3796</v>
      </c>
      <c r="C788" s="21"/>
      <c r="D788" s="21"/>
      <c r="E788" s="519"/>
      <c r="F788" s="519"/>
      <c r="G788" s="519"/>
      <c r="H788" s="519"/>
      <c r="I788" s="519"/>
      <c r="J788" s="525"/>
      <c r="K788" s="796"/>
    </row>
    <row r="789" spans="1:11">
      <c r="A789" s="132"/>
      <c r="B789" s="552" t="s">
        <v>1598</v>
      </c>
      <c r="C789" s="21"/>
      <c r="D789" s="21"/>
      <c r="E789" s="519">
        <f>paramReg1Prod3DistCostPUnit</f>
        <v>0.93554493120000004</v>
      </c>
      <c r="F789" s="519">
        <f>paramReg1Prod3DistCostPUnit</f>
        <v>0.93554493120000004</v>
      </c>
      <c r="G789" s="519">
        <f>paramReg1Prod3DistCostPUnit</f>
        <v>0.93554493120000004</v>
      </c>
      <c r="H789" s="519">
        <f>paramReg1Prod3DistCostPUnit</f>
        <v>0.93554493120000004</v>
      </c>
      <c r="I789" s="519">
        <f>paramReg1Prod3DistCostPUnit</f>
        <v>0.93554493120000004</v>
      </c>
      <c r="J789" s="519"/>
      <c r="K789" s="810">
        <f>SUM(E789:I789)/xxNumOfTeams</f>
        <v>0.93554493120000015</v>
      </c>
    </row>
    <row r="790" spans="1:11">
      <c r="A790" s="132"/>
      <c r="B790" s="552" t="s">
        <v>1599</v>
      </c>
      <c r="C790" s="21"/>
      <c r="D790" s="21"/>
      <c r="E790" s="519">
        <f>paramReg2Prod3DistCostPUnit</f>
        <v>1.0703187792</v>
      </c>
      <c r="F790" s="519">
        <f>paramReg2Prod3DistCostPUnit</f>
        <v>1.0703187792</v>
      </c>
      <c r="G790" s="519">
        <f>paramReg2Prod3DistCostPUnit</f>
        <v>1.0703187792</v>
      </c>
      <c r="H790" s="519">
        <f>paramReg2Prod3DistCostPUnit</f>
        <v>1.0703187792</v>
      </c>
      <c r="I790" s="519">
        <f>paramReg2Prod3DistCostPUnit</f>
        <v>1.0703187792</v>
      </c>
      <c r="J790" s="519"/>
      <c r="K790" s="810">
        <f>SUM(E790:I790)/xxNumOfTeams</f>
        <v>1.0703187792</v>
      </c>
    </row>
    <row r="791" spans="1:11">
      <c r="A791" s="132"/>
      <c r="B791" s="560" t="s">
        <v>2377</v>
      </c>
      <c r="C791" s="21"/>
      <c r="D791" s="21"/>
      <c r="E791" s="1244">
        <f>SUM(E786:E787)+AVERAGE(E789:E790)</f>
        <v>2.0794318848521689</v>
      </c>
      <c r="F791" s="1244">
        <f>SUM(F786:F787)+AVERAGE(F789:F790)</f>
        <v>2.0794318848521689</v>
      </c>
      <c r="G791" s="1244">
        <f>SUM(G786:G787)+AVERAGE(G789:G790)</f>
        <v>2.0794318848521689</v>
      </c>
      <c r="H791" s="1244">
        <f>SUM(H786:H787)+AVERAGE(H789:H790)</f>
        <v>2.0794318848521689</v>
      </c>
      <c r="I791" s="1244">
        <f>SUM(I786:I787)+AVERAGE(I789:I790)</f>
        <v>2.0794318848521689</v>
      </c>
      <c r="J791" s="525"/>
      <c r="K791" s="818">
        <f>SUM(E791:I791)/xxNumOfTeams</f>
        <v>2.0794318848521689</v>
      </c>
    </row>
    <row r="792" spans="1:11" ht="12" thickBot="1">
      <c r="A792" s="134"/>
      <c r="B792" s="564"/>
      <c r="C792" s="135"/>
      <c r="D792" s="135"/>
      <c r="E792" s="135"/>
      <c r="F792" s="135"/>
      <c r="G792" s="135"/>
      <c r="H792" s="135"/>
      <c r="I792" s="135"/>
      <c r="J792" s="763"/>
      <c r="K792" s="812"/>
    </row>
    <row r="793" spans="1:11" ht="15.75">
      <c r="A793" s="544"/>
      <c r="B793" s="541" t="str">
        <f>DataNameProd4</f>
        <v>F&amp;S</v>
      </c>
      <c r="C793" s="38"/>
      <c r="D793" s="150"/>
      <c r="E793" s="149"/>
      <c r="F793" s="149"/>
      <c r="G793" s="149"/>
      <c r="H793" s="149"/>
      <c r="I793" s="149"/>
      <c r="J793" s="180"/>
      <c r="K793" s="796"/>
    </row>
    <row r="794" spans="1:11" ht="6" customHeight="1">
      <c r="A794" s="544"/>
      <c r="B794" s="541"/>
      <c r="C794" s="38"/>
      <c r="D794" s="150"/>
      <c r="E794" s="149"/>
      <c r="F794" s="149"/>
      <c r="G794" s="149"/>
      <c r="H794" s="149"/>
      <c r="I794" s="149"/>
      <c r="J794" s="180"/>
      <c r="K794" s="796"/>
    </row>
    <row r="795" spans="1:11">
      <c r="A795" s="132"/>
      <c r="B795" s="553" t="s">
        <v>1488</v>
      </c>
      <c r="C795" s="21"/>
      <c r="D795" s="21"/>
      <c r="E795" s="519">
        <f>capProd4Promo/(capProd4Reg1Units+capProd4Reg2Units)</f>
        <v>0.95533314729477303</v>
      </c>
      <c r="F795" s="519">
        <f>capProd4Promo/(capProd4Reg1Units+capProd4Reg2Units)</f>
        <v>0.95533314729477303</v>
      </c>
      <c r="G795" s="519">
        <f>capProd4Promo/(capProd4Reg1Units+capProd4Reg2Units)</f>
        <v>0.95533314729477303</v>
      </c>
      <c r="H795" s="519">
        <f>capProd4Promo/(capProd4Reg1Units+capProd4Reg2Units)</f>
        <v>0.95533314729477303</v>
      </c>
      <c r="I795" s="519">
        <f>capProd4Promo/(capProd4Reg1Units+capProd4Reg2Units)</f>
        <v>0.95533314729477303</v>
      </c>
      <c r="J795" s="519"/>
      <c r="K795" s="810">
        <f>SUM(E795:I795)/xxNumOfTeams</f>
        <v>0.95533314729477303</v>
      </c>
    </row>
    <row r="796" spans="1:11" ht="6" customHeight="1">
      <c r="A796" s="132"/>
      <c r="B796" s="553"/>
      <c r="C796" s="21"/>
      <c r="D796" s="21"/>
      <c r="E796" s="519"/>
      <c r="F796" s="519"/>
      <c r="G796" s="519"/>
      <c r="H796" s="519"/>
      <c r="I796" s="519"/>
      <c r="J796" s="519"/>
      <c r="K796" s="810"/>
    </row>
    <row r="797" spans="1:11">
      <c r="A797" s="132"/>
      <c r="B797" s="551" t="s">
        <v>244</v>
      </c>
      <c r="C797" s="21"/>
      <c r="D797" s="21"/>
      <c r="E797" s="21"/>
      <c r="F797" s="21"/>
      <c r="G797" s="21"/>
      <c r="H797" s="21"/>
      <c r="I797" s="21"/>
      <c r="J797" s="180"/>
      <c r="K797" s="796"/>
    </row>
    <row r="798" spans="1:11">
      <c r="A798" s="132"/>
      <c r="B798" s="38" t="s">
        <v>1286</v>
      </c>
      <c r="C798" s="21"/>
      <c r="D798" s="21"/>
      <c r="E798" s="531">
        <f>paramProd4MatCostPUnit</f>
        <v>3.3147265540000004</v>
      </c>
      <c r="F798" s="531">
        <f>paramProd4MatCostPUnit</f>
        <v>3.3147265540000004</v>
      </c>
      <c r="G798" s="531">
        <f>paramProd4MatCostPUnit</f>
        <v>3.3147265540000004</v>
      </c>
      <c r="H798" s="531">
        <f>paramProd4MatCostPUnit</f>
        <v>3.3147265540000004</v>
      </c>
      <c r="I798" s="531">
        <f>paramProd4MatCostPUnit</f>
        <v>3.3147265540000004</v>
      </c>
      <c r="J798" s="525"/>
      <c r="K798" s="818">
        <f>SUM(E798:I798)/xxNumOfTeams</f>
        <v>3.3147265540000008</v>
      </c>
    </row>
    <row r="799" spans="1:11">
      <c r="A799" s="132"/>
      <c r="B799" s="38" t="s">
        <v>1287</v>
      </c>
      <c r="C799" s="21"/>
      <c r="D799" s="21"/>
      <c r="E799" s="519">
        <f>(capReg1Prod4CostPUnitEmp3*capReg1Prod4UnitsSold+capReg2Prod4CostPUnitEmp3*capReg2Prod4UnitsSold)/(capReg1Prod4UnitsSold+capReg2Prod4UnitsSold)</f>
        <v>1.2272221423376437</v>
      </c>
      <c r="F799" s="519">
        <f>(capReg1Prod4CostPUnitEmp3*capReg1Prod4UnitsSold+capReg2Prod4CostPUnitEmp3*capReg2Prod4UnitsSold)/(capReg1Prod4UnitsSold+capReg2Prod4UnitsSold)</f>
        <v>1.2272221423376437</v>
      </c>
      <c r="G799" s="519">
        <f>(capReg1Prod4CostPUnitEmp3*capReg1Prod4UnitsSold+capReg2Prod4CostPUnitEmp3*capReg2Prod4UnitsSold)/(capReg1Prod4UnitsSold+capReg2Prod4UnitsSold)</f>
        <v>1.2272221423376437</v>
      </c>
      <c r="H799" s="519">
        <f>(capReg1Prod4CostPUnitEmp3*capReg1Prod4UnitsSold+capReg2Prod4CostPUnitEmp3*capReg2Prod4UnitsSold)/(capReg1Prod4UnitsSold+capReg2Prod4UnitsSold)</f>
        <v>1.2272221423376437</v>
      </c>
      <c r="I799" s="519">
        <f>(capReg1Prod4CostPUnitEmp3*capReg1Prod4UnitsSold+capReg2Prod4CostPUnitEmp3*capReg2Prod4UnitsSold)/(capReg1Prod4UnitsSold+capReg2Prod4UnitsSold)</f>
        <v>1.2272221423376437</v>
      </c>
      <c r="J799" s="519"/>
      <c r="K799" s="810">
        <f>SUM(E799:I799)/xxNumOfTeams</f>
        <v>1.2272221423376437</v>
      </c>
    </row>
    <row r="800" spans="1:11">
      <c r="A800" s="132"/>
      <c r="B800" s="38" t="s">
        <v>2994</v>
      </c>
      <c r="C800" s="21"/>
      <c r="D800" s="21"/>
      <c r="E800" s="1377">
        <f ca="1">capProd4COGSPUnitPlant1+capProd4COGSPUnitDep</f>
        <v>0.39348784876508747</v>
      </c>
      <c r="F800" s="1377">
        <f ca="1">capProd4COGSPUnitPlant1+capProd4COGSPUnitDep</f>
        <v>0.39348784876508747</v>
      </c>
      <c r="G800" s="1377">
        <f ca="1">capProd4COGSPUnitPlant1+capProd4COGSPUnitDep</f>
        <v>0.39348784876508747</v>
      </c>
      <c r="H800" s="1377">
        <f ca="1">capProd4COGSPUnitPlant1+capProd4COGSPUnitDep</f>
        <v>0.39348784876508747</v>
      </c>
      <c r="I800" s="1377">
        <f ca="1">capProd4COGSPUnitPlant1+capProd4COGSPUnitDep</f>
        <v>0.39348784876508747</v>
      </c>
      <c r="J800" s="519"/>
      <c r="K800" s="810">
        <f ca="1">SUM(E800:I800)/xxNumOfTeams</f>
        <v>0.39348784876508747</v>
      </c>
    </row>
    <row r="801" spans="1:11">
      <c r="A801" s="132"/>
      <c r="B801" s="62" t="s">
        <v>244</v>
      </c>
      <c r="C801" s="21"/>
      <c r="D801" s="21"/>
      <c r="E801" s="1244">
        <f ca="1">SUM(E798:E800)</f>
        <v>4.935436545102732</v>
      </c>
      <c r="F801" s="1244">
        <f ca="1">SUM(F798:F800)</f>
        <v>4.935436545102732</v>
      </c>
      <c r="G801" s="1244">
        <f ca="1">SUM(G798:G800)</f>
        <v>4.935436545102732</v>
      </c>
      <c r="H801" s="1244">
        <f ca="1">SUM(H798:H800)</f>
        <v>4.935436545102732</v>
      </c>
      <c r="I801" s="1244">
        <f ca="1">SUM(I798:I800)</f>
        <v>4.935436545102732</v>
      </c>
      <c r="J801" s="525"/>
      <c r="K801" s="818">
        <f ca="1">SUM(E801:I801)/xxNumOfTeams</f>
        <v>4.935436545102732</v>
      </c>
    </row>
    <row r="802" spans="1:11" ht="6" customHeight="1">
      <c r="A802" s="132"/>
      <c r="B802" s="550"/>
      <c r="C802" s="21"/>
      <c r="D802" s="21"/>
      <c r="E802" s="21"/>
      <c r="F802" s="21"/>
      <c r="G802" s="21"/>
      <c r="H802" s="21"/>
      <c r="I802" s="21"/>
      <c r="J802" s="180"/>
      <c r="K802" s="796"/>
    </row>
    <row r="803" spans="1:11">
      <c r="A803" s="132"/>
      <c r="B803" s="551" t="s">
        <v>245</v>
      </c>
      <c r="C803" s="21"/>
      <c r="D803" s="21"/>
      <c r="E803" s="21"/>
      <c r="F803" s="21"/>
      <c r="G803" s="21"/>
      <c r="H803" s="21"/>
      <c r="I803" s="21"/>
      <c r="J803" s="180"/>
      <c r="K803" s="796"/>
    </row>
    <row r="804" spans="1:11">
      <c r="A804" s="132"/>
      <c r="B804" s="553" t="s">
        <v>567</v>
      </c>
      <c r="C804" s="21"/>
      <c r="D804" s="21"/>
      <c r="E804" s="531">
        <f>capProd4Adv/(capProd4Reg1Units+capProd4Reg2Units)</f>
        <v>0.40853062219842268</v>
      </c>
      <c r="F804" s="531">
        <f>capProd4Adv/(capProd4Reg1Units+capProd4Reg2Units)</f>
        <v>0.40853062219842268</v>
      </c>
      <c r="G804" s="531">
        <f>capProd4Adv/(capProd4Reg1Units+capProd4Reg2Units)</f>
        <v>0.40853062219842268</v>
      </c>
      <c r="H804" s="531">
        <f>capProd4Adv/(capProd4Reg1Units+capProd4Reg2Units)</f>
        <v>0.40853062219842268</v>
      </c>
      <c r="I804" s="531">
        <f>capProd4Adv/(capProd4Reg1Units+capProd4Reg2Units)</f>
        <v>0.40853062219842268</v>
      </c>
      <c r="J804" s="525"/>
      <c r="K804" s="818">
        <f>SUM(E804:I804)/xxNumOfTeams</f>
        <v>0.40853062219842268</v>
      </c>
    </row>
    <row r="805" spans="1:11">
      <c r="A805" s="132"/>
      <c r="B805" s="553" t="s">
        <v>1978</v>
      </c>
      <c r="C805" s="21"/>
      <c r="D805" s="21"/>
      <c r="E805" s="519">
        <f>(finPNLReg1Prod4Emp1Exp+finPNLReg2Prod4Emp2Exp)/(capProd4Reg1Units+capProd4Reg2Units)</f>
        <v>0.27588047508970581</v>
      </c>
      <c r="F805" s="519">
        <f>(finPNLReg1Prod4Emp1Exp+finPNLReg2Prod4Emp2Exp)/(capProd4Reg1Units+capProd4Reg2Units)</f>
        <v>0.27588047508970581</v>
      </c>
      <c r="G805" s="519">
        <f>(finPNLReg1Prod4Emp1Exp+finPNLReg2Prod4Emp2Exp)/(capProd4Reg1Units+capProd4Reg2Units)</f>
        <v>0.27588047508970581</v>
      </c>
      <c r="H805" s="519">
        <f>(finPNLReg1Prod4Emp1Exp+finPNLReg2Prod4Emp2Exp)/(capProd4Reg1Units+capProd4Reg2Units)</f>
        <v>0.27588047508970581</v>
      </c>
      <c r="I805" s="519">
        <f>(finPNLReg1Prod4Emp1Exp+finPNLReg2Prod4Emp2Exp)/(capProd4Reg1Units+capProd4Reg2Units)</f>
        <v>0.27588047508970581</v>
      </c>
      <c r="J805" s="519"/>
      <c r="K805" s="810">
        <f>SUM(E805:I805)/xxNumOfTeams</f>
        <v>0.27588047508970581</v>
      </c>
    </row>
    <row r="806" spans="1:11">
      <c r="A806" s="132"/>
      <c r="B806" s="38" t="s">
        <v>3796</v>
      </c>
      <c r="C806" s="21"/>
      <c r="D806" s="21"/>
      <c r="E806" s="519"/>
      <c r="F806" s="519"/>
      <c r="G806" s="519"/>
      <c r="H806" s="519"/>
      <c r="I806" s="519"/>
      <c r="J806" s="519"/>
      <c r="K806" s="796"/>
    </row>
    <row r="807" spans="1:11">
      <c r="A807" s="132"/>
      <c r="B807" s="552" t="s">
        <v>1598</v>
      </c>
      <c r="C807" s="21"/>
      <c r="D807" s="21"/>
      <c r="E807" s="519">
        <f>paramReg1Prod4DistCostPUnit</f>
        <v>0.88214336000000437</v>
      </c>
      <c r="F807" s="519">
        <f>paramReg1Prod4DistCostPUnit</f>
        <v>0.88214336000000437</v>
      </c>
      <c r="G807" s="519">
        <f>paramReg1Prod4DistCostPUnit</f>
        <v>0.88214336000000437</v>
      </c>
      <c r="H807" s="519">
        <f>paramReg1Prod4DistCostPUnit</f>
        <v>0.88214336000000437</v>
      </c>
      <c r="I807" s="519">
        <f>paramReg1Prod4DistCostPUnit</f>
        <v>0.88214336000000437</v>
      </c>
      <c r="J807" s="519"/>
      <c r="K807" s="810">
        <f>SUM(E807:I807)/xxNumOfTeams</f>
        <v>0.88214336000000437</v>
      </c>
    </row>
    <row r="808" spans="1:11">
      <c r="A808" s="132"/>
      <c r="B808" s="552" t="s">
        <v>1599</v>
      </c>
      <c r="C808" s="21"/>
      <c r="D808" s="21"/>
      <c r="E808" s="519">
        <f>paramReg2Prod4DistCostPUnit</f>
        <v>1.0740132734117653</v>
      </c>
      <c r="F808" s="519">
        <f>paramReg2Prod4DistCostPUnit</f>
        <v>1.0740132734117653</v>
      </c>
      <c r="G808" s="519">
        <f>paramReg2Prod4DistCostPUnit</f>
        <v>1.0740132734117653</v>
      </c>
      <c r="H808" s="519">
        <f>paramReg2Prod4DistCostPUnit</f>
        <v>1.0740132734117653</v>
      </c>
      <c r="I808" s="519">
        <f>paramReg2Prod4DistCostPUnit</f>
        <v>1.0740132734117653</v>
      </c>
      <c r="J808" s="519"/>
      <c r="K808" s="810">
        <f>SUM(E808:I808)/xxNumOfTeams</f>
        <v>1.0740132734117653</v>
      </c>
    </row>
    <row r="809" spans="1:11">
      <c r="A809" s="132"/>
      <c r="B809" s="560" t="s">
        <v>2377</v>
      </c>
      <c r="C809" s="21"/>
      <c r="D809" s="21"/>
      <c r="E809" s="1244">
        <f>SUM(E804:E805)+AVERAGE(E807:E808)</f>
        <v>1.6624894139940134</v>
      </c>
      <c r="F809" s="1244">
        <f>SUM(F804:F805)+AVERAGE(F807:F808)</f>
        <v>1.6624894139940134</v>
      </c>
      <c r="G809" s="1244">
        <f>SUM(G804:G805)+AVERAGE(G807:G808)</f>
        <v>1.6624894139940134</v>
      </c>
      <c r="H809" s="1244">
        <f>SUM(H804:H805)+AVERAGE(H807:H808)</f>
        <v>1.6624894139940134</v>
      </c>
      <c r="I809" s="1244">
        <f>SUM(I804:I805)+AVERAGE(I807:I808)</f>
        <v>1.6624894139940134</v>
      </c>
      <c r="J809" s="525"/>
      <c r="K809" s="818">
        <f>SUM(E809:I809)/xxNumOfTeams</f>
        <v>1.6624894139940136</v>
      </c>
    </row>
    <row r="810" spans="1:11" ht="13.5" thickBot="1">
      <c r="A810" s="134"/>
      <c r="B810" s="135"/>
      <c r="C810" s="135"/>
      <c r="D810" s="135"/>
      <c r="E810" s="729"/>
      <c r="F810" s="729"/>
      <c r="G810" s="729"/>
      <c r="H810" s="729"/>
      <c r="I810" s="729"/>
      <c r="J810" s="824"/>
      <c r="K810" s="825"/>
    </row>
    <row r="811" spans="1:11" ht="15.75">
      <c r="A811" s="565" t="s">
        <v>632</v>
      </c>
      <c r="B811" s="1397"/>
      <c r="C811" s="566"/>
      <c r="D811" s="566"/>
      <c r="E811" s="732" t="str">
        <f>decTeamName</f>
        <v>Vivia</v>
      </c>
      <c r="F811" s="732" t="str">
        <f>decTeamName</f>
        <v>Vivia</v>
      </c>
      <c r="G811" s="732" t="str">
        <f>decTeamName</f>
        <v>Vivia</v>
      </c>
      <c r="H811" s="732" t="str">
        <f>decTeamName</f>
        <v>Vivia</v>
      </c>
      <c r="I811" s="732" t="str">
        <f>decTeamName</f>
        <v>Vivia</v>
      </c>
      <c r="J811" s="802"/>
      <c r="K811" s="803" t="s">
        <v>2718</v>
      </c>
    </row>
    <row r="812" spans="1:11" ht="5.0999999999999996" customHeight="1">
      <c r="A812" s="544"/>
      <c r="B812" s="21"/>
      <c r="C812" s="541"/>
      <c r="D812" s="541"/>
      <c r="E812" s="21"/>
      <c r="F812" s="21"/>
      <c r="G812" s="21"/>
      <c r="H812" s="21"/>
      <c r="I812" s="21"/>
      <c r="K812" s="133"/>
    </row>
    <row r="813" spans="1:11" ht="12.75">
      <c r="A813" s="132"/>
      <c r="B813" s="62" t="s">
        <v>1476</v>
      </c>
      <c r="C813" s="545"/>
      <c r="D813" s="545"/>
      <c r="E813" s="528">
        <f>finPNLRev</f>
        <v>26142123699.5</v>
      </c>
      <c r="F813" s="529">
        <f>finPNLRev</f>
        <v>26142123699.5</v>
      </c>
      <c r="G813" s="529">
        <f>finPNLRev</f>
        <v>26142123699.5</v>
      </c>
      <c r="H813" s="529">
        <f>finPNLRev</f>
        <v>26142123699.5</v>
      </c>
      <c r="I813" s="529">
        <f>finPNLRev</f>
        <v>26142123699.5</v>
      </c>
      <c r="J813" s="529"/>
      <c r="K813" s="813">
        <f>SUM(E813:I813)/xxNumOfTeams</f>
        <v>26142123699.5</v>
      </c>
    </row>
    <row r="814" spans="1:11" ht="12.75">
      <c r="A814" s="132"/>
      <c r="B814" s="552" t="s">
        <v>2548</v>
      </c>
      <c r="C814" s="545"/>
      <c r="D814" s="545"/>
      <c r="E814" s="1364">
        <f>finPNLPromoExp</f>
        <v>3520000000</v>
      </c>
      <c r="F814" s="1364">
        <f>finPNLPromoExp</f>
        <v>3520000000</v>
      </c>
      <c r="G814" s="1364">
        <f>finPNLPromoExp</f>
        <v>3520000000</v>
      </c>
      <c r="H814" s="1364">
        <f>finPNLPromoExp</f>
        <v>3520000000</v>
      </c>
      <c r="I814" s="1364">
        <f>finPNLPromoExp</f>
        <v>3520000000</v>
      </c>
      <c r="J814" s="529"/>
      <c r="K814" s="820">
        <f>SUM(E814:I814)/xxNumOfTeams</f>
        <v>3520000000</v>
      </c>
    </row>
    <row r="815" spans="1:11" ht="12.75">
      <c r="A815" s="132"/>
      <c r="B815" s="62" t="s">
        <v>1475</v>
      </c>
      <c r="C815" s="545"/>
      <c r="D815" s="545"/>
      <c r="E815" s="528">
        <f>finPNLNetRev</f>
        <v>22622123699.5</v>
      </c>
      <c r="F815" s="528">
        <f>finPNLNetRev</f>
        <v>22622123699.5</v>
      </c>
      <c r="G815" s="528">
        <f>finPNLNetRev</f>
        <v>22622123699.5</v>
      </c>
      <c r="H815" s="528">
        <f>finPNLNetRev</f>
        <v>22622123699.5</v>
      </c>
      <c r="I815" s="528">
        <f>finPNLNetRev</f>
        <v>22622123699.5</v>
      </c>
      <c r="J815" s="529"/>
      <c r="K815" s="813">
        <f>SUM(E815:I815)/xxNumOfTeams</f>
        <v>22622123699.5</v>
      </c>
    </row>
    <row r="816" spans="1:11" ht="6.6" customHeight="1">
      <c r="A816" s="132"/>
      <c r="B816" s="62"/>
      <c r="C816" s="545"/>
      <c r="D816" s="545"/>
      <c r="E816" s="528"/>
      <c r="F816" s="529"/>
      <c r="G816" s="529"/>
      <c r="H816" s="529"/>
      <c r="I816" s="529"/>
      <c r="J816" s="179"/>
      <c r="K816" s="792"/>
    </row>
    <row r="817" spans="1:11" ht="12.75">
      <c r="A817" s="132"/>
      <c r="B817" s="38" t="s">
        <v>1286</v>
      </c>
      <c r="C817" s="546"/>
      <c r="D817" s="546"/>
      <c r="E817" s="100">
        <f>finPNLCOGSMatExp</f>
        <v>7498938068.9326859</v>
      </c>
      <c r="F817" s="100">
        <f>finPNLCOGSMatExp</f>
        <v>7498938068.9326859</v>
      </c>
      <c r="G817" s="100">
        <f>finPNLCOGSMatExp</f>
        <v>7498938068.9326859</v>
      </c>
      <c r="H817" s="100">
        <f>finPNLCOGSMatExp</f>
        <v>7498938068.9326859</v>
      </c>
      <c r="I817" s="100">
        <f>finPNLCOGSMatExp</f>
        <v>7498938068.9326859</v>
      </c>
      <c r="J817" s="520"/>
      <c r="K817" s="817">
        <f>SUM(E817:I817)/xxNumOfTeams</f>
        <v>7498938068.9326859</v>
      </c>
    </row>
    <row r="818" spans="1:11" ht="12.75">
      <c r="A818" s="132"/>
      <c r="B818" s="38" t="s">
        <v>1287</v>
      </c>
      <c r="C818" s="546"/>
      <c r="D818" s="546"/>
      <c r="E818" s="100">
        <f>finPNLCOGSEmp3Exp</f>
        <v>2928617804.1968575</v>
      </c>
      <c r="F818" s="100">
        <f>finPNLCOGSEmp3Exp</f>
        <v>2928617804.1968575</v>
      </c>
      <c r="G818" s="100">
        <f>finPNLCOGSEmp3Exp</f>
        <v>2928617804.1968575</v>
      </c>
      <c r="H818" s="100">
        <f>finPNLCOGSEmp3Exp</f>
        <v>2928617804.1968575</v>
      </c>
      <c r="I818" s="100">
        <f>finPNLCOGSEmp3Exp</f>
        <v>2928617804.1968575</v>
      </c>
      <c r="J818" s="520"/>
      <c r="K818" s="817">
        <f>SUM(E818:I818)/xxNumOfTeams</f>
        <v>2928617804.1968575</v>
      </c>
    </row>
    <row r="819" spans="1:11" ht="12.75">
      <c r="A819" s="132"/>
      <c r="B819" s="38" t="s">
        <v>2994</v>
      </c>
      <c r="C819" s="546"/>
      <c r="D819" s="546"/>
      <c r="E819" s="100">
        <f ca="1">finPNLCOGSPlant1Exp+finPNLCOGSDepExp</f>
        <v>821354945.79932237</v>
      </c>
      <c r="F819" s="100">
        <f ca="1">finPNLCOGSPlant1Exp+finPNLCOGSDepExp</f>
        <v>821354945.79932237</v>
      </c>
      <c r="G819" s="100">
        <f ca="1">finPNLCOGSPlant1Exp+finPNLCOGSDepExp</f>
        <v>821354945.79932237</v>
      </c>
      <c r="H819" s="100">
        <f ca="1">finPNLCOGSPlant1Exp+finPNLCOGSDepExp</f>
        <v>821354945.79932237</v>
      </c>
      <c r="I819" s="100">
        <f ca="1">finPNLCOGSPlant1Exp+finPNLCOGSDepExp</f>
        <v>821354945.79932237</v>
      </c>
      <c r="J819" s="520"/>
      <c r="K819" s="817">
        <f ca="1">SUM(E819:I819)/xxNumOfTeams</f>
        <v>821354945.79932237</v>
      </c>
    </row>
    <row r="820" spans="1:11" ht="5.0999999999999996" customHeight="1">
      <c r="A820" s="132"/>
      <c r="B820" s="38"/>
      <c r="C820" s="546"/>
      <c r="D820" s="546"/>
      <c r="E820" s="100"/>
      <c r="F820" s="100"/>
      <c r="G820" s="100"/>
      <c r="H820" s="100"/>
      <c r="I820" s="100"/>
      <c r="J820" s="787"/>
      <c r="K820" s="794"/>
    </row>
    <row r="821" spans="1:11" ht="12.75">
      <c r="A821" s="132"/>
      <c r="B821" s="38" t="s">
        <v>633</v>
      </c>
      <c r="C821" s="546"/>
      <c r="D821" s="546"/>
      <c r="E821" s="1367">
        <f ca="1">SUM(E817:E819)</f>
        <v>11248910818.928865</v>
      </c>
      <c r="F821" s="1367">
        <f ca="1">SUM(F817:F819)</f>
        <v>11248910818.928865</v>
      </c>
      <c r="G821" s="1367">
        <f ca="1">SUM(G817:G819)</f>
        <v>11248910818.928865</v>
      </c>
      <c r="H821" s="1367">
        <f ca="1">SUM(H817:H819)</f>
        <v>11248910818.928865</v>
      </c>
      <c r="I821" s="1367">
        <f ca="1">SUM(I817:I819)</f>
        <v>11248910818.928865</v>
      </c>
      <c r="J821" s="1368"/>
      <c r="K821" s="1369">
        <f ca="1">SUM(K817:K819)</f>
        <v>11248910818.928865</v>
      </c>
    </row>
    <row r="822" spans="1:11" ht="12.75">
      <c r="A822" s="132"/>
      <c r="B822" s="62" t="s">
        <v>3800</v>
      </c>
      <c r="C822" s="545"/>
      <c r="D822" s="545"/>
      <c r="E822" s="530">
        <f ca="1">E815-E821</f>
        <v>11373212880.571135</v>
      </c>
      <c r="F822" s="530">
        <f ca="1">F815-F821</f>
        <v>11373212880.571135</v>
      </c>
      <c r="G822" s="530">
        <f ca="1">G815-G821</f>
        <v>11373212880.571135</v>
      </c>
      <c r="H822" s="530">
        <f ca="1">H815-H821</f>
        <v>11373212880.571135</v>
      </c>
      <c r="I822" s="530">
        <f ca="1">I815-I821</f>
        <v>11373212880.571135</v>
      </c>
      <c r="J822" s="839"/>
      <c r="K822" s="814">
        <f ca="1">SUM(E822:I822)/xxNumOfTeams</f>
        <v>11373212880.571135</v>
      </c>
    </row>
    <row r="823" spans="1:11" ht="12.75">
      <c r="A823" s="132"/>
      <c r="C823" s="708" t="s">
        <v>729</v>
      </c>
      <c r="D823" s="855"/>
      <c r="E823" s="838">
        <f ca="1">E822/E$815</f>
        <v>0.5027473561565976</v>
      </c>
      <c r="F823" s="838">
        <f ca="1">F822/F$815</f>
        <v>0.5027473561565976</v>
      </c>
      <c r="G823" s="838">
        <f ca="1">G822/G$815</f>
        <v>0.5027473561565976</v>
      </c>
      <c r="H823" s="838">
        <f ca="1">H822/H$815</f>
        <v>0.5027473561565976</v>
      </c>
      <c r="I823" s="838">
        <f ca="1">I822/I$815</f>
        <v>0.5027473561565976</v>
      </c>
      <c r="J823" s="179"/>
      <c r="K823" s="792"/>
    </row>
    <row r="824" spans="1:11" ht="6.6" customHeight="1">
      <c r="A824" s="132"/>
      <c r="C824" s="708"/>
      <c r="D824" s="545"/>
      <c r="E824" s="522"/>
      <c r="F824" s="522"/>
      <c r="G824" s="522"/>
      <c r="H824" s="522"/>
      <c r="I824" s="522"/>
      <c r="J824" s="179"/>
      <c r="K824" s="792"/>
    </row>
    <row r="825" spans="1:11" ht="12.75">
      <c r="A825" s="132"/>
      <c r="B825" s="38" t="s">
        <v>2578</v>
      </c>
      <c r="C825" s="546"/>
      <c r="D825" s="546"/>
      <c r="E825" s="100">
        <f>finPNLSellExp</f>
        <v>1862500000</v>
      </c>
      <c r="F825" s="100">
        <f>finPNLSellExp</f>
        <v>1862500000</v>
      </c>
      <c r="G825" s="100">
        <f>finPNLSellExp</f>
        <v>1862500000</v>
      </c>
      <c r="H825" s="100">
        <f>finPNLSellExp</f>
        <v>1862500000</v>
      </c>
      <c r="I825" s="100">
        <f>finPNLSellExp</f>
        <v>1862500000</v>
      </c>
      <c r="J825" s="521"/>
      <c r="K825" s="817">
        <f>SUM(E825:I825)/xxNumOfTeams</f>
        <v>1862500000</v>
      </c>
    </row>
    <row r="826" spans="1:11" ht="12.75">
      <c r="A826" s="132"/>
      <c r="B826" s="38" t="s">
        <v>1224</v>
      </c>
      <c r="C826" s="546"/>
      <c r="D826" s="546"/>
      <c r="E826" s="100">
        <f ca="1">finPNLGenExp</f>
        <v>2416834807.3367319</v>
      </c>
      <c r="F826" s="100">
        <f ca="1">finPNLGenExp</f>
        <v>2416834807.3367319</v>
      </c>
      <c r="G826" s="100">
        <f ca="1">finPNLGenExp</f>
        <v>2416834807.3367319</v>
      </c>
      <c r="H826" s="100">
        <f ca="1">finPNLGenExp</f>
        <v>2416834807.3367319</v>
      </c>
      <c r="I826" s="100">
        <f ca="1">finPNLGenExp</f>
        <v>2416834807.3367319</v>
      </c>
      <c r="J826" s="521"/>
      <c r="K826" s="817">
        <f ca="1">SUM(E826:I826)/xxNumOfTeams</f>
        <v>2416834807.3367319</v>
      </c>
    </row>
    <row r="827" spans="1:11" ht="12.75">
      <c r="A827" s="132"/>
      <c r="B827" s="38" t="s">
        <v>3758</v>
      </c>
      <c r="C827" s="546"/>
      <c r="D827" s="546"/>
      <c r="E827" s="100">
        <f>finPNLAdminExp</f>
        <v>1311139848.3244708</v>
      </c>
      <c r="F827" s="100">
        <f>finPNLAdminExp</f>
        <v>1311139848.3244708</v>
      </c>
      <c r="G827" s="100">
        <f>finPNLAdminExp</f>
        <v>1311139848.3244708</v>
      </c>
      <c r="H827" s="100">
        <f>finPNLAdminExp</f>
        <v>1311139848.3244708</v>
      </c>
      <c r="I827" s="100">
        <f>finPNLAdminExp</f>
        <v>1311139848.3244708</v>
      </c>
      <c r="J827" s="521"/>
      <c r="K827" s="817">
        <f>SUM(E827:I827)/xxNumOfTeams</f>
        <v>1311139848.3244708</v>
      </c>
    </row>
    <row r="828" spans="1:11" ht="5.0999999999999996" customHeight="1">
      <c r="A828" s="132"/>
      <c r="B828" s="38"/>
      <c r="C828" s="546"/>
      <c r="D828" s="546"/>
      <c r="E828" s="100"/>
      <c r="F828" s="100"/>
      <c r="G828" s="100"/>
      <c r="H828" s="100"/>
      <c r="I828" s="100"/>
      <c r="J828" s="180"/>
      <c r="K828" s="793"/>
    </row>
    <row r="829" spans="1:11" ht="12.75">
      <c r="A829" s="132"/>
      <c r="B829" s="62" t="s">
        <v>1916</v>
      </c>
      <c r="C829" s="545"/>
      <c r="D829" s="545"/>
      <c r="E829" s="529">
        <f ca="1">SUM(E825:E827)</f>
        <v>5590474655.6612024</v>
      </c>
      <c r="F829" s="529">
        <f ca="1">SUM(F825:F827)</f>
        <v>5590474655.6612024</v>
      </c>
      <c r="G829" s="529">
        <f ca="1">SUM(G825:G827)</f>
        <v>5590474655.6612024</v>
      </c>
      <c r="H829" s="529">
        <f ca="1">SUM(H825:H827)</f>
        <v>5590474655.6612024</v>
      </c>
      <c r="I829" s="529">
        <f ca="1">SUM(I825:I827)</f>
        <v>5590474655.6612024</v>
      </c>
      <c r="J829" s="528"/>
      <c r="K829" s="813">
        <f ca="1">SUM(E829:I829)/xxNumOfTeams</f>
        <v>5590474655.6612024</v>
      </c>
    </row>
    <row r="830" spans="1:11" ht="12.75">
      <c r="A830" s="132"/>
      <c r="B830" s="62"/>
      <c r="C830" s="708" t="s">
        <v>729</v>
      </c>
      <c r="D830" s="546"/>
      <c r="E830" s="838">
        <f ca="1">E829/E$815</f>
        <v>0.24712421919011807</v>
      </c>
      <c r="F830" s="838">
        <f ca="1">F829/F$815</f>
        <v>0.24712421919011807</v>
      </c>
      <c r="G830" s="838">
        <f ca="1">G829/G$815</f>
        <v>0.24712421919011807</v>
      </c>
      <c r="H830" s="838">
        <f ca="1">H829/H$815</f>
        <v>0.24712421919011807</v>
      </c>
      <c r="I830" s="838">
        <f ca="1">I829/I$815</f>
        <v>0.24712421919011807</v>
      </c>
      <c r="J830" s="528"/>
      <c r="K830" s="813"/>
    </row>
    <row r="831" spans="1:11" ht="6.6" customHeight="1">
      <c r="A831" s="132"/>
      <c r="B831" s="62"/>
      <c r="C831" s="545"/>
      <c r="D831" s="545"/>
      <c r="E831" s="529"/>
      <c r="F831" s="529"/>
      <c r="G831" s="529"/>
      <c r="H831" s="529"/>
      <c r="I831" s="529"/>
      <c r="J831" s="179"/>
      <c r="K831" s="792"/>
    </row>
    <row r="832" spans="1:11" ht="12.75">
      <c r="A832" s="132"/>
      <c r="B832" s="38" t="s">
        <v>172</v>
      </c>
      <c r="C832" s="546"/>
      <c r="D832" s="546"/>
      <c r="E832" s="100">
        <f>finPNLRandDExp</f>
        <v>142497326.78673378</v>
      </c>
      <c r="F832" s="100">
        <f>finPNLRandDExp</f>
        <v>142497326.78673378</v>
      </c>
      <c r="G832" s="100">
        <f>finPNLRandDExp</f>
        <v>142497326.78673378</v>
      </c>
      <c r="H832" s="100">
        <f>finPNLRandDExp</f>
        <v>142497326.78673378</v>
      </c>
      <c r="I832" s="100">
        <f>finPNLRandDExp</f>
        <v>142497326.78673378</v>
      </c>
      <c r="J832" s="520"/>
      <c r="K832" s="817">
        <f>SUM(E832:I832)/xxNumOfTeams</f>
        <v>142497326.78673378</v>
      </c>
    </row>
    <row r="833" spans="1:11" ht="12.75">
      <c r="A833" s="132"/>
      <c r="B833" s="38"/>
      <c r="C833" s="708" t="s">
        <v>729</v>
      </c>
      <c r="D833" s="546"/>
      <c r="E833" s="838">
        <f>E832/E$815</f>
        <v>6.2990251790499795E-3</v>
      </c>
      <c r="F833" s="838">
        <f>F832/F$815</f>
        <v>6.2990251790499795E-3</v>
      </c>
      <c r="G833" s="838">
        <f>G832/G$815</f>
        <v>6.2990251790499795E-3</v>
      </c>
      <c r="H833" s="838">
        <f>H832/H$815</f>
        <v>6.2990251790499795E-3</v>
      </c>
      <c r="I833" s="838">
        <f>I832/I$815</f>
        <v>6.2990251790499795E-3</v>
      </c>
      <c r="J833" s="520"/>
      <c r="K833" s="817"/>
    </row>
    <row r="834" spans="1:11" ht="12.75">
      <c r="A834" s="132"/>
      <c r="B834" s="38" t="s">
        <v>3535</v>
      </c>
      <c r="C834" s="546"/>
      <c r="D834" s="546"/>
      <c r="E834" s="100">
        <f ca="1">finPNLOtherOpExp</f>
        <v>366200411.79866314</v>
      </c>
      <c r="F834" s="100">
        <f ca="1">finPNLOtherOpExp</f>
        <v>366200411.79866314</v>
      </c>
      <c r="G834" s="100">
        <f ca="1">finPNLOtherOpExp</f>
        <v>366200411.79866314</v>
      </c>
      <c r="H834" s="100">
        <f ca="1">finPNLOtherOpExp</f>
        <v>366200411.79866314</v>
      </c>
      <c r="I834" s="100">
        <f ca="1">finPNLOtherOpExp</f>
        <v>366200411.79866314</v>
      </c>
      <c r="J834" s="520"/>
      <c r="K834" s="817">
        <f ca="1">SUM(E834:I834)/xxNumOfTeams</f>
        <v>366200411.79866314</v>
      </c>
    </row>
    <row r="835" spans="1:11" ht="12.75">
      <c r="A835" s="132"/>
      <c r="B835" s="38" t="s">
        <v>2251</v>
      </c>
      <c r="C835" s="546"/>
      <c r="D835" s="546"/>
      <c r="E835" s="100">
        <f>finPNLAmorGoodwillExp</f>
        <v>0</v>
      </c>
      <c r="F835" s="100">
        <f>finPNLAmorGoodwillExp</f>
        <v>0</v>
      </c>
      <c r="G835" s="100">
        <f>finPNLAmorGoodwillExp</f>
        <v>0</v>
      </c>
      <c r="H835" s="100">
        <f>finPNLAmorGoodwillExp</f>
        <v>0</v>
      </c>
      <c r="I835" s="100">
        <f>finPNLAmorGoodwillExp</f>
        <v>0</v>
      </c>
      <c r="J835" s="180"/>
      <c r="K835" s="817">
        <f>SUM(E835:I835)/xxNumOfTeams</f>
        <v>0</v>
      </c>
    </row>
    <row r="836" spans="1:11" ht="6.6" customHeight="1">
      <c r="A836" s="132"/>
      <c r="B836" s="38"/>
      <c r="C836" s="546"/>
      <c r="D836" s="546"/>
      <c r="E836" s="100"/>
      <c r="F836" s="100"/>
      <c r="G836" s="100"/>
      <c r="H836" s="100"/>
      <c r="I836" s="100"/>
      <c r="J836" s="180"/>
      <c r="K836" s="793"/>
    </row>
    <row r="837" spans="1:11" ht="12.75">
      <c r="A837" s="132"/>
      <c r="B837" s="62" t="s">
        <v>3801</v>
      </c>
      <c r="C837" s="545"/>
      <c r="D837" s="545"/>
      <c r="E837" s="854">
        <f ca="1">E822-E829-E832-E834-E835</f>
        <v>5274040486.3245354</v>
      </c>
      <c r="F837" s="854">
        <f ca="1">F822-F829-F832-F834-F835</f>
        <v>5274040486.3245354</v>
      </c>
      <c r="G837" s="854">
        <f ca="1">G822-G829-G832-G834-G835</f>
        <v>5274040486.3245354</v>
      </c>
      <c r="H837" s="854">
        <f ca="1">H822-H829-H832-H834-H835</f>
        <v>5274040486.3245354</v>
      </c>
      <c r="I837" s="854">
        <f ca="1">I822-I829-I832-I834-I835</f>
        <v>5274040486.3245354</v>
      </c>
      <c r="J837" s="530"/>
      <c r="K837" s="814">
        <f ca="1">SUM(E837:I837)/xxNumOfTeams</f>
        <v>5274040486.3245354</v>
      </c>
    </row>
    <row r="838" spans="1:11" ht="12.75">
      <c r="A838" s="132"/>
      <c r="B838" s="38" t="s">
        <v>1227</v>
      </c>
      <c r="C838" s="546"/>
      <c r="D838" s="546"/>
      <c r="E838" s="100">
        <f>finPNLExtraOrdExp</f>
        <v>0</v>
      </c>
      <c r="F838" s="100">
        <f>finPNLExtraOrdExp</f>
        <v>0</v>
      </c>
      <c r="G838" s="100">
        <f>finPNLExtraOrdExp</f>
        <v>0</v>
      </c>
      <c r="H838" s="100">
        <f>finPNLExtraOrdExp</f>
        <v>0</v>
      </c>
      <c r="I838" s="100">
        <f>finPNLExtraOrdExp</f>
        <v>0</v>
      </c>
      <c r="J838" s="521"/>
      <c r="K838" s="817">
        <f>SUM(E838:I838)/xxNumOfTeams</f>
        <v>0</v>
      </c>
    </row>
    <row r="839" spans="1:11" ht="6.6" customHeight="1">
      <c r="A839" s="132"/>
      <c r="B839" s="38"/>
      <c r="C839" s="546"/>
      <c r="D839" s="546"/>
      <c r="E839" s="100"/>
      <c r="F839" s="100"/>
      <c r="G839" s="100"/>
      <c r="H839" s="100"/>
      <c r="I839" s="100"/>
      <c r="J839" s="521"/>
      <c r="K839" s="817"/>
    </row>
    <row r="840" spans="1:11" ht="12.75">
      <c r="A840" s="132"/>
      <c r="B840" s="62" t="s">
        <v>1226</v>
      </c>
      <c r="C840" s="546"/>
      <c r="D840" s="546"/>
      <c r="E840" s="529">
        <f ca="1">E837-E838</f>
        <v>5274040486.3245354</v>
      </c>
      <c r="F840" s="529">
        <f ca="1">F837-F838</f>
        <v>5274040486.3245354</v>
      </c>
      <c r="G840" s="529">
        <f ca="1">G837-G838</f>
        <v>5274040486.3245354</v>
      </c>
      <c r="H840" s="529">
        <f ca="1">H837-H838</f>
        <v>5274040486.3245354</v>
      </c>
      <c r="I840" s="529">
        <f ca="1">I837-I838</f>
        <v>5274040486.3245354</v>
      </c>
      <c r="J840" s="530"/>
      <c r="K840" s="816">
        <f ca="1">SUM(E840:I840)/xxNumOfTeams</f>
        <v>5274040486.3245354</v>
      </c>
    </row>
    <row r="841" spans="1:11" ht="12.75">
      <c r="A841" s="132"/>
      <c r="B841" s="62"/>
      <c r="C841" s="708" t="s">
        <v>729</v>
      </c>
      <c r="D841" s="546"/>
      <c r="E841" s="838">
        <f ca="1">E840/E$815</f>
        <v>0.23313640029477442</v>
      </c>
      <c r="F841" s="838">
        <f ca="1">F840/F$815</f>
        <v>0.23313640029477442</v>
      </c>
      <c r="G841" s="838">
        <f ca="1">G840/G$815</f>
        <v>0.23313640029477442</v>
      </c>
      <c r="H841" s="838">
        <f ca="1">H840/H$815</f>
        <v>0.23313640029477442</v>
      </c>
      <c r="I841" s="838">
        <f ca="1">I840/I$815</f>
        <v>0.23313640029477442</v>
      </c>
      <c r="J841" s="530"/>
      <c r="K841" s="816"/>
    </row>
    <row r="842" spans="1:11" ht="12.75">
      <c r="A842" s="132"/>
      <c r="B842" s="38" t="s">
        <v>1225</v>
      </c>
      <c r="C842" s="546"/>
      <c r="D842" s="546"/>
      <c r="E842" s="100">
        <f>finPNLNetIntExp</f>
        <v>-122771905.25716424</v>
      </c>
      <c r="F842" s="100">
        <f>finPNLNetIntExp</f>
        <v>-122771905.25716424</v>
      </c>
      <c r="G842" s="100">
        <f>finPNLNetIntExp</f>
        <v>-122771905.25716424</v>
      </c>
      <c r="H842" s="100">
        <f>finPNLNetIntExp</f>
        <v>-122771905.25716424</v>
      </c>
      <c r="I842" s="100">
        <f>finPNLNetIntExp</f>
        <v>-122771905.25716424</v>
      </c>
      <c r="J842" s="521"/>
      <c r="K842" s="817">
        <f>SUM(E842:I842)/xxNumOfTeams</f>
        <v>-122771905.25716424</v>
      </c>
    </row>
    <row r="843" spans="1:11" ht="12.75">
      <c r="A843" s="132"/>
      <c r="B843" s="38" t="s">
        <v>1470</v>
      </c>
      <c r="C843" s="546"/>
      <c r="D843" s="546"/>
      <c r="E843" s="100">
        <f ca="1">finPNLTaxExp</f>
        <v>1996820584.8852286</v>
      </c>
      <c r="F843" s="100">
        <f ca="1">finPNLTaxExp</f>
        <v>1996820584.8852286</v>
      </c>
      <c r="G843" s="100">
        <f ca="1">finPNLTaxExp</f>
        <v>1996820584.8852286</v>
      </c>
      <c r="H843" s="100">
        <f ca="1">finPNLTaxExp</f>
        <v>1996820584.8852286</v>
      </c>
      <c r="I843" s="100">
        <f ca="1">finPNLTaxExp</f>
        <v>1996820584.8852286</v>
      </c>
      <c r="J843" s="521"/>
      <c r="K843" s="817">
        <f ca="1">SUM(E843:I843)/xxNumOfTeams</f>
        <v>1996820584.8852286</v>
      </c>
    </row>
    <row r="844" spans="1:11" ht="6.6" customHeight="1">
      <c r="A844" s="132"/>
      <c r="B844" s="38"/>
      <c r="C844" s="546"/>
      <c r="D844" s="546"/>
      <c r="E844" s="100"/>
      <c r="F844" s="100"/>
      <c r="G844" s="100"/>
      <c r="H844" s="100"/>
      <c r="I844" s="100"/>
      <c r="J844" s="180"/>
      <c r="K844" s="793"/>
    </row>
    <row r="845" spans="1:11" ht="12.75">
      <c r="A845" s="132"/>
      <c r="B845" s="62" t="s">
        <v>324</v>
      </c>
      <c r="C845" s="545"/>
      <c r="D845" s="545"/>
      <c r="E845" s="529">
        <f ca="1">E840-E842-E843</f>
        <v>3399991806.6964707</v>
      </c>
      <c r="F845" s="529">
        <f ca="1">F840-F842-F843</f>
        <v>3399991806.6964707</v>
      </c>
      <c r="G845" s="529">
        <f ca="1">G840-G842-G843</f>
        <v>3399991806.6964707</v>
      </c>
      <c r="H845" s="529">
        <f ca="1">H840-H842-H843</f>
        <v>3399991806.6964707</v>
      </c>
      <c r="I845" s="529">
        <f ca="1">I840-I842-I843</f>
        <v>3399991806.6964707</v>
      </c>
      <c r="J845" s="840"/>
      <c r="K845" s="814">
        <f ca="1">SUM(E845:I845)/xxNumOfTeams</f>
        <v>3399991806.6964707</v>
      </c>
    </row>
    <row r="846" spans="1:11">
      <c r="A846" s="132"/>
      <c r="B846" s="21"/>
      <c r="C846" s="708" t="s">
        <v>729</v>
      </c>
      <c r="D846" s="21"/>
      <c r="E846" s="838">
        <f ca="1">E845/E$815</f>
        <v>0.15029498785614095</v>
      </c>
      <c r="F846" s="838">
        <f ca="1">F845/F$815</f>
        <v>0.15029498785614095</v>
      </c>
      <c r="G846" s="838">
        <f ca="1">G845/G$815</f>
        <v>0.15029498785614095</v>
      </c>
      <c r="H846" s="838">
        <f ca="1">H845/H$815</f>
        <v>0.15029498785614095</v>
      </c>
      <c r="I846" s="838">
        <f ca="1">I845/I$815</f>
        <v>0.15029498785614095</v>
      </c>
      <c r="J846" s="180"/>
      <c r="K846" s="792"/>
    </row>
    <row r="847" spans="1:11" ht="12" thickBot="1">
      <c r="A847" s="134"/>
      <c r="B847" s="135"/>
      <c r="C847" s="135"/>
      <c r="D847" s="135"/>
      <c r="E847" s="857"/>
      <c r="F847" s="857"/>
      <c r="G847" s="857"/>
      <c r="H847" s="857"/>
      <c r="I847" s="857"/>
      <c r="J847" s="763"/>
      <c r="K847" s="801"/>
    </row>
    <row r="848" spans="1:11" ht="15.75">
      <c r="A848" s="565" t="s">
        <v>1228</v>
      </c>
      <c r="B848" s="566"/>
      <c r="C848" s="566"/>
      <c r="D848" s="566"/>
      <c r="E848" s="732" t="str">
        <f>decTeamName</f>
        <v>Vivia</v>
      </c>
      <c r="F848" s="732" t="str">
        <f>decTeamName</f>
        <v>Vivia</v>
      </c>
      <c r="G848" s="732" t="str">
        <f>decTeamName</f>
        <v>Vivia</v>
      </c>
      <c r="H848" s="732" t="str">
        <f>decTeamName</f>
        <v>Vivia</v>
      </c>
      <c r="I848" s="732" t="str">
        <f>decTeamName</f>
        <v>Vivia</v>
      </c>
      <c r="J848" s="802"/>
      <c r="K848" s="803" t="s">
        <v>2718</v>
      </c>
    </row>
    <row r="849" spans="1:11" ht="5.0999999999999996" customHeight="1">
      <c r="A849" s="544"/>
      <c r="B849" s="541"/>
      <c r="C849" s="541"/>
      <c r="D849" s="541"/>
      <c r="E849" s="21"/>
      <c r="F849" s="21"/>
      <c r="G849" s="21"/>
      <c r="H849" s="21"/>
      <c r="I849" s="21"/>
      <c r="J849" s="180"/>
      <c r="K849" s="792"/>
    </row>
    <row r="850" spans="1:11" ht="12.75">
      <c r="A850" s="132"/>
      <c r="B850" s="62" t="s">
        <v>1840</v>
      </c>
      <c r="C850" s="545"/>
      <c r="D850" s="545"/>
      <c r="E850" s="529">
        <f ca="1">cbalCashValue</f>
        <v>6695625983.2060633</v>
      </c>
      <c r="F850" s="529">
        <f ca="1">cbalCashValue</f>
        <v>6695625983.2060633</v>
      </c>
      <c r="G850" s="529">
        <f ca="1">cbalCashValue</f>
        <v>6695625983.2060633</v>
      </c>
      <c r="H850" s="529">
        <f ca="1">cbalCashValue</f>
        <v>6695625983.2060633</v>
      </c>
      <c r="I850" s="529">
        <f ca="1">cbalCashValue</f>
        <v>6695625983.2060633</v>
      </c>
      <c r="J850" s="528"/>
      <c r="K850" s="814">
        <f ca="1">SUM(E850:I850)/xxNumOfTeams</f>
        <v>6695625983.2060633</v>
      </c>
    </row>
    <row r="851" spans="1:11" ht="12.75">
      <c r="A851" s="132"/>
      <c r="B851" s="38" t="s">
        <v>3540</v>
      </c>
      <c r="C851" s="546"/>
      <c r="D851" s="546"/>
      <c r="E851" s="100">
        <f>cbalARValue</f>
        <v>4357020616.583333</v>
      </c>
      <c r="F851" s="100">
        <f>cbalARValue</f>
        <v>4357020616.583333</v>
      </c>
      <c r="G851" s="100">
        <f>cbalARValue</f>
        <v>4357020616.583333</v>
      </c>
      <c r="H851" s="100">
        <f>cbalARValue</f>
        <v>4357020616.583333</v>
      </c>
      <c r="I851" s="100">
        <f>cbalARValue</f>
        <v>4357020616.583333</v>
      </c>
      <c r="J851" s="520"/>
      <c r="K851" s="817">
        <f>SUM(E851:I851)/xxNumOfTeams</f>
        <v>4357020616.583333</v>
      </c>
    </row>
    <row r="852" spans="1:11" ht="12.75">
      <c r="A852" s="132"/>
      <c r="B852" s="38" t="s">
        <v>1229</v>
      </c>
      <c r="C852" s="546"/>
      <c r="D852" s="546"/>
      <c r="E852" s="100">
        <f ca="1">cbalReg1MatValue+cbalReg1WIPValue+cbalReg1FGValue+cbalReg2MatValue+cbalReg2WIPValue+cbalReg2FGValue</f>
        <v>922640527.08137012</v>
      </c>
      <c r="F852" s="100">
        <f ca="1">cbalReg1MatValue+cbalReg1WIPValue+cbalReg1FGValue+cbalReg2MatValue+cbalReg2WIPValue+cbalReg2FGValue</f>
        <v>922640527.08137012</v>
      </c>
      <c r="G852" s="100">
        <f ca="1">cbalReg1MatValue+cbalReg1WIPValue+cbalReg1FGValue+cbalReg2MatValue+cbalReg2WIPValue+cbalReg2FGValue</f>
        <v>922640527.08137012</v>
      </c>
      <c r="H852" s="100">
        <f ca="1">cbalReg1MatValue+cbalReg1WIPValue+cbalReg1FGValue+cbalReg2MatValue+cbalReg2WIPValue+cbalReg2FGValue</f>
        <v>922640527.08137012</v>
      </c>
      <c r="I852" s="100">
        <f ca="1">cbalReg1MatValue+cbalReg1WIPValue+cbalReg1FGValue+cbalReg2MatValue+cbalReg2WIPValue+cbalReg2FGValue</f>
        <v>922640527.08137012</v>
      </c>
      <c r="J852" s="520"/>
      <c r="K852" s="817">
        <f ca="1">SUM(E852:I852)/xxNumOfTeams</f>
        <v>922640527.08137012</v>
      </c>
    </row>
    <row r="853" spans="1:11" ht="12.75">
      <c r="A853" s="132"/>
      <c r="B853" s="38" t="s">
        <v>1843</v>
      </c>
      <c r="C853" s="546"/>
      <c r="D853" s="546"/>
      <c r="E853" s="100">
        <f ca="1">cbalPlant1Value</f>
        <v>6373894260</v>
      </c>
      <c r="F853" s="100">
        <f ca="1">cbalPlant1Value</f>
        <v>6373894260</v>
      </c>
      <c r="G853" s="100">
        <f ca="1">cbalPlant1Value</f>
        <v>6373894260</v>
      </c>
      <c r="H853" s="100">
        <f ca="1">cbalPlant1Value</f>
        <v>6373894260</v>
      </c>
      <c r="I853" s="100">
        <f ca="1">cbalPlant1Value</f>
        <v>6373894260</v>
      </c>
      <c r="J853" s="520"/>
      <c r="K853" s="817">
        <f ca="1">SUM(E853:I853)/xxNumOfTeams</f>
        <v>6373894260</v>
      </c>
    </row>
    <row r="854" spans="1:11" ht="12.75">
      <c r="A854" s="132"/>
      <c r="B854" s="38" t="s">
        <v>1058</v>
      </c>
      <c r="C854" s="546"/>
      <c r="D854" s="546"/>
      <c r="E854" s="100">
        <f>cbalGoodwillValue</f>
        <v>2800000000</v>
      </c>
      <c r="F854" s="100">
        <f>cbalGoodwillValue</f>
        <v>2800000000</v>
      </c>
      <c r="G854" s="100">
        <f>cbalGoodwillValue</f>
        <v>2800000000</v>
      </c>
      <c r="H854" s="100">
        <f>cbalGoodwillValue</f>
        <v>2800000000</v>
      </c>
      <c r="I854" s="100">
        <f>cbalGoodwillValue</f>
        <v>2800000000</v>
      </c>
      <c r="J854" s="520"/>
      <c r="K854" s="817">
        <f>SUM(E854:I854)/xxNumOfTeams</f>
        <v>2800000000</v>
      </c>
    </row>
    <row r="855" spans="1:11" ht="5.0999999999999996" customHeight="1">
      <c r="A855" s="132"/>
      <c r="B855" s="38"/>
      <c r="C855" s="546"/>
      <c r="D855" s="546"/>
      <c r="E855" s="100"/>
      <c r="F855" s="100"/>
      <c r="G855" s="100"/>
      <c r="H855" s="100"/>
      <c r="I855" s="100"/>
      <c r="J855" s="180"/>
      <c r="K855" s="793"/>
    </row>
    <row r="856" spans="1:11" ht="12.75">
      <c r="A856" s="132"/>
      <c r="B856" s="62" t="s">
        <v>1845</v>
      </c>
      <c r="C856" s="545"/>
      <c r="D856" s="545"/>
      <c r="E856" s="178">
        <f ca="1">SUM(E850:E854)</f>
        <v>21149181386.870766</v>
      </c>
      <c r="F856" s="178">
        <f ca="1">SUM(F850:F854)</f>
        <v>21149181386.870766</v>
      </c>
      <c r="G856" s="178">
        <f ca="1">SUM(G850:G854)</f>
        <v>21149181386.870766</v>
      </c>
      <c r="H856" s="178">
        <f ca="1">SUM(H850:H854)</f>
        <v>21149181386.870766</v>
      </c>
      <c r="I856" s="178">
        <f ca="1">SUM(I850:I854)</f>
        <v>21149181386.870766</v>
      </c>
      <c r="J856" s="839"/>
      <c r="K856" s="816">
        <f ca="1">SUM(E856:I856)/xxNumOfTeams</f>
        <v>21149181386.870766</v>
      </c>
    </row>
    <row r="857" spans="1:11" ht="12.75">
      <c r="A857" s="132"/>
      <c r="B857" s="38"/>
      <c r="C857" s="546"/>
      <c r="D857" s="546"/>
      <c r="E857" s="100"/>
      <c r="F857" s="100"/>
      <c r="G857" s="100"/>
      <c r="H857" s="100"/>
      <c r="I857" s="100"/>
      <c r="J857" s="180"/>
      <c r="K857" s="816"/>
    </row>
    <row r="858" spans="1:11" ht="12.75">
      <c r="A858" s="132"/>
      <c r="B858" s="38" t="s">
        <v>3505</v>
      </c>
      <c r="C858" s="546"/>
      <c r="D858" s="546"/>
      <c r="E858" s="100">
        <f ca="1">cbalAPValue</f>
        <v>2290770901.6469336</v>
      </c>
      <c r="F858" s="100">
        <f ca="1">cbalAPValue</f>
        <v>2290770901.6469336</v>
      </c>
      <c r="G858" s="100">
        <f ca="1">cbalAPValue</f>
        <v>2290770901.6469336</v>
      </c>
      <c r="H858" s="100">
        <f ca="1">cbalAPValue</f>
        <v>2290770901.6469336</v>
      </c>
      <c r="I858" s="100">
        <f ca="1">cbalAPValue</f>
        <v>2290770901.6469336</v>
      </c>
      <c r="J858" s="521"/>
      <c r="K858" s="816">
        <f t="shared" ref="K858:K863" ca="1" si="20">SUM(E858:I858)/xxNumOfTeams</f>
        <v>2290770901.6469336</v>
      </c>
    </row>
    <row r="859" spans="1:11" ht="12.75">
      <c r="A859" s="132"/>
      <c r="B859" s="38" t="s">
        <v>1847</v>
      </c>
      <c r="C859" s="546"/>
      <c r="D859" s="546"/>
      <c r="E859" s="100">
        <f>cbalOtherCurrLiabValue</f>
        <v>3630000000.000001</v>
      </c>
      <c r="F859" s="100">
        <f>cbalOtherCurrLiabValue</f>
        <v>3630000000.000001</v>
      </c>
      <c r="G859" s="100">
        <f>cbalOtherCurrLiabValue</f>
        <v>3630000000.000001</v>
      </c>
      <c r="H859" s="100">
        <f>cbalOtherCurrLiabValue</f>
        <v>3630000000.000001</v>
      </c>
      <c r="I859" s="100">
        <f>cbalOtherCurrLiabValue</f>
        <v>3630000000.000001</v>
      </c>
      <c r="J859" s="521"/>
      <c r="K859" s="817">
        <f t="shared" si="20"/>
        <v>3630000000.000001</v>
      </c>
    </row>
    <row r="860" spans="1:11" ht="12.75">
      <c r="A860" s="132"/>
      <c r="B860" s="38" t="s">
        <v>2340</v>
      </c>
      <c r="C860" s="545"/>
      <c r="D860" s="545"/>
      <c r="E860" s="178">
        <f ca="1">cbalSpecLoansValue</f>
        <v>0</v>
      </c>
      <c r="F860" s="178">
        <f ca="1">cbalSpecLoansValue</f>
        <v>0</v>
      </c>
      <c r="G860" s="178">
        <f ca="1">cbalSpecLoansValue</f>
        <v>0</v>
      </c>
      <c r="H860" s="178">
        <f ca="1">cbalSpecLoansValue</f>
        <v>0</v>
      </c>
      <c r="I860" s="178">
        <f ca="1">cbalSpecLoansValue</f>
        <v>0</v>
      </c>
      <c r="J860" s="521"/>
      <c r="K860" s="816">
        <f t="shared" ca="1" si="20"/>
        <v>0</v>
      </c>
    </row>
    <row r="861" spans="1:11" ht="12.75">
      <c r="A861" s="132"/>
      <c r="B861" s="38" t="s">
        <v>1231</v>
      </c>
      <c r="C861" s="546"/>
      <c r="D861" s="546"/>
      <c r="E861" s="100">
        <f>cbalCStockValue</f>
        <v>5223400000</v>
      </c>
      <c r="F861" s="100">
        <f>cbalCStockValue</f>
        <v>5223400000</v>
      </c>
      <c r="G861" s="100">
        <f>cbalCStockValue</f>
        <v>5223400000</v>
      </c>
      <c r="H861" s="100">
        <f>cbalCStockValue</f>
        <v>5223400000</v>
      </c>
      <c r="I861" s="100">
        <f>cbalCStockValue</f>
        <v>5223400000</v>
      </c>
      <c r="J861" s="521"/>
      <c r="K861" s="817">
        <f t="shared" si="20"/>
        <v>5223400000</v>
      </c>
    </row>
    <row r="862" spans="1:11" ht="12.75">
      <c r="A862" s="132"/>
      <c r="B862" s="38" t="s">
        <v>3993</v>
      </c>
      <c r="C862" s="546"/>
      <c r="D862" s="546"/>
      <c r="E862" s="100">
        <f>cbalLTDebtValue</f>
        <v>3110000000</v>
      </c>
      <c r="F862" s="100">
        <f>cbalLTDebtValue</f>
        <v>3110000000</v>
      </c>
      <c r="G862" s="100">
        <f>cbalLTDebtValue</f>
        <v>3110000000</v>
      </c>
      <c r="H862" s="100">
        <f>cbalLTDebtValue</f>
        <v>3110000000</v>
      </c>
      <c r="I862" s="100">
        <f>cbalLTDebtValue</f>
        <v>3110000000</v>
      </c>
      <c r="J862" s="521"/>
      <c r="K862" s="817">
        <f t="shared" si="20"/>
        <v>3110000000</v>
      </c>
    </row>
    <row r="863" spans="1:11" ht="12.75">
      <c r="A863" s="132"/>
      <c r="B863" s="38" t="s">
        <v>1230</v>
      </c>
      <c r="C863" s="546"/>
      <c r="D863" s="546"/>
      <c r="E863" s="100">
        <f ca="1">cbalRetEarnValue+cbalNetEarnValue</f>
        <v>6895010485.2238331</v>
      </c>
      <c r="F863" s="100">
        <f ca="1">cbalRetEarnValue+cbalNetEarnValue</f>
        <v>6895010485.2238331</v>
      </c>
      <c r="G863" s="100">
        <f ca="1">cbalRetEarnValue+cbalNetEarnValue</f>
        <v>6895010485.2238331</v>
      </c>
      <c r="H863" s="100">
        <f ca="1">cbalRetEarnValue+cbalNetEarnValue</f>
        <v>6895010485.2238331</v>
      </c>
      <c r="I863" s="100">
        <f ca="1">cbalRetEarnValue+cbalNetEarnValue</f>
        <v>6895010485.2238331</v>
      </c>
      <c r="J863" s="521"/>
      <c r="K863" s="817">
        <f t="shared" ca="1" si="20"/>
        <v>6895010485.2238331</v>
      </c>
    </row>
    <row r="864" spans="1:11" ht="5.0999999999999996" customHeight="1">
      <c r="A864" s="132"/>
      <c r="B864" s="38"/>
      <c r="C864" s="546"/>
      <c r="D864" s="546"/>
      <c r="E864" s="100"/>
      <c r="F864" s="100"/>
      <c r="G864" s="100"/>
      <c r="H864" s="100"/>
      <c r="I864" s="100"/>
      <c r="J864" s="521"/>
      <c r="K864" s="793"/>
    </row>
    <row r="865" spans="1:11" ht="12.75">
      <c r="A865" s="132"/>
      <c r="B865" s="62" t="s">
        <v>328</v>
      </c>
      <c r="C865" s="545"/>
      <c r="D865" s="545"/>
      <c r="E865" s="178">
        <f ca="1">SUM(E858:E863)</f>
        <v>21149181386.870766</v>
      </c>
      <c r="F865" s="178">
        <f ca="1">SUM(F858:F863)</f>
        <v>21149181386.870766</v>
      </c>
      <c r="G865" s="178">
        <f ca="1">SUM(G858:G863)</f>
        <v>21149181386.870766</v>
      </c>
      <c r="H865" s="178">
        <f ca="1">SUM(H858:H863)</f>
        <v>21149181386.870766</v>
      </c>
      <c r="I865" s="178">
        <f ca="1">SUM(I858:I863)</f>
        <v>21149181386.870766</v>
      </c>
      <c r="J865" s="839"/>
      <c r="K865" s="792">
        <f ca="1">SUM(E865:I865)/xxNumOfTeams</f>
        <v>21149181386.870766</v>
      </c>
    </row>
    <row r="866" spans="1:11">
      <c r="A866" s="132"/>
      <c r="B866" s="21"/>
      <c r="C866" s="21"/>
      <c r="D866" s="21"/>
      <c r="E866" s="21"/>
      <c r="F866" s="21"/>
      <c r="G866" s="21"/>
      <c r="H866" s="21"/>
      <c r="I866" s="21"/>
      <c r="J866" s="180"/>
      <c r="K866" s="792"/>
    </row>
    <row r="867" spans="1:11" ht="15.75">
      <c r="A867" s="570" t="s">
        <v>1232</v>
      </c>
      <c r="B867" s="571"/>
      <c r="C867" s="571"/>
      <c r="D867" s="571"/>
      <c r="E867" s="733" t="str">
        <f>decTeamName</f>
        <v>Vivia</v>
      </c>
      <c r="F867" s="733" t="str">
        <f>decTeamName</f>
        <v>Vivia</v>
      </c>
      <c r="G867" s="733" t="str">
        <f>decTeamName</f>
        <v>Vivia</v>
      </c>
      <c r="H867" s="733" t="str">
        <f>decTeamName</f>
        <v>Vivia</v>
      </c>
      <c r="I867" s="733" t="str">
        <f>decTeamName</f>
        <v>Vivia</v>
      </c>
      <c r="J867" s="741"/>
      <c r="K867" s="804" t="s">
        <v>2718</v>
      </c>
    </row>
    <row r="868" spans="1:11" ht="5.0999999999999996" customHeight="1">
      <c r="A868" s="544"/>
      <c r="B868" s="541"/>
      <c r="C868" s="541"/>
      <c r="D868" s="541"/>
      <c r="E868" s="21"/>
      <c r="F868" s="21"/>
      <c r="G868" s="21"/>
      <c r="H868" s="21"/>
      <c r="I868" s="21"/>
      <c r="J868" s="180"/>
      <c r="K868" s="792"/>
    </row>
    <row r="869" spans="1:11" ht="12.75">
      <c r="A869" s="132"/>
      <c r="B869" s="38" t="s">
        <v>324</v>
      </c>
      <c r="C869" s="546"/>
      <c r="D869" s="546"/>
      <c r="E869" s="526">
        <f ca="1">finPNLNetEarn</f>
        <v>3399991806.6964707</v>
      </c>
      <c r="F869" s="715">
        <f ca="1">finPNLNetEarn</f>
        <v>3399991806.6964707</v>
      </c>
      <c r="G869" s="715">
        <f ca="1">finPNLNetEarn</f>
        <v>3399991806.6964707</v>
      </c>
      <c r="H869" s="715">
        <f ca="1">finPNLNetEarn</f>
        <v>3399991806.6964707</v>
      </c>
      <c r="I869" s="715">
        <f ca="1">finPNLNetEarn</f>
        <v>3399991806.6964707</v>
      </c>
      <c r="J869" s="526"/>
      <c r="K869" s="815">
        <f t="shared" ref="K869:K877" ca="1" si="21">SUM(E869:I869)/xxNumOfTeams</f>
        <v>3399991806.6964707</v>
      </c>
    </row>
    <row r="870" spans="1:11" ht="12.75">
      <c r="A870" s="132"/>
      <c r="B870" s="38" t="s">
        <v>3689</v>
      </c>
      <c r="C870" s="546"/>
      <c r="D870" s="546"/>
      <c r="E870" s="100">
        <f>finPNLCapLossExp</f>
        <v>0</v>
      </c>
      <c r="F870" s="100">
        <f>finPNLCapLossExp</f>
        <v>0</v>
      </c>
      <c r="G870" s="100">
        <f>finPNLCapLossExp</f>
        <v>0</v>
      </c>
      <c r="H870" s="100">
        <f>finPNLCapLossExp</f>
        <v>0</v>
      </c>
      <c r="I870" s="100">
        <f>finPNLCapLossExp</f>
        <v>0</v>
      </c>
      <c r="J870" s="520"/>
      <c r="K870" s="811">
        <f t="shared" si="21"/>
        <v>0</v>
      </c>
    </row>
    <row r="871" spans="1:11" ht="12.75">
      <c r="A871" s="132"/>
      <c r="B871" s="38" t="s">
        <v>3639</v>
      </c>
      <c r="C871" s="546"/>
      <c r="D871" s="546"/>
      <c r="E871" s="100">
        <f ca="1">finCashFlowDep</f>
        <v>1010333740</v>
      </c>
      <c r="F871" s="100">
        <f ca="1">finCashFlowDep</f>
        <v>1010333740</v>
      </c>
      <c r="G871" s="100">
        <f ca="1">finCashFlowDep</f>
        <v>1010333740</v>
      </c>
      <c r="H871" s="100">
        <f ca="1">finCashFlowDep</f>
        <v>1010333740</v>
      </c>
      <c r="I871" s="100">
        <f ca="1">finCashFlowDep</f>
        <v>1010333740</v>
      </c>
      <c r="J871" s="520"/>
      <c r="K871" s="811">
        <f t="shared" ca="1" si="21"/>
        <v>1010333740</v>
      </c>
    </row>
    <row r="872" spans="1:11" ht="12.75">
      <c r="A872" s="132"/>
      <c r="B872" s="38" t="s">
        <v>2854</v>
      </c>
      <c r="C872" s="546"/>
      <c r="D872" s="546"/>
      <c r="E872" s="100">
        <f>finPNLAmorGoodwillExp</f>
        <v>0</v>
      </c>
      <c r="F872" s="100">
        <f>finPNLAmorGoodwillExp</f>
        <v>0</v>
      </c>
      <c r="G872" s="100">
        <f>finPNLAmorGoodwillExp</f>
        <v>0</v>
      </c>
      <c r="H872" s="100">
        <f>finPNLAmorGoodwillExp</f>
        <v>0</v>
      </c>
      <c r="I872" s="100">
        <f>finPNLAmorGoodwillExp</f>
        <v>0</v>
      </c>
      <c r="J872" s="520"/>
      <c r="K872" s="811">
        <f t="shared" si="21"/>
        <v>0</v>
      </c>
    </row>
    <row r="873" spans="1:11" ht="12.75">
      <c r="A873" s="132"/>
      <c r="B873" s="38" t="s">
        <v>3690</v>
      </c>
      <c r="C873" s="546"/>
      <c r="D873" s="546"/>
      <c r="E873" s="100">
        <f ca="1">finCashFlowWorkCap</f>
        <v>244736883.93795121</v>
      </c>
      <c r="F873" s="100">
        <f ca="1">finCashFlowWorkCap</f>
        <v>244736883.93795121</v>
      </c>
      <c r="G873" s="100">
        <f ca="1">finCashFlowWorkCap</f>
        <v>244736883.93795121</v>
      </c>
      <c r="H873" s="100">
        <f ca="1">finCashFlowWorkCap</f>
        <v>244736883.93795121</v>
      </c>
      <c r="I873" s="100">
        <f ca="1">finCashFlowWorkCap</f>
        <v>244736883.93795121</v>
      </c>
      <c r="J873" s="520"/>
      <c r="K873" s="811">
        <f t="shared" ca="1" si="21"/>
        <v>244736883.93795118</v>
      </c>
    </row>
    <row r="874" spans="1:11" ht="12.75">
      <c r="A874" s="132"/>
      <c r="B874" s="38" t="s">
        <v>3691</v>
      </c>
      <c r="C874" s="546"/>
      <c r="D874" s="546"/>
      <c r="E874" s="100">
        <f>finCashFlowInvest</f>
        <v>-999556000</v>
      </c>
      <c r="F874" s="100">
        <f>finCashFlowInvest</f>
        <v>-999556000</v>
      </c>
      <c r="G874" s="100">
        <f>finCashFlowInvest</f>
        <v>-999556000</v>
      </c>
      <c r="H874" s="100">
        <f>finCashFlowInvest</f>
        <v>-999556000</v>
      </c>
      <c r="I874" s="100">
        <f>finCashFlowInvest</f>
        <v>-999556000</v>
      </c>
      <c r="J874" s="520"/>
      <c r="K874" s="811">
        <f t="shared" si="21"/>
        <v>-999556000</v>
      </c>
    </row>
    <row r="875" spans="1:11" ht="12.75">
      <c r="A875" s="132"/>
      <c r="B875" s="38" t="s">
        <v>1225</v>
      </c>
      <c r="C875" s="546"/>
      <c r="D875" s="546"/>
      <c r="E875" s="100">
        <f ca="1">finCashFlowFinance</f>
        <v>-1919599500</v>
      </c>
      <c r="F875" s="100">
        <f ca="1">finCashFlowFinance</f>
        <v>-1919599500</v>
      </c>
      <c r="G875" s="100">
        <f ca="1">finCashFlowFinance</f>
        <v>-1919599500</v>
      </c>
      <c r="H875" s="100">
        <f ca="1">finCashFlowFinance</f>
        <v>-1919599500</v>
      </c>
      <c r="I875" s="100">
        <f ca="1">finCashFlowFinance</f>
        <v>-1919599500</v>
      </c>
      <c r="J875" s="520"/>
      <c r="K875" s="811">
        <f t="shared" ca="1" si="21"/>
        <v>-1919599500</v>
      </c>
    </row>
    <row r="876" spans="1:11" ht="12.75">
      <c r="A876" s="132"/>
      <c r="B876" s="62" t="s">
        <v>1232</v>
      </c>
      <c r="C876" s="545"/>
      <c r="D876" s="545"/>
      <c r="E876" s="178">
        <f ca="1">SUM(E869:E875)</f>
        <v>1735906930.6344213</v>
      </c>
      <c r="F876" s="178">
        <f ca="1">SUM(F869:F875)</f>
        <v>1735906930.6344213</v>
      </c>
      <c r="G876" s="178">
        <f ca="1">SUM(G869:G875)</f>
        <v>1735906930.6344213</v>
      </c>
      <c r="H876" s="178">
        <f ca="1">SUM(H869:H875)</f>
        <v>1735906930.6344213</v>
      </c>
      <c r="I876" s="178">
        <f ca="1">SUM(I869:I875)</f>
        <v>1735906930.6344213</v>
      </c>
      <c r="J876" s="840"/>
      <c r="K876" s="816">
        <f t="shared" ca="1" si="21"/>
        <v>1735906930.6344216</v>
      </c>
    </row>
    <row r="877" spans="1:11" ht="12.75">
      <c r="A877" s="132"/>
      <c r="B877" s="62" t="s">
        <v>3692</v>
      </c>
      <c r="C877" s="545"/>
      <c r="D877" s="545"/>
      <c r="E877" s="530">
        <f ca="1">obalCashValue+E876</f>
        <v>6695625983.2060633</v>
      </c>
      <c r="F877" s="530">
        <f ca="1">obalCashValue+F876</f>
        <v>6695625983.2060633</v>
      </c>
      <c r="G877" s="530">
        <f ca="1">obalCashValue+G876</f>
        <v>6695625983.2060633</v>
      </c>
      <c r="H877" s="530">
        <f ca="1">obalCashValue+H876</f>
        <v>6695625983.2060633</v>
      </c>
      <c r="I877" s="530">
        <f ca="1">obalCashValue+I876</f>
        <v>6695625983.2060633</v>
      </c>
      <c r="J877" s="528"/>
      <c r="K877" s="816">
        <f t="shared" ca="1" si="21"/>
        <v>6695625983.2060633</v>
      </c>
    </row>
    <row r="878" spans="1:11" ht="12.75">
      <c r="A878" s="132"/>
      <c r="B878" s="545"/>
      <c r="C878" s="545"/>
      <c r="D878" s="545"/>
      <c r="E878" s="530"/>
      <c r="F878" s="530"/>
      <c r="G878" s="530"/>
      <c r="H878" s="530"/>
      <c r="I878" s="530"/>
      <c r="J878" s="180"/>
      <c r="K878" s="792"/>
    </row>
    <row r="879" spans="1:11" ht="15.75">
      <c r="A879" s="734" t="s">
        <v>2262</v>
      </c>
      <c r="B879" s="735"/>
      <c r="C879" s="736"/>
      <c r="D879" s="736"/>
      <c r="E879" s="733" t="str">
        <f>decTeamName</f>
        <v>Vivia</v>
      </c>
      <c r="F879" s="733" t="str">
        <f>decTeamName</f>
        <v>Vivia</v>
      </c>
      <c r="G879" s="733" t="str">
        <f>decTeamName</f>
        <v>Vivia</v>
      </c>
      <c r="H879" s="733" t="str">
        <f>decTeamName</f>
        <v>Vivia</v>
      </c>
      <c r="I879" s="733" t="str">
        <f>decTeamName</f>
        <v>Vivia</v>
      </c>
      <c r="J879" s="743"/>
      <c r="K879" s="805" t="s">
        <v>2718</v>
      </c>
    </row>
    <row r="880" spans="1:11" ht="5.0999999999999996" customHeight="1">
      <c r="A880" s="132"/>
      <c r="B880" s="545"/>
      <c r="C880" s="545"/>
      <c r="D880" s="545"/>
      <c r="E880" s="530"/>
      <c r="F880" s="530"/>
      <c r="G880" s="530"/>
      <c r="H880" s="530"/>
      <c r="I880" s="530"/>
      <c r="J880" s="180"/>
      <c r="K880" s="792"/>
    </row>
    <row r="881" spans="1:11" ht="12.75">
      <c r="A881" s="132"/>
      <c r="B881" s="567" t="s">
        <v>2263</v>
      </c>
      <c r="C881" s="545"/>
      <c r="D881" s="545"/>
      <c r="E881" s="151">
        <f>(cbalARValue/finPNLRev)*365</f>
        <v>60.833333333333329</v>
      </c>
      <c r="F881" s="151">
        <f>(cbalARValue/finPNLRev)*365</f>
        <v>60.833333333333329</v>
      </c>
      <c r="G881" s="151">
        <f>(cbalARValue/finPNLRev)*365</f>
        <v>60.833333333333329</v>
      </c>
      <c r="H881" s="151">
        <f>(cbalARValue/finPNLRev)*365</f>
        <v>60.833333333333329</v>
      </c>
      <c r="I881" s="151">
        <f>(cbalARValue/finPNLRev)*365</f>
        <v>60.833333333333329</v>
      </c>
      <c r="J881" s="180"/>
      <c r="K881" s="793">
        <f>SUM(E881:I881)/xxNumOfTeams</f>
        <v>60.833333333333329</v>
      </c>
    </row>
    <row r="882" spans="1:11" ht="12.75">
      <c r="A882" s="132"/>
      <c r="B882" s="567" t="s">
        <v>2826</v>
      </c>
      <c r="C882" s="545"/>
      <c r="D882" s="545"/>
      <c r="E882" s="151">
        <f>cbalARValue/analysis!E881</f>
        <v>71622256.710958898</v>
      </c>
      <c r="F882" s="151">
        <f>cbalARValue/analysis!F881</f>
        <v>71622256.710958898</v>
      </c>
      <c r="G882" s="151">
        <f>cbalARValue/analysis!G881</f>
        <v>71622256.710958898</v>
      </c>
      <c r="H882" s="151">
        <f>cbalARValue/analysis!H881</f>
        <v>71622256.710958898</v>
      </c>
      <c r="I882" s="151">
        <f>cbalARValue/analysis!I881</f>
        <v>71622256.710958898</v>
      </c>
      <c r="J882" s="180"/>
      <c r="K882" s="793"/>
    </row>
    <row r="883" spans="1:11" ht="12.75">
      <c r="A883" s="132"/>
      <c r="B883" s="567" t="s">
        <v>3492</v>
      </c>
      <c r="C883" s="545"/>
      <c r="D883" s="545"/>
      <c r="E883" s="534">
        <f ca="1">finPNLGrossMargin/finPNLNetRev</f>
        <v>0.5027473561565976</v>
      </c>
      <c r="F883" s="534">
        <f ca="1">finPNLGrossMargin/finPNLRev</f>
        <v>0.4350531353651525</v>
      </c>
      <c r="G883" s="534">
        <f ca="1">finPNLGrossMargin/finPNLRev</f>
        <v>0.4350531353651525</v>
      </c>
      <c r="H883" s="534">
        <f ca="1">finPNLGrossMargin/finPNLRev</f>
        <v>0.4350531353651525</v>
      </c>
      <c r="I883" s="534">
        <f ca="1">finPNLGrossMargin/finPNLRev</f>
        <v>0.4350531353651525</v>
      </c>
      <c r="J883" s="809"/>
      <c r="K883" s="807">
        <f ca="1">SUM(E883:I883)/xxNumOfTeams</f>
        <v>0.44859197952344154</v>
      </c>
    </row>
    <row r="884" spans="1:11" ht="12.75">
      <c r="A884" s="132"/>
      <c r="B884" s="567" t="s">
        <v>3493</v>
      </c>
      <c r="C884" s="545"/>
      <c r="D884" s="545"/>
      <c r="E884" s="534">
        <f ca="1">finPNLOperEarn/finPNLNetRev</f>
        <v>0.23313640029477442</v>
      </c>
      <c r="F884" s="534">
        <f ca="1">finPNLOperEarn/finPNLRev</f>
        <v>0.2017449135712493</v>
      </c>
      <c r="G884" s="534">
        <f ca="1">finPNLOperEarn/finPNLRev</f>
        <v>0.2017449135712493</v>
      </c>
      <c r="H884" s="534">
        <f ca="1">finPNLOperEarn/finPNLRev</f>
        <v>0.2017449135712493</v>
      </c>
      <c r="I884" s="534">
        <f ca="1">finPNLOperEarn/finPNLRev</f>
        <v>0.2017449135712493</v>
      </c>
      <c r="J884" s="809"/>
      <c r="K884" s="807">
        <f ca="1">SUM(E884:I884)/xxNumOfTeams</f>
        <v>0.20802321091595427</v>
      </c>
    </row>
    <row r="885" spans="1:11" ht="12.75">
      <c r="A885" s="132"/>
      <c r="B885" s="567" t="s">
        <v>3494</v>
      </c>
      <c r="C885" s="545"/>
      <c r="D885" s="545"/>
      <c r="E885" s="534">
        <f ca="1">finPNLNetEarn/finPNLNetRev</f>
        <v>0.15029498785614095</v>
      </c>
      <c r="F885" s="534">
        <f ca="1">finPNLNetEarn/finPNLRev</f>
        <v>0.1300579802076868</v>
      </c>
      <c r="G885" s="534">
        <f ca="1">finPNLNetEarn/finPNLRev</f>
        <v>0.1300579802076868</v>
      </c>
      <c r="H885" s="534">
        <f ca="1">finPNLNetEarn/finPNLRev</f>
        <v>0.1300579802076868</v>
      </c>
      <c r="I885" s="534">
        <f ca="1">finPNLNetEarn/finPNLRev</f>
        <v>0.1300579802076868</v>
      </c>
      <c r="J885" s="809"/>
      <c r="K885" s="807">
        <f ca="1">SUM(E885:I885)/xxNumOfTeams</f>
        <v>0.13410538173737763</v>
      </c>
    </row>
    <row r="886" spans="1:11" ht="12.75">
      <c r="A886" s="132"/>
      <c r="B886" s="567" t="s">
        <v>3163</v>
      </c>
      <c r="C886" s="545"/>
      <c r="D886" s="545"/>
      <c r="E886" s="535">
        <f ca="1">finAssetTurnover</f>
        <v>2.61209104296054</v>
      </c>
      <c r="F886" s="535">
        <f ca="1">finAssetTurnover</f>
        <v>2.61209104296054</v>
      </c>
      <c r="G886" s="535">
        <f ca="1">finAssetTurnover</f>
        <v>2.61209104296054</v>
      </c>
      <c r="H886" s="535">
        <f ca="1">finAssetTurnover</f>
        <v>2.61209104296054</v>
      </c>
      <c r="I886" s="535">
        <f ca="1">finAssetTurnover</f>
        <v>2.61209104296054</v>
      </c>
      <c r="J886" s="841"/>
      <c r="K886" s="808">
        <f ca="1">SUM(E886:I886)/xxNumOfTeams</f>
        <v>2.61209104296054</v>
      </c>
    </row>
    <row r="887" spans="1:11" ht="12.75">
      <c r="A887" s="1139" t="s">
        <v>1503</v>
      </c>
      <c r="C887" s="545"/>
      <c r="D887" s="545"/>
      <c r="E887" s="535"/>
      <c r="F887" s="535"/>
      <c r="G887" s="535"/>
      <c r="H887" s="535"/>
      <c r="I887" s="535"/>
      <c r="J887" s="841"/>
      <c r="K887" s="808"/>
    </row>
    <row r="888" spans="1:11" ht="12.75">
      <c r="A888" s="132"/>
      <c r="B888" s="858" t="s">
        <v>1103</v>
      </c>
      <c r="C888" s="545"/>
      <c r="D888" s="545"/>
      <c r="E888" s="859">
        <f ca="1">finPNLEBIT</f>
        <v>5274040486.3245354</v>
      </c>
      <c r="F888" s="859">
        <f ca="1">finPNLEBIT</f>
        <v>5274040486.3245354</v>
      </c>
      <c r="G888" s="859">
        <f ca="1">finPNLEBIT</f>
        <v>5274040486.3245354</v>
      </c>
      <c r="H888" s="859">
        <f ca="1">finPNLEBIT</f>
        <v>5274040486.3245354</v>
      </c>
      <c r="I888" s="859">
        <f ca="1">finPNLEBIT</f>
        <v>5274040486.3245354</v>
      </c>
      <c r="J888" s="841"/>
      <c r="K888" s="793">
        <f ca="1">SUM(E888:I888)/xxNumOfTeams</f>
        <v>5274040486.3245354</v>
      </c>
    </row>
    <row r="889" spans="1:11" ht="12.75">
      <c r="A889" s="132"/>
      <c r="B889" s="858" t="s">
        <v>1504</v>
      </c>
      <c r="C889" s="545"/>
      <c r="D889" s="545"/>
      <c r="E889" s="859">
        <f ca="1">finInvestedCapital</f>
        <v>14488214331.875597</v>
      </c>
      <c r="F889" s="859">
        <f ca="1">finInvestedCapital</f>
        <v>14488214331.875597</v>
      </c>
      <c r="G889" s="859">
        <f ca="1">finInvestedCapital</f>
        <v>14488214331.875597</v>
      </c>
      <c r="H889" s="859">
        <f ca="1">finInvestedCapital</f>
        <v>14488214331.875597</v>
      </c>
      <c r="I889" s="859">
        <f ca="1">finInvestedCapital</f>
        <v>14488214331.875597</v>
      </c>
      <c r="J889" s="841"/>
      <c r="K889" s="793">
        <f ca="1">SUM(E889:I889)/xxNumOfTeams</f>
        <v>14488214331.875599</v>
      </c>
    </row>
    <row r="890" spans="1:11" ht="12.75">
      <c r="A890" s="132"/>
      <c r="B890" s="567" t="s">
        <v>3164</v>
      </c>
      <c r="C890" s="545"/>
      <c r="D890" s="545"/>
      <c r="E890" s="616">
        <f ca="1">finROIC</f>
        <v>0.22933437001096038</v>
      </c>
      <c r="F890" s="616">
        <f ca="1">finROIC</f>
        <v>0.22933437001096038</v>
      </c>
      <c r="G890" s="616">
        <f ca="1">finROIC</f>
        <v>0.22933437001096038</v>
      </c>
      <c r="H890" s="616">
        <f ca="1">finROIC</f>
        <v>0.22933437001096038</v>
      </c>
      <c r="I890" s="616">
        <f ca="1">finROIC</f>
        <v>0.22933437001096038</v>
      </c>
      <c r="J890" s="841"/>
      <c r="K890" s="807">
        <f ca="1">SUM(E890:I890)/xxNumOfTeams</f>
        <v>0.22933437001096038</v>
      </c>
    </row>
    <row r="891" spans="1:11" ht="4.5" customHeight="1">
      <c r="A891" s="132"/>
      <c r="B891" s="567"/>
      <c r="C891" s="545"/>
      <c r="D891" s="545"/>
      <c r="E891" s="616"/>
      <c r="F891" s="616"/>
      <c r="G891" s="616"/>
      <c r="H891" s="616"/>
      <c r="I891" s="616"/>
      <c r="J891" s="841"/>
      <c r="K891" s="807"/>
    </row>
    <row r="892" spans="1:11" ht="12.75">
      <c r="A892" s="132"/>
      <c r="B892" s="858" t="s">
        <v>3060</v>
      </c>
      <c r="C892" s="545"/>
      <c r="D892" s="545"/>
      <c r="E892" s="616">
        <f ca="1">finInvestedCapital/finPNLNetRev</f>
        <v>0.64044448365366424</v>
      </c>
      <c r="F892" s="616">
        <f ca="1">finInvestedCapital/finPNLNetRev</f>
        <v>0.64044448365366424</v>
      </c>
      <c r="G892" s="616">
        <f ca="1">finInvestedCapital/finPNLNetRev</f>
        <v>0.64044448365366424</v>
      </c>
      <c r="H892" s="616">
        <f ca="1">finInvestedCapital/finPNLNetRev</f>
        <v>0.64044448365366424</v>
      </c>
      <c r="I892" s="616">
        <f ca="1">finInvestedCapital/finPNLNetRev</f>
        <v>0.64044448365366424</v>
      </c>
      <c r="J892" s="841"/>
      <c r="K892" s="807">
        <f ca="1">SUM(E892:I892)/xxNumOfTeams</f>
        <v>0.64044448365366424</v>
      </c>
    </row>
    <row r="893" spans="1:11" ht="13.5" thickBot="1">
      <c r="A893" s="134"/>
      <c r="B893" s="1178"/>
      <c r="C893" s="562"/>
      <c r="D893" s="562"/>
      <c r="E893" s="726"/>
      <c r="F893" s="726"/>
      <c r="G893" s="726"/>
      <c r="H893" s="726"/>
      <c r="I893" s="726"/>
      <c r="J893" s="1179"/>
      <c r="K893" s="1180"/>
    </row>
    <row r="894" spans="1:11">
      <c r="B894" s="898"/>
      <c r="C894" s="898"/>
      <c r="D894" s="898"/>
      <c r="E894" s="898"/>
      <c r="F894" s="898"/>
      <c r="G894" s="898"/>
      <c r="H894" s="898"/>
      <c r="I894" s="898"/>
    </row>
    <row r="895" spans="1:11">
      <c r="B895" s="898"/>
      <c r="C895" s="898"/>
      <c r="D895" s="898"/>
      <c r="E895" s="898"/>
      <c r="F895" s="898"/>
      <c r="G895" s="898"/>
      <c r="H895" s="898"/>
      <c r="I895" s="898"/>
    </row>
    <row r="896" spans="1:11">
      <c r="B896" s="898"/>
      <c r="C896" s="898"/>
      <c r="D896" s="898"/>
      <c r="E896" s="898"/>
      <c r="F896" s="898"/>
      <c r="G896" s="898"/>
      <c r="H896" s="898"/>
      <c r="I896" s="898"/>
    </row>
    <row r="897" spans="2:9">
      <c r="B897" s="898"/>
      <c r="C897" s="898"/>
      <c r="D897" s="898"/>
      <c r="E897" s="898"/>
      <c r="F897" s="898"/>
      <c r="G897" s="898"/>
      <c r="H897" s="898"/>
      <c r="I897" s="898"/>
    </row>
    <row r="898" spans="2:9">
      <c r="B898" s="898"/>
      <c r="C898" s="898"/>
      <c r="D898" s="898"/>
      <c r="E898" s="898"/>
      <c r="F898" s="898"/>
      <c r="G898" s="898"/>
      <c r="H898" s="898"/>
      <c r="I898" s="898"/>
    </row>
    <row r="899" spans="2:9">
      <c r="B899" s="898"/>
      <c r="C899" s="898"/>
      <c r="D899" s="898"/>
      <c r="E899" s="898"/>
      <c r="F899" s="898"/>
      <c r="G899" s="898"/>
      <c r="H899" s="898"/>
      <c r="I899" s="898"/>
    </row>
    <row r="900" spans="2:9">
      <c r="B900" s="898"/>
      <c r="C900" s="898"/>
      <c r="D900" s="898"/>
      <c r="E900" s="898"/>
      <c r="F900" s="898"/>
      <c r="G900" s="898"/>
      <c r="H900" s="898"/>
      <c r="I900" s="898"/>
    </row>
    <row r="901" spans="2:9">
      <c r="B901" s="898"/>
      <c r="C901" s="898"/>
      <c r="D901" s="898"/>
      <c r="E901" s="898"/>
      <c r="F901" s="898"/>
      <c r="G901" s="898"/>
      <c r="H901" s="898"/>
      <c r="I901" s="898"/>
    </row>
  </sheetData>
  <phoneticPr fontId="0" type="noConversion"/>
  <conditionalFormatting sqref="E87:I88">
    <cfRule type="cellIs" dxfId="1" priority="1" stopIfTrue="1" operator="equal">
      <formula>"Newly Unlocked"</formula>
    </cfRule>
    <cfRule type="cellIs" dxfId="0" priority="2" stopIfTrue="1" operator="equal">
      <formula>"Unlocked"</formula>
    </cfRule>
  </conditionalFormatting>
  <dataValidations disablePrompts="1" count="1">
    <dataValidation type="list" allowBlank="1" showInputMessage="1" showErrorMessage="1" sqref="K31:K33">
      <formula1>"Actual,Moderate,Broad"</formula1>
    </dataValidation>
  </dataValidations>
  <printOptions horizontalCentered="1"/>
  <pageMargins left="0.75" right="0.75" top="0.44999999999999996" bottom="0.44999999999999996" header="0.5" footer="0.5"/>
  <pageSetup scale="65" fitToHeight="10" orientation="portrait" r:id="rId1"/>
  <headerFooter alignWithMargins="0">
    <oddFooter>&amp;CPage &amp;P of &amp;N</oddFooter>
  </headerFooter>
  <rowBreaks count="10" manualBreakCount="10">
    <brk id="89" max="10" man="1"/>
    <brk id="180" max="16383" man="1"/>
    <brk id="278" max="16383" man="1"/>
    <brk id="393" max="10" man="1"/>
    <brk id="460" max="16383" man="1"/>
    <brk id="571" max="10" man="1"/>
    <brk id="638" max="10" man="1"/>
    <brk id="715" max="10" man="1"/>
    <brk id="750" max="10" man="1"/>
    <brk id="810" max="10" man="1"/>
  </rowBreaks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alysis1"/>
  <dimension ref="A1:M300"/>
  <sheetViews>
    <sheetView view="pageBreakPreview" zoomScale="115" zoomScaleNormal="100" zoomScaleSheetLayoutView="100" workbookViewId="0">
      <selection activeCell="L23" sqref="L23"/>
    </sheetView>
  </sheetViews>
  <sheetFormatPr defaultRowHeight="11.25"/>
  <cols>
    <col min="1" max="1" width="4.5" customWidth="1"/>
    <col min="2" max="2" width="17.6640625" customWidth="1"/>
    <col min="3" max="3" width="6.83203125" customWidth="1"/>
    <col min="5" max="9" width="16.1640625" bestFit="1" customWidth="1"/>
    <col min="10" max="10" width="13.83203125" style="21" customWidth="1"/>
    <col min="11" max="11" width="16.1640625" bestFit="1" customWidth="1"/>
  </cols>
  <sheetData>
    <row r="1" spans="1:11" ht="5.0999999999999996" customHeight="1" thickBot="1">
      <c r="A1" s="132" t="s">
        <v>3795</v>
      </c>
      <c r="B1" s="21"/>
      <c r="C1" s="21"/>
      <c r="D1" s="21"/>
      <c r="E1" s="21"/>
      <c r="F1" s="21"/>
      <c r="G1" s="21"/>
      <c r="H1" s="21"/>
      <c r="I1" s="21"/>
      <c r="K1" s="133"/>
    </row>
    <row r="2" spans="1:11" ht="20.25">
      <c r="A2" s="1476"/>
      <c r="B2" s="1477" t="s">
        <v>3069</v>
      </c>
      <c r="C2" s="1477"/>
      <c r="D2" s="1477"/>
      <c r="E2" s="1477"/>
      <c r="F2" s="1477"/>
      <c r="G2" s="1477"/>
      <c r="H2" s="1478"/>
      <c r="I2" s="1479"/>
      <c r="J2" s="1479"/>
      <c r="K2" s="1480" t="str">
        <f>"Year:  " &amp; tlInputTeamYear</f>
        <v>Year:  1</v>
      </c>
    </row>
    <row r="3" spans="1:11">
      <c r="A3" s="132"/>
      <c r="B3" s="21"/>
      <c r="C3" s="21"/>
      <c r="D3" s="21"/>
      <c r="E3" s="21"/>
      <c r="F3" s="21"/>
      <c r="G3" s="21"/>
      <c r="H3" s="21"/>
      <c r="I3" s="21"/>
      <c r="K3" s="133"/>
    </row>
    <row r="4" spans="1:11" ht="15.75">
      <c r="A4" s="407" t="s">
        <v>1758</v>
      </c>
      <c r="B4" s="177"/>
      <c r="C4" s="177"/>
      <c r="D4" s="177"/>
      <c r="E4" s="731" t="str">
        <f>decTeamName</f>
        <v>Vivia</v>
      </c>
      <c r="F4" s="731" t="str">
        <f>decTeamName</f>
        <v>Vivia</v>
      </c>
      <c r="G4" s="731" t="str">
        <f>decTeamName</f>
        <v>Vivia</v>
      </c>
      <c r="H4" s="731" t="str">
        <f>decTeamName</f>
        <v>Vivia</v>
      </c>
      <c r="I4" s="731" t="str">
        <f>decTeamName</f>
        <v>Vivia</v>
      </c>
      <c r="J4" s="731"/>
      <c r="K4" s="790"/>
    </row>
    <row r="5" spans="1:11" s="33" customFormat="1" ht="15.75">
      <c r="A5" s="543"/>
      <c r="B5" s="181" t="s">
        <v>1400</v>
      </c>
      <c r="C5" s="176"/>
      <c r="D5" s="176"/>
      <c r="E5" s="181">
        <v>1</v>
      </c>
      <c r="F5" s="181">
        <v>2</v>
      </c>
      <c r="G5" s="181">
        <v>3</v>
      </c>
      <c r="H5" s="181">
        <v>4</v>
      </c>
      <c r="I5" s="181">
        <v>5</v>
      </c>
      <c r="J5" s="149"/>
      <c r="K5" s="791"/>
    </row>
    <row r="6" spans="1:11" s="33" customFormat="1" ht="6.75" customHeight="1">
      <c r="A6" s="1129"/>
      <c r="B6" s="150"/>
      <c r="C6" s="150"/>
      <c r="D6" s="150"/>
      <c r="E6" s="181"/>
      <c r="F6" s="181"/>
      <c r="G6" s="181"/>
      <c r="H6" s="181"/>
      <c r="I6" s="181"/>
      <c r="J6" s="150"/>
      <c r="K6" s="326"/>
    </row>
    <row r="7" spans="1:11" s="33" customFormat="1" ht="11.25" customHeight="1">
      <c r="A7" s="1129"/>
      <c r="B7" s="452" t="s">
        <v>427</v>
      </c>
      <c r="C7" s="150"/>
      <c r="D7" s="150"/>
      <c r="E7" s="181"/>
      <c r="F7" s="181"/>
      <c r="G7" s="181"/>
      <c r="H7" s="181"/>
      <c r="I7" s="181"/>
      <c r="J7" s="150"/>
      <c r="K7" s="326"/>
    </row>
    <row r="8" spans="1:11" s="33" customFormat="1" ht="11.25" customHeight="1">
      <c r="A8" s="1129"/>
      <c r="B8" s="150" t="s">
        <v>739</v>
      </c>
      <c r="C8" s="150"/>
      <c r="D8" s="150"/>
      <c r="E8" s="624">
        <f>finPNLNetRev/obalNetRev-1</f>
        <v>3.3954230875199443E-3</v>
      </c>
      <c r="F8" s="624">
        <f>finPNLNetRev/obalNetRev-1</f>
        <v>3.3954230875199443E-3</v>
      </c>
      <c r="G8" s="624">
        <f>finPNLNetRev/obalNetRev-1</f>
        <v>3.3954230875199443E-3</v>
      </c>
      <c r="H8" s="624">
        <f>finPNLNetRev/obalNetRev-1</f>
        <v>3.3954230875199443E-3</v>
      </c>
      <c r="I8" s="624">
        <f>finPNLNetRev/obalNetRev-1</f>
        <v>3.3954230875199443E-3</v>
      </c>
      <c r="J8" s="150"/>
      <c r="K8" s="326"/>
    </row>
    <row r="9" spans="1:11" s="33" customFormat="1" ht="11.25" customHeight="1">
      <c r="A9" s="1129"/>
      <c r="B9" s="149" t="s">
        <v>740</v>
      </c>
      <c r="C9" s="150"/>
      <c r="D9" s="150"/>
      <c r="E9" s="624">
        <f>finPNLNetRev/feedbackTS!E311-1</f>
        <v>3.3954230875199443E-3</v>
      </c>
      <c r="F9" s="624">
        <f>finPNLNetRev/feedbackTS!F311-1</f>
        <v>3.3954230875199443E-3</v>
      </c>
      <c r="G9" s="624">
        <f>finPNLNetRev/feedbackTS!G311-1</f>
        <v>3.3954230875199443E-3</v>
      </c>
      <c r="H9" s="624">
        <f>finPNLNetRev/feedbackTS!H311-1</f>
        <v>3.3954230875199443E-3</v>
      </c>
      <c r="I9" s="624">
        <f>finPNLNetRev/feedbackTS!I311-1</f>
        <v>3.3954230875199443E-3</v>
      </c>
      <c r="J9" s="150"/>
      <c r="K9" s="326"/>
    </row>
    <row r="10" spans="1:11" s="33" customFormat="1" ht="11.25" customHeight="1">
      <c r="A10" s="1129"/>
      <c r="B10" s="150" t="s">
        <v>1762</v>
      </c>
      <c r="C10" s="150"/>
      <c r="D10" s="150"/>
      <c r="E10" s="150">
        <f>RANK(E9,$E9:$I9)</f>
        <v>1</v>
      </c>
      <c r="F10" s="150">
        <f>RANK(F9,$E9:$I9)</f>
        <v>1</v>
      </c>
      <c r="G10" s="150">
        <f>RANK(G9,$E9:$I9)</f>
        <v>1</v>
      </c>
      <c r="H10" s="150">
        <f>RANK(H9,$E9:$I9)</f>
        <v>1</v>
      </c>
      <c r="I10" s="150">
        <f>RANK(I9,$E9:$I9)</f>
        <v>1</v>
      </c>
      <c r="J10" s="150"/>
      <c r="K10" s="326"/>
    </row>
    <row r="11" spans="1:11" s="33" customFormat="1" ht="6.75" customHeight="1">
      <c r="A11" s="1129"/>
      <c r="B11" s="150"/>
      <c r="C11" s="150"/>
      <c r="D11" s="150"/>
      <c r="E11" s="150"/>
      <c r="F11" s="150"/>
      <c r="G11" s="150"/>
      <c r="H11" s="150"/>
      <c r="I11" s="150"/>
      <c r="J11" s="150"/>
      <c r="K11" s="326"/>
    </row>
    <row r="12" spans="1:11" s="33" customFormat="1" ht="11.25" customHeight="1">
      <c r="A12" s="1129"/>
      <c r="B12" s="452" t="s">
        <v>3164</v>
      </c>
      <c r="C12" s="150"/>
      <c r="D12" s="150"/>
      <c r="E12" s="624">
        <f ca="1">finROIC</f>
        <v>0.22933437001096038</v>
      </c>
      <c r="F12" s="624">
        <f ca="1">finROIC</f>
        <v>0.22933437001096038</v>
      </c>
      <c r="G12" s="624">
        <f ca="1">finROIC</f>
        <v>0.22933437001096038</v>
      </c>
      <c r="H12" s="624">
        <f ca="1">finROIC</f>
        <v>0.22933437001096038</v>
      </c>
      <c r="I12" s="624">
        <f ca="1">finROIC</f>
        <v>0.22933437001096038</v>
      </c>
      <c r="J12" s="150"/>
      <c r="K12" s="326"/>
    </row>
    <row r="13" spans="1:11" s="33" customFormat="1" ht="11.25" customHeight="1">
      <c r="A13" s="1129"/>
      <c r="B13" s="150" t="s">
        <v>974</v>
      </c>
      <c r="C13" s="150"/>
      <c r="D13" s="150"/>
      <c r="E13" s="150">
        <f ca="1">RANK(E12,$E12:$I12)</f>
        <v>1</v>
      </c>
      <c r="F13" s="150">
        <f ca="1">RANK(F12,$E12:$I12)</f>
        <v>1</v>
      </c>
      <c r="G13" s="150">
        <f ca="1">RANK(G12,$E12:$I12)</f>
        <v>1</v>
      </c>
      <c r="H13" s="150">
        <f ca="1">RANK(H12,$E12:$I12)</f>
        <v>1</v>
      </c>
      <c r="I13" s="150">
        <f ca="1">RANK(I12,$E12:$I12)</f>
        <v>1</v>
      </c>
      <c r="J13" s="150"/>
      <c r="K13" s="326"/>
    </row>
    <row r="14" spans="1:11" s="33" customFormat="1" ht="6.75" customHeight="1">
      <c r="A14" s="1129"/>
      <c r="B14" s="150"/>
      <c r="C14" s="150"/>
      <c r="D14" s="150"/>
      <c r="E14" s="150"/>
      <c r="F14" s="150"/>
      <c r="G14" s="150"/>
      <c r="H14" s="150"/>
      <c r="I14" s="150"/>
      <c r="J14" s="150"/>
      <c r="K14" s="326"/>
    </row>
    <row r="15" spans="1:11" s="33" customFormat="1" ht="11.25" customHeight="1">
      <c r="A15" s="1129"/>
      <c r="B15" s="452" t="s">
        <v>3653</v>
      </c>
      <c r="C15" s="150"/>
      <c r="D15" s="150"/>
      <c r="E15" s="1128">
        <f ca="1">paramSustainability</f>
        <v>100.46404932205822</v>
      </c>
      <c r="F15" s="1128">
        <f ca="1">paramSustainability</f>
        <v>100.46404932205822</v>
      </c>
      <c r="G15" s="1128">
        <f ca="1">paramSustainability</f>
        <v>100.46404932205822</v>
      </c>
      <c r="H15" s="1128">
        <f ca="1">paramSustainability</f>
        <v>100.46404932205822</v>
      </c>
      <c r="I15" s="1128">
        <f ca="1">paramSustainability</f>
        <v>100.46404932205822</v>
      </c>
      <c r="J15" s="150"/>
      <c r="K15" s="326"/>
    </row>
    <row r="16" spans="1:11" s="33" customFormat="1" ht="11.25" customHeight="1">
      <c r="A16" s="1129"/>
      <c r="B16" s="150" t="s">
        <v>974</v>
      </c>
      <c r="C16" s="150"/>
      <c r="D16" s="150"/>
      <c r="E16" s="150">
        <f ca="1">RANK(E15,$E15:$I15)</f>
        <v>1</v>
      </c>
      <c r="F16" s="150">
        <f ca="1">RANK(F15,$E15:$I15)</f>
        <v>1</v>
      </c>
      <c r="G16" s="150">
        <f ca="1">RANK(G15,$E15:$I15)</f>
        <v>1</v>
      </c>
      <c r="H16" s="150">
        <f ca="1">RANK(H15,$E15:$I15)</f>
        <v>1</v>
      </c>
      <c r="I16" s="150">
        <f ca="1">RANK(I15,$E15:$I15)</f>
        <v>1</v>
      </c>
      <c r="J16" s="150"/>
      <c r="K16" s="326"/>
    </row>
    <row r="17" spans="1:12" s="33" customFormat="1" ht="6.75" customHeight="1">
      <c r="A17" s="1129"/>
      <c r="B17" s="150"/>
      <c r="C17" s="150"/>
      <c r="D17" s="150"/>
      <c r="E17" s="149"/>
      <c r="F17" s="150"/>
      <c r="G17" s="150"/>
      <c r="H17" s="150"/>
      <c r="I17" s="150"/>
      <c r="J17" s="150"/>
      <c r="K17" s="326"/>
    </row>
    <row r="18" spans="1:12" s="33" customFormat="1" ht="11.25" customHeight="1">
      <c r="A18" s="1129"/>
      <c r="B18" s="150" t="s">
        <v>1759</v>
      </c>
      <c r="C18" s="150">
        <v>10</v>
      </c>
      <c r="D18" s="150"/>
      <c r="E18" s="1187" t="e">
        <f>analysis!E31</f>
        <v>#NUM!</v>
      </c>
      <c r="F18" s="1187" t="e">
        <f>analysis!F31</f>
        <v>#NUM!</v>
      </c>
      <c r="G18" s="1187" t="e">
        <f>analysis!G31</f>
        <v>#NUM!</v>
      </c>
      <c r="H18" s="1187" t="e">
        <f>analysis!H31</f>
        <v>#NUM!</v>
      </c>
      <c r="I18" s="1187" t="e">
        <f>analysis!I31</f>
        <v>#NUM!</v>
      </c>
      <c r="J18" s="150"/>
      <c r="K18" s="1130"/>
      <c r="L18" s="1448"/>
    </row>
    <row r="19" spans="1:12" s="33" customFormat="1" ht="11.25" customHeight="1">
      <c r="A19" s="1129"/>
      <c r="B19" s="150" t="s">
        <v>1760</v>
      </c>
      <c r="C19" s="150">
        <v>10</v>
      </c>
      <c r="D19" s="150"/>
      <c r="E19" s="1187" t="e">
        <f ca="1">analysis!E32</f>
        <v>#NUM!</v>
      </c>
      <c r="F19" s="1187" t="e">
        <f ca="1">analysis!F32</f>
        <v>#NUM!</v>
      </c>
      <c r="G19" s="1187" t="e">
        <f ca="1">analysis!G32</f>
        <v>#NUM!</v>
      </c>
      <c r="H19" s="1187" t="e">
        <f ca="1">analysis!H32</f>
        <v>#NUM!</v>
      </c>
      <c r="I19" s="1187" t="e">
        <f ca="1">analysis!I32</f>
        <v>#NUM!</v>
      </c>
      <c r="J19" s="150"/>
      <c r="K19" s="1130"/>
      <c r="L19" s="1448"/>
    </row>
    <row r="20" spans="1:12" s="33" customFormat="1" ht="11.25" customHeight="1">
      <c r="A20" s="1129"/>
      <c r="B20" s="150" t="s">
        <v>1761</v>
      </c>
      <c r="C20" s="150">
        <v>10</v>
      </c>
      <c r="D20" s="150"/>
      <c r="E20" s="1187" t="e">
        <f ca="1">analysis!E33</f>
        <v>#NUM!</v>
      </c>
      <c r="F20" s="1187" t="e">
        <f ca="1">analysis!F33</f>
        <v>#NUM!</v>
      </c>
      <c r="G20" s="1187" t="e">
        <f ca="1">analysis!G33</f>
        <v>#NUM!</v>
      </c>
      <c r="H20" s="1187" t="e">
        <f ca="1">analysis!H33</f>
        <v>#NUM!</v>
      </c>
      <c r="I20" s="1187" t="e">
        <f ca="1">analysis!I33</f>
        <v>#NUM!</v>
      </c>
      <c r="J20" s="150"/>
      <c r="K20" s="1130"/>
      <c r="L20" s="1448"/>
    </row>
    <row r="21" spans="1:12" s="344" customFormat="1" ht="11.25" customHeight="1">
      <c r="A21" s="1129"/>
      <c r="B21" s="1173" t="s">
        <v>1763</v>
      </c>
      <c r="C21" s="1174"/>
      <c r="D21" s="1174"/>
      <c r="E21" s="1442" t="e">
        <f ca="1">analysis!E34</f>
        <v>#NUM!</v>
      </c>
      <c r="F21" s="1442" t="e">
        <f ca="1">analysis!F34</f>
        <v>#NUM!</v>
      </c>
      <c r="G21" s="1442" t="e">
        <f ca="1">analysis!G34</f>
        <v>#NUM!</v>
      </c>
      <c r="H21" s="1442" t="e">
        <f ca="1">analysis!H34</f>
        <v>#NUM!</v>
      </c>
      <c r="I21" s="1443" t="e">
        <f ca="1">analysis!I34</f>
        <v>#NUM!</v>
      </c>
      <c r="J21" s="452"/>
      <c r="K21" s="1130"/>
    </row>
    <row r="22" spans="1:12" s="344" customFormat="1" ht="11.25" customHeight="1">
      <c r="A22" s="1129"/>
      <c r="B22" s="1444" t="s">
        <v>286</v>
      </c>
      <c r="C22" s="1445"/>
      <c r="D22" s="1445"/>
      <c r="E22" s="1446" t="e">
        <f ca="1">analysis!E35</f>
        <v>#NUM!</v>
      </c>
      <c r="F22" s="1446" t="e">
        <f ca="1">analysis!F35</f>
        <v>#NUM!</v>
      </c>
      <c r="G22" s="1446" t="e">
        <f ca="1">analysis!G35</f>
        <v>#NUM!</v>
      </c>
      <c r="H22" s="1446" t="e">
        <f ca="1">analysis!H35</f>
        <v>#NUM!</v>
      </c>
      <c r="I22" s="1447" t="e">
        <f ca="1">analysis!I35</f>
        <v>#NUM!</v>
      </c>
      <c r="J22" s="452"/>
      <c r="K22" s="1130"/>
    </row>
    <row r="23" spans="1:12" s="344" customFormat="1" ht="11.25" customHeight="1">
      <c r="A23" s="1129"/>
      <c r="B23" s="452"/>
      <c r="C23" s="452"/>
      <c r="D23" s="452"/>
      <c r="E23" s="452"/>
      <c r="F23" s="452"/>
      <c r="G23" s="452"/>
      <c r="H23" s="452"/>
      <c r="I23" s="452"/>
      <c r="J23" s="452"/>
      <c r="K23" s="1130"/>
    </row>
    <row r="24" spans="1:12" s="344" customFormat="1" ht="11.25" customHeight="1">
      <c r="A24" s="1129"/>
      <c r="B24" s="452" t="s">
        <v>287</v>
      </c>
      <c r="C24" s="452"/>
      <c r="D24" s="452"/>
      <c r="E24" s="452"/>
      <c r="F24" s="452"/>
      <c r="G24" s="452"/>
      <c r="H24" s="452"/>
      <c r="I24" s="452"/>
      <c r="J24" s="452"/>
      <c r="K24" s="1130"/>
    </row>
    <row r="25" spans="1:12" s="344" customFormat="1" ht="11.25" customHeight="1">
      <c r="A25" s="327">
        <v>1</v>
      </c>
      <c r="B25" s="1050" t="s">
        <v>1764</v>
      </c>
      <c r="C25" s="1384"/>
      <c r="D25" s="1384"/>
      <c r="E25" s="1440" t="e">
        <f ca="1">analysis!E38</f>
        <v>#NUM!</v>
      </c>
      <c r="F25" s="1440" t="e">
        <f ca="1">analysis!F38</f>
        <v>#NUM!</v>
      </c>
      <c r="G25" s="1440" t="e">
        <f ca="1">analysis!G38</f>
        <v>#NUM!</v>
      </c>
      <c r="H25" s="1440" t="e">
        <f ca="1">analysis!H38</f>
        <v>#NUM!</v>
      </c>
      <c r="I25" s="1441" t="e">
        <f ca="1">analysis!I38</f>
        <v>#NUM!</v>
      </c>
      <c r="J25" s="452"/>
      <c r="K25" s="1130"/>
    </row>
    <row r="26" spans="1:12" s="344" customFormat="1" ht="11.25" customHeight="1">
      <c r="A26" s="327">
        <v>2</v>
      </c>
      <c r="B26" s="1054" t="s">
        <v>1765</v>
      </c>
      <c r="C26" s="1175"/>
      <c r="D26" s="1175"/>
      <c r="E26" s="1334" t="e">
        <f>analysis!E39</f>
        <v>#N/A</v>
      </c>
      <c r="F26" s="1334" t="e">
        <f>analysis!F39</f>
        <v>#N/A</v>
      </c>
      <c r="G26" s="1334" t="e">
        <f>analysis!G39</f>
        <v>#N/A</v>
      </c>
      <c r="H26" s="1334" t="e">
        <f>analysis!H39</f>
        <v>#N/A</v>
      </c>
      <c r="I26" s="1335" t="e">
        <f>analysis!I39</f>
        <v>#N/A</v>
      </c>
      <c r="J26" s="452"/>
      <c r="K26" s="1130"/>
    </row>
    <row r="27" spans="1:12" s="344" customFormat="1" ht="11.25" hidden="1" customHeight="1">
      <c r="A27" s="327">
        <v>3</v>
      </c>
      <c r="B27" s="1054" t="s">
        <v>1766</v>
      </c>
      <c r="C27" s="1175"/>
      <c r="D27" s="1175"/>
      <c r="E27" s="1334" t="e">
        <f>analysis!E40</f>
        <v>#N/A</v>
      </c>
      <c r="F27" s="1334" t="e">
        <f>analysis!F40</f>
        <v>#N/A</v>
      </c>
      <c r="G27" s="1334" t="e">
        <f>analysis!G40</f>
        <v>#N/A</v>
      </c>
      <c r="H27" s="1334" t="e">
        <f>analysis!H40</f>
        <v>#N/A</v>
      </c>
      <c r="I27" s="1335" t="e">
        <f>analysis!I40</f>
        <v>#N/A</v>
      </c>
      <c r="J27" s="452"/>
      <c r="K27" s="1130"/>
    </row>
    <row r="28" spans="1:12" ht="6.75" customHeight="1" thickBot="1">
      <c r="A28" s="134"/>
      <c r="B28" s="561"/>
      <c r="C28" s="562"/>
      <c r="D28" s="562"/>
      <c r="E28" s="563"/>
      <c r="F28" s="563"/>
      <c r="G28" s="563"/>
      <c r="H28" s="563"/>
      <c r="I28" s="563"/>
      <c r="J28" s="763"/>
      <c r="K28" s="801"/>
    </row>
    <row r="29" spans="1:12" ht="15.75">
      <c r="A29" s="407" t="s">
        <v>1598</v>
      </c>
      <c r="B29" s="182"/>
      <c r="C29" s="182"/>
      <c r="D29" s="182"/>
      <c r="E29" s="731" t="str">
        <f>decTeamName</f>
        <v>Vivia</v>
      </c>
      <c r="F29" s="731" t="str">
        <f>decTeamName</f>
        <v>Vivia</v>
      </c>
      <c r="G29" s="731" t="str">
        <f>decTeamName</f>
        <v>Vivia</v>
      </c>
      <c r="H29" s="731" t="str">
        <f>decTeamName</f>
        <v>Vivia</v>
      </c>
      <c r="I29" s="731" t="str">
        <f>decTeamName</f>
        <v>Vivia</v>
      </c>
      <c r="J29" s="742"/>
      <c r="K29" s="823" t="s">
        <v>2718</v>
      </c>
    </row>
    <row r="30" spans="1:12" s="33" customFormat="1" ht="15.75">
      <c r="A30" s="707" t="s">
        <v>2049</v>
      </c>
      <c r="B30" s="568"/>
      <c r="C30" s="568"/>
      <c r="D30" s="568"/>
      <c r="E30" s="176"/>
      <c r="F30" s="176"/>
      <c r="G30" s="176"/>
      <c r="H30" s="176"/>
      <c r="I30" s="176"/>
      <c r="J30" s="536"/>
      <c r="K30" s="795"/>
    </row>
    <row r="31" spans="1:12" s="33" customFormat="1" ht="5.0999999999999996" customHeight="1">
      <c r="A31" s="543"/>
      <c r="B31" s="568"/>
      <c r="C31" s="568"/>
      <c r="D31" s="568"/>
      <c r="E31" s="176"/>
      <c r="F31" s="176"/>
      <c r="G31" s="176"/>
      <c r="H31" s="176"/>
      <c r="I31" s="176"/>
      <c r="J31" s="536"/>
      <c r="K31" s="795"/>
    </row>
    <row r="32" spans="1:12" ht="12.75">
      <c r="A32" s="132"/>
      <c r="B32" s="893" t="s">
        <v>200</v>
      </c>
      <c r="C32" s="21"/>
      <c r="D32" s="21"/>
      <c r="E32" s="38"/>
      <c r="F32" s="38"/>
      <c r="G32" s="38"/>
      <c r="H32" s="38"/>
      <c r="I32" s="38"/>
      <c r="J32" s="180"/>
      <c r="K32" s="796"/>
    </row>
    <row r="33" spans="1:11">
      <c r="A33" s="132"/>
      <c r="B33" s="21"/>
      <c r="C33" s="21"/>
      <c r="D33" s="21"/>
      <c r="E33" s="1274"/>
      <c r="F33" s="1274"/>
      <c r="G33" s="1274"/>
      <c r="H33" s="1274"/>
      <c r="I33" s="1274"/>
      <c r="J33" s="180"/>
      <c r="K33" s="817"/>
    </row>
    <row r="34" spans="1:11">
      <c r="A34" s="132"/>
      <c r="B34" s="21" t="s">
        <v>242</v>
      </c>
      <c r="C34" s="21"/>
      <c r="D34" s="21"/>
      <c r="E34" s="1274">
        <f>cbalEmp1</f>
        <v>4000</v>
      </c>
      <c r="F34" s="1274">
        <f>cbalEmp1</f>
        <v>4000</v>
      </c>
      <c r="G34" s="1274">
        <f>cbalEmp1</f>
        <v>4000</v>
      </c>
      <c r="H34" s="1274">
        <f>cbalEmp1</f>
        <v>4000</v>
      </c>
      <c r="I34" s="1274">
        <f>cbalEmp1</f>
        <v>4000</v>
      </c>
      <c r="J34" s="180"/>
      <c r="K34" s="817">
        <f>SUM(E34:I34)/xxNumOfTeams</f>
        <v>4000</v>
      </c>
    </row>
    <row r="35" spans="1:11">
      <c r="A35" s="132"/>
      <c r="B35" s="21" t="s">
        <v>1721</v>
      </c>
      <c r="C35" s="21"/>
      <c r="D35" s="21"/>
      <c r="E35" s="1274">
        <f>capReg1ChanLevel</f>
        <v>3</v>
      </c>
      <c r="F35" s="1274">
        <f>capReg1ChanLevel</f>
        <v>3</v>
      </c>
      <c r="G35" s="1274">
        <f>capReg1ChanLevel</f>
        <v>3</v>
      </c>
      <c r="H35" s="1274">
        <f>capReg1ChanLevel</f>
        <v>3</v>
      </c>
      <c r="I35" s="1274">
        <f>capReg1ChanLevel</f>
        <v>3</v>
      </c>
      <c r="J35" s="180"/>
      <c r="K35" s="817">
        <f>SUM(E35:I35)/xxNumOfTeams</f>
        <v>3</v>
      </c>
    </row>
    <row r="36" spans="1:11" ht="6" customHeight="1">
      <c r="A36" s="132"/>
      <c r="B36" s="893"/>
      <c r="C36" s="21"/>
      <c r="D36" s="21"/>
      <c r="E36" s="38"/>
      <c r="F36" s="38"/>
      <c r="G36" s="38"/>
      <c r="H36" s="38"/>
      <c r="I36" s="38"/>
      <c r="J36" s="180"/>
      <c r="K36" s="796"/>
    </row>
    <row r="37" spans="1:11" ht="12.75">
      <c r="A37" s="132"/>
      <c r="B37" s="893" t="str">
        <f>DataNameProd1</f>
        <v>CSD</v>
      </c>
      <c r="C37" s="21"/>
      <c r="D37" s="21"/>
      <c r="E37" s="38"/>
      <c r="F37" s="38"/>
      <c r="G37" s="38"/>
      <c r="H37" s="38"/>
      <c r="I37" s="38"/>
      <c r="J37" s="180"/>
      <c r="K37" s="796"/>
    </row>
    <row r="38" spans="1:11" ht="6" customHeight="1">
      <c r="A38" s="132"/>
      <c r="B38" s="21"/>
      <c r="C38" s="21"/>
      <c r="D38" s="21"/>
      <c r="E38" s="532"/>
      <c r="F38" s="532"/>
      <c r="G38" s="532"/>
      <c r="H38" s="532"/>
      <c r="I38" s="532"/>
      <c r="J38" s="1275"/>
      <c r="K38" s="818"/>
    </row>
    <row r="39" spans="1:11">
      <c r="A39" s="132"/>
      <c r="B39" s="62" t="s">
        <v>2830</v>
      </c>
      <c r="C39" s="62"/>
      <c r="D39" s="62"/>
      <c r="E39" s="1166">
        <f>mmProd1!E231</f>
        <v>0.2</v>
      </c>
      <c r="F39" s="1166">
        <f>mmProd1!F231</f>
        <v>0.2</v>
      </c>
      <c r="G39" s="1166">
        <f>mmProd1!G231</f>
        <v>0.2</v>
      </c>
      <c r="H39" s="1166">
        <f>mmProd1!H231</f>
        <v>0.2</v>
      </c>
      <c r="I39" s="1166">
        <f>mmProd1!I231</f>
        <v>0.2</v>
      </c>
      <c r="J39" s="1166"/>
      <c r="K39" s="1281">
        <f>SUM(E39:I39)/xxNumOfTeams</f>
        <v>0.2</v>
      </c>
    </row>
    <row r="40" spans="1:11">
      <c r="A40" s="132"/>
      <c r="B40" s="21" t="s">
        <v>1402</v>
      </c>
      <c r="C40" s="21"/>
      <c r="D40" s="21"/>
      <c r="E40" s="532">
        <f>capProd1Reg1Price</f>
        <v>9.5</v>
      </c>
      <c r="F40" s="532">
        <f>capProd1Reg1Price</f>
        <v>9.5</v>
      </c>
      <c r="G40" s="532">
        <f>capProd1Reg1Price</f>
        <v>9.5</v>
      </c>
      <c r="H40" s="532">
        <f>capProd1Reg1Price</f>
        <v>9.5</v>
      </c>
      <c r="I40" s="532">
        <f>capProd1Reg1Price</f>
        <v>9.5</v>
      </c>
      <c r="J40" s="1275"/>
      <c r="K40" s="818">
        <f>SUM(E40:I40)/xxNumOfTeams</f>
        <v>9.5</v>
      </c>
    </row>
    <row r="41" spans="1:11">
      <c r="A41" s="132"/>
      <c r="B41" s="149" t="s">
        <v>212</v>
      </c>
      <c r="C41" s="21"/>
      <c r="D41" s="21"/>
      <c r="E41" s="1460">
        <f>capReg1Prod1UnitsSold</f>
        <v>741713021</v>
      </c>
      <c r="F41" s="1460">
        <f>capReg1Prod1UnitsSold</f>
        <v>741713021</v>
      </c>
      <c r="G41" s="1460">
        <f>capReg1Prod1UnitsSold</f>
        <v>741713021</v>
      </c>
      <c r="H41" s="1460">
        <f>capReg1Prod1UnitsSold</f>
        <v>741713021</v>
      </c>
      <c r="I41" s="1460">
        <f>capReg1Prod1UnitsSold</f>
        <v>741713021</v>
      </c>
      <c r="J41" s="1460"/>
      <c r="K41" s="1461">
        <f>SUM(E41:I41)/xxNumOfTeams</f>
        <v>741713021</v>
      </c>
    </row>
    <row r="42" spans="1:11" ht="6" customHeight="1">
      <c r="A42" s="132"/>
      <c r="B42" s="21"/>
      <c r="C42" s="21"/>
      <c r="D42" s="21"/>
      <c r="E42" s="38"/>
      <c r="F42" s="38"/>
      <c r="G42" s="38"/>
      <c r="H42" s="38"/>
      <c r="I42" s="38"/>
      <c r="J42" s="180"/>
      <c r="K42" s="796"/>
    </row>
    <row r="43" spans="1:11">
      <c r="A43" s="132"/>
      <c r="B43" s="548" t="s">
        <v>1726</v>
      </c>
      <c r="C43" s="21"/>
      <c r="D43" s="21"/>
      <c r="E43" s="21" t="str">
        <f>decProd1Ftr4LevelDec</f>
        <v>Intermediate</v>
      </c>
      <c r="F43" s="21" t="str">
        <f>decProd1Ftr4LevelDec</f>
        <v>Intermediate</v>
      </c>
      <c r="G43" s="21" t="str">
        <f>decProd1Ftr4LevelDec</f>
        <v>Intermediate</v>
      </c>
      <c r="H43" s="21" t="str">
        <f>decProd1Ftr4LevelDec</f>
        <v>Intermediate</v>
      </c>
      <c r="I43" s="21" t="str">
        <f>decProd1Ftr4LevelDec</f>
        <v>Intermediate</v>
      </c>
      <c r="J43" s="180"/>
      <c r="K43" s="796"/>
    </row>
    <row r="44" spans="1:11" ht="6" customHeight="1">
      <c r="A44" s="132"/>
      <c r="B44" s="548"/>
      <c r="C44" s="21"/>
      <c r="D44" s="21"/>
      <c r="E44" s="21"/>
      <c r="F44" s="21"/>
      <c r="G44" s="21"/>
      <c r="H44" s="21"/>
      <c r="I44" s="21"/>
      <c r="J44" s="180"/>
      <c r="K44" s="796"/>
    </row>
    <row r="45" spans="1:11">
      <c r="A45" s="132"/>
      <c r="B45" s="21" t="s">
        <v>1404</v>
      </c>
      <c r="C45" s="21"/>
      <c r="D45" s="21"/>
      <c r="E45" s="1273">
        <f>capProd1Adv</f>
        <v>410000000</v>
      </c>
      <c r="F45" s="1273">
        <f>capProd1Adv</f>
        <v>410000000</v>
      </c>
      <c r="G45" s="1273">
        <f>capProd1Adv</f>
        <v>410000000</v>
      </c>
      <c r="H45" s="1273">
        <f>capProd1Adv</f>
        <v>410000000</v>
      </c>
      <c r="I45" s="1273">
        <f>capProd1Adv</f>
        <v>410000000</v>
      </c>
      <c r="J45" s="1273"/>
      <c r="K45" s="1276">
        <f>SUM(E45:I45)/xxNumOfTeams</f>
        <v>410000000</v>
      </c>
    </row>
    <row r="46" spans="1:11">
      <c r="A46" s="132"/>
      <c r="B46" s="21" t="s">
        <v>175</v>
      </c>
      <c r="C46" s="21"/>
      <c r="D46" s="21"/>
      <c r="E46" s="1273">
        <f>capProd1Promo</f>
        <v>1450000000</v>
      </c>
      <c r="F46" s="1273">
        <f>capProd1Promo</f>
        <v>1450000000</v>
      </c>
      <c r="G46" s="1273">
        <f>capProd1Promo</f>
        <v>1450000000</v>
      </c>
      <c r="H46" s="1273">
        <f>capProd1Promo</f>
        <v>1450000000</v>
      </c>
      <c r="I46" s="1273">
        <f>capProd1Promo</f>
        <v>1450000000</v>
      </c>
      <c r="J46" s="1273"/>
      <c r="K46" s="1276">
        <f>SUM(E46:I46)/xxNumOfTeams</f>
        <v>1450000000</v>
      </c>
    </row>
    <row r="47" spans="1:11" ht="6" customHeight="1">
      <c r="A47" s="132"/>
      <c r="B47" s="21"/>
      <c r="C47" s="21"/>
      <c r="D47" s="21"/>
      <c r="E47" s="38"/>
      <c r="F47" s="38"/>
      <c r="G47" s="38"/>
      <c r="H47" s="38"/>
      <c r="I47" s="38"/>
      <c r="J47" s="180"/>
      <c r="K47" s="796"/>
    </row>
    <row r="48" spans="1:11" ht="12.75">
      <c r="A48" s="132"/>
      <c r="B48" s="893" t="str">
        <f>DataNameProd3</f>
        <v>NCB</v>
      </c>
      <c r="C48" s="21"/>
      <c r="D48" s="21"/>
      <c r="E48" s="38"/>
      <c r="F48" s="38"/>
      <c r="G48" s="38"/>
      <c r="H48" s="38"/>
      <c r="I48" s="38"/>
      <c r="J48" s="180"/>
      <c r="K48" s="796"/>
    </row>
    <row r="49" spans="1:11" ht="6" customHeight="1">
      <c r="A49" s="132"/>
      <c r="B49" s="21"/>
      <c r="C49" s="21"/>
      <c r="D49" s="21"/>
      <c r="E49" s="532"/>
      <c r="F49" s="532"/>
      <c r="G49" s="532"/>
      <c r="H49" s="532"/>
      <c r="I49" s="532"/>
      <c r="J49" s="1275"/>
      <c r="K49" s="818"/>
    </row>
    <row r="50" spans="1:11">
      <c r="A50" s="132"/>
      <c r="B50" s="62" t="s">
        <v>2830</v>
      </c>
      <c r="C50" s="62"/>
      <c r="D50" s="62"/>
      <c r="E50" s="1166">
        <f>mmProd3!E230</f>
        <v>0.2</v>
      </c>
      <c r="F50" s="1166">
        <f>mmProd3!F230</f>
        <v>0.2</v>
      </c>
      <c r="G50" s="1166">
        <f>mmProd3!G230</f>
        <v>0.2</v>
      </c>
      <c r="H50" s="1166">
        <f>mmProd3!H230</f>
        <v>0.2</v>
      </c>
      <c r="I50" s="1166">
        <f>mmProd3!I230</f>
        <v>0.2</v>
      </c>
      <c r="J50" s="1166"/>
      <c r="K50" s="1281">
        <f>SUM(E50:I50)/xxNumOfTeams</f>
        <v>0.2</v>
      </c>
    </row>
    <row r="51" spans="1:11">
      <c r="A51" s="132"/>
      <c r="B51" s="21" t="s">
        <v>1402</v>
      </c>
      <c r="C51" s="21"/>
      <c r="D51" s="21"/>
      <c r="E51" s="532">
        <f>capProd3Reg1Price</f>
        <v>15</v>
      </c>
      <c r="F51" s="532">
        <f>capProd3Reg1Price</f>
        <v>15</v>
      </c>
      <c r="G51" s="532">
        <f>capProd3Reg1Price</f>
        <v>15</v>
      </c>
      <c r="H51" s="532">
        <f>capProd3Reg1Price</f>
        <v>15</v>
      </c>
      <c r="I51" s="532">
        <f>capProd3Reg1Price</f>
        <v>15</v>
      </c>
      <c r="J51" s="1275"/>
      <c r="K51" s="818">
        <f>SUM(E51:I51)/xxNumOfTeams</f>
        <v>15</v>
      </c>
    </row>
    <row r="52" spans="1:11">
      <c r="A52" s="132"/>
      <c r="B52" s="149" t="s">
        <v>212</v>
      </c>
      <c r="C52" s="21"/>
      <c r="D52" s="21"/>
      <c r="E52" s="1460">
        <f>capReg1Prod3UnitsSold</f>
        <v>356800000</v>
      </c>
      <c r="F52" s="1460">
        <f>capReg1Prod3UnitsSold</f>
        <v>356800000</v>
      </c>
      <c r="G52" s="1460">
        <f>capReg1Prod3UnitsSold</f>
        <v>356800000</v>
      </c>
      <c r="H52" s="1460">
        <f>capReg1Prod3UnitsSold</f>
        <v>356800000</v>
      </c>
      <c r="I52" s="1460">
        <f>capReg1Prod3UnitsSold</f>
        <v>356800000</v>
      </c>
      <c r="J52" s="1460"/>
      <c r="K52" s="1461">
        <f>SUM(E52:I52)/xxNumOfTeams</f>
        <v>356800000</v>
      </c>
    </row>
    <row r="53" spans="1:11" ht="6" customHeight="1">
      <c r="A53" s="132"/>
      <c r="B53" s="21"/>
      <c r="C53" s="21"/>
      <c r="D53" s="21"/>
      <c r="E53" s="38"/>
      <c r="F53" s="38"/>
      <c r="G53" s="38"/>
      <c r="H53" s="38"/>
      <c r="I53" s="38"/>
      <c r="J53" s="180"/>
      <c r="K53" s="796"/>
    </row>
    <row r="54" spans="1:11">
      <c r="A54" s="132"/>
      <c r="B54" s="548" t="s">
        <v>246</v>
      </c>
      <c r="C54" s="21"/>
      <c r="D54" s="21"/>
      <c r="E54" s="21" t="str">
        <f>decProd3Ftr4LevelDec</f>
        <v>Narrow</v>
      </c>
      <c r="F54" s="21" t="str">
        <f>decProd3Ftr4LevelDec</f>
        <v>Narrow</v>
      </c>
      <c r="G54" s="21" t="str">
        <f>decProd3Ftr4LevelDec</f>
        <v>Narrow</v>
      </c>
      <c r="H54" s="21" t="str">
        <f>decProd3Ftr4LevelDec</f>
        <v>Narrow</v>
      </c>
      <c r="I54" s="21" t="str">
        <f>decProd3Ftr4LevelDec</f>
        <v>Narrow</v>
      </c>
      <c r="J54" s="180"/>
      <c r="K54" s="796"/>
    </row>
    <row r="55" spans="1:11" ht="6" customHeight="1">
      <c r="A55" s="132"/>
      <c r="B55" s="548"/>
      <c r="C55" s="21"/>
      <c r="D55" s="21"/>
      <c r="E55" s="21"/>
      <c r="F55" s="21"/>
      <c r="G55" s="21"/>
      <c r="H55" s="21"/>
      <c r="I55" s="21"/>
      <c r="J55" s="180"/>
      <c r="K55" s="796"/>
    </row>
    <row r="56" spans="1:11">
      <c r="A56" s="132"/>
      <c r="B56" s="21" t="s">
        <v>1404</v>
      </c>
      <c r="C56" s="21"/>
      <c r="D56" s="21"/>
      <c r="E56" s="1273">
        <f>capProd3Adv</f>
        <v>495000000</v>
      </c>
      <c r="F56" s="1273">
        <f>capProd3Adv</f>
        <v>495000000</v>
      </c>
      <c r="G56" s="1273">
        <f>capProd3Adv</f>
        <v>495000000</v>
      </c>
      <c r="H56" s="1273">
        <f>capProd3Adv</f>
        <v>495000000</v>
      </c>
      <c r="I56" s="1273">
        <f>capProd3Adv</f>
        <v>495000000</v>
      </c>
      <c r="J56" s="1273"/>
      <c r="K56" s="1276">
        <f>SUM(E56:I56)/xxNumOfTeams</f>
        <v>495000000</v>
      </c>
    </row>
    <row r="57" spans="1:11">
      <c r="A57" s="132"/>
      <c r="B57" s="21" t="s">
        <v>175</v>
      </c>
      <c r="C57" s="21"/>
      <c r="D57" s="21"/>
      <c r="E57" s="1273">
        <f>capProd3Promo</f>
        <v>855000000</v>
      </c>
      <c r="F57" s="1273">
        <f>capProd3Promo</f>
        <v>855000000</v>
      </c>
      <c r="G57" s="1273">
        <f>capProd3Promo</f>
        <v>855000000</v>
      </c>
      <c r="H57" s="1273">
        <f>capProd3Promo</f>
        <v>855000000</v>
      </c>
      <c r="I57" s="1273">
        <f>capProd3Promo</f>
        <v>855000000</v>
      </c>
      <c r="J57" s="1273"/>
      <c r="K57" s="1276">
        <f>SUM(E57:I57)/xxNumOfTeams</f>
        <v>855000000</v>
      </c>
    </row>
    <row r="58" spans="1:11" ht="6" customHeight="1">
      <c r="A58" s="132"/>
      <c r="B58" s="62"/>
      <c r="C58" s="62"/>
      <c r="D58" s="62"/>
      <c r="E58" s="62"/>
      <c r="F58" s="62"/>
      <c r="G58" s="62"/>
      <c r="H58" s="62"/>
      <c r="I58" s="1274"/>
      <c r="J58" s="180"/>
      <c r="K58" s="796"/>
    </row>
    <row r="59" spans="1:11" ht="12.75">
      <c r="A59" s="132"/>
      <c r="B59" s="893" t="str">
        <f>DataNameProd4</f>
        <v>F&amp;S</v>
      </c>
      <c r="C59" s="21"/>
      <c r="D59" s="21"/>
      <c r="E59" s="38"/>
      <c r="F59" s="38"/>
      <c r="G59" s="38"/>
      <c r="H59" s="38"/>
      <c r="I59" s="38"/>
      <c r="J59" s="180"/>
      <c r="K59" s="796"/>
    </row>
    <row r="60" spans="1:11" ht="6" customHeight="1">
      <c r="A60" s="132"/>
      <c r="B60" s="21"/>
      <c r="C60" s="21"/>
      <c r="D60" s="21"/>
      <c r="E60" s="532"/>
      <c r="F60" s="532"/>
      <c r="G60" s="532"/>
      <c r="H60" s="532"/>
      <c r="I60" s="532"/>
      <c r="J60" s="1275"/>
      <c r="K60" s="818"/>
    </row>
    <row r="61" spans="1:11">
      <c r="A61" s="132"/>
      <c r="B61" s="62" t="s">
        <v>2830</v>
      </c>
      <c r="C61" s="62"/>
      <c r="D61" s="62"/>
      <c r="E61" s="1166">
        <f>mmProd4!E232</f>
        <v>0.2</v>
      </c>
      <c r="F61" s="1166">
        <f>mmProd4!F232</f>
        <v>0.2</v>
      </c>
      <c r="G61" s="1166">
        <f>mmProd4!G232</f>
        <v>0.2</v>
      </c>
      <c r="H61" s="1166">
        <f>mmProd4!H232</f>
        <v>0.2</v>
      </c>
      <c r="I61" s="1166">
        <f>mmProd4!I232</f>
        <v>0.2</v>
      </c>
      <c r="J61" s="1166"/>
      <c r="K61" s="1281">
        <f>SUM(E61:I61)/xxNumOfTeams</f>
        <v>0.2</v>
      </c>
    </row>
    <row r="62" spans="1:11">
      <c r="A62" s="132"/>
      <c r="B62" s="21" t="s">
        <v>1402</v>
      </c>
      <c r="C62" s="21"/>
      <c r="D62" s="21"/>
      <c r="E62" s="532">
        <f>capProd4Reg1Price</f>
        <v>12.5</v>
      </c>
      <c r="F62" s="532">
        <f>capProd4Reg1Price</f>
        <v>12.5</v>
      </c>
      <c r="G62" s="532">
        <f>capProd4Reg1Price</f>
        <v>12.5</v>
      </c>
      <c r="H62" s="532">
        <f>capProd4Reg1Price</f>
        <v>12.5</v>
      </c>
      <c r="I62" s="532">
        <f>capProd4Reg1Price</f>
        <v>12.5</v>
      </c>
      <c r="J62" s="1275"/>
      <c r="K62" s="818">
        <f>SUM(E62:I62)/xxNumOfTeams</f>
        <v>12.5</v>
      </c>
    </row>
    <row r="63" spans="1:11">
      <c r="A63" s="132"/>
      <c r="B63" s="149" t="s">
        <v>212</v>
      </c>
      <c r="C63" s="21"/>
      <c r="D63" s="21"/>
      <c r="E63" s="1460">
        <f>capReg1Prod4UnitsSold</f>
        <v>541700000</v>
      </c>
      <c r="F63" s="1460">
        <f>capReg1Prod4UnitsSold</f>
        <v>541700000</v>
      </c>
      <c r="G63" s="1460">
        <f>capReg1Prod4UnitsSold</f>
        <v>541700000</v>
      </c>
      <c r="H63" s="1460">
        <f>capReg1Prod4UnitsSold</f>
        <v>541700000</v>
      </c>
      <c r="I63" s="1460">
        <f>capReg1Prod4UnitsSold</f>
        <v>541700000</v>
      </c>
      <c r="J63" s="1460"/>
      <c r="K63" s="1461">
        <f>SUM(E63:I63)/xxNumOfTeams</f>
        <v>541700000</v>
      </c>
    </row>
    <row r="64" spans="1:11" ht="6" customHeight="1">
      <c r="A64" s="132"/>
      <c r="B64" s="21"/>
      <c r="C64" s="21"/>
      <c r="D64" s="21"/>
      <c r="E64" s="38"/>
      <c r="F64" s="38"/>
      <c r="G64" s="38"/>
      <c r="H64" s="38"/>
      <c r="I64" s="38"/>
      <c r="J64" s="180"/>
      <c r="K64" s="796"/>
    </row>
    <row r="65" spans="1:11">
      <c r="A65" s="132"/>
      <c r="B65" s="548" t="s">
        <v>246</v>
      </c>
      <c r="C65" s="21"/>
      <c r="D65" s="21"/>
      <c r="E65" s="21" t="str">
        <f>decProd4Ftr4LevelDec</f>
        <v>Narrow</v>
      </c>
      <c r="F65" s="21" t="str">
        <f>decProd4Ftr4LevelDec</f>
        <v>Narrow</v>
      </c>
      <c r="G65" s="21" t="str">
        <f>decProd4Ftr4LevelDec</f>
        <v>Narrow</v>
      </c>
      <c r="H65" s="21" t="str">
        <f>decProd4Ftr4LevelDec</f>
        <v>Narrow</v>
      </c>
      <c r="I65" s="21" t="str">
        <f>decProd4Ftr4LevelDec</f>
        <v>Narrow</v>
      </c>
      <c r="J65" s="180"/>
      <c r="K65" s="796"/>
    </row>
    <row r="66" spans="1:11" ht="6" customHeight="1">
      <c r="A66" s="132"/>
      <c r="B66" s="548"/>
      <c r="C66" s="21"/>
      <c r="D66" s="21"/>
      <c r="E66" s="21"/>
      <c r="F66" s="21"/>
      <c r="G66" s="21"/>
      <c r="H66" s="21"/>
      <c r="I66" s="21"/>
      <c r="J66" s="180"/>
      <c r="K66" s="796"/>
    </row>
    <row r="67" spans="1:11">
      <c r="A67" s="132"/>
      <c r="B67" s="21" t="s">
        <v>1404</v>
      </c>
      <c r="C67" s="21"/>
      <c r="D67" s="21"/>
      <c r="E67" s="1273">
        <f>capProd4Adv</f>
        <v>325000000</v>
      </c>
      <c r="F67" s="1273">
        <f>capProd4Adv</f>
        <v>325000000</v>
      </c>
      <c r="G67" s="1273">
        <f>capProd4Adv</f>
        <v>325000000</v>
      </c>
      <c r="H67" s="1273">
        <f>capProd4Adv</f>
        <v>325000000</v>
      </c>
      <c r="I67" s="1273">
        <f>capProd4Adv</f>
        <v>325000000</v>
      </c>
      <c r="J67" s="1273"/>
      <c r="K67" s="1276">
        <f>SUM(E67:I67)/xxNumOfTeams</f>
        <v>325000000</v>
      </c>
    </row>
    <row r="68" spans="1:11">
      <c r="A68" s="132"/>
      <c r="B68" s="21" t="s">
        <v>175</v>
      </c>
      <c r="C68" s="21"/>
      <c r="D68" s="21"/>
      <c r="E68" s="1273">
        <f>capProd4Promo</f>
        <v>760000000</v>
      </c>
      <c r="F68" s="1273">
        <f>capProd4Promo</f>
        <v>760000000</v>
      </c>
      <c r="G68" s="1273">
        <f>capProd4Promo</f>
        <v>760000000</v>
      </c>
      <c r="H68" s="1273">
        <f>capProd4Promo</f>
        <v>760000000</v>
      </c>
      <c r="I68" s="1273">
        <f>capProd4Promo</f>
        <v>760000000</v>
      </c>
      <c r="J68" s="1273"/>
      <c r="K68" s="1276">
        <f>SUM(E68:I68)/xxNumOfTeams</f>
        <v>760000000</v>
      </c>
    </row>
    <row r="69" spans="1:11">
      <c r="A69" s="132"/>
      <c r="B69" s="21"/>
      <c r="C69" s="21"/>
      <c r="D69" s="21"/>
      <c r="E69" s="38"/>
      <c r="F69" s="38"/>
      <c r="G69" s="38"/>
      <c r="H69" s="38"/>
      <c r="I69" s="38"/>
      <c r="J69" s="180"/>
      <c r="K69" s="796"/>
    </row>
    <row r="70" spans="1:11">
      <c r="A70" s="132"/>
      <c r="B70" s="62"/>
      <c r="C70" s="62"/>
      <c r="D70" s="62"/>
      <c r="E70" s="62"/>
      <c r="F70" s="62"/>
      <c r="G70" s="62"/>
      <c r="H70" s="62"/>
      <c r="I70" s="1274"/>
      <c r="J70" s="180"/>
      <c r="K70" s="796"/>
    </row>
    <row r="71" spans="1:11" ht="15.75">
      <c r="A71" s="570" t="s">
        <v>1485</v>
      </c>
      <c r="B71" s="571"/>
      <c r="C71" s="35"/>
      <c r="D71" s="572"/>
      <c r="E71" s="733" t="str">
        <f>decTeamName</f>
        <v>Vivia</v>
      </c>
      <c r="F71" s="733" t="str">
        <f>decTeamName</f>
        <v>Vivia</v>
      </c>
      <c r="G71" s="733" t="str">
        <f>decTeamName</f>
        <v>Vivia</v>
      </c>
      <c r="H71" s="733" t="str">
        <f>decTeamName</f>
        <v>Vivia</v>
      </c>
      <c r="I71" s="733" t="str">
        <f>decTeamName</f>
        <v>Vivia</v>
      </c>
      <c r="J71" s="741"/>
      <c r="K71" s="804" t="s">
        <v>2718</v>
      </c>
    </row>
    <row r="72" spans="1:11" ht="15.75">
      <c r="A72" s="707" t="s">
        <v>829</v>
      </c>
      <c r="B72" s="541"/>
      <c r="C72" s="38"/>
      <c r="D72" s="150"/>
      <c r="E72" s="149"/>
      <c r="F72" s="149"/>
      <c r="G72" s="149"/>
      <c r="H72" s="149"/>
      <c r="I72" s="149"/>
      <c r="J72" s="180"/>
      <c r="K72" s="796"/>
    </row>
    <row r="73" spans="1:11">
      <c r="A73" s="132"/>
      <c r="B73" s="21"/>
      <c r="C73" s="21"/>
      <c r="D73" s="21"/>
      <c r="E73" s="21"/>
      <c r="F73" s="21"/>
      <c r="G73" s="21"/>
      <c r="H73" s="21"/>
      <c r="I73" s="21"/>
      <c r="K73" s="133"/>
    </row>
    <row r="74" spans="1:11">
      <c r="A74" s="132"/>
      <c r="B74" s="21" t="s">
        <v>1476</v>
      </c>
      <c r="C74" s="21"/>
      <c r="D74" s="21"/>
      <c r="E74" s="1273">
        <f>finPNLReg1Rev</f>
        <v>19169523699.5</v>
      </c>
      <c r="F74" s="1273">
        <f>finPNLReg1Rev</f>
        <v>19169523699.5</v>
      </c>
      <c r="G74" s="1273">
        <f>finPNLReg1Rev</f>
        <v>19169523699.5</v>
      </c>
      <c r="H74" s="1273">
        <f>finPNLReg1Rev</f>
        <v>19169523699.5</v>
      </c>
      <c r="I74" s="1273">
        <f>finPNLReg1Rev</f>
        <v>19169523699.5</v>
      </c>
      <c r="J74" s="1273"/>
      <c r="K74" s="1276">
        <f>SUM(E74:I74)/xxNumOfTeams</f>
        <v>19169523699.5</v>
      </c>
    </row>
    <row r="75" spans="1:11">
      <c r="A75" s="132"/>
      <c r="B75" s="547" t="s">
        <v>2548</v>
      </c>
      <c r="C75" s="21"/>
      <c r="D75" s="21"/>
      <c r="E75" s="1273">
        <f>finPNLReg1PromoExp</f>
        <v>3065000000</v>
      </c>
      <c r="F75" s="1273">
        <f>finPNLReg1PromoExp</f>
        <v>3065000000</v>
      </c>
      <c r="G75" s="1273">
        <f>finPNLReg1PromoExp</f>
        <v>3065000000</v>
      </c>
      <c r="H75" s="1273">
        <f>finPNLReg1PromoExp</f>
        <v>3065000000</v>
      </c>
      <c r="I75" s="1273">
        <f>finPNLReg1PromoExp</f>
        <v>3065000000</v>
      </c>
      <c r="J75" s="1273"/>
      <c r="K75" s="1276">
        <f>SUM(E75:I75)/xxNumOfTeams</f>
        <v>3065000000</v>
      </c>
    </row>
    <row r="76" spans="1:11">
      <c r="A76" s="132"/>
      <c r="B76" s="21" t="s">
        <v>1475</v>
      </c>
      <c r="C76" s="21"/>
      <c r="D76" s="21"/>
      <c r="E76" s="1273">
        <f>finPNLReg1NetRev</f>
        <v>16104523699.5</v>
      </c>
      <c r="F76" s="1273">
        <f>finPNLReg1NetRev</f>
        <v>16104523699.5</v>
      </c>
      <c r="G76" s="1273">
        <f>finPNLReg1NetRev</f>
        <v>16104523699.5</v>
      </c>
      <c r="H76" s="1273">
        <f>finPNLReg1NetRev</f>
        <v>16104523699.5</v>
      </c>
      <c r="I76" s="1273">
        <f>finPNLReg1NetRev</f>
        <v>16104523699.5</v>
      </c>
      <c r="J76" s="1273"/>
      <c r="K76" s="1276">
        <f>SUM(E76:I76)/xxNumOfTeams</f>
        <v>16104523699.5</v>
      </c>
    </row>
    <row r="77" spans="1:11">
      <c r="A77" s="132"/>
      <c r="B77" s="21" t="s">
        <v>3640</v>
      </c>
      <c r="C77" s="21"/>
      <c r="D77" s="21"/>
      <c r="E77" s="1273">
        <f ca="1">finPNLReg1COGSExp</f>
        <v>8063530692.197279</v>
      </c>
      <c r="F77" s="1273">
        <f ca="1">finPNLReg1COGSExp</f>
        <v>8063530692.197279</v>
      </c>
      <c r="G77" s="1273">
        <f ca="1">finPNLReg1COGSExp</f>
        <v>8063530692.197279</v>
      </c>
      <c r="H77" s="1273">
        <f ca="1">finPNLReg1COGSExp</f>
        <v>8063530692.197279</v>
      </c>
      <c r="I77" s="1273">
        <f ca="1">finPNLReg1COGSExp</f>
        <v>8063530692.197279</v>
      </c>
      <c r="J77" s="1273"/>
      <c r="K77" s="1276">
        <f ca="1">SUM(E77:I77)/xxNumOfTeams</f>
        <v>8063530692.197279</v>
      </c>
    </row>
    <row r="78" spans="1:11">
      <c r="A78" s="132"/>
      <c r="B78" s="21" t="s">
        <v>3800</v>
      </c>
      <c r="C78" s="21"/>
      <c r="D78" s="21"/>
      <c r="E78" s="1273">
        <f ca="1">finPNLReg1GrossMargin</f>
        <v>8040993007.302721</v>
      </c>
      <c r="F78" s="1273">
        <f ca="1">finPNLReg1GrossMargin</f>
        <v>8040993007.302721</v>
      </c>
      <c r="G78" s="1273">
        <f ca="1">finPNLReg1GrossMargin</f>
        <v>8040993007.302721</v>
      </c>
      <c r="H78" s="1273">
        <f ca="1">finPNLReg1GrossMargin</f>
        <v>8040993007.302721</v>
      </c>
      <c r="I78" s="1273">
        <f ca="1">finPNLReg1GrossMargin</f>
        <v>8040993007.302721</v>
      </c>
      <c r="J78" s="1273"/>
      <c r="K78" s="1276">
        <f ca="1">SUM(E78:I78)/xxNumOfTeams</f>
        <v>8040993007.302721</v>
      </c>
    </row>
    <row r="79" spans="1:11">
      <c r="A79" s="132"/>
      <c r="B79" s="1279" t="s">
        <v>1509</v>
      </c>
      <c r="C79" s="62"/>
      <c r="D79" s="62"/>
      <c r="E79" s="522">
        <f ca="1">E78/E76</f>
        <v>0.49930026850482834</v>
      </c>
      <c r="F79" s="522">
        <f ca="1">F78/F76</f>
        <v>0.49930026850482834</v>
      </c>
      <c r="G79" s="522">
        <f ca="1">G78/G76</f>
        <v>0.49930026850482834</v>
      </c>
      <c r="H79" s="522">
        <f ca="1">H78/H76</f>
        <v>0.49930026850482834</v>
      </c>
      <c r="I79" s="522">
        <f ca="1">I78/I76</f>
        <v>0.49930026850482834</v>
      </c>
      <c r="J79" s="1274"/>
      <c r="K79" s="811"/>
    </row>
    <row r="80" spans="1:11">
      <c r="A80" s="132"/>
      <c r="B80" s="21" t="s">
        <v>1916</v>
      </c>
      <c r="C80" s="21"/>
      <c r="D80" s="21"/>
      <c r="E80" s="1273">
        <f ca="1">finPNLReg1SGAExp</f>
        <v>3932530148.3283691</v>
      </c>
      <c r="F80" s="1273">
        <f ca="1">finPNLReg1SGAExp</f>
        <v>3932530148.3283691</v>
      </c>
      <c r="G80" s="1273">
        <f ca="1">finPNLReg1SGAExp</f>
        <v>3932530148.3283691</v>
      </c>
      <c r="H80" s="1273">
        <f ca="1">finPNLReg1SGAExp</f>
        <v>3932530148.3283691</v>
      </c>
      <c r="I80" s="1273">
        <f ca="1">finPNLReg1SGAExp</f>
        <v>3932530148.3283691</v>
      </c>
      <c r="J80" s="1273"/>
      <c r="K80" s="1276">
        <f t="shared" ref="K80:K85" ca="1" si="0">SUM(E80:I80)/xxNumOfTeams</f>
        <v>3932530148.3283691</v>
      </c>
    </row>
    <row r="81" spans="1:11">
      <c r="A81" s="132"/>
      <c r="B81" s="21" t="s">
        <v>2241</v>
      </c>
      <c r="C81" s="21"/>
      <c r="D81" s="21"/>
      <c r="E81" s="1273">
        <f>finPNLReg1RandDExp</f>
        <v>114872326.78673378</v>
      </c>
      <c r="F81" s="1273">
        <f>finPNLReg1RandDExp</f>
        <v>114872326.78673378</v>
      </c>
      <c r="G81" s="1273">
        <f>finPNLReg1RandDExp</f>
        <v>114872326.78673378</v>
      </c>
      <c r="H81" s="1273">
        <f>finPNLReg1RandDExp</f>
        <v>114872326.78673378</v>
      </c>
      <c r="I81" s="1273">
        <f>finPNLReg1RandDExp</f>
        <v>114872326.78673378</v>
      </c>
      <c r="J81" s="1273"/>
      <c r="K81" s="1276">
        <f t="shared" si="0"/>
        <v>114872326.78673378</v>
      </c>
    </row>
    <row r="82" spans="1:11">
      <c r="A82" s="132"/>
      <c r="B82" s="21" t="s">
        <v>396</v>
      </c>
      <c r="C82" s="21"/>
      <c r="D82" s="21"/>
      <c r="E82" s="1273">
        <f ca="1">finPNLReg1DisposalExp</f>
        <v>114609854.03557056</v>
      </c>
      <c r="F82" s="1273">
        <f ca="1">finPNLReg1DisposalExp</f>
        <v>114609854.03557056</v>
      </c>
      <c r="G82" s="1273">
        <f ca="1">finPNLReg1DisposalExp</f>
        <v>114609854.03557056</v>
      </c>
      <c r="H82" s="1273">
        <f ca="1">finPNLReg1DisposalExp</f>
        <v>114609854.03557056</v>
      </c>
      <c r="I82" s="1273">
        <f ca="1">finPNLReg1DisposalExp</f>
        <v>114609854.03557056</v>
      </c>
      <c r="J82" s="1274"/>
      <c r="K82" s="811">
        <f t="shared" ca="1" si="0"/>
        <v>114609854.03557058</v>
      </c>
    </row>
    <row r="83" spans="1:11">
      <c r="A83" s="132"/>
      <c r="B83" s="21" t="s">
        <v>3411</v>
      </c>
      <c r="C83" s="21"/>
      <c r="D83" s="21"/>
      <c r="E83" s="1273">
        <f>finPNLReg1SpecProgExp</f>
        <v>0</v>
      </c>
      <c r="F83" s="1273">
        <f>finPNLReg1SpecProgExp</f>
        <v>0</v>
      </c>
      <c r="G83" s="1273">
        <f>finPNLReg1SpecProgExp</f>
        <v>0</v>
      </c>
      <c r="H83" s="1273">
        <f>finPNLReg1SpecProgExp</f>
        <v>0</v>
      </c>
      <c r="I83" s="1273">
        <f>finPNLReg1SpecProgExp</f>
        <v>0</v>
      </c>
      <c r="J83" s="1274"/>
      <c r="K83" s="811">
        <f t="shared" si="0"/>
        <v>0</v>
      </c>
    </row>
    <row r="84" spans="1:11">
      <c r="A84" s="132"/>
      <c r="B84" s="21" t="s">
        <v>3801</v>
      </c>
      <c r="C84" s="21"/>
      <c r="D84" s="21"/>
      <c r="E84" s="1273">
        <f ca="1">finPNLReg1OpsMargin</f>
        <v>3866468225.2598801</v>
      </c>
      <c r="F84" s="1273">
        <f ca="1">finPNLReg1OpsMargin</f>
        <v>3866468225.2598801</v>
      </c>
      <c r="G84" s="1273">
        <f ca="1">finPNLReg1OpsMargin</f>
        <v>3866468225.2598801</v>
      </c>
      <c r="H84" s="1273">
        <f ca="1">finPNLReg1OpsMargin</f>
        <v>3866468225.2598801</v>
      </c>
      <c r="I84" s="1273">
        <f ca="1">finPNLReg1OpsMargin</f>
        <v>3866468225.2598801</v>
      </c>
      <c r="J84" s="1273"/>
      <c r="K84" s="1276">
        <f t="shared" ca="1" si="0"/>
        <v>3866468225.2598801</v>
      </c>
    </row>
    <row r="85" spans="1:11">
      <c r="A85" s="132"/>
      <c r="B85" s="550" t="s">
        <v>174</v>
      </c>
      <c r="C85" s="21"/>
      <c r="D85" s="21"/>
      <c r="E85" s="1166">
        <f ca="1">finPNLReg1OpsMarginPct</f>
        <v>0.24008584776586239</v>
      </c>
      <c r="F85" s="1166">
        <f ca="1">finPNLReg1OpsMarginPct</f>
        <v>0.24008584776586239</v>
      </c>
      <c r="G85" s="1166">
        <f ca="1">finPNLReg1OpsMarginPct</f>
        <v>0.24008584776586239</v>
      </c>
      <c r="H85" s="1166">
        <f ca="1">finPNLReg1OpsMarginPct</f>
        <v>0.24008584776586239</v>
      </c>
      <c r="I85" s="1166">
        <f ca="1">finPNLReg1OpsMarginPct</f>
        <v>0.24008584776586239</v>
      </c>
      <c r="J85" s="1166"/>
      <c r="K85" s="1281">
        <f t="shared" ca="1" si="0"/>
        <v>0.24008584776586242</v>
      </c>
    </row>
    <row r="86" spans="1:11" ht="12" thickBot="1">
      <c r="A86" s="134"/>
      <c r="B86" s="411"/>
      <c r="C86" s="411"/>
      <c r="D86" s="411"/>
      <c r="E86" s="411"/>
      <c r="F86" s="411"/>
      <c r="G86" s="411"/>
      <c r="H86" s="411"/>
      <c r="I86" s="411"/>
      <c r="J86" s="763"/>
      <c r="K86" s="812"/>
    </row>
    <row r="87" spans="1:11" ht="15.75">
      <c r="A87" s="407" t="s">
        <v>1599</v>
      </c>
      <c r="B87" s="182"/>
      <c r="C87" s="182"/>
      <c r="D87" s="182"/>
      <c r="E87" s="731" t="str">
        <f>decTeamName</f>
        <v>Vivia</v>
      </c>
      <c r="F87" s="731" t="str">
        <f>decTeamName</f>
        <v>Vivia</v>
      </c>
      <c r="G87" s="731" t="str">
        <f>decTeamName</f>
        <v>Vivia</v>
      </c>
      <c r="H87" s="731" t="str">
        <f>decTeamName</f>
        <v>Vivia</v>
      </c>
      <c r="I87" s="731" t="str">
        <f>decTeamName</f>
        <v>Vivia</v>
      </c>
      <c r="J87" s="742"/>
      <c r="K87" s="823" t="s">
        <v>2718</v>
      </c>
    </row>
    <row r="88" spans="1:11" s="33" customFormat="1" ht="15.75">
      <c r="A88" s="707" t="s">
        <v>561</v>
      </c>
      <c r="B88" s="568"/>
      <c r="C88" s="568"/>
      <c r="D88" s="568"/>
      <c r="E88" s="176"/>
      <c r="F88" s="176"/>
      <c r="G88" s="176"/>
      <c r="H88" s="176"/>
      <c r="I88" s="176"/>
      <c r="J88" s="536"/>
      <c r="K88" s="795"/>
    </row>
    <row r="89" spans="1:11" s="33" customFormat="1" ht="5.0999999999999996" customHeight="1">
      <c r="A89" s="543"/>
      <c r="B89" s="568"/>
      <c r="C89" s="568"/>
      <c r="D89" s="568"/>
      <c r="E89" s="176"/>
      <c r="F89" s="176"/>
      <c r="G89" s="176"/>
      <c r="H89" s="176"/>
      <c r="I89" s="176"/>
      <c r="J89" s="536"/>
      <c r="K89" s="795"/>
    </row>
    <row r="90" spans="1:11" ht="12.75">
      <c r="A90" s="132"/>
      <c r="B90" s="893" t="s">
        <v>200</v>
      </c>
      <c r="C90" s="21"/>
      <c r="D90" s="21"/>
      <c r="E90" s="38"/>
      <c r="F90" s="38"/>
      <c r="G90" s="38"/>
      <c r="H90" s="38"/>
      <c r="I90" s="38"/>
      <c r="J90" s="180"/>
      <c r="K90" s="796"/>
    </row>
    <row r="91" spans="1:11">
      <c r="A91" s="132"/>
      <c r="B91" s="21"/>
      <c r="C91" s="21"/>
      <c r="D91" s="21"/>
      <c r="E91" s="1274"/>
      <c r="F91" s="1274"/>
      <c r="G91" s="1274"/>
      <c r="H91" s="1274"/>
      <c r="I91" s="1274"/>
      <c r="J91" s="180"/>
      <c r="K91" s="817"/>
    </row>
    <row r="92" spans="1:11">
      <c r="A92" s="132"/>
      <c r="B92" s="21" t="s">
        <v>243</v>
      </c>
      <c r="C92" s="21"/>
      <c r="D92" s="21"/>
      <c r="E92" s="1274">
        <f>cbalEmp2</f>
        <v>2100</v>
      </c>
      <c r="F92" s="1274">
        <f>cbalEmp2</f>
        <v>2100</v>
      </c>
      <c r="G92" s="1274">
        <f>cbalEmp2</f>
        <v>2100</v>
      </c>
      <c r="H92" s="1274">
        <f>cbalEmp2</f>
        <v>2100</v>
      </c>
      <c r="I92" s="1274">
        <f>cbalEmp2</f>
        <v>2100</v>
      </c>
      <c r="J92" s="180"/>
      <c r="K92" s="817">
        <f>SUM(E92:I92)/xxNumOfTeams</f>
        <v>2100</v>
      </c>
    </row>
    <row r="93" spans="1:11">
      <c r="A93" s="132"/>
      <c r="B93" s="21" t="s">
        <v>1722</v>
      </c>
      <c r="C93" s="21"/>
      <c r="D93" s="21"/>
      <c r="E93" s="1274">
        <f>capReg2ChanLevel</f>
        <v>3</v>
      </c>
      <c r="F93" s="1274">
        <f>capReg2ChanLevel</f>
        <v>3</v>
      </c>
      <c r="G93" s="1274">
        <f>capReg2ChanLevel</f>
        <v>3</v>
      </c>
      <c r="H93" s="1274">
        <f>capReg2ChanLevel</f>
        <v>3</v>
      </c>
      <c r="I93" s="1274">
        <f>capReg2ChanLevel</f>
        <v>3</v>
      </c>
      <c r="J93" s="180"/>
      <c r="K93" s="817">
        <f>SUM(E93:I93)/xxNumOfTeams</f>
        <v>3</v>
      </c>
    </row>
    <row r="94" spans="1:11" ht="6" customHeight="1">
      <c r="A94" s="132"/>
      <c r="B94" s="893"/>
      <c r="C94" s="21"/>
      <c r="D94" s="21"/>
      <c r="E94" s="38"/>
      <c r="F94" s="38"/>
      <c r="G94" s="38"/>
      <c r="H94" s="38"/>
      <c r="I94" s="38"/>
      <c r="J94" s="180"/>
      <c r="K94" s="796"/>
    </row>
    <row r="95" spans="1:11" ht="12.75">
      <c r="A95" s="132"/>
      <c r="B95" s="893" t="str">
        <f>DataNameProd1</f>
        <v>CSD</v>
      </c>
      <c r="C95" s="21"/>
      <c r="D95" s="21"/>
      <c r="E95" s="38"/>
      <c r="F95" s="38"/>
      <c r="G95" s="38"/>
      <c r="H95" s="38"/>
      <c r="I95" s="38"/>
      <c r="J95" s="180"/>
      <c r="K95" s="796"/>
    </row>
    <row r="96" spans="1:11" ht="6" customHeight="1">
      <c r="A96" s="132"/>
      <c r="B96" s="21"/>
      <c r="C96" s="21"/>
      <c r="D96" s="21"/>
      <c r="E96" s="532"/>
      <c r="F96" s="532"/>
      <c r="G96" s="532"/>
      <c r="H96" s="532"/>
      <c r="I96" s="532"/>
      <c r="J96" s="1275"/>
      <c r="K96" s="818"/>
    </row>
    <row r="97" spans="1:11">
      <c r="A97" s="132"/>
      <c r="B97" s="62" t="s">
        <v>2830</v>
      </c>
      <c r="C97" s="62"/>
      <c r="D97" s="62"/>
      <c r="E97" s="1166">
        <f>mmProd1!E246</f>
        <v>0.2</v>
      </c>
      <c r="F97" s="1166">
        <f>mmProd1!F246</f>
        <v>0.2</v>
      </c>
      <c r="G97" s="1166">
        <f>mmProd1!G246</f>
        <v>0.2</v>
      </c>
      <c r="H97" s="1166">
        <f>mmProd1!H246</f>
        <v>0.2</v>
      </c>
      <c r="I97" s="1166">
        <f>mmProd1!I246</f>
        <v>0.2</v>
      </c>
      <c r="J97" s="1166"/>
      <c r="K97" s="1281">
        <f>SUM(E97:I97)/xxNumOfTeams</f>
        <v>0.2</v>
      </c>
    </row>
    <row r="98" spans="1:11">
      <c r="A98" s="132"/>
      <c r="B98" s="21" t="s">
        <v>1402</v>
      </c>
      <c r="C98" s="21"/>
      <c r="D98" s="21"/>
      <c r="E98" s="532">
        <f>capProd1Reg2Price</f>
        <v>7</v>
      </c>
      <c r="F98" s="532">
        <f>capProd1Reg2Price</f>
        <v>7</v>
      </c>
      <c r="G98" s="532">
        <f>capProd1Reg2Price</f>
        <v>7</v>
      </c>
      <c r="H98" s="532">
        <f>capProd1Reg2Price</f>
        <v>7</v>
      </c>
      <c r="I98" s="532">
        <f>capProd1Reg2Price</f>
        <v>7</v>
      </c>
      <c r="J98" s="1275"/>
      <c r="K98" s="818">
        <f>SUM(E98:I98)/xxNumOfTeams</f>
        <v>7</v>
      </c>
    </row>
    <row r="99" spans="1:11">
      <c r="A99" s="132"/>
      <c r="B99" s="149" t="s">
        <v>212</v>
      </c>
      <c r="C99" s="21"/>
      <c r="D99" s="21"/>
      <c r="E99" s="1460">
        <f>capReg2Prod1UnitsSold</f>
        <v>356800000</v>
      </c>
      <c r="F99" s="1460">
        <f>capReg2Prod1UnitsSold</f>
        <v>356800000</v>
      </c>
      <c r="G99" s="1460">
        <f>capReg2Prod1UnitsSold</f>
        <v>356800000</v>
      </c>
      <c r="H99" s="1460">
        <f>capReg2Prod1UnitsSold</f>
        <v>356800000</v>
      </c>
      <c r="I99" s="1460">
        <f>capReg2Prod1UnitsSold</f>
        <v>356800000</v>
      </c>
      <c r="J99" s="1460"/>
      <c r="K99" s="1461">
        <f>SUM(E99:I99)/xxNumOfTeams</f>
        <v>356800000</v>
      </c>
    </row>
    <row r="100" spans="1:11" ht="6" customHeight="1">
      <c r="A100" s="132"/>
      <c r="B100" s="21"/>
      <c r="C100" s="21"/>
      <c r="D100" s="21"/>
      <c r="E100" s="38"/>
      <c r="F100" s="38"/>
      <c r="G100" s="38"/>
      <c r="H100" s="38"/>
      <c r="I100" s="38"/>
      <c r="J100" s="180"/>
      <c r="K100" s="796"/>
    </row>
    <row r="101" spans="1:11">
      <c r="A101" s="132"/>
      <c r="B101" s="548" t="s">
        <v>1726</v>
      </c>
      <c r="C101" s="21"/>
      <c r="D101" s="21"/>
      <c r="E101" s="21" t="str">
        <f>decProd1Ftr4LevelDec</f>
        <v>Intermediate</v>
      </c>
      <c r="F101" s="21" t="str">
        <f>decProd1Ftr4LevelDec</f>
        <v>Intermediate</v>
      </c>
      <c r="G101" s="21" t="str">
        <f>decProd1Ftr4LevelDec</f>
        <v>Intermediate</v>
      </c>
      <c r="H101" s="21" t="str">
        <f>decProd1Ftr4LevelDec</f>
        <v>Intermediate</v>
      </c>
      <c r="I101" s="21" t="str">
        <f>decProd1Ftr4LevelDec</f>
        <v>Intermediate</v>
      </c>
      <c r="J101" s="180"/>
      <c r="K101" s="796"/>
    </row>
    <row r="102" spans="1:11" ht="6" customHeight="1">
      <c r="A102" s="132"/>
      <c r="B102" s="548"/>
      <c r="C102" s="21"/>
      <c r="D102" s="21"/>
      <c r="E102" s="21"/>
      <c r="F102" s="21"/>
      <c r="G102" s="21"/>
      <c r="H102" s="21"/>
      <c r="I102" s="21"/>
      <c r="J102" s="180"/>
      <c r="K102" s="796"/>
    </row>
    <row r="103" spans="1:11">
      <c r="A103" s="132"/>
      <c r="B103" s="21" t="s">
        <v>1404</v>
      </c>
      <c r="C103" s="21"/>
      <c r="D103" s="21"/>
      <c r="E103" s="1273">
        <f>capProd1AdvR2</f>
        <v>80000000</v>
      </c>
      <c r="F103" s="1273">
        <f>capProd1AdvR2</f>
        <v>80000000</v>
      </c>
      <c r="G103" s="1273">
        <f>capProd1AdvR2</f>
        <v>80000000</v>
      </c>
      <c r="H103" s="1273">
        <f>capProd1AdvR2</f>
        <v>80000000</v>
      </c>
      <c r="I103" s="1273">
        <f>capProd1AdvR2</f>
        <v>80000000</v>
      </c>
      <c r="J103" s="1273"/>
      <c r="K103" s="1276">
        <f>SUM(E103:I103)/xxNumOfTeams</f>
        <v>80000000</v>
      </c>
    </row>
    <row r="104" spans="1:11">
      <c r="A104" s="132"/>
      <c r="B104" s="21" t="s">
        <v>175</v>
      </c>
      <c r="C104" s="21"/>
      <c r="D104" s="21"/>
      <c r="E104" s="1273">
        <f>capProd1PromoR2</f>
        <v>195000000</v>
      </c>
      <c r="F104" s="1273">
        <f>capProd1PromoR2</f>
        <v>195000000</v>
      </c>
      <c r="G104" s="1273">
        <f>capProd1PromoR2</f>
        <v>195000000</v>
      </c>
      <c r="H104" s="1273">
        <f>capProd1PromoR2</f>
        <v>195000000</v>
      </c>
      <c r="I104" s="1273">
        <f>capProd1PromoR2</f>
        <v>195000000</v>
      </c>
      <c r="J104" s="1273"/>
      <c r="K104" s="1276">
        <f>SUM(E104:I104)/xxNumOfTeams</f>
        <v>195000000</v>
      </c>
    </row>
    <row r="105" spans="1:11" ht="6" customHeight="1">
      <c r="A105" s="132"/>
      <c r="B105" s="21"/>
      <c r="C105" s="21"/>
      <c r="D105" s="21"/>
      <c r="E105" s="38"/>
      <c r="F105" s="38"/>
      <c r="G105" s="38"/>
      <c r="H105" s="38"/>
      <c r="I105" s="38"/>
      <c r="J105" s="180"/>
      <c r="K105" s="796"/>
    </row>
    <row r="106" spans="1:11" ht="12.75">
      <c r="A106" s="132"/>
      <c r="B106" s="893" t="str">
        <f>DataNameProd3</f>
        <v>NCB</v>
      </c>
      <c r="C106" s="21"/>
      <c r="D106" s="21"/>
      <c r="E106" s="38"/>
      <c r="F106" s="38"/>
      <c r="G106" s="38"/>
      <c r="H106" s="38"/>
      <c r="I106" s="38"/>
      <c r="J106" s="180"/>
      <c r="K106" s="796"/>
    </row>
    <row r="107" spans="1:11" ht="6" customHeight="1">
      <c r="A107" s="132"/>
      <c r="B107" s="21"/>
      <c r="C107" s="21"/>
      <c r="D107" s="21"/>
      <c r="E107" s="532"/>
      <c r="F107" s="532"/>
      <c r="G107" s="532"/>
      <c r="H107" s="532"/>
      <c r="I107" s="532"/>
      <c r="J107" s="1275"/>
      <c r="K107" s="818"/>
    </row>
    <row r="108" spans="1:11">
      <c r="A108" s="132"/>
      <c r="B108" s="62" t="s">
        <v>2830</v>
      </c>
      <c r="C108" s="62"/>
      <c r="D108" s="62"/>
      <c r="E108" s="1166">
        <f>mmProd3!E245</f>
        <v>0.2</v>
      </c>
      <c r="F108" s="1166">
        <f>mmProd3!F245</f>
        <v>0.2</v>
      </c>
      <c r="G108" s="1166">
        <f>mmProd3!G245</f>
        <v>0.2</v>
      </c>
      <c r="H108" s="1166">
        <f>mmProd3!H245</f>
        <v>0.2</v>
      </c>
      <c r="I108" s="1166">
        <f>mmProd3!I245</f>
        <v>0.2</v>
      </c>
      <c r="J108" s="1166"/>
      <c r="K108" s="1281">
        <f>SUM(E108:I108)/xxNumOfTeams</f>
        <v>0.2</v>
      </c>
    </row>
    <row r="109" spans="1:11">
      <c r="A109" s="132"/>
      <c r="B109" s="21" t="s">
        <v>1402</v>
      </c>
      <c r="C109" s="21"/>
      <c r="D109" s="21"/>
      <c r="E109" s="532">
        <f>capProd3Reg2Price</f>
        <v>10</v>
      </c>
      <c r="F109" s="532">
        <f>capProd3Reg2Price</f>
        <v>10</v>
      </c>
      <c r="G109" s="532">
        <f>capProd3Reg2Price</f>
        <v>10</v>
      </c>
      <c r="H109" s="532">
        <f>capProd3Reg2Price</f>
        <v>10</v>
      </c>
      <c r="I109" s="532">
        <f>capProd3Reg2Price</f>
        <v>10</v>
      </c>
      <c r="J109" s="1275"/>
      <c r="K109" s="818">
        <f>SUM(E109:I109)/xxNumOfTeams</f>
        <v>10</v>
      </c>
    </row>
    <row r="110" spans="1:11">
      <c r="A110" s="132"/>
      <c r="B110" s="149" t="s">
        <v>212</v>
      </c>
      <c r="C110" s="21"/>
      <c r="D110" s="21"/>
      <c r="E110" s="1460">
        <f>capReg2Prod3UnitsSold</f>
        <v>245000000</v>
      </c>
      <c r="F110" s="1460">
        <f>capReg2Prod3UnitsSold</f>
        <v>245000000</v>
      </c>
      <c r="G110" s="1460">
        <f>capReg2Prod3UnitsSold</f>
        <v>245000000</v>
      </c>
      <c r="H110" s="1460">
        <f>capReg2Prod3UnitsSold</f>
        <v>245000000</v>
      </c>
      <c r="I110" s="1460">
        <f>capReg2Prod3UnitsSold</f>
        <v>245000000</v>
      </c>
      <c r="J110" s="1460"/>
      <c r="K110" s="1461">
        <f>SUM(E110:I110)/xxNumOfTeams</f>
        <v>245000000</v>
      </c>
    </row>
    <row r="111" spans="1:11" ht="6" customHeight="1">
      <c r="A111" s="132"/>
      <c r="B111" s="21"/>
      <c r="C111" s="21"/>
      <c r="D111" s="21"/>
      <c r="E111" s="38"/>
      <c r="F111" s="38"/>
      <c r="G111" s="38"/>
      <c r="H111" s="38"/>
      <c r="I111" s="38"/>
      <c r="J111" s="180"/>
      <c r="K111" s="796"/>
    </row>
    <row r="112" spans="1:11">
      <c r="A112" s="132"/>
      <c r="B112" s="548" t="s">
        <v>246</v>
      </c>
      <c r="C112" s="21"/>
      <c r="D112" s="21"/>
      <c r="E112" s="21" t="str">
        <f>decProd3Ftr4LevelDec</f>
        <v>Narrow</v>
      </c>
      <c r="F112" s="21" t="str">
        <f>decProd3Ftr4LevelDec</f>
        <v>Narrow</v>
      </c>
      <c r="G112" s="21" t="str">
        <f>decProd3Ftr4LevelDec</f>
        <v>Narrow</v>
      </c>
      <c r="H112" s="21" t="str">
        <f>decProd3Ftr4LevelDec</f>
        <v>Narrow</v>
      </c>
      <c r="I112" s="21" t="str">
        <f>decProd3Ftr4LevelDec</f>
        <v>Narrow</v>
      </c>
      <c r="J112" s="180"/>
      <c r="K112" s="796"/>
    </row>
    <row r="113" spans="1:11" ht="6" customHeight="1">
      <c r="A113" s="132"/>
      <c r="B113" s="548"/>
      <c r="C113" s="21"/>
      <c r="D113" s="21"/>
      <c r="E113" s="21"/>
      <c r="F113" s="21"/>
      <c r="G113" s="21"/>
      <c r="H113" s="21"/>
      <c r="I113" s="21"/>
      <c r="J113" s="180"/>
      <c r="K113" s="796"/>
    </row>
    <row r="114" spans="1:11">
      <c r="A114" s="132"/>
      <c r="B114" s="21" t="s">
        <v>1404</v>
      </c>
      <c r="C114" s="21"/>
      <c r="D114" s="21"/>
      <c r="E114" s="1273">
        <f>capProd3AdvR2</f>
        <v>65000000</v>
      </c>
      <c r="F114" s="1273">
        <f>capProd3AdvR2</f>
        <v>65000000</v>
      </c>
      <c r="G114" s="1273">
        <f>capProd3AdvR2</f>
        <v>65000000</v>
      </c>
      <c r="H114" s="1273">
        <f>capProd3AdvR2</f>
        <v>65000000</v>
      </c>
      <c r="I114" s="1273">
        <f>capProd3AdvR2</f>
        <v>65000000</v>
      </c>
      <c r="J114" s="1273"/>
      <c r="K114" s="1276">
        <f>SUM(E114:I114)/xxNumOfTeams</f>
        <v>65000000</v>
      </c>
    </row>
    <row r="115" spans="1:11">
      <c r="A115" s="132"/>
      <c r="B115" s="21" t="s">
        <v>175</v>
      </c>
      <c r="C115" s="21"/>
      <c r="D115" s="21"/>
      <c r="E115" s="1273">
        <f>capProd3PromoR2</f>
        <v>165000000</v>
      </c>
      <c r="F115" s="1273">
        <f>capProd3PromoR2</f>
        <v>165000000</v>
      </c>
      <c r="G115" s="1273">
        <f>capProd3PromoR2</f>
        <v>165000000</v>
      </c>
      <c r="H115" s="1273">
        <f>capProd3PromoR2</f>
        <v>165000000</v>
      </c>
      <c r="I115" s="1273">
        <f>capProd3PromoR2</f>
        <v>165000000</v>
      </c>
      <c r="J115" s="1273"/>
      <c r="K115" s="1276">
        <f>SUM(E115:I115)/xxNumOfTeams</f>
        <v>165000000</v>
      </c>
    </row>
    <row r="116" spans="1:11" ht="6" customHeight="1">
      <c r="A116" s="132"/>
      <c r="B116" s="62"/>
      <c r="C116" s="62"/>
      <c r="D116" s="62"/>
      <c r="E116" s="62"/>
      <c r="F116" s="62"/>
      <c r="G116" s="62"/>
      <c r="H116" s="62"/>
      <c r="I116" s="1274"/>
      <c r="J116" s="180"/>
      <c r="K116" s="796"/>
    </row>
    <row r="117" spans="1:11" ht="12.75">
      <c r="A117" s="132"/>
      <c r="B117" s="893" t="str">
        <f>DataNameProd4</f>
        <v>F&amp;S</v>
      </c>
      <c r="C117" s="21"/>
      <c r="D117" s="21"/>
      <c r="E117" s="38"/>
      <c r="F117" s="38"/>
      <c r="G117" s="38"/>
      <c r="H117" s="38"/>
      <c r="I117" s="38"/>
      <c r="J117" s="180"/>
      <c r="K117" s="796"/>
    </row>
    <row r="118" spans="1:11" ht="6" customHeight="1">
      <c r="A118" s="132"/>
      <c r="B118" s="21"/>
      <c r="C118" s="21"/>
      <c r="D118" s="21"/>
      <c r="E118" s="532"/>
      <c r="F118" s="532"/>
      <c r="G118" s="532"/>
      <c r="H118" s="532"/>
      <c r="I118" s="532"/>
      <c r="J118" s="1275"/>
      <c r="K118" s="818"/>
    </row>
    <row r="119" spans="1:11">
      <c r="A119" s="132"/>
      <c r="B119" s="62" t="s">
        <v>2830</v>
      </c>
      <c r="C119" s="62"/>
      <c r="D119" s="62"/>
      <c r="E119" s="1166">
        <f>mmProd4!E247</f>
        <v>0.2</v>
      </c>
      <c r="F119" s="1166">
        <f>mmProd4!F247</f>
        <v>0.2</v>
      </c>
      <c r="G119" s="1166">
        <f>mmProd4!G247</f>
        <v>0.2</v>
      </c>
      <c r="H119" s="1166">
        <f>mmProd4!H247</f>
        <v>0.2</v>
      </c>
      <c r="I119" s="1166">
        <f>mmProd4!I247</f>
        <v>0.2</v>
      </c>
      <c r="J119" s="1166"/>
      <c r="K119" s="1281">
        <f>SUM(E119:I119)/xxNumOfTeams</f>
        <v>0.2</v>
      </c>
    </row>
    <row r="120" spans="1:11">
      <c r="A120" s="132"/>
      <c r="B120" s="21" t="s">
        <v>1402</v>
      </c>
      <c r="C120" s="21"/>
      <c r="D120" s="21"/>
      <c r="E120" s="532">
        <f>capProd4Reg2Price</f>
        <v>9</v>
      </c>
      <c r="F120" s="532">
        <f>capProd4Reg2Price</f>
        <v>9</v>
      </c>
      <c r="G120" s="532">
        <f>capProd4Reg2Price</f>
        <v>9</v>
      </c>
      <c r="H120" s="532">
        <f>capProd4Reg2Price</f>
        <v>9</v>
      </c>
      <c r="I120" s="532">
        <f>capProd4Reg2Price</f>
        <v>9</v>
      </c>
      <c r="J120" s="1275"/>
      <c r="K120" s="818">
        <f>SUM(E120:I120)/xxNumOfTeams</f>
        <v>9</v>
      </c>
    </row>
    <row r="121" spans="1:11">
      <c r="A121" s="132"/>
      <c r="B121" s="149" t="s">
        <v>212</v>
      </c>
      <c r="C121" s="21"/>
      <c r="D121" s="21"/>
      <c r="E121" s="1460">
        <f>mmProd4Reg2UnitsSold</f>
        <v>225000000</v>
      </c>
      <c r="F121" s="1460">
        <f>mmProd4Reg2UnitsSold</f>
        <v>225000000</v>
      </c>
      <c r="G121" s="1460">
        <f>mmProd4Reg2UnitsSold</f>
        <v>225000000</v>
      </c>
      <c r="H121" s="1460">
        <f>mmProd4Reg2UnitsSold</f>
        <v>225000000</v>
      </c>
      <c r="I121" s="1460">
        <f>mmProd4Reg2UnitsSold</f>
        <v>225000000</v>
      </c>
      <c r="J121" s="1460"/>
      <c r="K121" s="1461">
        <f>SUM(E121:I121)/xxNumOfTeams</f>
        <v>225000000</v>
      </c>
    </row>
    <row r="122" spans="1:11" ht="6" customHeight="1">
      <c r="A122" s="132"/>
      <c r="B122" s="21"/>
      <c r="C122" s="21"/>
      <c r="D122" s="21"/>
      <c r="E122" s="38"/>
      <c r="F122" s="38"/>
      <c r="G122" s="38"/>
      <c r="H122" s="38"/>
      <c r="I122" s="38"/>
      <c r="J122" s="180"/>
      <c r="K122" s="796"/>
    </row>
    <row r="123" spans="1:11">
      <c r="A123" s="132"/>
      <c r="B123" s="548" t="s">
        <v>246</v>
      </c>
      <c r="C123" s="21"/>
      <c r="D123" s="21"/>
      <c r="E123" s="21" t="str">
        <f>decProd4Ftr4LevelDec</f>
        <v>Narrow</v>
      </c>
      <c r="F123" s="21" t="str">
        <f>decProd4Ftr4LevelDec</f>
        <v>Narrow</v>
      </c>
      <c r="G123" s="21" t="str">
        <f>decProd4Ftr4LevelDec</f>
        <v>Narrow</v>
      </c>
      <c r="H123" s="21" t="str">
        <f>decProd4Ftr4LevelDec</f>
        <v>Narrow</v>
      </c>
      <c r="I123" s="21" t="str">
        <f>decProd4Ftr4LevelDec</f>
        <v>Narrow</v>
      </c>
      <c r="J123" s="180"/>
      <c r="K123" s="796"/>
    </row>
    <row r="124" spans="1:11" ht="6" customHeight="1">
      <c r="A124" s="132"/>
      <c r="B124" s="548"/>
      <c r="C124" s="21"/>
      <c r="D124" s="21"/>
      <c r="E124" s="21"/>
      <c r="F124" s="21"/>
      <c r="G124" s="21"/>
      <c r="H124" s="21"/>
      <c r="I124" s="21"/>
      <c r="J124" s="180"/>
      <c r="K124" s="796"/>
    </row>
    <row r="125" spans="1:11">
      <c r="A125" s="132"/>
      <c r="B125" s="21" t="s">
        <v>1404</v>
      </c>
      <c r="C125" s="21"/>
      <c r="D125" s="21"/>
      <c r="E125" s="1273">
        <f>capProd4AdvR2</f>
        <v>52000000</v>
      </c>
      <c r="F125" s="1273">
        <f>capProd4AdvR2</f>
        <v>52000000</v>
      </c>
      <c r="G125" s="1273">
        <f>capProd4AdvR2</f>
        <v>52000000</v>
      </c>
      <c r="H125" s="1273">
        <f>capProd4AdvR2</f>
        <v>52000000</v>
      </c>
      <c r="I125" s="1273">
        <f>capProd4AdvR2</f>
        <v>52000000</v>
      </c>
      <c r="J125" s="1273"/>
      <c r="K125" s="1276">
        <f>SUM(E125:I125)/xxNumOfTeams</f>
        <v>52000000</v>
      </c>
    </row>
    <row r="126" spans="1:11">
      <c r="A126" s="132"/>
      <c r="B126" s="21" t="s">
        <v>175</v>
      </c>
      <c r="C126" s="21"/>
      <c r="D126" s="21"/>
      <c r="E126" s="1273">
        <f>capProd4PromoR2</f>
        <v>95000000</v>
      </c>
      <c r="F126" s="1273">
        <f>capProd4PromoR2</f>
        <v>95000000</v>
      </c>
      <c r="G126" s="1273">
        <f>capProd4PromoR2</f>
        <v>95000000</v>
      </c>
      <c r="H126" s="1273">
        <f>capProd4PromoR2</f>
        <v>95000000</v>
      </c>
      <c r="I126" s="1273">
        <f>capProd4PromoR2</f>
        <v>95000000</v>
      </c>
      <c r="J126" s="1273"/>
      <c r="K126" s="1276">
        <f>SUM(E126:I126)/xxNumOfTeams</f>
        <v>95000000</v>
      </c>
    </row>
    <row r="127" spans="1:11" s="21" customFormat="1">
      <c r="A127" s="132"/>
      <c r="B127" s="149"/>
      <c r="C127" s="149"/>
      <c r="D127" s="845"/>
      <c r="E127" s="845"/>
      <c r="F127" s="845"/>
      <c r="G127" s="845"/>
      <c r="H127" s="845"/>
      <c r="I127" s="453"/>
      <c r="J127" s="180"/>
      <c r="K127" s="796"/>
    </row>
    <row r="128" spans="1:11" ht="15.75">
      <c r="A128" s="570" t="s">
        <v>1486</v>
      </c>
      <c r="B128" s="571"/>
      <c r="C128" s="35"/>
      <c r="D128" s="572"/>
      <c r="E128" s="733" t="str">
        <f>decTeamName</f>
        <v>Vivia</v>
      </c>
      <c r="F128" s="733" t="str">
        <f>decTeamName</f>
        <v>Vivia</v>
      </c>
      <c r="G128" s="733" t="str">
        <f>decTeamName</f>
        <v>Vivia</v>
      </c>
      <c r="H128" s="733" t="str">
        <f>decTeamName</f>
        <v>Vivia</v>
      </c>
      <c r="I128" s="733" t="str">
        <f>decTeamName</f>
        <v>Vivia</v>
      </c>
      <c r="J128" s="741"/>
      <c r="K128" s="804" t="s">
        <v>2718</v>
      </c>
    </row>
    <row r="129" spans="1:11" ht="15.75">
      <c r="A129" s="707" t="s">
        <v>829</v>
      </c>
      <c r="B129" s="541"/>
      <c r="C129" s="38"/>
      <c r="D129" s="150"/>
      <c r="E129" s="149"/>
      <c r="F129" s="149"/>
      <c r="G129" s="149"/>
      <c r="H129" s="149"/>
      <c r="I129" s="149"/>
      <c r="J129" s="180"/>
      <c r="K129" s="796"/>
    </row>
    <row r="130" spans="1:11">
      <c r="A130" s="132"/>
      <c r="B130" s="549"/>
      <c r="C130" s="21"/>
      <c r="D130" s="21"/>
      <c r="E130" s="21"/>
      <c r="F130" s="21"/>
      <c r="G130" s="21"/>
      <c r="H130" s="21"/>
      <c r="I130" s="21"/>
      <c r="K130" s="133"/>
    </row>
    <row r="131" spans="1:11">
      <c r="A131" s="132"/>
      <c r="B131" s="21" t="s">
        <v>1476</v>
      </c>
      <c r="C131" s="21"/>
      <c r="D131" s="21"/>
      <c r="E131" s="1273">
        <f>finPNLReg2Rev</f>
        <v>6972600000</v>
      </c>
      <c r="F131" s="1273">
        <f>finPNLReg2Rev</f>
        <v>6972600000</v>
      </c>
      <c r="G131" s="1273">
        <f>finPNLReg2Rev</f>
        <v>6972600000</v>
      </c>
      <c r="H131" s="1273">
        <f>finPNLReg2Rev</f>
        <v>6972600000</v>
      </c>
      <c r="I131" s="1273">
        <f>finPNLReg2Rev</f>
        <v>6972600000</v>
      </c>
      <c r="J131" s="1273"/>
      <c r="K131" s="1276">
        <f>SUM(E131:I131)/xxNumOfTeams</f>
        <v>6972600000</v>
      </c>
    </row>
    <row r="132" spans="1:11">
      <c r="A132" s="132"/>
      <c r="B132" s="547" t="s">
        <v>2548</v>
      </c>
      <c r="C132" s="21"/>
      <c r="D132" s="21"/>
      <c r="E132" s="1273">
        <f>finPNLReg2PromoExp</f>
        <v>455000000</v>
      </c>
      <c r="F132" s="1273">
        <f>finPNLReg2PromoExp</f>
        <v>455000000</v>
      </c>
      <c r="G132" s="1273">
        <f>finPNLReg2PromoExp</f>
        <v>455000000</v>
      </c>
      <c r="H132" s="1273">
        <f>finPNLReg2PromoExp</f>
        <v>455000000</v>
      </c>
      <c r="I132" s="1273">
        <f>finPNLReg2PromoExp</f>
        <v>455000000</v>
      </c>
      <c r="J132" s="1273"/>
      <c r="K132" s="1276">
        <f>SUM(E132:I132)/xxNumOfTeams</f>
        <v>455000000</v>
      </c>
    </row>
    <row r="133" spans="1:11">
      <c r="A133" s="132"/>
      <c r="B133" s="21" t="s">
        <v>1475</v>
      </c>
      <c r="C133" s="21"/>
      <c r="D133" s="21"/>
      <c r="E133" s="1273">
        <f>finPNLReg2NetRev</f>
        <v>6517600000</v>
      </c>
      <c r="F133" s="1273">
        <f>finPNLReg2NetRev</f>
        <v>6517600000</v>
      </c>
      <c r="G133" s="1273">
        <f>finPNLReg2NetRev</f>
        <v>6517600000</v>
      </c>
      <c r="H133" s="1273">
        <f>finPNLReg2NetRev</f>
        <v>6517600000</v>
      </c>
      <c r="I133" s="1273">
        <f>finPNLReg2NetRev</f>
        <v>6517600000</v>
      </c>
      <c r="J133" s="1273"/>
      <c r="K133" s="1276">
        <f>SUM(E133:I133)/xxNumOfTeams</f>
        <v>6517600000</v>
      </c>
    </row>
    <row r="134" spans="1:11">
      <c r="A134" s="132"/>
      <c r="B134" s="21" t="s">
        <v>3640</v>
      </c>
      <c r="C134" s="21"/>
      <c r="D134" s="21"/>
      <c r="E134" s="1273">
        <f ca="1">finPNLReg2COGSExp</f>
        <v>3185380126.7315865</v>
      </c>
      <c r="F134" s="1273">
        <f ca="1">finPNLReg2COGSExp</f>
        <v>3185380126.7315865</v>
      </c>
      <c r="G134" s="1273">
        <f ca="1">finPNLReg2COGSExp</f>
        <v>3185380126.7315865</v>
      </c>
      <c r="H134" s="1273">
        <f ca="1">finPNLReg2COGSExp</f>
        <v>3185380126.7315865</v>
      </c>
      <c r="I134" s="1273">
        <f ca="1">finPNLReg2COGSExp</f>
        <v>3185380126.7315865</v>
      </c>
      <c r="J134" s="1273"/>
      <c r="K134" s="1276">
        <f ca="1">SUM(E134:I134)/xxNumOfTeams</f>
        <v>3185380126.7315865</v>
      </c>
    </row>
    <row r="135" spans="1:11">
      <c r="A135" s="132"/>
      <c r="B135" s="21" t="s">
        <v>3800</v>
      </c>
      <c r="C135" s="21"/>
      <c r="D135" s="21"/>
      <c r="E135" s="1273">
        <f ca="1">finPNLReg2GrossMargin</f>
        <v>3332219873.2684135</v>
      </c>
      <c r="F135" s="1273">
        <f ca="1">finPNLReg2GrossMargin</f>
        <v>3332219873.2684135</v>
      </c>
      <c r="G135" s="1273">
        <f ca="1">finPNLReg2GrossMargin</f>
        <v>3332219873.2684135</v>
      </c>
      <c r="H135" s="1273">
        <f ca="1">finPNLReg2GrossMargin</f>
        <v>3332219873.2684135</v>
      </c>
      <c r="I135" s="1273">
        <f ca="1">finPNLReg2GrossMargin</f>
        <v>3332219873.2684135</v>
      </c>
      <c r="J135" s="1273"/>
      <c r="K135" s="1276">
        <f ca="1">SUM(E135:I135)/xxNumOfTeams</f>
        <v>3332219873.2684135</v>
      </c>
    </row>
    <row r="136" spans="1:11">
      <c r="A136" s="132"/>
      <c r="B136" s="1279" t="s">
        <v>1509</v>
      </c>
      <c r="C136" s="62"/>
      <c r="D136" s="62"/>
      <c r="E136" s="522">
        <f ca="1">E135/E133</f>
        <v>0.51126486333441967</v>
      </c>
      <c r="F136" s="522">
        <f ca="1">F135/F133</f>
        <v>0.51126486333441967</v>
      </c>
      <c r="G136" s="522">
        <f ca="1">G135/G133</f>
        <v>0.51126486333441967</v>
      </c>
      <c r="H136" s="522">
        <f ca="1">H135/H133</f>
        <v>0.51126486333441967</v>
      </c>
      <c r="I136" s="522">
        <f ca="1">I135/I133</f>
        <v>0.51126486333441967</v>
      </c>
      <c r="J136" s="1274"/>
      <c r="K136" s="811"/>
    </row>
    <row r="137" spans="1:11">
      <c r="A137" s="132"/>
      <c r="B137" s="21" t="s">
        <v>1916</v>
      </c>
      <c r="C137" s="21"/>
      <c r="D137" s="21"/>
      <c r="E137" s="1273">
        <f ca="1">finPNLReg2SGAExp</f>
        <v>1618106490.8039083</v>
      </c>
      <c r="F137" s="1273">
        <f ca="1">finPNLReg2SGAExp</f>
        <v>1618106490.8039083</v>
      </c>
      <c r="G137" s="1273">
        <f ca="1">finPNLReg2SGAExp</f>
        <v>1618106490.8039083</v>
      </c>
      <c r="H137" s="1273">
        <f ca="1">finPNLReg2SGAExp</f>
        <v>1618106490.8039083</v>
      </c>
      <c r="I137" s="1273">
        <f ca="1">finPNLReg2SGAExp</f>
        <v>1618106490.8039083</v>
      </c>
      <c r="J137" s="1273"/>
      <c r="K137" s="1276">
        <f t="shared" ref="K137:K142" ca="1" si="1">SUM(E137:I137)/xxNumOfTeams</f>
        <v>1618106490.8039083</v>
      </c>
    </row>
    <row r="138" spans="1:11">
      <c r="A138" s="132"/>
      <c r="B138" s="21" t="s">
        <v>2241</v>
      </c>
      <c r="C138" s="21"/>
      <c r="D138" s="21"/>
      <c r="E138" s="1273">
        <f>finPNLReg2RandDExp</f>
        <v>27625000</v>
      </c>
      <c r="F138" s="1273">
        <f>finPNLReg2RandDExp</f>
        <v>27625000</v>
      </c>
      <c r="G138" s="1273">
        <f>finPNLReg2RandDExp</f>
        <v>27625000</v>
      </c>
      <c r="H138" s="1273">
        <f>finPNLReg2RandDExp</f>
        <v>27625000</v>
      </c>
      <c r="I138" s="1273">
        <f>finPNLReg2RandDExp</f>
        <v>27625000</v>
      </c>
      <c r="J138" s="1273"/>
      <c r="K138" s="1276">
        <f t="shared" si="1"/>
        <v>27625000</v>
      </c>
    </row>
    <row r="139" spans="1:11">
      <c r="A139" s="132"/>
      <c r="B139" s="21" t="s">
        <v>396</v>
      </c>
      <c r="C139" s="21"/>
      <c r="D139" s="21"/>
      <c r="E139" s="1273">
        <f ca="1">finPNLReg2DisposalExp</f>
        <v>58336594.613092557</v>
      </c>
      <c r="F139" s="1273">
        <f ca="1">finPNLReg2DisposalExp</f>
        <v>58336594.613092557</v>
      </c>
      <c r="G139" s="1273">
        <f ca="1">finPNLReg2DisposalExp</f>
        <v>58336594.613092557</v>
      </c>
      <c r="H139" s="1273">
        <f ca="1">finPNLReg2DisposalExp</f>
        <v>58336594.613092557</v>
      </c>
      <c r="I139" s="1273">
        <f ca="1">finPNLReg2DisposalExp</f>
        <v>58336594.613092557</v>
      </c>
      <c r="J139" s="1274"/>
      <c r="K139" s="811">
        <f t="shared" ca="1" si="1"/>
        <v>58336594.613092557</v>
      </c>
    </row>
    <row r="140" spans="1:11">
      <c r="A140" s="132"/>
      <c r="B140" s="21" t="s">
        <v>3411</v>
      </c>
      <c r="C140" s="21"/>
      <c r="D140" s="21"/>
      <c r="E140" s="1273">
        <f ca="1">finPNLReg2SpecProgExp</f>
        <v>0</v>
      </c>
      <c r="F140" s="1273">
        <f ca="1">finPNLReg2SpecProgExp</f>
        <v>0</v>
      </c>
      <c r="G140" s="1273">
        <f ca="1">finPNLReg2SpecProgExp</f>
        <v>0</v>
      </c>
      <c r="H140" s="1273">
        <f ca="1">finPNLReg2SpecProgExp</f>
        <v>0</v>
      </c>
      <c r="I140" s="1273">
        <f ca="1">finPNLReg2SpecProgExp</f>
        <v>0</v>
      </c>
      <c r="J140" s="1274"/>
      <c r="K140" s="811">
        <f t="shared" ca="1" si="1"/>
        <v>0</v>
      </c>
    </row>
    <row r="141" spans="1:11">
      <c r="A141" s="132"/>
      <c r="B141" s="21" t="s">
        <v>3801</v>
      </c>
      <c r="C141" s="21"/>
      <c r="D141" s="21"/>
      <c r="E141" s="1273">
        <f ca="1">finPNLReg2OpsMargin</f>
        <v>1589907604.3803139</v>
      </c>
      <c r="F141" s="1273">
        <f ca="1">finPNLReg2OpsMargin</f>
        <v>1589907604.3803139</v>
      </c>
      <c r="G141" s="1273">
        <f ca="1">finPNLReg2OpsMargin</f>
        <v>1589907604.3803139</v>
      </c>
      <c r="H141" s="1273">
        <f ca="1">finPNLReg2OpsMargin</f>
        <v>1589907604.3803139</v>
      </c>
      <c r="I141" s="1273">
        <f ca="1">finPNLReg2OpsMargin</f>
        <v>1589907604.3803139</v>
      </c>
      <c r="J141" s="1273"/>
      <c r="K141" s="1276">
        <f t="shared" ca="1" si="1"/>
        <v>1589907604.3803139</v>
      </c>
    </row>
    <row r="142" spans="1:11">
      <c r="A142" s="132"/>
      <c r="B142" s="550" t="s">
        <v>174</v>
      </c>
      <c r="C142" s="21"/>
      <c r="D142" s="21"/>
      <c r="E142" s="1166">
        <f ca="1">finPNLReg2OpsMarginPct</f>
        <v>0.24394065367317938</v>
      </c>
      <c r="F142" s="1166">
        <f ca="1">finPNLReg2OpsMarginPct</f>
        <v>0.24394065367317938</v>
      </c>
      <c r="G142" s="1166">
        <f ca="1">finPNLReg2OpsMarginPct</f>
        <v>0.24394065367317938</v>
      </c>
      <c r="H142" s="1166">
        <f ca="1">finPNLReg2OpsMarginPct</f>
        <v>0.24394065367317938</v>
      </c>
      <c r="I142" s="1166">
        <f ca="1">finPNLReg2OpsMarginPct</f>
        <v>0.24394065367317938</v>
      </c>
      <c r="J142" s="1166"/>
      <c r="K142" s="1281">
        <f t="shared" ca="1" si="1"/>
        <v>0.24394065367317935</v>
      </c>
    </row>
    <row r="143" spans="1:11">
      <c r="A143" s="132"/>
      <c r="B143" s="550"/>
      <c r="C143" s="21"/>
      <c r="D143" s="21"/>
      <c r="E143" s="21"/>
      <c r="F143" s="21"/>
      <c r="G143" s="21"/>
      <c r="H143" s="21"/>
      <c r="I143" s="21"/>
      <c r="J143" s="180"/>
      <c r="K143" s="796"/>
    </row>
    <row r="144" spans="1:11" ht="15.75">
      <c r="A144" s="407" t="s">
        <v>2430</v>
      </c>
      <c r="B144" s="182"/>
      <c r="C144" s="182"/>
      <c r="D144" s="182"/>
      <c r="E144" s="731" t="str">
        <f>decTeamName</f>
        <v>Vivia</v>
      </c>
      <c r="F144" s="731" t="str">
        <f>decTeamName</f>
        <v>Vivia</v>
      </c>
      <c r="G144" s="731" t="str">
        <f>decTeamName</f>
        <v>Vivia</v>
      </c>
      <c r="H144" s="731" t="str">
        <f>decTeamName</f>
        <v>Vivia</v>
      </c>
      <c r="I144" s="731" t="str">
        <f>decTeamName</f>
        <v>Vivia</v>
      </c>
      <c r="J144" s="742"/>
      <c r="K144" s="823" t="s">
        <v>2718</v>
      </c>
    </row>
    <row r="145" spans="1:11" ht="15.75" customHeight="1">
      <c r="A145" s="707" t="s">
        <v>829</v>
      </c>
      <c r="B145" s="555"/>
      <c r="C145" s="21"/>
      <c r="D145" s="21"/>
      <c r="E145" s="524"/>
      <c r="F145" s="737"/>
      <c r="G145" s="524"/>
      <c r="H145" s="524"/>
      <c r="I145" s="524"/>
      <c r="J145" s="1274"/>
      <c r="K145" s="811"/>
    </row>
    <row r="146" spans="1:11">
      <c r="A146" s="132"/>
      <c r="B146" s="555"/>
      <c r="C146" s="21"/>
      <c r="D146" s="21"/>
      <c r="E146" s="524"/>
      <c r="F146" s="737"/>
      <c r="G146" s="524"/>
      <c r="H146" s="524"/>
      <c r="I146" s="524"/>
      <c r="J146" s="1274"/>
      <c r="K146" s="811"/>
    </row>
    <row r="147" spans="1:11">
      <c r="A147" s="132"/>
      <c r="B147" s="1272" t="s">
        <v>201</v>
      </c>
      <c r="C147" s="62"/>
      <c r="D147" s="62"/>
      <c r="E147" s="840">
        <f>decRecruitLevel</f>
        <v>3</v>
      </c>
      <c r="F147" s="840">
        <f>decRecruitLevel</f>
        <v>3</v>
      </c>
      <c r="G147" s="840">
        <f>decRecruitLevel</f>
        <v>3</v>
      </c>
      <c r="H147" s="840">
        <f>decRecruitLevel</f>
        <v>3</v>
      </c>
      <c r="I147" s="840">
        <f>decRecruitLevel</f>
        <v>3</v>
      </c>
      <c r="J147" s="521"/>
      <c r="K147" s="811">
        <f t="shared" ref="K147:K153" si="2">SUM(E147:I147)/xxNumOfTeams</f>
        <v>3</v>
      </c>
    </row>
    <row r="148" spans="1:11">
      <c r="A148" s="132"/>
      <c r="B148" s="548" t="s">
        <v>204</v>
      </c>
      <c r="C148" s="38"/>
      <c r="D148" s="38"/>
      <c r="E148" s="1454">
        <f>paramRecruitLevelCost</f>
        <v>7438016.5289256191</v>
      </c>
      <c r="F148" s="1454">
        <f>paramRecruitLevelCost</f>
        <v>7438016.5289256191</v>
      </c>
      <c r="G148" s="1454">
        <f>paramRecruitLevelCost</f>
        <v>7438016.5289256191</v>
      </c>
      <c r="H148" s="1454">
        <f>paramRecruitLevelCost</f>
        <v>7438016.5289256191</v>
      </c>
      <c r="I148" s="1454">
        <f>paramRecruitLevelCost</f>
        <v>7438016.5289256191</v>
      </c>
      <c r="J148" s="1454"/>
      <c r="K148" s="1455">
        <f t="shared" si="2"/>
        <v>7438016.5289256182</v>
      </c>
    </row>
    <row r="149" spans="1:11" ht="11.25" customHeight="1">
      <c r="A149" s="544"/>
      <c r="B149" s="1317" t="s">
        <v>3336</v>
      </c>
      <c r="C149" s="61"/>
      <c r="D149" s="61"/>
      <c r="E149" s="1318">
        <f>decEmpDevLevel</f>
        <v>3</v>
      </c>
      <c r="F149" s="1318">
        <f>decEmpDevLevel</f>
        <v>3</v>
      </c>
      <c r="G149" s="1318">
        <f>decEmpDevLevel</f>
        <v>3</v>
      </c>
      <c r="H149" s="1318">
        <f>decEmpDevLevel</f>
        <v>3</v>
      </c>
      <c r="I149" s="1318">
        <f>decEmpDevLevel</f>
        <v>3</v>
      </c>
      <c r="J149" s="1319"/>
      <c r="K149" s="1320">
        <f t="shared" si="2"/>
        <v>3</v>
      </c>
    </row>
    <row r="150" spans="1:11">
      <c r="A150" s="132"/>
      <c r="B150" s="1321" t="s">
        <v>206</v>
      </c>
      <c r="C150" s="67"/>
      <c r="D150" s="67"/>
      <c r="E150" s="1454">
        <f>paramEmpDevCost</f>
        <v>32400000</v>
      </c>
      <c r="F150" s="1454">
        <f>paramEmpDevCost</f>
        <v>32400000</v>
      </c>
      <c r="G150" s="1454">
        <f>paramEmpDevCost</f>
        <v>32400000</v>
      </c>
      <c r="H150" s="1454">
        <f>paramEmpDevCost</f>
        <v>32400000</v>
      </c>
      <c r="I150" s="1454">
        <f>paramEmpDevCost</f>
        <v>32400000</v>
      </c>
      <c r="J150" s="1454"/>
      <c r="K150" s="1455">
        <f t="shared" si="2"/>
        <v>32400000</v>
      </c>
    </row>
    <row r="151" spans="1:11">
      <c r="A151" s="132"/>
      <c r="B151" s="1322" t="s">
        <v>208</v>
      </c>
      <c r="C151" s="61"/>
      <c r="D151" s="61"/>
      <c r="E151" s="1318">
        <f>cbalITcapLevel</f>
        <v>2</v>
      </c>
      <c r="F151" s="1318">
        <f>cbalITcapLevel</f>
        <v>2</v>
      </c>
      <c r="G151" s="1318">
        <f>cbalITcapLevel</f>
        <v>2</v>
      </c>
      <c r="H151" s="1318">
        <f>cbalITcapLevel</f>
        <v>2</v>
      </c>
      <c r="I151" s="1318">
        <f>cbalITcapLevel</f>
        <v>2</v>
      </c>
      <c r="J151" s="1323"/>
      <c r="K151" s="1320">
        <f t="shared" si="2"/>
        <v>2</v>
      </c>
    </row>
    <row r="152" spans="1:11">
      <c r="A152" s="132"/>
      <c r="B152" s="1321" t="s">
        <v>210</v>
      </c>
      <c r="C152" s="67"/>
      <c r="D152" s="67"/>
      <c r="E152" s="1462">
        <f>paramITlevelCost</f>
        <v>5500000</v>
      </c>
      <c r="F152" s="1462">
        <f>paramITlevelCost</f>
        <v>5500000</v>
      </c>
      <c r="G152" s="1462">
        <f>paramITlevelCost</f>
        <v>5500000</v>
      </c>
      <c r="H152" s="1462">
        <f>paramITlevelCost</f>
        <v>5500000</v>
      </c>
      <c r="I152" s="1462">
        <f>paramITlevelCost</f>
        <v>5500000</v>
      </c>
      <c r="J152" s="1462"/>
      <c r="K152" s="1463">
        <f t="shared" si="2"/>
        <v>5500000</v>
      </c>
    </row>
    <row r="153" spans="1:11">
      <c r="A153" s="132"/>
      <c r="B153" s="551" t="s">
        <v>211</v>
      </c>
      <c r="C153" s="62"/>
      <c r="D153" s="62"/>
      <c r="E153" s="1458">
        <f>SUM(E152,E150,E148)</f>
        <v>45338016.52892562</v>
      </c>
      <c r="F153" s="1458">
        <f>SUM(F152,F150,F148)</f>
        <v>45338016.52892562</v>
      </c>
      <c r="G153" s="1458">
        <f>SUM(G152,G150,G148)</f>
        <v>45338016.52892562</v>
      </c>
      <c r="H153" s="1458">
        <f>SUM(H152,H150,H148)</f>
        <v>45338016.52892562</v>
      </c>
      <c r="I153" s="1458">
        <f>SUM(I152,I150,I148)</f>
        <v>45338016.52892562</v>
      </c>
      <c r="J153" s="1458"/>
      <c r="K153" s="1459">
        <f t="shared" si="2"/>
        <v>45338016.52892562</v>
      </c>
    </row>
    <row r="154" spans="1:11">
      <c r="A154" s="132"/>
      <c r="B154" s="548"/>
      <c r="C154" s="21"/>
      <c r="D154" s="21"/>
      <c r="E154" s="21"/>
      <c r="F154" s="21"/>
      <c r="G154" s="21"/>
      <c r="H154" s="21"/>
      <c r="I154" s="21"/>
      <c r="J154" s="180"/>
      <c r="K154" s="796"/>
    </row>
    <row r="155" spans="1:11" ht="15.75">
      <c r="A155" s="407" t="s">
        <v>213</v>
      </c>
      <c r="B155" s="182"/>
      <c r="C155" s="182"/>
      <c r="D155" s="182"/>
      <c r="E155" s="731" t="str">
        <f>decTeamName</f>
        <v>Vivia</v>
      </c>
      <c r="F155" s="731" t="str">
        <f>decTeamName</f>
        <v>Vivia</v>
      </c>
      <c r="G155" s="731" t="str">
        <f>decTeamName</f>
        <v>Vivia</v>
      </c>
      <c r="H155" s="731" t="str">
        <f>decTeamName</f>
        <v>Vivia</v>
      </c>
      <c r="I155" s="731" t="str">
        <f>decTeamName</f>
        <v>Vivia</v>
      </c>
      <c r="J155" s="742"/>
      <c r="K155" s="823" t="s">
        <v>2718</v>
      </c>
    </row>
    <row r="156" spans="1:11">
      <c r="A156" s="132"/>
      <c r="B156" s="555"/>
      <c r="C156" s="21"/>
      <c r="D156" s="21"/>
      <c r="E156" s="524"/>
      <c r="F156" s="737"/>
      <c r="G156" s="524"/>
      <c r="H156" s="524"/>
      <c r="I156" s="524"/>
      <c r="J156" s="1274"/>
      <c r="K156" s="811"/>
    </row>
    <row r="157" spans="1:11" ht="15.75">
      <c r="A157" s="1280" t="s">
        <v>1598</v>
      </c>
      <c r="B157" s="555"/>
      <c r="C157" s="21"/>
      <c r="D157" s="21"/>
      <c r="E157" s="524"/>
      <c r="F157" s="737"/>
      <c r="G157" s="524"/>
      <c r="H157" s="524"/>
      <c r="I157" s="524"/>
      <c r="J157" s="1274"/>
      <c r="K157" s="811"/>
    </row>
    <row r="158" spans="1:11">
      <c r="A158" s="132"/>
      <c r="B158" s="555" t="s">
        <v>571</v>
      </c>
      <c r="C158" s="21"/>
      <c r="D158" s="21"/>
      <c r="E158" s="524">
        <f>obalEmp1</f>
        <v>4000</v>
      </c>
      <c r="F158" s="737">
        <f>obalEmp1</f>
        <v>4000</v>
      </c>
      <c r="G158" s="524">
        <f>obalEmp1</f>
        <v>4000</v>
      </c>
      <c r="H158" s="524">
        <f>obalEmp1</f>
        <v>4000</v>
      </c>
      <c r="I158" s="524">
        <f>obalEmp1</f>
        <v>4000</v>
      </c>
      <c r="J158" s="1274"/>
      <c r="K158" s="811">
        <f t="shared" ref="K158:K163" si="3">SUM(E158:I158)/xxNumOfTeams</f>
        <v>4000</v>
      </c>
    </row>
    <row r="159" spans="1:11">
      <c r="A159" s="132"/>
      <c r="B159" s="555" t="s">
        <v>572</v>
      </c>
      <c r="C159" s="21"/>
      <c r="D159" s="21"/>
      <c r="E159" s="1277" t="str">
        <f>TEXT(capEmp1Att/E158,"##%")&amp;" ("&amp;TEXT(capEmp1Att,"#,###")&amp;")"</f>
        <v>10% (400)</v>
      </c>
      <c r="F159" s="1277" t="str">
        <f>TEXT(capEmp1Att/F158,"##%")&amp;" ("&amp;TEXT(capEmp1Att,"#,###")&amp;")"</f>
        <v>10% (400)</v>
      </c>
      <c r="G159" s="1277" t="str">
        <f>TEXT(capEmp1Att/G158,"##%")&amp;" ("&amp;TEXT(capEmp1Att,"#,###")&amp;")"</f>
        <v>10% (400)</v>
      </c>
      <c r="H159" s="1277" t="str">
        <f>TEXT(capEmp1Att/H158,"##%")&amp;" ("&amp;TEXT(capEmp1Att,"#,###")&amp;")"</f>
        <v>10% (400)</v>
      </c>
      <c r="I159" s="1277" t="str">
        <f>TEXT(capEmp1Att/I158,"##%")&amp;" ("&amp;TEXT(capEmp1Att,"#,###")&amp;")"</f>
        <v>10% (400)</v>
      </c>
      <c r="J159" s="521"/>
      <c r="K159" s="811">
        <f t="shared" si="3"/>
        <v>0</v>
      </c>
    </row>
    <row r="160" spans="1:11">
      <c r="A160" s="132"/>
      <c r="B160" s="556" t="s">
        <v>573</v>
      </c>
      <c r="C160" s="38"/>
      <c r="D160" s="38"/>
      <c r="E160" s="1274">
        <f>capEmp1Change</f>
        <v>400</v>
      </c>
      <c r="F160" s="1274">
        <f>capEmp1Change</f>
        <v>400</v>
      </c>
      <c r="G160" s="1274">
        <f>capEmp1Change</f>
        <v>400</v>
      </c>
      <c r="H160" s="1274">
        <f>capEmp1Change</f>
        <v>400</v>
      </c>
      <c r="I160" s="1274">
        <f>capEmp1Change</f>
        <v>400</v>
      </c>
      <c r="J160" s="521"/>
      <c r="K160" s="811">
        <f t="shared" si="3"/>
        <v>400</v>
      </c>
    </row>
    <row r="161" spans="1:11">
      <c r="A161" s="132"/>
      <c r="B161" s="555" t="s">
        <v>574</v>
      </c>
      <c r="C161" s="38"/>
      <c r="D161" s="38"/>
      <c r="E161" s="1274">
        <f>cbalEmp1</f>
        <v>4000</v>
      </c>
      <c r="F161" s="1274">
        <f>cbalEmp1</f>
        <v>4000</v>
      </c>
      <c r="G161" s="1274">
        <f>cbalEmp1</f>
        <v>4000</v>
      </c>
      <c r="H161" s="1274">
        <f>cbalEmp1</f>
        <v>4000</v>
      </c>
      <c r="I161" s="1274">
        <f>cbalEmp1</f>
        <v>4000</v>
      </c>
      <c r="J161" s="521"/>
      <c r="K161" s="811">
        <f t="shared" si="3"/>
        <v>4000</v>
      </c>
    </row>
    <row r="162" spans="1:11">
      <c r="A162" s="132"/>
      <c r="B162" s="551" t="s">
        <v>1729</v>
      </c>
      <c r="C162" s="38"/>
      <c r="D162" s="38"/>
      <c r="E162" s="1274">
        <f>(capProd1Reg1Units+capProd2Reg1Units+capProd3Reg1Units+capProd4Reg1Units)/cbalEmp1</f>
        <v>417237.60525000002</v>
      </c>
      <c r="F162" s="1274">
        <f>(capProd1Reg1Units+capProd2Reg1Units+capProd3Reg1Units+capProd4Reg1Units)/cbalEmp1</f>
        <v>417237.60525000002</v>
      </c>
      <c r="G162" s="1274">
        <f>(capProd1Reg1Units+capProd2Reg1Units+capProd3Reg1Units+capProd4Reg1Units)/cbalEmp1</f>
        <v>417237.60525000002</v>
      </c>
      <c r="H162" s="1274">
        <f>(capProd1Reg1Units+capProd2Reg1Units+capProd3Reg1Units+capProd4Reg1Units)/cbalEmp1</f>
        <v>417237.60525000002</v>
      </c>
      <c r="I162" s="1274">
        <f>(capProd1Reg1Units+capProd2Reg1Units+capProd3Reg1Units+capProd4Reg1Units)/cbalEmp1</f>
        <v>417237.60525000002</v>
      </c>
      <c r="J162" s="521"/>
      <c r="K162" s="811">
        <f t="shared" si="3"/>
        <v>417237.60525000002</v>
      </c>
    </row>
    <row r="163" spans="1:11">
      <c r="A163" s="132"/>
      <c r="B163" s="551" t="s">
        <v>741</v>
      </c>
      <c r="C163" s="38"/>
      <c r="D163" s="38"/>
      <c r="E163" s="1456">
        <f>finPNLReg1Rev/cbalEmp1</f>
        <v>4792380.9248749996</v>
      </c>
      <c r="F163" s="1456">
        <f>finPNLReg1Rev/cbalEmp1</f>
        <v>4792380.9248749996</v>
      </c>
      <c r="G163" s="1456">
        <f>finPNLReg1Rev/cbalEmp1</f>
        <v>4792380.9248749996</v>
      </c>
      <c r="H163" s="1456">
        <f>finPNLReg1Rev/cbalEmp1</f>
        <v>4792380.9248749996</v>
      </c>
      <c r="I163" s="1456">
        <f>finPNLReg1Rev/cbalEmp1</f>
        <v>4792380.9248749996</v>
      </c>
      <c r="J163" s="1456"/>
      <c r="K163" s="1457">
        <f t="shared" si="3"/>
        <v>4792380.9248749996</v>
      </c>
    </row>
    <row r="164" spans="1:11">
      <c r="A164" s="132"/>
      <c r="B164" s="548"/>
      <c r="C164" s="38"/>
      <c r="D164" s="38"/>
      <c r="E164" s="1274"/>
      <c r="F164" s="1274"/>
      <c r="G164" s="1274"/>
      <c r="H164" s="1274"/>
      <c r="I164" s="1274"/>
      <c r="J164" s="180"/>
      <c r="K164" s="796"/>
    </row>
    <row r="165" spans="1:11">
      <c r="A165" s="132"/>
      <c r="B165" s="549" t="s">
        <v>575</v>
      </c>
      <c r="C165" s="38"/>
      <c r="D165" s="38"/>
      <c r="E165" s="1274"/>
      <c r="F165" s="1274"/>
      <c r="G165" s="1274"/>
      <c r="H165" s="1274"/>
      <c r="I165" s="1274"/>
      <c r="J165" s="180"/>
      <c r="K165" s="796"/>
    </row>
    <row r="166" spans="1:11">
      <c r="A166" s="132"/>
      <c r="B166" s="548" t="s">
        <v>3266</v>
      </c>
      <c r="C166" s="38"/>
      <c r="D166" s="38"/>
      <c r="E166" s="1273">
        <f>finPNLReg1Emp1Exp</f>
        <v>320000000</v>
      </c>
      <c r="F166" s="1273">
        <f>finPNLReg1Emp1Exp</f>
        <v>320000000</v>
      </c>
      <c r="G166" s="1273">
        <f>finPNLReg1Emp1Exp</f>
        <v>320000000</v>
      </c>
      <c r="H166" s="1273">
        <f>finPNLReg1Emp1Exp</f>
        <v>320000000</v>
      </c>
      <c r="I166" s="1273">
        <f>finPNLReg1Emp1Exp</f>
        <v>320000000</v>
      </c>
      <c r="J166" s="1273"/>
      <c r="K166" s="1276">
        <f>SUM(E166:I166)/xxNumOfTeams</f>
        <v>320000000</v>
      </c>
    </row>
    <row r="167" spans="1:11">
      <c r="A167" s="132"/>
      <c r="B167" s="548" t="s">
        <v>576</v>
      </c>
      <c r="C167" s="38"/>
      <c r="D167" s="38"/>
      <c r="E167" s="1273">
        <f>capProd1Emp1RecDismExp+capProd2Emp1RecDismExp+capProd3Emp1RecDismExp+capProd4Emp1RecDismExp</f>
        <v>12160000</v>
      </c>
      <c r="F167" s="1273">
        <f>capProd1Emp1RecDismExp+capProd2Emp1RecDismExp+capProd3Emp1RecDismExp+capProd4Emp1RecDismExp</f>
        <v>12160000</v>
      </c>
      <c r="G167" s="1273">
        <f>capProd1Emp1RecDismExp+capProd2Emp1RecDismExp+capProd3Emp1RecDismExp+capProd4Emp1RecDismExp</f>
        <v>12160000</v>
      </c>
      <c r="H167" s="1273">
        <f>capProd1Emp1RecDismExp+capProd2Emp1RecDismExp+capProd3Emp1RecDismExp+capProd4Emp1RecDismExp</f>
        <v>12160000</v>
      </c>
      <c r="I167" s="1273">
        <f>capProd1Emp1RecDismExp+capProd2Emp1RecDismExp+capProd3Emp1RecDismExp+capProd4Emp1RecDismExp</f>
        <v>12160000</v>
      </c>
      <c r="J167" s="1273"/>
      <c r="K167" s="1276">
        <f>SUM(E167:I167)/xxNumOfTeams</f>
        <v>12160000</v>
      </c>
    </row>
    <row r="168" spans="1:11">
      <c r="A168" s="132"/>
      <c r="B168" s="548" t="s">
        <v>577</v>
      </c>
      <c r="C168" s="38"/>
      <c r="D168" s="38"/>
      <c r="E168" s="1273">
        <f>capProd1Emp1AdminExp+capProd2Emp1AdminExp+capProd3Emp1AdminExp+capProd4Emp1AdminExp</f>
        <v>64000000</v>
      </c>
      <c r="F168" s="1273">
        <f>capProd1Emp1AdminExp+capProd2Emp1AdminExp+capProd3Emp1AdminExp+capProd4Emp1AdminExp</f>
        <v>64000000</v>
      </c>
      <c r="G168" s="1273">
        <f>capProd1Emp1AdminExp+capProd2Emp1AdminExp+capProd3Emp1AdminExp+capProd4Emp1AdminExp</f>
        <v>64000000</v>
      </c>
      <c r="H168" s="1273">
        <f>capProd1Emp1AdminExp+capProd2Emp1AdminExp+capProd3Emp1AdminExp+capProd4Emp1AdminExp</f>
        <v>64000000</v>
      </c>
      <c r="I168" s="1273">
        <f>capProd1Emp1AdminExp+capProd2Emp1AdminExp+capProd3Emp1AdminExp+capProd4Emp1AdminExp</f>
        <v>64000000</v>
      </c>
      <c r="J168" s="1273"/>
      <c r="K168" s="1276">
        <f>SUM(E168:I168)/xxNumOfTeams</f>
        <v>64000000</v>
      </c>
    </row>
    <row r="169" spans="1:11">
      <c r="A169" s="132"/>
      <c r="B169" s="557" t="s">
        <v>2377</v>
      </c>
      <c r="C169" s="38"/>
      <c r="D169" s="38"/>
      <c r="E169" s="1181">
        <f>SUM(E166:E168)</f>
        <v>396160000</v>
      </c>
      <c r="F169" s="1181">
        <f>SUM(F166:F168)</f>
        <v>396160000</v>
      </c>
      <c r="G169" s="1181">
        <f>SUM(G166:G168)</f>
        <v>396160000</v>
      </c>
      <c r="H169" s="1181">
        <f>SUM(H166:H168)</f>
        <v>396160000</v>
      </c>
      <c r="I169" s="1181">
        <f>SUM(I166:I168)</f>
        <v>396160000</v>
      </c>
      <c r="J169" s="1181"/>
      <c r="K169" s="1417">
        <f>SUM(E169:I169)/xxNumOfTeams</f>
        <v>396160000</v>
      </c>
    </row>
    <row r="170" spans="1:11">
      <c r="A170" s="132"/>
      <c r="B170" s="548"/>
      <c r="C170" s="21"/>
      <c r="D170" s="21"/>
      <c r="E170" s="21"/>
      <c r="F170" s="21"/>
      <c r="G170" s="21"/>
      <c r="H170" s="21"/>
      <c r="I170" s="21"/>
      <c r="J170" s="180"/>
      <c r="K170" s="796"/>
    </row>
    <row r="171" spans="1:11" ht="15.75">
      <c r="A171" s="1280" t="s">
        <v>1599</v>
      </c>
      <c r="B171" s="548"/>
      <c r="C171" s="21"/>
      <c r="D171" s="21"/>
      <c r="E171" s="21"/>
      <c r="F171" s="21"/>
      <c r="G171" s="21"/>
      <c r="H171" s="21"/>
      <c r="I171" s="21"/>
      <c r="J171" s="180"/>
      <c r="K171" s="796"/>
    </row>
    <row r="172" spans="1:11">
      <c r="A172" s="132"/>
      <c r="B172" s="555" t="s">
        <v>571</v>
      </c>
      <c r="C172" s="21"/>
      <c r="D172" s="21"/>
      <c r="E172" s="524">
        <f>obalEmp2</f>
        <v>2100</v>
      </c>
      <c r="F172" s="524">
        <f>obalEmp2</f>
        <v>2100</v>
      </c>
      <c r="G172" s="524">
        <f>obalEmp2</f>
        <v>2100</v>
      </c>
      <c r="H172" s="524">
        <f>obalEmp2</f>
        <v>2100</v>
      </c>
      <c r="I172" s="524">
        <f>obalEmp2</f>
        <v>2100</v>
      </c>
      <c r="J172" s="1274"/>
      <c r="K172" s="811">
        <f t="shared" ref="K172:K177" si="4">SUM(E172:I172)/xxNumOfTeams</f>
        <v>2100</v>
      </c>
    </row>
    <row r="173" spans="1:11">
      <c r="A173" s="132"/>
      <c r="B173" s="555" t="s">
        <v>572</v>
      </c>
      <c r="C173" s="21"/>
      <c r="D173" s="21"/>
      <c r="E173" s="1277" t="str">
        <f>TEXT(capEmp2Att/E172,"##%")&amp;" ("&amp;TEXT(capEmp2Att,"#,###")&amp;")"</f>
        <v>12% (245)</v>
      </c>
      <c r="F173" s="1277" t="str">
        <f>TEXT(capEmp2Att/F172,"##%")&amp;" ("&amp;TEXT(capEmp2Att,"#,###")&amp;")"</f>
        <v>12% (245)</v>
      </c>
      <c r="G173" s="1277" t="str">
        <f>TEXT(capEmp2Att/G172,"##%")&amp;" ("&amp;TEXT(capEmp2Att,"#,###")&amp;")"</f>
        <v>12% (245)</v>
      </c>
      <c r="H173" s="1277" t="str">
        <f>TEXT(capEmp2Att/H172,"##%")&amp;" ("&amp;TEXT(capEmp2Att,"#,###")&amp;")"</f>
        <v>12% (245)</v>
      </c>
      <c r="I173" s="1277" t="str">
        <f>TEXT(capEmp2Att/I172,"##%")&amp;" ("&amp;TEXT(capEmp2Att,"#,###")&amp;")"</f>
        <v>12% (245)</v>
      </c>
      <c r="J173" s="1274"/>
      <c r="K173" s="811">
        <f t="shared" si="4"/>
        <v>0</v>
      </c>
    </row>
    <row r="174" spans="1:11">
      <c r="A174" s="132"/>
      <c r="B174" s="556" t="s">
        <v>573</v>
      </c>
      <c r="C174" s="21"/>
      <c r="D174" s="21"/>
      <c r="E174" s="1274">
        <f>capEmp2Change</f>
        <v>245</v>
      </c>
      <c r="F174" s="1274">
        <f>capEmp2Change</f>
        <v>245</v>
      </c>
      <c r="G174" s="1274">
        <f>capEmp2Change</f>
        <v>245</v>
      </c>
      <c r="H174" s="1274">
        <f>capEmp2Change</f>
        <v>245</v>
      </c>
      <c r="I174" s="1274">
        <f>capEmp2Change</f>
        <v>245</v>
      </c>
      <c r="J174" s="1274"/>
      <c r="K174" s="811">
        <f t="shared" si="4"/>
        <v>245</v>
      </c>
    </row>
    <row r="175" spans="1:11">
      <c r="A175" s="132"/>
      <c r="B175" s="555" t="s">
        <v>574</v>
      </c>
      <c r="C175" s="21"/>
      <c r="D175" s="21"/>
      <c r="E175" s="1274">
        <f>cbalEmp2</f>
        <v>2100</v>
      </c>
      <c r="F175" s="1274">
        <f>cbalEmp2</f>
        <v>2100</v>
      </c>
      <c r="G175" s="1274">
        <f>cbalEmp2</f>
        <v>2100</v>
      </c>
      <c r="H175" s="1274">
        <f>cbalEmp2</f>
        <v>2100</v>
      </c>
      <c r="I175" s="1274">
        <f>cbalEmp2</f>
        <v>2100</v>
      </c>
      <c r="J175" s="1274"/>
      <c r="K175" s="811">
        <f t="shared" si="4"/>
        <v>2100</v>
      </c>
    </row>
    <row r="176" spans="1:11">
      <c r="A176" s="132"/>
      <c r="B176" s="551" t="s">
        <v>1729</v>
      </c>
      <c r="C176" s="38"/>
      <c r="D176" s="38"/>
      <c r="E176" s="1274">
        <f>(capProd1Reg2Units+capProd2Reg2Units+capProd3Reg2Units+capProd4Reg2Units)/cbalEmp2</f>
        <v>413159.99380952382</v>
      </c>
      <c r="F176" s="1274">
        <f>(capProd1Reg2Units+capProd2Reg2Units+capProd3Reg2Units+capProd4Reg2Units)/cbalEmp2</f>
        <v>413159.99380952382</v>
      </c>
      <c r="G176" s="1274">
        <f>(capProd1Reg2Units+capProd2Reg2Units+capProd3Reg2Units+capProd4Reg2Units)/cbalEmp2</f>
        <v>413159.99380952382</v>
      </c>
      <c r="H176" s="1274">
        <f>(capProd1Reg2Units+capProd2Reg2Units+capProd3Reg2Units+capProd4Reg2Units)/cbalEmp2</f>
        <v>413159.99380952382</v>
      </c>
      <c r="I176" s="1274">
        <f>(capProd1Reg2Units+capProd2Reg2Units+capProd3Reg2Units+capProd4Reg2Units)/cbalEmp2</f>
        <v>413159.99380952382</v>
      </c>
      <c r="J176" s="1274"/>
      <c r="K176" s="811">
        <f t="shared" si="4"/>
        <v>413159.99380952382</v>
      </c>
    </row>
    <row r="177" spans="1:11">
      <c r="A177" s="132"/>
      <c r="B177" s="551" t="s">
        <v>741</v>
      </c>
      <c r="C177" s="38"/>
      <c r="D177" s="150"/>
      <c r="E177" s="1456">
        <f>finPNLReg2Rev/cbalEmp2</f>
        <v>3320285.7142857141</v>
      </c>
      <c r="F177" s="1456">
        <f>finPNLReg2Rev/cbalEmp2</f>
        <v>3320285.7142857141</v>
      </c>
      <c r="G177" s="1456">
        <f>finPNLReg2Rev/cbalEmp2</f>
        <v>3320285.7142857141</v>
      </c>
      <c r="H177" s="1456">
        <f>finPNLReg2Rev/cbalEmp2</f>
        <v>3320285.7142857141</v>
      </c>
      <c r="I177" s="1456">
        <f>finPNLReg2Rev/cbalEmp2</f>
        <v>3320285.7142857141</v>
      </c>
      <c r="J177" s="1456"/>
      <c r="K177" s="1457">
        <f t="shared" si="4"/>
        <v>3320285.7142857141</v>
      </c>
    </row>
    <row r="178" spans="1:11">
      <c r="A178" s="132"/>
      <c r="B178" s="548"/>
      <c r="C178" s="21"/>
      <c r="D178" s="21"/>
      <c r="E178" s="1274"/>
      <c r="F178" s="21"/>
      <c r="G178" s="21"/>
      <c r="H178" s="21"/>
      <c r="I178" s="21"/>
      <c r="K178" s="133"/>
    </row>
    <row r="179" spans="1:11">
      <c r="A179" s="132"/>
      <c r="B179" s="549" t="s">
        <v>575</v>
      </c>
      <c r="C179" s="21"/>
      <c r="D179" s="21"/>
      <c r="E179" s="1274"/>
      <c r="F179" s="1274"/>
      <c r="G179" s="1274"/>
      <c r="H179" s="1274"/>
      <c r="I179" s="1274"/>
      <c r="J179" s="180"/>
      <c r="K179" s="796"/>
    </row>
    <row r="180" spans="1:11">
      <c r="A180" s="132"/>
      <c r="B180" s="548" t="s">
        <v>3266</v>
      </c>
      <c r="C180" s="21"/>
      <c r="D180" s="21"/>
      <c r="E180" s="1273">
        <f>finPNLReg2Emp2Exp</f>
        <v>115500000</v>
      </c>
      <c r="F180" s="1273">
        <f>finPNLReg2Emp2Exp</f>
        <v>115500000</v>
      </c>
      <c r="G180" s="1273">
        <f>finPNLReg2Emp2Exp</f>
        <v>115500000</v>
      </c>
      <c r="H180" s="1273">
        <f>finPNLReg2Emp2Exp</f>
        <v>115500000</v>
      </c>
      <c r="I180" s="1273">
        <f>finPNLReg2Emp2Exp</f>
        <v>115500000</v>
      </c>
      <c r="J180" s="1273"/>
      <c r="K180" s="1276">
        <f>SUM(E180:I180)/xxNumOfTeams</f>
        <v>115500000</v>
      </c>
    </row>
    <row r="181" spans="1:11">
      <c r="A181" s="132"/>
      <c r="B181" s="548" t="s">
        <v>576</v>
      </c>
      <c r="C181" s="21"/>
      <c r="D181" s="21"/>
      <c r="E181" s="1273">
        <f>capProd1Emp2RecDismExp+capProd2Emp2RecDismExp+capProd3Emp2RecDismExp+capProd4Emp2RecDismExp</f>
        <v>5120500</v>
      </c>
      <c r="F181" s="1273">
        <f>capProd1Emp2RecDismExp+capProd2Emp2RecDismExp+capProd3Emp2RecDismExp+capProd4Emp2RecDismExp</f>
        <v>5120500</v>
      </c>
      <c r="G181" s="1273">
        <f>capProd1Emp2RecDismExp+capProd2Emp2RecDismExp+capProd3Emp2RecDismExp+capProd4Emp2RecDismExp</f>
        <v>5120500</v>
      </c>
      <c r="H181" s="1273">
        <f>capProd1Emp2RecDismExp+capProd2Emp2RecDismExp+capProd3Emp2RecDismExp+capProd4Emp2RecDismExp</f>
        <v>5120500</v>
      </c>
      <c r="I181" s="1273">
        <f>capProd1Emp2RecDismExp+capProd2Emp2RecDismExp+capProd3Emp2RecDismExp+capProd4Emp2RecDismExp</f>
        <v>5120500</v>
      </c>
      <c r="J181" s="1273"/>
      <c r="K181" s="1276">
        <f>SUM(E181:I181)/xxNumOfTeams</f>
        <v>5120500</v>
      </c>
    </row>
    <row r="182" spans="1:11">
      <c r="A182" s="132"/>
      <c r="B182" s="548" t="s">
        <v>577</v>
      </c>
      <c r="C182" s="21"/>
      <c r="D182" s="21"/>
      <c r="E182" s="1273">
        <f>capProd1Emp2AdminExp+capProd2Emp2AdminExp+capProd3Emp2AdminExp+capProd4Emp2AdminExp</f>
        <v>19635000</v>
      </c>
      <c r="F182" s="1273">
        <f>capProd1Emp2AdminExp+capProd2Emp2AdminExp+capProd3Emp2AdminExp+capProd4Emp2AdminExp</f>
        <v>19635000</v>
      </c>
      <c r="G182" s="1273">
        <f>capProd1Emp2AdminExp+capProd2Emp2AdminExp+capProd3Emp2AdminExp+capProd4Emp2AdminExp</f>
        <v>19635000</v>
      </c>
      <c r="H182" s="1273">
        <f>capProd1Emp2AdminExp+capProd2Emp2AdminExp+capProd3Emp2AdminExp+capProd4Emp2AdminExp</f>
        <v>19635000</v>
      </c>
      <c r="I182" s="1273">
        <f>capProd1Emp2AdminExp+capProd2Emp2AdminExp+capProd3Emp2AdminExp+capProd4Emp2AdminExp</f>
        <v>19635000</v>
      </c>
      <c r="J182" s="1273"/>
      <c r="K182" s="1276">
        <f>SUM(E182:I182)/xxNumOfTeams</f>
        <v>19635000</v>
      </c>
    </row>
    <row r="183" spans="1:11">
      <c r="A183" s="132"/>
      <c r="B183" s="557" t="s">
        <v>2377</v>
      </c>
      <c r="C183" s="21"/>
      <c r="D183" s="21"/>
      <c r="E183" s="1181">
        <f>SUM(E180:E182)</f>
        <v>140255500</v>
      </c>
      <c r="F183" s="1181">
        <f>SUM(F180:F182)</f>
        <v>140255500</v>
      </c>
      <c r="G183" s="1181">
        <f>SUM(G180:G182)</f>
        <v>140255500</v>
      </c>
      <c r="H183" s="1181">
        <f>SUM(H180:H182)</f>
        <v>140255500</v>
      </c>
      <c r="I183" s="1181">
        <f>SUM(I180:I182)</f>
        <v>140255500</v>
      </c>
      <c r="J183" s="1181"/>
      <c r="K183" s="1417">
        <f>SUM(E183:I183)/xxNumOfTeams</f>
        <v>140255500</v>
      </c>
    </row>
    <row r="184" spans="1:11">
      <c r="A184" s="132"/>
      <c r="B184" s="21"/>
      <c r="C184" s="21"/>
      <c r="D184" s="21"/>
      <c r="E184" s="1274"/>
      <c r="F184" s="1274"/>
      <c r="G184" s="1274"/>
      <c r="H184" s="1274"/>
      <c r="I184" s="1274"/>
      <c r="J184" s="180"/>
      <c r="K184" s="796"/>
    </row>
    <row r="185" spans="1:11" ht="15.75">
      <c r="A185" s="1280" t="s">
        <v>214</v>
      </c>
      <c r="B185" s="548"/>
      <c r="C185" s="21"/>
      <c r="D185" s="21"/>
      <c r="E185" s="21"/>
      <c r="F185" s="21"/>
      <c r="G185" s="21"/>
      <c r="H185" s="21"/>
      <c r="I185" s="21"/>
      <c r="J185" s="180"/>
      <c r="K185" s="796"/>
    </row>
    <row r="186" spans="1:11">
      <c r="A186" s="132"/>
      <c r="B186" s="555" t="s">
        <v>215</v>
      </c>
      <c r="C186" s="21"/>
      <c r="D186" s="21"/>
      <c r="E186" s="1274">
        <f>cbalEmp3-obalEmp3</f>
        <v>-6657</v>
      </c>
      <c r="F186" s="1274">
        <f>cbalEmp3-obalEmp3</f>
        <v>-6657</v>
      </c>
      <c r="G186" s="1274">
        <f>cbalEmp3-obalEmp3</f>
        <v>-6657</v>
      </c>
      <c r="H186" s="1274">
        <f>cbalEmp3-obalEmp3</f>
        <v>-6657</v>
      </c>
      <c r="I186" s="1274">
        <f>cbalEmp3-obalEmp3</f>
        <v>-6657</v>
      </c>
      <c r="J186" s="1274"/>
      <c r="K186" s="811">
        <f>SUM(E186:I186)/xxNumOfTeams</f>
        <v>-6657</v>
      </c>
    </row>
    <row r="187" spans="1:11">
      <c r="A187" s="132"/>
      <c r="B187" s="555" t="s">
        <v>1462</v>
      </c>
      <c r="C187" s="21"/>
      <c r="D187" s="21"/>
      <c r="E187" s="521">
        <f>cbalEmp3</f>
        <v>69909</v>
      </c>
      <c r="F187" s="521">
        <f>cbalEmp3</f>
        <v>69909</v>
      </c>
      <c r="G187" s="521">
        <f>cbalEmp3</f>
        <v>69909</v>
      </c>
      <c r="H187" s="521">
        <f>cbalEmp3</f>
        <v>69909</v>
      </c>
      <c r="I187" s="521">
        <f>cbalEmp3</f>
        <v>69909</v>
      </c>
      <c r="J187" s="1274"/>
      <c r="K187" s="811">
        <f>SUM(E187:I187)/xxNumOfTeams</f>
        <v>69909</v>
      </c>
    </row>
    <row r="188" spans="1:11">
      <c r="A188" s="132"/>
      <c r="B188" s="548"/>
      <c r="C188" s="21"/>
      <c r="D188" s="21"/>
      <c r="E188" s="1274"/>
      <c r="F188" s="1274"/>
      <c r="G188" s="1274"/>
      <c r="H188" s="1274"/>
      <c r="I188" s="1274"/>
      <c r="J188" s="180"/>
      <c r="K188" s="796"/>
    </row>
    <row r="189" spans="1:11" ht="15.75">
      <c r="A189" s="407" t="s">
        <v>1648</v>
      </c>
      <c r="B189" s="182"/>
      <c r="C189" s="558"/>
      <c r="D189" s="558"/>
      <c r="E189" s="731" t="str">
        <f>decTeamName</f>
        <v>Vivia</v>
      </c>
      <c r="F189" s="731" t="str">
        <f>decTeamName</f>
        <v>Vivia</v>
      </c>
      <c r="G189" s="731" t="str">
        <f>decTeamName</f>
        <v>Vivia</v>
      </c>
      <c r="H189" s="731" t="str">
        <f>decTeamName</f>
        <v>Vivia</v>
      </c>
      <c r="I189" s="731" t="str">
        <f>decTeamName</f>
        <v>Vivia</v>
      </c>
      <c r="J189" s="742"/>
      <c r="K189" s="823" t="s">
        <v>2718</v>
      </c>
    </row>
    <row r="190" spans="1:11">
      <c r="A190" s="132"/>
      <c r="B190" s="548"/>
      <c r="C190" s="21"/>
      <c r="D190" s="21"/>
      <c r="E190" s="1274"/>
      <c r="F190" s="1274"/>
      <c r="G190" s="1274"/>
      <c r="H190" s="1274"/>
      <c r="I190" s="1274"/>
      <c r="J190" s="1274"/>
      <c r="K190" s="811"/>
    </row>
    <row r="191" spans="1:11">
      <c r="A191" s="132"/>
      <c r="B191" s="548" t="s">
        <v>1464</v>
      </c>
      <c r="C191" s="21"/>
      <c r="D191" s="21"/>
      <c r="E191" s="1274">
        <f>obalPlant1Units</f>
        <v>911</v>
      </c>
      <c r="F191" s="1274">
        <f>obalPlant1Units</f>
        <v>911</v>
      </c>
      <c r="G191" s="1274">
        <f>obalPlant1Units</f>
        <v>911</v>
      </c>
      <c r="H191" s="1274">
        <f>obalPlant1Units</f>
        <v>911</v>
      </c>
      <c r="I191" s="1274">
        <f>obalPlant1Units</f>
        <v>911</v>
      </c>
      <c r="J191" s="1274"/>
      <c r="K191" s="811">
        <f t="shared" ref="K191:K196" si="5">SUM(E191:I191)/xxNumOfTeams</f>
        <v>911</v>
      </c>
    </row>
    <row r="192" spans="1:11">
      <c r="A192" s="132"/>
      <c r="B192" s="21" t="s">
        <v>2403</v>
      </c>
      <c r="C192" s="21"/>
      <c r="D192" s="21"/>
      <c r="E192" s="1274">
        <f>cap!E220</f>
        <v>20</v>
      </c>
      <c r="F192" s="1274">
        <f>cap!F220</f>
        <v>20</v>
      </c>
      <c r="G192" s="1274">
        <f>cap!G220</f>
        <v>20</v>
      </c>
      <c r="H192" s="1274">
        <f>cap!H220</f>
        <v>20</v>
      </c>
      <c r="I192" s="1274">
        <f>cap!I220</f>
        <v>20</v>
      </c>
      <c r="J192" s="1274"/>
      <c r="K192" s="811">
        <f t="shared" si="5"/>
        <v>20</v>
      </c>
    </row>
    <row r="193" spans="1:13">
      <c r="A193" s="132"/>
      <c r="B193" s="21" t="s">
        <v>2404</v>
      </c>
      <c r="C193" s="21"/>
      <c r="D193" s="21"/>
      <c r="E193" s="1274">
        <f>cap!E219</f>
        <v>0</v>
      </c>
      <c r="F193" s="1274">
        <f>cap!F219</f>
        <v>0</v>
      </c>
      <c r="G193" s="1274">
        <f>cap!G219</f>
        <v>0</v>
      </c>
      <c r="H193" s="1274">
        <f>cap!H219</f>
        <v>0</v>
      </c>
      <c r="I193" s="1274">
        <f>cap!I219</f>
        <v>0</v>
      </c>
      <c r="J193" s="1274"/>
      <c r="K193" s="811">
        <f t="shared" si="5"/>
        <v>0</v>
      </c>
    </row>
    <row r="194" spans="1:13">
      <c r="A194" s="132"/>
      <c r="B194" s="21" t="s">
        <v>1148</v>
      </c>
      <c r="C194" s="21"/>
      <c r="D194" s="21"/>
      <c r="E194" s="1274">
        <f>cap!E221</f>
        <v>0</v>
      </c>
      <c r="F194" s="1274">
        <f>cap!F221</f>
        <v>0</v>
      </c>
      <c r="G194" s="1274">
        <f>cap!G221</f>
        <v>0</v>
      </c>
      <c r="H194" s="1274">
        <f>cap!H221</f>
        <v>0</v>
      </c>
      <c r="I194" s="1274">
        <f>cap!I221</f>
        <v>0</v>
      </c>
      <c r="J194" s="1274"/>
      <c r="K194" s="811">
        <f t="shared" si="5"/>
        <v>0</v>
      </c>
    </row>
    <row r="195" spans="1:13">
      <c r="A195" s="132"/>
      <c r="B195" s="551" t="s">
        <v>2696</v>
      </c>
      <c r="C195" s="21"/>
      <c r="D195" s="21"/>
      <c r="E195" s="1278">
        <f>capPlant1UnitsAvail</f>
        <v>931</v>
      </c>
      <c r="F195" s="1278">
        <f>capPlant1UnitsAvail</f>
        <v>931</v>
      </c>
      <c r="G195" s="1278">
        <f>capPlant1UnitsAvail</f>
        <v>931</v>
      </c>
      <c r="H195" s="1278">
        <f>capPlant1UnitsAvail</f>
        <v>931</v>
      </c>
      <c r="I195" s="1278">
        <f>capPlant1UnitsAvail</f>
        <v>931</v>
      </c>
      <c r="J195" s="1274"/>
      <c r="K195" s="811">
        <f t="shared" si="5"/>
        <v>931</v>
      </c>
    </row>
    <row r="196" spans="1:13">
      <c r="A196" s="132"/>
      <c r="B196" s="551" t="s">
        <v>1150</v>
      </c>
      <c r="C196" s="21"/>
      <c r="D196" s="21"/>
      <c r="E196" s="1278">
        <f>capPlant1UnitsEnd</f>
        <v>931</v>
      </c>
      <c r="F196" s="1278">
        <f>capPlant1UnitsEnd</f>
        <v>931</v>
      </c>
      <c r="G196" s="1278">
        <f>capPlant1UnitsEnd</f>
        <v>931</v>
      </c>
      <c r="H196" s="1278">
        <f>capPlant1UnitsEnd</f>
        <v>931</v>
      </c>
      <c r="I196" s="1278">
        <f>capPlant1UnitsEnd</f>
        <v>931</v>
      </c>
      <c r="J196" s="1274"/>
      <c r="K196" s="811">
        <f t="shared" si="5"/>
        <v>931</v>
      </c>
    </row>
    <row r="197" spans="1:13">
      <c r="A197" s="132"/>
      <c r="B197" s="551"/>
      <c r="C197" s="21"/>
      <c r="D197" s="21"/>
      <c r="E197" s="244"/>
      <c r="F197" s="244"/>
      <c r="G197" s="244"/>
      <c r="H197" s="244"/>
      <c r="I197" s="244"/>
      <c r="J197" s="180"/>
      <c r="K197" s="811"/>
    </row>
    <row r="198" spans="1:13">
      <c r="A198" s="132"/>
      <c r="B198" s="21" t="s">
        <v>3656</v>
      </c>
      <c r="C198" s="21"/>
      <c r="D198" s="21"/>
      <c r="E198" s="1273">
        <f>capPlant1Investment</f>
        <v>999556000</v>
      </c>
      <c r="F198" s="1273">
        <f>capPlant1Investment</f>
        <v>999556000</v>
      </c>
      <c r="G198" s="1273">
        <f>capPlant1Investment</f>
        <v>999556000</v>
      </c>
      <c r="H198" s="1273">
        <f>capPlant1Investment</f>
        <v>999556000</v>
      </c>
      <c r="I198" s="1273">
        <f>capPlant1Investment</f>
        <v>999556000</v>
      </c>
      <c r="J198" s="1273"/>
      <c r="K198" s="1276">
        <f>SUM(E198:I198)/xxNumOfTeams</f>
        <v>999556000</v>
      </c>
    </row>
    <row r="199" spans="1:13">
      <c r="A199" s="132"/>
      <c r="B199" s="553" t="s">
        <v>1149</v>
      </c>
      <c r="C199" s="21"/>
      <c r="D199" s="21"/>
      <c r="E199" s="1273">
        <f>capPlant1CapitalLoss</f>
        <v>0</v>
      </c>
      <c r="F199" s="1273">
        <f>capPlant1CapitalLoss</f>
        <v>0</v>
      </c>
      <c r="G199" s="1273">
        <f>capPlant1CapitalLoss</f>
        <v>0</v>
      </c>
      <c r="H199" s="1273">
        <f>capPlant1CapitalLoss</f>
        <v>0</v>
      </c>
      <c r="I199" s="1273">
        <f>capPlant1CapitalLoss</f>
        <v>0</v>
      </c>
      <c r="J199" s="1273"/>
      <c r="K199" s="1276">
        <f>SUM(E199:I199)/xxNumOfTeams</f>
        <v>0</v>
      </c>
    </row>
    <row r="200" spans="1:13">
      <c r="A200" s="132"/>
      <c r="B200" s="553"/>
      <c r="C200" s="21"/>
      <c r="D200" s="21"/>
      <c r="E200" s="1278"/>
      <c r="F200" s="1278"/>
      <c r="G200" s="1278"/>
      <c r="H200" s="1278"/>
      <c r="I200" s="1278"/>
      <c r="J200" s="521"/>
      <c r="K200" s="811"/>
    </row>
    <row r="201" spans="1:13">
      <c r="A201" s="132"/>
      <c r="B201" s="553" t="s">
        <v>709</v>
      </c>
      <c r="C201" s="21"/>
      <c r="D201" s="21"/>
      <c r="E201" s="1278">
        <f>decPlant1Flex</f>
        <v>3</v>
      </c>
      <c r="F201" s="1278">
        <f>decPlant1Flex</f>
        <v>3</v>
      </c>
      <c r="G201" s="1278">
        <f>decPlant1Flex</f>
        <v>3</v>
      </c>
      <c r="H201" s="1278">
        <f>decPlant1Flex</f>
        <v>3</v>
      </c>
      <c r="I201" s="1278">
        <f>decPlant1Flex</f>
        <v>3</v>
      </c>
      <c r="J201" s="521"/>
      <c r="K201" s="811">
        <f>SUM(E201:I201)/xxNumOfTeams</f>
        <v>3</v>
      </c>
    </row>
    <row r="202" spans="1:13">
      <c r="A202" s="132"/>
      <c r="B202" s="553" t="s">
        <v>207</v>
      </c>
      <c r="C202" s="21"/>
      <c r="D202" s="21"/>
      <c r="E202" s="1273">
        <f>capPlant1UpgradeCost</f>
        <v>0</v>
      </c>
      <c r="F202" s="1273">
        <f>capPlant1UpgradeCost</f>
        <v>0</v>
      </c>
      <c r="G202" s="1273">
        <f>capPlant1UpgradeCost</f>
        <v>0</v>
      </c>
      <c r="H202" s="1273">
        <f>capPlant1UpgradeCost</f>
        <v>0</v>
      </c>
      <c r="I202" s="1273">
        <f>capPlant1UpgradeCost</f>
        <v>0</v>
      </c>
      <c r="J202" s="1273"/>
      <c r="K202" s="1276">
        <f>SUM(E202:I202)/xxNumOfTeams</f>
        <v>0</v>
      </c>
    </row>
    <row r="203" spans="1:13">
      <c r="A203" s="132"/>
      <c r="B203" s="560"/>
      <c r="C203" s="21"/>
      <c r="D203" s="21"/>
      <c r="E203" s="522"/>
      <c r="F203" s="522"/>
      <c r="G203" s="522"/>
      <c r="H203" s="522"/>
      <c r="I203" s="522"/>
      <c r="J203" s="842"/>
      <c r="K203" s="827"/>
      <c r="L203" s="442"/>
      <c r="M203" s="442"/>
    </row>
    <row r="204" spans="1:13" ht="15.75">
      <c r="A204" s="407" t="s">
        <v>3120</v>
      </c>
      <c r="B204" s="182"/>
      <c r="C204" s="182"/>
      <c r="D204" s="182"/>
      <c r="E204" s="731" t="str">
        <f>decTeamName</f>
        <v>Vivia</v>
      </c>
      <c r="F204" s="731" t="str">
        <f>decTeamName</f>
        <v>Vivia</v>
      </c>
      <c r="G204" s="731" t="str">
        <f>decTeamName</f>
        <v>Vivia</v>
      </c>
      <c r="H204" s="731" t="str">
        <f>decTeamName</f>
        <v>Vivia</v>
      </c>
      <c r="I204" s="731" t="str">
        <f>decTeamName</f>
        <v>Vivia</v>
      </c>
      <c r="J204" s="731"/>
      <c r="K204" s="800" t="s">
        <v>2718</v>
      </c>
    </row>
    <row r="205" spans="1:13" s="33" customFormat="1" ht="15" customHeight="1">
      <c r="A205" s="707" t="s">
        <v>559</v>
      </c>
      <c r="B205" s="568"/>
      <c r="C205" s="568"/>
      <c r="D205" s="568"/>
      <c r="E205" s="176"/>
      <c r="F205" s="176"/>
      <c r="G205" s="176"/>
      <c r="H205" s="176"/>
      <c r="I205" s="176"/>
      <c r="J205" s="176"/>
      <c r="K205" s="569"/>
    </row>
    <row r="206" spans="1:13" s="33" customFormat="1" ht="5.25" customHeight="1">
      <c r="A206" s="1129"/>
      <c r="B206" s="568"/>
      <c r="C206" s="568"/>
      <c r="D206" s="568"/>
      <c r="E206" s="176"/>
      <c r="F206" s="176"/>
      <c r="G206" s="176"/>
      <c r="H206" s="176"/>
      <c r="I206" s="176"/>
      <c r="J206" s="176"/>
      <c r="K206" s="569"/>
    </row>
    <row r="207" spans="1:13" ht="15.75">
      <c r="A207" s="570" t="s">
        <v>632</v>
      </c>
      <c r="B207" s="95"/>
      <c r="C207" s="571"/>
      <c r="D207" s="571"/>
      <c r="E207" s="733" t="str">
        <f>decTeamName</f>
        <v>Vivia</v>
      </c>
      <c r="F207" s="733" t="str">
        <f>decTeamName</f>
        <v>Vivia</v>
      </c>
      <c r="G207" s="733" t="str">
        <f>decTeamName</f>
        <v>Vivia</v>
      </c>
      <c r="H207" s="733" t="str">
        <f>decTeamName</f>
        <v>Vivia</v>
      </c>
      <c r="I207" s="733" t="str">
        <f>decTeamName</f>
        <v>Vivia</v>
      </c>
      <c r="J207" s="741"/>
      <c r="K207" s="804" t="s">
        <v>2718</v>
      </c>
    </row>
    <row r="208" spans="1:13" ht="5.0999999999999996" customHeight="1">
      <c r="A208" s="544"/>
      <c r="B208" s="21"/>
      <c r="C208" s="541"/>
      <c r="D208" s="541"/>
      <c r="E208" s="21"/>
      <c r="F208" s="21"/>
      <c r="G208" s="21"/>
      <c r="H208" s="21"/>
      <c r="I208" s="21"/>
      <c r="K208" s="133"/>
    </row>
    <row r="209" spans="1:11" ht="12.75">
      <c r="A209" s="132"/>
      <c r="B209" s="62" t="s">
        <v>1476</v>
      </c>
      <c r="C209" s="545"/>
      <c r="D209" s="545"/>
      <c r="E209" s="1181">
        <f>finPNLRev</f>
        <v>26142123699.5</v>
      </c>
      <c r="F209" s="1181">
        <f>finPNLRev</f>
        <v>26142123699.5</v>
      </c>
      <c r="G209" s="1181">
        <f>finPNLRev</f>
        <v>26142123699.5</v>
      </c>
      <c r="H209" s="1181">
        <f>finPNLRev</f>
        <v>26142123699.5</v>
      </c>
      <c r="I209" s="1181">
        <f>finPNLRev</f>
        <v>26142123699.5</v>
      </c>
      <c r="J209" s="1181"/>
      <c r="K209" s="1417">
        <f>SUM(E209:I209)/xxNumOfTeams</f>
        <v>26142123699.5</v>
      </c>
    </row>
    <row r="210" spans="1:11" ht="12.75">
      <c r="A210" s="132"/>
      <c r="B210" s="552" t="s">
        <v>2548</v>
      </c>
      <c r="C210" s="545"/>
      <c r="D210" s="545"/>
      <c r="E210" s="1273">
        <f>finPNLPromoExp</f>
        <v>3520000000</v>
      </c>
      <c r="F210" s="1273">
        <f>finPNLPromoExp</f>
        <v>3520000000</v>
      </c>
      <c r="G210" s="1273">
        <f>finPNLPromoExp</f>
        <v>3520000000</v>
      </c>
      <c r="H210" s="1273">
        <f>finPNLPromoExp</f>
        <v>3520000000</v>
      </c>
      <c r="I210" s="1273">
        <f>finPNLPromoExp</f>
        <v>3520000000</v>
      </c>
      <c r="J210" s="1273"/>
      <c r="K210" s="1276">
        <f>SUM(E210:I210)/xxNumOfTeams</f>
        <v>3520000000</v>
      </c>
    </row>
    <row r="211" spans="1:11" ht="12.75">
      <c r="A211" s="132"/>
      <c r="B211" s="62" t="s">
        <v>1475</v>
      </c>
      <c r="C211" s="545"/>
      <c r="D211" s="545"/>
      <c r="E211" s="1181">
        <f>E209-E210</f>
        <v>22622123699.5</v>
      </c>
      <c r="F211" s="1181">
        <f>F209-F210</f>
        <v>22622123699.5</v>
      </c>
      <c r="G211" s="1181">
        <f>G209-G210</f>
        <v>22622123699.5</v>
      </c>
      <c r="H211" s="1181">
        <f>H209-H210</f>
        <v>22622123699.5</v>
      </c>
      <c r="I211" s="1181">
        <f>I209-I210</f>
        <v>22622123699.5</v>
      </c>
      <c r="J211" s="1181"/>
      <c r="K211" s="1417">
        <f>SUM(E211:I211)/xxNumOfTeams</f>
        <v>22622123699.5</v>
      </c>
    </row>
    <row r="212" spans="1:11" ht="6.6" customHeight="1">
      <c r="A212" s="132"/>
      <c r="B212" s="62"/>
      <c r="C212" s="545"/>
      <c r="D212" s="545"/>
      <c r="E212" s="1273"/>
      <c r="F212" s="1273"/>
      <c r="G212" s="1273"/>
      <c r="H212" s="1273"/>
      <c r="I212" s="1273"/>
      <c r="J212" s="1273"/>
      <c r="K212" s="1276"/>
    </row>
    <row r="213" spans="1:11" ht="12.75">
      <c r="A213" s="132"/>
      <c r="B213" s="38" t="s">
        <v>1286</v>
      </c>
      <c r="C213" s="546"/>
      <c r="D213" s="546"/>
      <c r="E213" s="1273">
        <f>finPNLCOGSMatExp</f>
        <v>7498938068.9326859</v>
      </c>
      <c r="F213" s="1273">
        <f>finPNLCOGSMatExp</f>
        <v>7498938068.9326859</v>
      </c>
      <c r="G213" s="1273">
        <f>finPNLCOGSMatExp</f>
        <v>7498938068.9326859</v>
      </c>
      <c r="H213" s="1273">
        <f>finPNLCOGSMatExp</f>
        <v>7498938068.9326859</v>
      </c>
      <c r="I213" s="1273">
        <f>finPNLCOGSMatExp</f>
        <v>7498938068.9326859</v>
      </c>
      <c r="J213" s="1273"/>
      <c r="K213" s="1276">
        <f>SUM(E213:I213)/xxNumOfTeams</f>
        <v>7498938068.9326859</v>
      </c>
    </row>
    <row r="214" spans="1:11" ht="12.75">
      <c r="A214" s="132"/>
      <c r="B214" s="38" t="s">
        <v>1287</v>
      </c>
      <c r="C214" s="546"/>
      <c r="D214" s="546"/>
      <c r="E214" s="1273">
        <f>finPNLCOGSEmp3Exp</f>
        <v>2928617804.1968575</v>
      </c>
      <c r="F214" s="1273">
        <f>finPNLCOGSEmp3Exp</f>
        <v>2928617804.1968575</v>
      </c>
      <c r="G214" s="1273">
        <f>finPNLCOGSEmp3Exp</f>
        <v>2928617804.1968575</v>
      </c>
      <c r="H214" s="1273">
        <f>finPNLCOGSEmp3Exp</f>
        <v>2928617804.1968575</v>
      </c>
      <c r="I214" s="1273">
        <f>finPNLCOGSEmp3Exp</f>
        <v>2928617804.1968575</v>
      </c>
      <c r="J214" s="1273"/>
      <c r="K214" s="1276">
        <f>SUM(E214:I214)/xxNumOfTeams</f>
        <v>2928617804.1968575</v>
      </c>
    </row>
    <row r="215" spans="1:11" ht="12.75">
      <c r="A215" s="132"/>
      <c r="B215" s="38" t="s">
        <v>2994</v>
      </c>
      <c r="C215" s="546"/>
      <c r="D215" s="546"/>
      <c r="E215" s="1273">
        <f ca="1">finPNLCOGSPlant1Exp+finPNLCOGSDepExp</f>
        <v>821354945.79932237</v>
      </c>
      <c r="F215" s="1273">
        <f ca="1">finPNLCOGSPlant1Exp+finPNLCOGSDepExp</f>
        <v>821354945.79932237</v>
      </c>
      <c r="G215" s="1273">
        <f ca="1">finPNLCOGSPlant1Exp+finPNLCOGSDepExp</f>
        <v>821354945.79932237</v>
      </c>
      <c r="H215" s="1273">
        <f ca="1">finPNLCOGSPlant1Exp+finPNLCOGSDepExp</f>
        <v>821354945.79932237</v>
      </c>
      <c r="I215" s="1273">
        <f ca="1">finPNLCOGSPlant1Exp+finPNLCOGSDepExp</f>
        <v>821354945.79932237</v>
      </c>
      <c r="J215" s="1273"/>
      <c r="K215" s="1276">
        <f ca="1">SUM(E215:I215)/xxNumOfTeams</f>
        <v>821354945.79932237</v>
      </c>
    </row>
    <row r="216" spans="1:11" ht="5.0999999999999996" customHeight="1">
      <c r="A216" s="132"/>
      <c r="B216" s="38"/>
      <c r="C216" s="546"/>
      <c r="D216" s="546"/>
      <c r="E216" s="1273"/>
      <c r="F216" s="1273"/>
      <c r="G216" s="1273"/>
      <c r="H216" s="1273"/>
      <c r="I216" s="1273"/>
      <c r="J216" s="1273"/>
      <c r="K216" s="1276"/>
    </row>
    <row r="217" spans="1:11" ht="12.75">
      <c r="A217" s="132"/>
      <c r="B217" s="38" t="s">
        <v>633</v>
      </c>
      <c r="C217" s="546"/>
      <c r="D217" s="546"/>
      <c r="E217" s="1273">
        <f ca="1">SUM(E213:E215)</f>
        <v>11248910818.928865</v>
      </c>
      <c r="F217" s="1273">
        <f ca="1">SUM(F213:F215)</f>
        <v>11248910818.928865</v>
      </c>
      <c r="G217" s="1273">
        <f ca="1">SUM(G213:G215)</f>
        <v>11248910818.928865</v>
      </c>
      <c r="H217" s="1273">
        <f ca="1">SUM(H213:H215)</f>
        <v>11248910818.928865</v>
      </c>
      <c r="I217" s="1273">
        <f ca="1">SUM(I213:I215)</f>
        <v>11248910818.928865</v>
      </c>
      <c r="J217" s="1273"/>
      <c r="K217" s="1276">
        <f ca="1">SUM(K213:K215)</f>
        <v>11248910818.928865</v>
      </c>
    </row>
    <row r="218" spans="1:11" ht="12.75">
      <c r="A218" s="132"/>
      <c r="B218" s="62" t="s">
        <v>3800</v>
      </c>
      <c r="C218" s="545"/>
      <c r="D218" s="545"/>
      <c r="E218" s="1181">
        <f ca="1">E211-E217</f>
        <v>11373212880.571135</v>
      </c>
      <c r="F218" s="1181">
        <f ca="1">F211-F217</f>
        <v>11373212880.571135</v>
      </c>
      <c r="G218" s="1181">
        <f ca="1">G211-G217</f>
        <v>11373212880.571135</v>
      </c>
      <c r="H218" s="1181">
        <f ca="1">H211-H217</f>
        <v>11373212880.571135</v>
      </c>
      <c r="I218" s="1181">
        <f ca="1">I211-I217</f>
        <v>11373212880.571135</v>
      </c>
      <c r="J218" s="1181"/>
      <c r="K218" s="1417">
        <f ca="1">SUM(E218:I218)/xxNumOfTeams</f>
        <v>11373212880.571135</v>
      </c>
    </row>
    <row r="219" spans="1:11" ht="12.75">
      <c r="A219" s="132"/>
      <c r="B219" s="21"/>
      <c r="C219" s="708" t="s">
        <v>729</v>
      </c>
      <c r="D219" s="855"/>
      <c r="E219" s="838">
        <f ca="1">E218/E$211</f>
        <v>0.5027473561565976</v>
      </c>
      <c r="F219" s="838">
        <f ca="1">F218/F$211</f>
        <v>0.5027473561565976</v>
      </c>
      <c r="G219" s="838">
        <f ca="1">G218/G$211</f>
        <v>0.5027473561565976</v>
      </c>
      <c r="H219" s="838">
        <f ca="1">H218/H$211</f>
        <v>0.5027473561565976</v>
      </c>
      <c r="I219" s="838">
        <f ca="1">I218/I$211</f>
        <v>0.5027473561565976</v>
      </c>
      <c r="J219" s="179"/>
      <c r="K219" s="792"/>
    </row>
    <row r="220" spans="1:11" ht="6.6" customHeight="1">
      <c r="A220" s="132"/>
      <c r="B220" s="21"/>
      <c r="C220" s="708"/>
      <c r="D220" s="545"/>
      <c r="E220" s="522"/>
      <c r="F220" s="522"/>
      <c r="G220" s="522"/>
      <c r="H220" s="522"/>
      <c r="I220" s="522"/>
      <c r="J220" s="179"/>
      <c r="K220" s="792"/>
    </row>
    <row r="221" spans="1:11" ht="12.75">
      <c r="A221" s="132"/>
      <c r="B221" s="38" t="s">
        <v>2578</v>
      </c>
      <c r="C221" s="546"/>
      <c r="D221" s="546"/>
      <c r="E221" s="1273">
        <f>finPNLSellExp+finPNLReg1COGSDistExp+finPNLReg2COGSDistExp</f>
        <v>4140938728.2745266</v>
      </c>
      <c r="F221" s="1273">
        <f>finPNLSellExp+finPNLReg1COGSDistExp+finPNLReg2COGSDistExp</f>
        <v>4140938728.2745266</v>
      </c>
      <c r="G221" s="1273">
        <f>finPNLSellExp+finPNLReg1COGSDistExp+finPNLReg2COGSDistExp</f>
        <v>4140938728.2745266</v>
      </c>
      <c r="H221" s="1273">
        <f>finPNLSellExp+finPNLReg1COGSDistExp+finPNLReg2COGSDistExp</f>
        <v>4140938728.2745266</v>
      </c>
      <c r="I221" s="1273">
        <f>finPNLSellExp+finPNLReg1COGSDistExp+finPNLReg2COGSDistExp</f>
        <v>4140938728.2745266</v>
      </c>
      <c r="J221" s="1273"/>
      <c r="K221" s="1276">
        <f>SUM(E221:I221)/xxNumOfTeams</f>
        <v>4140938728.2745271</v>
      </c>
    </row>
    <row r="222" spans="1:11" ht="12.75">
      <c r="A222" s="132"/>
      <c r="B222" s="38" t="s">
        <v>1224</v>
      </c>
      <c r="C222" s="546"/>
      <c r="D222" s="546"/>
      <c r="E222" s="1273">
        <f ca="1">finPNLGenExp</f>
        <v>2416834807.3367319</v>
      </c>
      <c r="F222" s="1273">
        <f ca="1">finPNLGenExp</f>
        <v>2416834807.3367319</v>
      </c>
      <c r="G222" s="1273">
        <f ca="1">finPNLGenExp</f>
        <v>2416834807.3367319</v>
      </c>
      <c r="H222" s="1273">
        <f ca="1">finPNLGenExp</f>
        <v>2416834807.3367319</v>
      </c>
      <c r="I222" s="1273">
        <f ca="1">finPNLGenExp</f>
        <v>2416834807.3367319</v>
      </c>
      <c r="J222" s="1273"/>
      <c r="K222" s="1276">
        <f ca="1">SUM(E222:I222)/xxNumOfTeams</f>
        <v>2416834807.3367319</v>
      </c>
    </row>
    <row r="223" spans="1:11" ht="12.75">
      <c r="A223" s="132"/>
      <c r="B223" s="38" t="s">
        <v>3758</v>
      </c>
      <c r="C223" s="546"/>
      <c r="D223" s="546"/>
      <c r="E223" s="1273">
        <f>finPNLAdminExp</f>
        <v>1311139848.3244708</v>
      </c>
      <c r="F223" s="1273">
        <f>finPNLAdminExp</f>
        <v>1311139848.3244708</v>
      </c>
      <c r="G223" s="1273">
        <f>finPNLAdminExp</f>
        <v>1311139848.3244708</v>
      </c>
      <c r="H223" s="1273">
        <f>finPNLAdminExp</f>
        <v>1311139848.3244708</v>
      </c>
      <c r="I223" s="1273">
        <f>finPNLAdminExp</f>
        <v>1311139848.3244708</v>
      </c>
      <c r="J223" s="1273"/>
      <c r="K223" s="1276">
        <f>SUM(E223:I223)/xxNumOfTeams</f>
        <v>1311139848.3244708</v>
      </c>
    </row>
    <row r="224" spans="1:11" ht="5.0999999999999996" customHeight="1">
      <c r="A224" s="132"/>
      <c r="B224" s="38"/>
      <c r="C224" s="546"/>
      <c r="D224" s="546"/>
      <c r="E224" s="100"/>
      <c r="F224" s="100"/>
      <c r="G224" s="100"/>
      <c r="H224" s="100"/>
      <c r="I224" s="100"/>
      <c r="J224" s="180"/>
      <c r="K224" s="793"/>
    </row>
    <row r="225" spans="1:11" ht="12.75">
      <c r="A225" s="132"/>
      <c r="B225" s="62" t="s">
        <v>1916</v>
      </c>
      <c r="C225" s="545"/>
      <c r="D225" s="545"/>
      <c r="E225" s="1181">
        <f ca="1">SUM(E221:E223)</f>
        <v>7868913383.935729</v>
      </c>
      <c r="F225" s="1181">
        <f ca="1">SUM(F221:F223)</f>
        <v>7868913383.935729</v>
      </c>
      <c r="G225" s="1181">
        <f ca="1">SUM(G221:G223)</f>
        <v>7868913383.935729</v>
      </c>
      <c r="H225" s="1181">
        <f ca="1">SUM(H221:H223)</f>
        <v>7868913383.935729</v>
      </c>
      <c r="I225" s="1181">
        <f ca="1">SUM(I221:I223)</f>
        <v>7868913383.935729</v>
      </c>
      <c r="J225" s="1181"/>
      <c r="K225" s="1417">
        <f ca="1">SUM(E225:I225)/xxNumOfTeams</f>
        <v>7868913383.9357281</v>
      </c>
    </row>
    <row r="226" spans="1:11" ht="12.75">
      <c r="A226" s="132"/>
      <c r="B226" s="62"/>
      <c r="C226" s="708" t="s">
        <v>729</v>
      </c>
      <c r="D226" s="546"/>
      <c r="E226" s="838">
        <f ca="1">E225/E$211</f>
        <v>0.34784149748547477</v>
      </c>
      <c r="F226" s="838">
        <f ca="1">F225/F$211</f>
        <v>0.34784149748547477</v>
      </c>
      <c r="G226" s="838">
        <f ca="1">G225/G$211</f>
        <v>0.34784149748547477</v>
      </c>
      <c r="H226" s="838">
        <f ca="1">H225/H$211</f>
        <v>0.34784149748547477</v>
      </c>
      <c r="I226" s="838">
        <f ca="1">I225/I$211</f>
        <v>0.34784149748547477</v>
      </c>
      <c r="J226" s="528"/>
      <c r="K226" s="813"/>
    </row>
    <row r="227" spans="1:11" ht="6.6" customHeight="1">
      <c r="A227" s="132"/>
      <c r="B227" s="62"/>
      <c r="C227" s="545"/>
      <c r="D227" s="545"/>
      <c r="E227" s="529"/>
      <c r="F227" s="529"/>
      <c r="G227" s="529"/>
      <c r="H227" s="529"/>
      <c r="I227" s="529"/>
      <c r="J227" s="179"/>
      <c r="K227" s="792"/>
    </row>
    <row r="228" spans="1:11" ht="12.75">
      <c r="A228" s="132"/>
      <c r="B228" s="38" t="s">
        <v>172</v>
      </c>
      <c r="C228" s="546"/>
      <c r="D228" s="546"/>
      <c r="E228" s="1273">
        <f>finPNLRandDExp</f>
        <v>142497326.78673378</v>
      </c>
      <c r="F228" s="1273">
        <f>finPNLRandDExp</f>
        <v>142497326.78673378</v>
      </c>
      <c r="G228" s="1273">
        <f>finPNLRandDExp</f>
        <v>142497326.78673378</v>
      </c>
      <c r="H228" s="1273">
        <f>finPNLRandDExp</f>
        <v>142497326.78673378</v>
      </c>
      <c r="I228" s="1273">
        <f>finPNLRandDExp</f>
        <v>142497326.78673378</v>
      </c>
      <c r="J228" s="1273"/>
      <c r="K228" s="1276">
        <f>SUM(E228:I228)/xxNumOfTeams</f>
        <v>142497326.78673378</v>
      </c>
    </row>
    <row r="229" spans="1:11" ht="12.75">
      <c r="A229" s="132"/>
      <c r="B229" s="38"/>
      <c r="C229" s="708" t="s">
        <v>729</v>
      </c>
      <c r="D229" s="546"/>
      <c r="E229" s="838">
        <f>E228/E$211</f>
        <v>6.2990251790499795E-3</v>
      </c>
      <c r="F229" s="838">
        <f>F228/F$211</f>
        <v>6.2990251790499795E-3</v>
      </c>
      <c r="G229" s="838">
        <f>G228/G$211</f>
        <v>6.2990251790499795E-3</v>
      </c>
      <c r="H229" s="838">
        <f>H228/H$211</f>
        <v>6.2990251790499795E-3</v>
      </c>
      <c r="I229" s="838">
        <f>I228/I$211</f>
        <v>6.2990251790499795E-3</v>
      </c>
      <c r="J229" s="520"/>
      <c r="K229" s="817"/>
    </row>
    <row r="230" spans="1:11" ht="12.75">
      <c r="A230" s="132"/>
      <c r="B230" s="38" t="s">
        <v>3535</v>
      </c>
      <c r="C230" s="546"/>
      <c r="D230" s="546"/>
      <c r="E230" s="1273">
        <f ca="1">finPNLOtherOpExp</f>
        <v>366200411.79866314</v>
      </c>
      <c r="F230" s="1273">
        <f ca="1">finPNLOtherOpExp</f>
        <v>366200411.79866314</v>
      </c>
      <c r="G230" s="1273">
        <f ca="1">finPNLOtherOpExp</f>
        <v>366200411.79866314</v>
      </c>
      <c r="H230" s="1273">
        <f ca="1">finPNLOtherOpExp</f>
        <v>366200411.79866314</v>
      </c>
      <c r="I230" s="1273">
        <f ca="1">finPNLOtherOpExp</f>
        <v>366200411.79866314</v>
      </c>
      <c r="J230" s="1273"/>
      <c r="K230" s="1276">
        <f ca="1">SUM(E230:I230)/xxNumOfTeams</f>
        <v>366200411.79866314</v>
      </c>
    </row>
    <row r="231" spans="1:11" ht="12.75">
      <c r="A231" s="132"/>
      <c r="B231" s="38" t="s">
        <v>2251</v>
      </c>
      <c r="C231" s="546"/>
      <c r="D231" s="546"/>
      <c r="E231" s="100">
        <f>finPNLAmorGoodwillExp</f>
        <v>0</v>
      </c>
      <c r="F231" s="100">
        <f>finPNLAmorGoodwillExp</f>
        <v>0</v>
      </c>
      <c r="G231" s="100">
        <f>finPNLAmorGoodwillExp</f>
        <v>0</v>
      </c>
      <c r="H231" s="100">
        <f>finPNLAmorGoodwillExp</f>
        <v>0</v>
      </c>
      <c r="I231" s="100">
        <f>finPNLAmorGoodwillExp</f>
        <v>0</v>
      </c>
      <c r="J231" s="180"/>
      <c r="K231" s="817">
        <f>SUM(E231:I231)/xxNumOfTeams</f>
        <v>0</v>
      </c>
    </row>
    <row r="232" spans="1:11" ht="6.6" customHeight="1">
      <c r="A232" s="132"/>
      <c r="B232" s="38"/>
      <c r="C232" s="546"/>
      <c r="D232" s="546"/>
      <c r="E232" s="100"/>
      <c r="F232" s="100"/>
      <c r="G232" s="100"/>
      <c r="H232" s="100"/>
      <c r="I232" s="100"/>
      <c r="J232" s="180"/>
      <c r="K232" s="793"/>
    </row>
    <row r="233" spans="1:11" ht="12.75">
      <c r="A233" s="132"/>
      <c r="B233" s="62" t="s">
        <v>3801</v>
      </c>
      <c r="C233" s="545"/>
      <c r="D233" s="545"/>
      <c r="E233" s="1181">
        <f ca="1">E218-(E225+E228+E230)-E231</f>
        <v>2995601758.0500088</v>
      </c>
      <c r="F233" s="1181">
        <f ca="1">F218-(F225+F228+F230)-F231</f>
        <v>2995601758.0500088</v>
      </c>
      <c r="G233" s="1181">
        <f ca="1">G218-(G225+G228+G230)-G231</f>
        <v>2995601758.0500088</v>
      </c>
      <c r="H233" s="1181">
        <f ca="1">H218-(H225+H228+H230)-H231</f>
        <v>2995601758.0500088</v>
      </c>
      <c r="I233" s="1181">
        <f ca="1">I218-(I225+I228+I230)-I231</f>
        <v>2995601758.0500088</v>
      </c>
      <c r="J233" s="1181"/>
      <c r="K233" s="1417">
        <f ca="1">SUM(E233:I233)/xxNumOfTeams</f>
        <v>2995601758.0500088</v>
      </c>
    </row>
    <row r="234" spans="1:11" ht="12.75">
      <c r="A234" s="132"/>
      <c r="B234" s="38" t="s">
        <v>1227</v>
      </c>
      <c r="C234" s="546"/>
      <c r="D234" s="546"/>
      <c r="E234" s="1273">
        <f>finPNLExtraOrdExp</f>
        <v>0</v>
      </c>
      <c r="F234" s="1273">
        <f>finPNLExtraOrdExp</f>
        <v>0</v>
      </c>
      <c r="G234" s="1273">
        <f>finPNLExtraOrdExp</f>
        <v>0</v>
      </c>
      <c r="H234" s="1273">
        <f>finPNLExtraOrdExp</f>
        <v>0</v>
      </c>
      <c r="I234" s="1273">
        <f>finPNLExtraOrdExp</f>
        <v>0</v>
      </c>
      <c r="J234" s="1273"/>
      <c r="K234" s="1276">
        <f>SUM(E234:I234)/xxNumOfTeams</f>
        <v>0</v>
      </c>
    </row>
    <row r="235" spans="1:11" ht="6.6" customHeight="1">
      <c r="A235" s="132"/>
      <c r="B235" s="38"/>
      <c r="C235" s="546"/>
      <c r="D235" s="546"/>
      <c r="E235" s="100"/>
      <c r="F235" s="100"/>
      <c r="G235" s="100"/>
      <c r="H235" s="100"/>
      <c r="I235" s="100"/>
      <c r="J235" s="521"/>
      <c r="K235" s="817"/>
    </row>
    <row r="236" spans="1:11" ht="12.75">
      <c r="A236" s="132"/>
      <c r="B236" s="62" t="s">
        <v>1226</v>
      </c>
      <c r="C236" s="546"/>
      <c r="D236" s="546"/>
      <c r="E236" s="1181">
        <f ca="1">E233-E234</f>
        <v>2995601758.0500088</v>
      </c>
      <c r="F236" s="1181">
        <f ca="1">F233-F234</f>
        <v>2995601758.0500088</v>
      </c>
      <c r="G236" s="1181">
        <f ca="1">G233-G234</f>
        <v>2995601758.0500088</v>
      </c>
      <c r="H236" s="1181">
        <f ca="1">H233-H234</f>
        <v>2995601758.0500088</v>
      </c>
      <c r="I236" s="1181">
        <f ca="1">I233-I234</f>
        <v>2995601758.0500088</v>
      </c>
      <c r="J236" s="1181"/>
      <c r="K236" s="1417">
        <f ca="1">SUM(E236:I236)/xxNumOfTeams</f>
        <v>2995601758.0500088</v>
      </c>
    </row>
    <row r="237" spans="1:11" ht="12.75">
      <c r="A237" s="132"/>
      <c r="B237" s="62"/>
      <c r="C237" s="708" t="s">
        <v>729</v>
      </c>
      <c r="D237" s="546"/>
      <c r="E237" s="838">
        <f ca="1">E236/E$211</f>
        <v>0.13241912199941769</v>
      </c>
      <c r="F237" s="838">
        <f ca="1">F236/F$211</f>
        <v>0.13241912199941769</v>
      </c>
      <c r="G237" s="838">
        <f ca="1">G236/G$211</f>
        <v>0.13241912199941769</v>
      </c>
      <c r="H237" s="838">
        <f ca="1">H236/H$211</f>
        <v>0.13241912199941769</v>
      </c>
      <c r="I237" s="838">
        <f ca="1">I236/I$211</f>
        <v>0.13241912199941769</v>
      </c>
      <c r="J237" s="530"/>
      <c r="K237" s="816"/>
    </row>
    <row r="238" spans="1:11" ht="12.75">
      <c r="A238" s="132"/>
      <c r="B238" s="38" t="s">
        <v>1225</v>
      </c>
      <c r="C238" s="546"/>
      <c r="D238" s="546"/>
      <c r="E238" s="1273">
        <f>finPNLNetIntExp</f>
        <v>-122771905.25716424</v>
      </c>
      <c r="F238" s="1273">
        <f>finPNLNetIntExp</f>
        <v>-122771905.25716424</v>
      </c>
      <c r="G238" s="1273">
        <f>finPNLNetIntExp</f>
        <v>-122771905.25716424</v>
      </c>
      <c r="H238" s="1273">
        <f>finPNLNetIntExp</f>
        <v>-122771905.25716424</v>
      </c>
      <c r="I238" s="1273">
        <f>finPNLNetIntExp</f>
        <v>-122771905.25716424</v>
      </c>
      <c r="J238" s="1273"/>
      <c r="K238" s="1276">
        <f>SUM(E238:I238)/xxNumOfTeams</f>
        <v>-122771905.25716424</v>
      </c>
    </row>
    <row r="239" spans="1:11" ht="12.75">
      <c r="A239" s="132"/>
      <c r="B239" s="38" t="s">
        <v>1470</v>
      </c>
      <c r="C239" s="546"/>
      <c r="D239" s="546"/>
      <c r="E239" s="1273">
        <f ca="1">finPNLTaxExp</f>
        <v>1996820584.8852286</v>
      </c>
      <c r="F239" s="1273">
        <f ca="1">finPNLTaxExp</f>
        <v>1996820584.8852286</v>
      </c>
      <c r="G239" s="1273">
        <f ca="1">finPNLTaxExp</f>
        <v>1996820584.8852286</v>
      </c>
      <c r="H239" s="1273">
        <f ca="1">finPNLTaxExp</f>
        <v>1996820584.8852286</v>
      </c>
      <c r="I239" s="1273">
        <f ca="1">finPNLTaxExp</f>
        <v>1996820584.8852286</v>
      </c>
      <c r="J239" s="1273"/>
      <c r="K239" s="1276">
        <f ca="1">SUM(E239:I239)/xxNumOfTeams</f>
        <v>1996820584.8852286</v>
      </c>
    </row>
    <row r="240" spans="1:11" ht="6.6" customHeight="1">
      <c r="A240" s="132"/>
      <c r="B240" s="38"/>
      <c r="C240" s="546"/>
      <c r="D240" s="546"/>
      <c r="E240" s="100"/>
      <c r="F240" s="100"/>
      <c r="G240" s="100"/>
      <c r="H240" s="100"/>
      <c r="I240" s="100"/>
      <c r="J240" s="180"/>
      <c r="K240" s="793"/>
    </row>
    <row r="241" spans="1:11" ht="12.75">
      <c r="A241" s="132"/>
      <c r="B241" s="62" t="s">
        <v>324</v>
      </c>
      <c r="C241" s="545"/>
      <c r="D241" s="545"/>
      <c r="E241" s="1181">
        <f ca="1">E236-E238-E239</f>
        <v>1121553078.4219441</v>
      </c>
      <c r="F241" s="1181">
        <f ca="1">F236-F238-F239</f>
        <v>1121553078.4219441</v>
      </c>
      <c r="G241" s="1181">
        <f ca="1">G236-G238-G239</f>
        <v>1121553078.4219441</v>
      </c>
      <c r="H241" s="1181">
        <f ca="1">H236-H238-H239</f>
        <v>1121553078.4219441</v>
      </c>
      <c r="I241" s="1181">
        <f ca="1">I236-I238-I239</f>
        <v>1121553078.4219441</v>
      </c>
      <c r="J241" s="1181"/>
      <c r="K241" s="1417">
        <f ca="1">SUM(E241:I241)/xxNumOfTeams</f>
        <v>1121553078.4219441</v>
      </c>
    </row>
    <row r="242" spans="1:11">
      <c r="A242" s="132"/>
      <c r="B242" s="21"/>
      <c r="C242" s="708" t="s">
        <v>729</v>
      </c>
      <c r="D242" s="21"/>
      <c r="E242" s="838">
        <f ca="1">E241/E$211</f>
        <v>4.9577709560784208E-2</v>
      </c>
      <c r="F242" s="838">
        <f ca="1">F241/F$211</f>
        <v>4.9577709560784208E-2</v>
      </c>
      <c r="G242" s="838">
        <f ca="1">G241/G$211</f>
        <v>4.9577709560784208E-2</v>
      </c>
      <c r="H242" s="838">
        <f ca="1">H241/H$211</f>
        <v>4.9577709560784208E-2</v>
      </c>
      <c r="I242" s="838">
        <f ca="1">I241/I$211</f>
        <v>4.9577709560784208E-2</v>
      </c>
      <c r="J242" s="180"/>
      <c r="K242" s="792"/>
    </row>
    <row r="243" spans="1:11" ht="12" thickBot="1">
      <c r="A243" s="134"/>
      <c r="B243" s="135"/>
      <c r="C243" s="135"/>
      <c r="D243" s="135"/>
      <c r="E243" s="857"/>
      <c r="F243" s="857"/>
      <c r="G243" s="857"/>
      <c r="H243" s="857"/>
      <c r="I243" s="857"/>
      <c r="J243" s="763"/>
      <c r="K243" s="801"/>
    </row>
    <row r="244" spans="1:11" s="21" customFormat="1" ht="12" thickBot="1">
      <c r="A244" s="132"/>
      <c r="E244" s="522"/>
      <c r="F244" s="522"/>
      <c r="G244" s="522"/>
      <c r="H244" s="522"/>
      <c r="I244" s="522"/>
      <c r="J244" s="180"/>
      <c r="K244" s="792"/>
    </row>
    <row r="245" spans="1:11" ht="15.75">
      <c r="A245" s="565" t="s">
        <v>1228</v>
      </c>
      <c r="B245" s="566"/>
      <c r="C245" s="566"/>
      <c r="D245" s="566"/>
      <c r="E245" s="732" t="str">
        <f>decTeamName</f>
        <v>Vivia</v>
      </c>
      <c r="F245" s="732" t="str">
        <f>decTeamName</f>
        <v>Vivia</v>
      </c>
      <c r="G245" s="732" t="str">
        <f>decTeamName</f>
        <v>Vivia</v>
      </c>
      <c r="H245" s="732" t="str">
        <f>decTeamName</f>
        <v>Vivia</v>
      </c>
      <c r="I245" s="732" t="str">
        <f>decTeamName</f>
        <v>Vivia</v>
      </c>
      <c r="J245" s="802"/>
      <c r="K245" s="803" t="s">
        <v>2718</v>
      </c>
    </row>
    <row r="246" spans="1:11" ht="5.0999999999999996" customHeight="1">
      <c r="A246" s="544"/>
      <c r="B246" s="541"/>
      <c r="C246" s="541"/>
      <c r="D246" s="541"/>
      <c r="E246" s="21"/>
      <c r="F246" s="21"/>
      <c r="G246" s="21"/>
      <c r="H246" s="21"/>
      <c r="I246" s="21"/>
      <c r="J246" s="180"/>
      <c r="K246" s="792"/>
    </row>
    <row r="247" spans="1:11" ht="12.75">
      <c r="A247" s="132"/>
      <c r="B247" s="62" t="s">
        <v>1840</v>
      </c>
      <c r="C247" s="545"/>
      <c r="D247" s="545"/>
      <c r="E247" s="1181">
        <f ca="1">cbalCashValue</f>
        <v>6695625983.2060633</v>
      </c>
      <c r="F247" s="1181">
        <f ca="1">cbalCashValue</f>
        <v>6695625983.2060633</v>
      </c>
      <c r="G247" s="1181">
        <f ca="1">cbalCashValue</f>
        <v>6695625983.2060633</v>
      </c>
      <c r="H247" s="1181">
        <f ca="1">cbalCashValue</f>
        <v>6695625983.2060633</v>
      </c>
      <c r="I247" s="1181">
        <f ca="1">cbalCashValue</f>
        <v>6695625983.2060633</v>
      </c>
      <c r="J247" s="1181"/>
      <c r="K247" s="1417">
        <f ca="1">SUM(E247:I247)/xxNumOfTeams</f>
        <v>6695625983.2060633</v>
      </c>
    </row>
    <row r="248" spans="1:11" ht="12.75">
      <c r="A248" s="132"/>
      <c r="B248" s="38" t="s">
        <v>3540</v>
      </c>
      <c r="C248" s="546"/>
      <c r="D248" s="546"/>
      <c r="E248" s="1273">
        <f>cbalARValue</f>
        <v>4357020616.583333</v>
      </c>
      <c r="F248" s="1273">
        <f>cbalARValue</f>
        <v>4357020616.583333</v>
      </c>
      <c r="G248" s="1273">
        <f>cbalARValue</f>
        <v>4357020616.583333</v>
      </c>
      <c r="H248" s="1273">
        <f>cbalARValue</f>
        <v>4357020616.583333</v>
      </c>
      <c r="I248" s="1273">
        <f>cbalARValue</f>
        <v>4357020616.583333</v>
      </c>
      <c r="J248" s="1273"/>
      <c r="K248" s="1276">
        <f>SUM(E248:I248)/xxNumOfTeams</f>
        <v>4357020616.583333</v>
      </c>
    </row>
    <row r="249" spans="1:11" ht="12.75">
      <c r="A249" s="132"/>
      <c r="B249" s="38" t="s">
        <v>1229</v>
      </c>
      <c r="C249" s="546"/>
      <c r="D249" s="546"/>
      <c r="E249" s="1273">
        <f ca="1">cbalReg1MatValue+cbalReg1WIPValue+cbalReg1FGValue+cbalReg2MatValue+cbalReg2WIPValue+cbalReg2FGValue</f>
        <v>922640527.08137012</v>
      </c>
      <c r="F249" s="1273">
        <f ca="1">cbalReg1MatValue+cbalReg1WIPValue+cbalReg1FGValue+cbalReg2MatValue+cbalReg2WIPValue+cbalReg2FGValue</f>
        <v>922640527.08137012</v>
      </c>
      <c r="G249" s="1273">
        <f ca="1">cbalReg1MatValue+cbalReg1WIPValue+cbalReg1FGValue+cbalReg2MatValue+cbalReg2WIPValue+cbalReg2FGValue</f>
        <v>922640527.08137012</v>
      </c>
      <c r="H249" s="1273">
        <f ca="1">cbalReg1MatValue+cbalReg1WIPValue+cbalReg1FGValue+cbalReg2MatValue+cbalReg2WIPValue+cbalReg2FGValue</f>
        <v>922640527.08137012</v>
      </c>
      <c r="I249" s="1273">
        <f ca="1">cbalReg1MatValue+cbalReg1WIPValue+cbalReg1FGValue+cbalReg2MatValue+cbalReg2WIPValue+cbalReg2FGValue</f>
        <v>922640527.08137012</v>
      </c>
      <c r="J249" s="1273"/>
      <c r="K249" s="1276">
        <f ca="1">SUM(E249:I249)/xxNumOfTeams</f>
        <v>922640527.08137012</v>
      </c>
    </row>
    <row r="250" spans="1:11" ht="12.75">
      <c r="A250" s="132"/>
      <c r="B250" s="38" t="s">
        <v>1843</v>
      </c>
      <c r="C250" s="546"/>
      <c r="D250" s="546"/>
      <c r="E250" s="1273">
        <f ca="1">cbalPlant1Value</f>
        <v>6373894260</v>
      </c>
      <c r="F250" s="1273">
        <f ca="1">cbalPlant1Value</f>
        <v>6373894260</v>
      </c>
      <c r="G250" s="1273">
        <f ca="1">cbalPlant1Value</f>
        <v>6373894260</v>
      </c>
      <c r="H250" s="1273">
        <f ca="1">cbalPlant1Value</f>
        <v>6373894260</v>
      </c>
      <c r="I250" s="1273">
        <f ca="1">cbalPlant1Value</f>
        <v>6373894260</v>
      </c>
      <c r="J250" s="1273"/>
      <c r="K250" s="1276">
        <f ca="1">SUM(E250:I250)/xxNumOfTeams</f>
        <v>6373894260</v>
      </c>
    </row>
    <row r="251" spans="1:11" ht="12.75">
      <c r="A251" s="132"/>
      <c r="B251" s="38" t="s">
        <v>1058</v>
      </c>
      <c r="C251" s="546"/>
      <c r="D251" s="546"/>
      <c r="E251" s="1273">
        <f>cbalGoodwillValue</f>
        <v>2800000000</v>
      </c>
      <c r="F251" s="1273">
        <f>cbalGoodwillValue</f>
        <v>2800000000</v>
      </c>
      <c r="G251" s="1273">
        <f>cbalGoodwillValue</f>
        <v>2800000000</v>
      </c>
      <c r="H251" s="1273">
        <f>cbalGoodwillValue</f>
        <v>2800000000</v>
      </c>
      <c r="I251" s="1273">
        <f>cbalGoodwillValue</f>
        <v>2800000000</v>
      </c>
      <c r="J251" s="1273"/>
      <c r="K251" s="1276">
        <f>SUM(E251:I251)/xxNumOfTeams</f>
        <v>2800000000</v>
      </c>
    </row>
    <row r="252" spans="1:11" ht="5.0999999999999996" customHeight="1">
      <c r="A252" s="132"/>
      <c r="B252" s="38"/>
      <c r="C252" s="546"/>
      <c r="D252" s="546"/>
      <c r="E252" s="253"/>
      <c r="F252" s="253"/>
      <c r="G252" s="253"/>
      <c r="H252" s="253"/>
      <c r="I252" s="253"/>
      <c r="J252" s="180"/>
      <c r="K252" s="793"/>
    </row>
    <row r="253" spans="1:11" ht="12.75">
      <c r="A253" s="132"/>
      <c r="B253" s="62" t="s">
        <v>1845</v>
      </c>
      <c r="C253" s="545"/>
      <c r="D253" s="545"/>
      <c r="E253" s="1181">
        <f ca="1">SUM(E247:E251)</f>
        <v>21149181386.870766</v>
      </c>
      <c r="F253" s="1181">
        <f ca="1">SUM(F247:F251)</f>
        <v>21149181386.870766</v>
      </c>
      <c r="G253" s="1181">
        <f ca="1">SUM(G247:G251)</f>
        <v>21149181386.870766</v>
      </c>
      <c r="H253" s="1181">
        <f ca="1">SUM(H247:H251)</f>
        <v>21149181386.870766</v>
      </c>
      <c r="I253" s="1181">
        <f ca="1">SUM(I247:I251)</f>
        <v>21149181386.870766</v>
      </c>
      <c r="J253" s="1181"/>
      <c r="K253" s="1417">
        <f ca="1">SUM(E253:I253)/xxNumOfTeams</f>
        <v>21149181386.870766</v>
      </c>
    </row>
    <row r="254" spans="1:11" ht="12.75">
      <c r="A254" s="132"/>
      <c r="B254" s="38"/>
      <c r="C254" s="546"/>
      <c r="D254" s="546"/>
      <c r="E254" s="253"/>
      <c r="F254" s="253"/>
      <c r="G254" s="253"/>
      <c r="H254" s="253"/>
      <c r="I254" s="253"/>
      <c r="J254" s="180"/>
      <c r="K254" s="816"/>
    </row>
    <row r="255" spans="1:11" ht="12.75">
      <c r="A255" s="132"/>
      <c r="B255" s="38" t="s">
        <v>3505</v>
      </c>
      <c r="C255" s="546"/>
      <c r="D255" s="546"/>
      <c r="E255" s="1273">
        <f ca="1">cbalAPValue</f>
        <v>2290770901.6469336</v>
      </c>
      <c r="F255" s="1273">
        <f ca="1">cbalAPValue</f>
        <v>2290770901.6469336</v>
      </c>
      <c r="G255" s="1273">
        <f ca="1">cbalAPValue</f>
        <v>2290770901.6469336</v>
      </c>
      <c r="H255" s="1273">
        <f ca="1">cbalAPValue</f>
        <v>2290770901.6469336</v>
      </c>
      <c r="I255" s="1273">
        <f ca="1">cbalAPValue</f>
        <v>2290770901.6469336</v>
      </c>
      <c r="J255" s="1273"/>
      <c r="K255" s="1276">
        <f t="shared" ref="K255:K260" ca="1" si="6">SUM(E255:I255)/xxNumOfTeams</f>
        <v>2290770901.6469336</v>
      </c>
    </row>
    <row r="256" spans="1:11" ht="12.75">
      <c r="A256" s="132"/>
      <c r="B256" s="38" t="s">
        <v>1847</v>
      </c>
      <c r="C256" s="546"/>
      <c r="D256" s="546"/>
      <c r="E256" s="1273">
        <f>cbalOtherCurrLiabValue</f>
        <v>3630000000.000001</v>
      </c>
      <c r="F256" s="1273">
        <f>cbalOtherCurrLiabValue</f>
        <v>3630000000.000001</v>
      </c>
      <c r="G256" s="1273">
        <f>cbalOtherCurrLiabValue</f>
        <v>3630000000.000001</v>
      </c>
      <c r="H256" s="1273">
        <f>cbalOtherCurrLiabValue</f>
        <v>3630000000.000001</v>
      </c>
      <c r="I256" s="1273">
        <f>cbalOtherCurrLiabValue</f>
        <v>3630000000.000001</v>
      </c>
      <c r="J256" s="1273"/>
      <c r="K256" s="1276">
        <f t="shared" si="6"/>
        <v>3630000000.000001</v>
      </c>
    </row>
    <row r="257" spans="1:11" ht="12.75">
      <c r="A257" s="132"/>
      <c r="B257" s="38" t="s">
        <v>2340</v>
      </c>
      <c r="C257" s="545"/>
      <c r="D257" s="545"/>
      <c r="E257" s="1273">
        <f ca="1">cbalSpecLoansValue</f>
        <v>0</v>
      </c>
      <c r="F257" s="1273">
        <f ca="1">cbalSpecLoansValue</f>
        <v>0</v>
      </c>
      <c r="G257" s="1273">
        <f ca="1">cbalSpecLoansValue</f>
        <v>0</v>
      </c>
      <c r="H257" s="1273">
        <f ca="1">cbalSpecLoansValue</f>
        <v>0</v>
      </c>
      <c r="I257" s="1273">
        <f ca="1">cbalSpecLoansValue</f>
        <v>0</v>
      </c>
      <c r="J257" s="1273"/>
      <c r="K257" s="1276">
        <f t="shared" ca="1" si="6"/>
        <v>0</v>
      </c>
    </row>
    <row r="258" spans="1:11" ht="12.75">
      <c r="A258" s="132"/>
      <c r="B258" s="38" t="s">
        <v>1231</v>
      </c>
      <c r="C258" s="546"/>
      <c r="D258" s="546"/>
      <c r="E258" s="1273">
        <f>cbalCStockValue</f>
        <v>5223400000</v>
      </c>
      <c r="F258" s="1273">
        <f>cbalCStockValue</f>
        <v>5223400000</v>
      </c>
      <c r="G258" s="1273">
        <f>cbalCStockValue</f>
        <v>5223400000</v>
      </c>
      <c r="H258" s="1273">
        <f>cbalCStockValue</f>
        <v>5223400000</v>
      </c>
      <c r="I258" s="1273">
        <f>cbalCStockValue</f>
        <v>5223400000</v>
      </c>
      <c r="J258" s="1273"/>
      <c r="K258" s="1276">
        <f t="shared" si="6"/>
        <v>5223400000</v>
      </c>
    </row>
    <row r="259" spans="1:11" ht="12.75">
      <c r="A259" s="132"/>
      <c r="B259" s="38" t="s">
        <v>3993</v>
      </c>
      <c r="C259" s="546"/>
      <c r="D259" s="546"/>
      <c r="E259" s="1273">
        <f>cbalLTDebtValue</f>
        <v>3110000000</v>
      </c>
      <c r="F259" s="1273">
        <f>cbalLTDebtValue</f>
        <v>3110000000</v>
      </c>
      <c r="G259" s="1273">
        <f>cbalLTDebtValue</f>
        <v>3110000000</v>
      </c>
      <c r="H259" s="1273">
        <f>cbalLTDebtValue</f>
        <v>3110000000</v>
      </c>
      <c r="I259" s="1273">
        <f>cbalLTDebtValue</f>
        <v>3110000000</v>
      </c>
      <c r="J259" s="1273"/>
      <c r="K259" s="1276">
        <f t="shared" si="6"/>
        <v>3110000000</v>
      </c>
    </row>
    <row r="260" spans="1:11" ht="12.75">
      <c r="A260" s="132"/>
      <c r="B260" s="38" t="s">
        <v>1230</v>
      </c>
      <c r="C260" s="546"/>
      <c r="D260" s="546"/>
      <c r="E260" s="1273">
        <f ca="1">cbalRetEarnValue+cbalNetEarnValue</f>
        <v>6895010485.2238331</v>
      </c>
      <c r="F260" s="1273">
        <f ca="1">cbalRetEarnValue+cbalNetEarnValue</f>
        <v>6895010485.2238331</v>
      </c>
      <c r="G260" s="1273">
        <f ca="1">cbalRetEarnValue+cbalNetEarnValue</f>
        <v>6895010485.2238331</v>
      </c>
      <c r="H260" s="1273">
        <f ca="1">cbalRetEarnValue+cbalNetEarnValue</f>
        <v>6895010485.2238331</v>
      </c>
      <c r="I260" s="1273">
        <f ca="1">cbalRetEarnValue+cbalNetEarnValue</f>
        <v>6895010485.2238331</v>
      </c>
      <c r="J260" s="1273"/>
      <c r="K260" s="1276">
        <f t="shared" ca="1" si="6"/>
        <v>6895010485.2238331</v>
      </c>
    </row>
    <row r="261" spans="1:11" ht="5.0999999999999996" customHeight="1">
      <c r="A261" s="132"/>
      <c r="B261" s="38"/>
      <c r="C261" s="546"/>
      <c r="D261" s="546"/>
      <c r="E261" s="253"/>
      <c r="F261" s="253"/>
      <c r="G261" s="253"/>
      <c r="H261" s="253"/>
      <c r="I261" s="253"/>
      <c r="J261" s="521"/>
      <c r="K261" s="793"/>
    </row>
    <row r="262" spans="1:11" ht="12.75">
      <c r="A262" s="132"/>
      <c r="B262" s="62" t="s">
        <v>328</v>
      </c>
      <c r="C262" s="545"/>
      <c r="D262" s="545"/>
      <c r="E262" s="1181">
        <f ca="1">SUM(E255:E260)</f>
        <v>21149181386.870766</v>
      </c>
      <c r="F262" s="1181">
        <f ca="1">SUM(F255:F260)</f>
        <v>21149181386.870766</v>
      </c>
      <c r="G262" s="1181">
        <f ca="1">SUM(G255:G260)</f>
        <v>21149181386.870766</v>
      </c>
      <c r="H262" s="1181">
        <f ca="1">SUM(H255:H260)</f>
        <v>21149181386.870766</v>
      </c>
      <c r="I262" s="1181">
        <f ca="1">SUM(I255:I260)</f>
        <v>21149181386.870766</v>
      </c>
      <c r="J262" s="1181"/>
      <c r="K262" s="1417">
        <f ca="1">SUM(E262:I262)/xxNumOfTeams</f>
        <v>21149181386.870766</v>
      </c>
    </row>
    <row r="263" spans="1:11">
      <c r="A263" s="132"/>
      <c r="B263" s="21"/>
      <c r="C263" s="21"/>
      <c r="D263" s="21"/>
      <c r="E263" s="21"/>
      <c r="F263" s="21"/>
      <c r="G263" s="21"/>
      <c r="H263" s="21"/>
      <c r="I263" s="21"/>
      <c r="J263" s="180"/>
      <c r="K263" s="792"/>
    </row>
    <row r="264" spans="1:11" ht="15.75">
      <c r="A264" s="570" t="s">
        <v>1232</v>
      </c>
      <c r="B264" s="571"/>
      <c r="C264" s="571"/>
      <c r="D264" s="571"/>
      <c r="E264" s="733" t="str">
        <f>decTeamName</f>
        <v>Vivia</v>
      </c>
      <c r="F264" s="733" t="str">
        <f>decTeamName</f>
        <v>Vivia</v>
      </c>
      <c r="G264" s="733" t="str">
        <f>decTeamName</f>
        <v>Vivia</v>
      </c>
      <c r="H264" s="733" t="str">
        <f>decTeamName</f>
        <v>Vivia</v>
      </c>
      <c r="I264" s="733" t="str">
        <f>decTeamName</f>
        <v>Vivia</v>
      </c>
      <c r="J264" s="741"/>
      <c r="K264" s="804" t="s">
        <v>2718</v>
      </c>
    </row>
    <row r="265" spans="1:11" ht="5.0999999999999996" customHeight="1">
      <c r="A265" s="544"/>
      <c r="B265" s="541"/>
      <c r="C265" s="541"/>
      <c r="D265" s="541"/>
      <c r="E265" s="21"/>
      <c r="F265" s="21"/>
      <c r="G265" s="21"/>
      <c r="H265" s="21"/>
      <c r="I265" s="21"/>
      <c r="J265" s="180"/>
      <c r="K265" s="792"/>
    </row>
    <row r="266" spans="1:11" ht="12.75">
      <c r="A266" s="132"/>
      <c r="B266" s="38" t="s">
        <v>324</v>
      </c>
      <c r="C266" s="546"/>
      <c r="D266" s="546"/>
      <c r="E266" s="1273">
        <f ca="1">finPNLNetEarn</f>
        <v>3399991806.6964707</v>
      </c>
      <c r="F266" s="1273">
        <f ca="1">finPNLNetEarn</f>
        <v>3399991806.6964707</v>
      </c>
      <c r="G266" s="1273">
        <f ca="1">finPNLNetEarn</f>
        <v>3399991806.6964707</v>
      </c>
      <c r="H266" s="1273">
        <f ca="1">finPNLNetEarn</f>
        <v>3399991806.6964707</v>
      </c>
      <c r="I266" s="1273">
        <f ca="1">finPNLNetEarn</f>
        <v>3399991806.6964707</v>
      </c>
      <c r="J266" s="1273"/>
      <c r="K266" s="1276">
        <f t="shared" ref="K266:K274" ca="1" si="7">SUM(E266:I266)/xxNumOfTeams</f>
        <v>3399991806.6964707</v>
      </c>
    </row>
    <row r="267" spans="1:11" ht="12.75">
      <c r="A267" s="132"/>
      <c r="B267" s="38" t="s">
        <v>3689</v>
      </c>
      <c r="C267" s="546"/>
      <c r="D267" s="546"/>
      <c r="E267" s="1273">
        <f>finPNLCapLossExp</f>
        <v>0</v>
      </c>
      <c r="F267" s="1273">
        <f>finPNLCapLossExp</f>
        <v>0</v>
      </c>
      <c r="G267" s="1273">
        <f>finPNLCapLossExp</f>
        <v>0</v>
      </c>
      <c r="H267" s="1273">
        <f>finPNLCapLossExp</f>
        <v>0</v>
      </c>
      <c r="I267" s="1273">
        <f>finPNLCapLossExp</f>
        <v>0</v>
      </c>
      <c r="J267" s="1273"/>
      <c r="K267" s="1276">
        <f t="shared" si="7"/>
        <v>0</v>
      </c>
    </row>
    <row r="268" spans="1:11" ht="12.75">
      <c r="A268" s="132"/>
      <c r="B268" s="38" t="s">
        <v>3639</v>
      </c>
      <c r="C268" s="546"/>
      <c r="D268" s="546"/>
      <c r="E268" s="1273">
        <f ca="1">finCashFlowDep</f>
        <v>1010333740</v>
      </c>
      <c r="F268" s="1273">
        <f ca="1">finCashFlowDep</f>
        <v>1010333740</v>
      </c>
      <c r="G268" s="1273">
        <f ca="1">finCashFlowDep</f>
        <v>1010333740</v>
      </c>
      <c r="H268" s="1273">
        <f ca="1">finCashFlowDep</f>
        <v>1010333740</v>
      </c>
      <c r="I268" s="1273">
        <f ca="1">finCashFlowDep</f>
        <v>1010333740</v>
      </c>
      <c r="J268" s="1273"/>
      <c r="K268" s="1276">
        <f t="shared" ca="1" si="7"/>
        <v>1010333740</v>
      </c>
    </row>
    <row r="269" spans="1:11" ht="12.75">
      <c r="A269" s="132"/>
      <c r="B269" s="38" t="s">
        <v>2854</v>
      </c>
      <c r="C269" s="546"/>
      <c r="D269" s="546"/>
      <c r="E269" s="1273">
        <f>finPNLAmorGoodwillExp</f>
        <v>0</v>
      </c>
      <c r="F269" s="1273">
        <f>finPNLAmorGoodwillExp</f>
        <v>0</v>
      </c>
      <c r="G269" s="1273">
        <f>finPNLAmorGoodwillExp</f>
        <v>0</v>
      </c>
      <c r="H269" s="1273">
        <f>finPNLAmorGoodwillExp</f>
        <v>0</v>
      </c>
      <c r="I269" s="1273">
        <f>finPNLAmorGoodwillExp</f>
        <v>0</v>
      </c>
      <c r="J269" s="1273"/>
      <c r="K269" s="1276">
        <f t="shared" si="7"/>
        <v>0</v>
      </c>
    </row>
    <row r="270" spans="1:11" ht="12.75">
      <c r="A270" s="132"/>
      <c r="B270" s="38" t="s">
        <v>3690</v>
      </c>
      <c r="C270" s="546"/>
      <c r="D270" s="546"/>
      <c r="E270" s="1273">
        <f ca="1">finCashFlowWorkCap</f>
        <v>244736883.93795121</v>
      </c>
      <c r="F270" s="1273">
        <f ca="1">finCashFlowWorkCap</f>
        <v>244736883.93795121</v>
      </c>
      <c r="G270" s="1273">
        <f ca="1">finCashFlowWorkCap</f>
        <v>244736883.93795121</v>
      </c>
      <c r="H270" s="1273">
        <f ca="1">finCashFlowWorkCap</f>
        <v>244736883.93795121</v>
      </c>
      <c r="I270" s="1273">
        <f ca="1">finCashFlowWorkCap</f>
        <v>244736883.93795121</v>
      </c>
      <c r="J270" s="1273"/>
      <c r="K270" s="1276">
        <f t="shared" ca="1" si="7"/>
        <v>244736883.93795118</v>
      </c>
    </row>
    <row r="271" spans="1:11" ht="12.75">
      <c r="A271" s="132"/>
      <c r="B271" s="38" t="s">
        <v>3691</v>
      </c>
      <c r="C271" s="546"/>
      <c r="D271" s="546"/>
      <c r="E271" s="1273">
        <f>finCashFlowInvest</f>
        <v>-999556000</v>
      </c>
      <c r="F271" s="1273">
        <f>finCashFlowInvest</f>
        <v>-999556000</v>
      </c>
      <c r="G271" s="1273">
        <f>finCashFlowInvest</f>
        <v>-999556000</v>
      </c>
      <c r="H271" s="1273">
        <f>finCashFlowInvest</f>
        <v>-999556000</v>
      </c>
      <c r="I271" s="1273">
        <f>finCashFlowInvest</f>
        <v>-999556000</v>
      </c>
      <c r="J271" s="1273"/>
      <c r="K271" s="1276">
        <f t="shared" si="7"/>
        <v>-999556000</v>
      </c>
    </row>
    <row r="272" spans="1:11" ht="12.75">
      <c r="A272" s="132"/>
      <c r="B272" s="38" t="s">
        <v>1225</v>
      </c>
      <c r="C272" s="546"/>
      <c r="D272" s="546"/>
      <c r="E272" s="1273">
        <f ca="1">finCashFlowFinance</f>
        <v>-1919599500</v>
      </c>
      <c r="F272" s="1273">
        <f ca="1">finCashFlowFinance</f>
        <v>-1919599500</v>
      </c>
      <c r="G272" s="1273">
        <f ca="1">finCashFlowFinance</f>
        <v>-1919599500</v>
      </c>
      <c r="H272" s="1273">
        <f ca="1">finCashFlowFinance</f>
        <v>-1919599500</v>
      </c>
      <c r="I272" s="1273">
        <f ca="1">finCashFlowFinance</f>
        <v>-1919599500</v>
      </c>
      <c r="J272" s="1273"/>
      <c r="K272" s="1276">
        <f t="shared" ca="1" si="7"/>
        <v>-1919599500</v>
      </c>
    </row>
    <row r="273" spans="1:11" ht="12.75">
      <c r="A273" s="132"/>
      <c r="B273" s="62" t="s">
        <v>1232</v>
      </c>
      <c r="C273" s="545"/>
      <c r="D273" s="545"/>
      <c r="E273" s="1181">
        <f ca="1">SUM(E266:E272)</f>
        <v>1735906930.6344213</v>
      </c>
      <c r="F273" s="1181">
        <f ca="1">SUM(F266:F272)</f>
        <v>1735906930.6344213</v>
      </c>
      <c r="G273" s="1181">
        <f ca="1">SUM(G266:G272)</f>
        <v>1735906930.6344213</v>
      </c>
      <c r="H273" s="1181">
        <f ca="1">SUM(H266:H272)</f>
        <v>1735906930.6344213</v>
      </c>
      <c r="I273" s="1181">
        <f ca="1">SUM(I266:I272)</f>
        <v>1735906930.6344213</v>
      </c>
      <c r="J273" s="1181"/>
      <c r="K273" s="1417">
        <f t="shared" ca="1" si="7"/>
        <v>1735906930.6344216</v>
      </c>
    </row>
    <row r="274" spans="1:11" ht="12.75">
      <c r="A274" s="132"/>
      <c r="B274" s="62" t="s">
        <v>3692</v>
      </c>
      <c r="C274" s="545"/>
      <c r="D274" s="545"/>
      <c r="E274" s="1181">
        <f ca="1">obalCashValue+E273</f>
        <v>6695625983.2060633</v>
      </c>
      <c r="F274" s="1181">
        <f ca="1">obalCashValue+F273</f>
        <v>6695625983.2060633</v>
      </c>
      <c r="G274" s="1181">
        <f ca="1">obalCashValue+G273</f>
        <v>6695625983.2060633</v>
      </c>
      <c r="H274" s="1181">
        <f ca="1">obalCashValue+H273</f>
        <v>6695625983.2060633</v>
      </c>
      <c r="I274" s="1181">
        <f ca="1">obalCashValue+I273</f>
        <v>6695625983.2060633</v>
      </c>
      <c r="J274" s="1181"/>
      <c r="K274" s="1417">
        <f t="shared" ca="1" si="7"/>
        <v>6695625983.2060633</v>
      </c>
    </row>
    <row r="275" spans="1:11" ht="12.75">
      <c r="A275" s="132"/>
      <c r="B275" s="545"/>
      <c r="C275" s="545"/>
      <c r="D275" s="545"/>
      <c r="E275" s="530"/>
      <c r="F275" s="530"/>
      <c r="G275" s="530"/>
      <c r="H275" s="530"/>
      <c r="I275" s="530"/>
      <c r="J275" s="180"/>
      <c r="K275" s="792"/>
    </row>
    <row r="276" spans="1:11" ht="15.75">
      <c r="A276" s="734" t="s">
        <v>2262</v>
      </c>
      <c r="B276" s="735"/>
      <c r="C276" s="736"/>
      <c r="D276" s="736"/>
      <c r="E276" s="733" t="str">
        <f>decTeamName</f>
        <v>Vivia</v>
      </c>
      <c r="F276" s="733" t="str">
        <f>decTeamName</f>
        <v>Vivia</v>
      </c>
      <c r="G276" s="733" t="str">
        <f>decTeamName</f>
        <v>Vivia</v>
      </c>
      <c r="H276" s="733" t="str">
        <f>decTeamName</f>
        <v>Vivia</v>
      </c>
      <c r="I276" s="733" t="str">
        <f>decTeamName</f>
        <v>Vivia</v>
      </c>
      <c r="J276" s="743"/>
      <c r="K276" s="805" t="s">
        <v>2718</v>
      </c>
    </row>
    <row r="277" spans="1:11" ht="5.0999999999999996" customHeight="1">
      <c r="A277" s="132"/>
      <c r="B277" s="545"/>
      <c r="C277" s="545"/>
      <c r="D277" s="545"/>
      <c r="E277" s="530"/>
      <c r="F277" s="530"/>
      <c r="G277" s="530"/>
      <c r="H277" s="530"/>
      <c r="I277" s="530"/>
      <c r="J277" s="180"/>
      <c r="K277" s="792"/>
    </row>
    <row r="278" spans="1:11" ht="12.75">
      <c r="A278" s="132"/>
      <c r="B278" s="567" t="s">
        <v>2263</v>
      </c>
      <c r="C278" s="545"/>
      <c r="D278" s="545"/>
      <c r="E278" s="151">
        <f>(cbalARValue/finPNLRev)*365</f>
        <v>60.833333333333329</v>
      </c>
      <c r="F278" s="151">
        <f>(cbalARValue/finPNLRev)*365</f>
        <v>60.833333333333329</v>
      </c>
      <c r="G278" s="151">
        <f>(cbalARValue/finPNLRev)*365</f>
        <v>60.833333333333329</v>
      </c>
      <c r="H278" s="151">
        <f>(cbalARValue/finPNLRev)*365</f>
        <v>60.833333333333329</v>
      </c>
      <c r="I278" s="151">
        <f>(cbalARValue/finPNLRev)*365</f>
        <v>60.833333333333329</v>
      </c>
      <c r="J278" s="180"/>
      <c r="K278" s="793">
        <f t="shared" ref="K278:K283" si="8">SUM(E278:I278)/xxNumOfTeams</f>
        <v>60.833333333333329</v>
      </c>
    </row>
    <row r="279" spans="1:11" ht="12.75">
      <c r="A279" s="132"/>
      <c r="B279" s="567" t="s">
        <v>560</v>
      </c>
      <c r="C279" s="545"/>
      <c r="D279" s="545"/>
      <c r="E279" s="1273">
        <f>cbalARValue/ReportCompetitor!E278</f>
        <v>71622256.710958898</v>
      </c>
      <c r="F279" s="1273">
        <f>cbalARValue/ReportCompetitor!F278</f>
        <v>71622256.710958898</v>
      </c>
      <c r="G279" s="1273">
        <f>cbalARValue/ReportCompetitor!G278</f>
        <v>71622256.710958898</v>
      </c>
      <c r="H279" s="1273">
        <f>cbalARValue/ReportCompetitor!H278</f>
        <v>71622256.710958898</v>
      </c>
      <c r="I279" s="1273">
        <f>cbalARValue/ReportCompetitor!I278</f>
        <v>71622256.710958898</v>
      </c>
      <c r="J279" s="1273"/>
      <c r="K279" s="1276">
        <f t="shared" si="8"/>
        <v>71622256.710958898</v>
      </c>
    </row>
    <row r="280" spans="1:11" ht="12.75">
      <c r="A280" s="132"/>
      <c r="B280" s="567" t="s">
        <v>3492</v>
      </c>
      <c r="C280" s="545"/>
      <c r="D280" s="545"/>
      <c r="E280" s="534">
        <f ca="1">finPNLGrossMargin/finPNLNetRev</f>
        <v>0.5027473561565976</v>
      </c>
      <c r="F280" s="534">
        <f ca="1">finPNLGrossMargin/finPNLNetRev</f>
        <v>0.5027473561565976</v>
      </c>
      <c r="G280" s="534">
        <f ca="1">finPNLGrossMargin/finPNLNetRev</f>
        <v>0.5027473561565976</v>
      </c>
      <c r="H280" s="534">
        <f ca="1">finPNLGrossMargin/finPNLNetRev</f>
        <v>0.5027473561565976</v>
      </c>
      <c r="I280" s="534">
        <f ca="1">finPNLGrossMargin/finPNLNetRev</f>
        <v>0.5027473561565976</v>
      </c>
      <c r="J280" s="678"/>
      <c r="K280" s="807">
        <f t="shared" ca="1" si="8"/>
        <v>0.5027473561565976</v>
      </c>
    </row>
    <row r="281" spans="1:11" ht="12.75">
      <c r="A281" s="132"/>
      <c r="B281" s="567" t="s">
        <v>3493</v>
      </c>
      <c r="C281" s="545"/>
      <c r="D281" s="545"/>
      <c r="E281" s="534">
        <f ca="1">finPNLOperEarn/finPNLNetRev</f>
        <v>0.23313640029477442</v>
      </c>
      <c r="F281" s="534">
        <f ca="1">finPNLOperEarn/finPNLNetRev</f>
        <v>0.23313640029477442</v>
      </c>
      <c r="G281" s="534">
        <f ca="1">finPNLOperEarn/finPNLNetRev</f>
        <v>0.23313640029477442</v>
      </c>
      <c r="H281" s="534">
        <f ca="1">finPNLOperEarn/finPNLNetRev</f>
        <v>0.23313640029477442</v>
      </c>
      <c r="I281" s="534">
        <f ca="1">finPNLOperEarn/finPNLNetRev</f>
        <v>0.23313640029477442</v>
      </c>
      <c r="J281" s="678"/>
      <c r="K281" s="807">
        <f t="shared" ca="1" si="8"/>
        <v>0.23313640029477439</v>
      </c>
    </row>
    <row r="282" spans="1:11" ht="12.75">
      <c r="A282" s="132"/>
      <c r="B282" s="567" t="s">
        <v>3494</v>
      </c>
      <c r="C282" s="545"/>
      <c r="D282" s="545"/>
      <c r="E282" s="534">
        <f ca="1">finPNLNetEarn/finPNLNetRev</f>
        <v>0.15029498785614095</v>
      </c>
      <c r="F282" s="534">
        <f ca="1">finPNLNetEarn/finPNLNetRev</f>
        <v>0.15029498785614095</v>
      </c>
      <c r="G282" s="534">
        <f ca="1">finPNLNetEarn/finPNLNetRev</f>
        <v>0.15029498785614095</v>
      </c>
      <c r="H282" s="534">
        <f ca="1">finPNLNetEarn/finPNLNetRev</f>
        <v>0.15029498785614095</v>
      </c>
      <c r="I282" s="534">
        <f ca="1">finPNLNetEarn/finPNLNetRev</f>
        <v>0.15029498785614095</v>
      </c>
      <c r="J282" s="678"/>
      <c r="K282" s="807">
        <f t="shared" ca="1" si="8"/>
        <v>0.15029498785614095</v>
      </c>
    </row>
    <row r="283" spans="1:11" ht="12.75">
      <c r="A283" s="132"/>
      <c r="B283" s="567" t="s">
        <v>3163</v>
      </c>
      <c r="C283" s="545"/>
      <c r="D283" s="545"/>
      <c r="E283" s="535">
        <f ca="1">finAssetTurnover</f>
        <v>2.61209104296054</v>
      </c>
      <c r="F283" s="535">
        <f ca="1">finAssetTurnover</f>
        <v>2.61209104296054</v>
      </c>
      <c r="G283" s="535">
        <f ca="1">finAssetTurnover</f>
        <v>2.61209104296054</v>
      </c>
      <c r="H283" s="535">
        <f ca="1">finAssetTurnover</f>
        <v>2.61209104296054</v>
      </c>
      <c r="I283" s="535">
        <f ca="1">finAssetTurnover</f>
        <v>2.61209104296054</v>
      </c>
      <c r="J283" s="841"/>
      <c r="K283" s="808">
        <f t="shared" ca="1" si="8"/>
        <v>2.61209104296054</v>
      </c>
    </row>
    <row r="284" spans="1:11" ht="12.75">
      <c r="A284" s="132"/>
      <c r="B284" s="567"/>
      <c r="C284" s="545"/>
      <c r="D284" s="545"/>
      <c r="E284" s="535"/>
      <c r="F284" s="535"/>
      <c r="G284" s="535"/>
      <c r="H284" s="535"/>
      <c r="I284" s="535"/>
      <c r="J284" s="841"/>
      <c r="K284" s="808"/>
    </row>
    <row r="285" spans="1:11" ht="12.75">
      <c r="A285" s="1139" t="s">
        <v>1503</v>
      </c>
      <c r="B285" s="21"/>
      <c r="C285" s="545"/>
      <c r="D285" s="545"/>
      <c r="E285" s="535"/>
      <c r="F285" s="535"/>
      <c r="G285" s="535"/>
      <c r="H285" s="535"/>
      <c r="I285" s="535"/>
      <c r="J285" s="841"/>
      <c r="K285" s="808"/>
    </row>
    <row r="286" spans="1:11" ht="12.75">
      <c r="A286" s="132"/>
      <c r="B286" s="858" t="s">
        <v>3801</v>
      </c>
      <c r="C286" s="545"/>
      <c r="D286" s="545"/>
      <c r="E286" s="1273">
        <f ca="1">finPNLEBIT</f>
        <v>5274040486.3245354</v>
      </c>
      <c r="F286" s="1273">
        <f ca="1">finPNLEBIT</f>
        <v>5274040486.3245354</v>
      </c>
      <c r="G286" s="1273">
        <f ca="1">finPNLEBIT</f>
        <v>5274040486.3245354</v>
      </c>
      <c r="H286" s="1273">
        <f ca="1">finPNLEBIT</f>
        <v>5274040486.3245354</v>
      </c>
      <c r="I286" s="1273">
        <f ca="1">finPNLEBIT</f>
        <v>5274040486.3245354</v>
      </c>
      <c r="J286" s="1273"/>
      <c r="K286" s="1276">
        <f ca="1">SUM(E286:I286)/xxNumOfTeams</f>
        <v>5274040486.3245354</v>
      </c>
    </row>
    <row r="287" spans="1:11" ht="12.75">
      <c r="A287" s="132"/>
      <c r="B287" s="858" t="s">
        <v>1504</v>
      </c>
      <c r="C287" s="545"/>
      <c r="D287" s="545"/>
      <c r="E287" s="1273">
        <f ca="1">finInvestedCapital</f>
        <v>14488214331.875597</v>
      </c>
      <c r="F287" s="1273">
        <f ca="1">finInvestedCapital</f>
        <v>14488214331.875597</v>
      </c>
      <c r="G287" s="1273">
        <f ca="1">finInvestedCapital</f>
        <v>14488214331.875597</v>
      </c>
      <c r="H287" s="1273">
        <f ca="1">finInvestedCapital</f>
        <v>14488214331.875597</v>
      </c>
      <c r="I287" s="1273">
        <f ca="1">finInvestedCapital</f>
        <v>14488214331.875597</v>
      </c>
      <c r="J287" s="1273"/>
      <c r="K287" s="1276">
        <f ca="1">SUM(E287:I287)/xxNumOfTeams</f>
        <v>14488214331.875599</v>
      </c>
    </row>
    <row r="288" spans="1:11" ht="12.75">
      <c r="A288" s="132"/>
      <c r="B288" s="567" t="s">
        <v>3164</v>
      </c>
      <c r="C288" s="545"/>
      <c r="D288" s="545"/>
      <c r="E288" s="616">
        <f ca="1">finROIC</f>
        <v>0.22933437001096038</v>
      </c>
      <c r="F288" s="616">
        <f ca="1">finROIC</f>
        <v>0.22933437001096038</v>
      </c>
      <c r="G288" s="616">
        <f ca="1">finROIC</f>
        <v>0.22933437001096038</v>
      </c>
      <c r="H288" s="616">
        <f ca="1">finROIC</f>
        <v>0.22933437001096038</v>
      </c>
      <c r="I288" s="616">
        <f ca="1">finROIC</f>
        <v>0.22933437001096038</v>
      </c>
      <c r="J288" s="841"/>
      <c r="K288" s="807">
        <f ca="1">SUM(E288:I288)/xxNumOfTeams</f>
        <v>0.22933437001096038</v>
      </c>
    </row>
    <row r="289" spans="1:11" ht="12.75">
      <c r="A289" s="132"/>
      <c r="B289" s="567"/>
      <c r="C289" s="545"/>
      <c r="D289" s="545"/>
      <c r="E289" s="616"/>
      <c r="F289" s="616"/>
      <c r="G289" s="616"/>
      <c r="H289" s="616"/>
      <c r="I289" s="616"/>
      <c r="J289" s="841"/>
      <c r="K289" s="807"/>
    </row>
    <row r="290" spans="1:11" ht="12.75">
      <c r="A290" s="132"/>
      <c r="B290" s="858" t="s">
        <v>3495</v>
      </c>
      <c r="C290" s="545"/>
      <c r="D290" s="545"/>
      <c r="E290" s="616">
        <f ca="1">finPNLEBIT/finPNLNetRev</f>
        <v>0.23313640029477442</v>
      </c>
      <c r="F290" s="616">
        <f ca="1">finPNLEBIT/finPNLNetRev</f>
        <v>0.23313640029477442</v>
      </c>
      <c r="G290" s="616">
        <f ca="1">finPNLEBIT/finPNLNetRev</f>
        <v>0.23313640029477442</v>
      </c>
      <c r="H290" s="616">
        <f ca="1">finPNLEBIT/finPNLNetRev</f>
        <v>0.23313640029477442</v>
      </c>
      <c r="I290" s="616">
        <f ca="1">finPNLEBIT/finPNLNetRev</f>
        <v>0.23313640029477442</v>
      </c>
      <c r="J290" s="841"/>
      <c r="K290" s="807">
        <f ca="1">SUM(E290:I290)/xxNumOfTeams</f>
        <v>0.23313640029477439</v>
      </c>
    </row>
    <row r="291" spans="1:11" ht="12.75">
      <c r="A291" s="132"/>
      <c r="B291" s="858" t="s">
        <v>3496</v>
      </c>
      <c r="C291" s="545"/>
      <c r="D291" s="545"/>
      <c r="E291" s="616">
        <f ca="1">finInvestedCapital/finPNLNetRev</f>
        <v>0.64044448365366424</v>
      </c>
      <c r="F291" s="616">
        <f ca="1">finInvestedCapital/finPNLNetRev</f>
        <v>0.64044448365366424</v>
      </c>
      <c r="G291" s="616">
        <f ca="1">finInvestedCapital/finPNLNetRev</f>
        <v>0.64044448365366424</v>
      </c>
      <c r="H291" s="616">
        <f ca="1">finInvestedCapital/finPNLNetRev</f>
        <v>0.64044448365366424</v>
      </c>
      <c r="I291" s="616">
        <f ca="1">finInvestedCapital/finPNLNetRev</f>
        <v>0.64044448365366424</v>
      </c>
      <c r="J291" s="841"/>
      <c r="K291" s="807">
        <f ca="1">SUM(E291:I291)/xxNumOfTeams</f>
        <v>0.64044448365366424</v>
      </c>
    </row>
    <row r="292" spans="1:11" ht="13.5" thickBot="1">
      <c r="A292" s="134"/>
      <c r="B292" s="1178"/>
      <c r="C292" s="562"/>
      <c r="D292" s="562"/>
      <c r="E292" s="726"/>
      <c r="F292" s="726"/>
      <c r="G292" s="726"/>
      <c r="H292" s="726"/>
      <c r="I292" s="726"/>
      <c r="J292" s="1179"/>
      <c r="K292" s="1180"/>
    </row>
    <row r="293" spans="1:11">
      <c r="B293" s="898"/>
      <c r="C293" s="898"/>
      <c r="D293" s="898"/>
      <c r="E293" s="898"/>
      <c r="F293" s="898"/>
      <c r="G293" s="898"/>
      <c r="H293" s="898"/>
      <c r="I293" s="898"/>
    </row>
    <row r="294" spans="1:11">
      <c r="B294" s="898"/>
      <c r="C294" s="898"/>
      <c r="D294" s="898"/>
      <c r="E294" s="898"/>
      <c r="F294" s="898"/>
      <c r="G294" s="898"/>
      <c r="H294" s="898"/>
      <c r="I294" s="898"/>
    </row>
    <row r="295" spans="1:11">
      <c r="B295" s="898"/>
      <c r="C295" s="898"/>
      <c r="D295" s="898"/>
      <c r="E295" s="898"/>
      <c r="F295" s="898"/>
      <c r="G295" s="898"/>
      <c r="H295" s="898"/>
      <c r="I295" s="898"/>
    </row>
    <row r="296" spans="1:11">
      <c r="B296" s="898"/>
      <c r="C296" s="898"/>
      <c r="D296" s="898"/>
      <c r="E296" s="898"/>
      <c r="F296" s="898"/>
      <c r="G296" s="898"/>
      <c r="H296" s="898"/>
      <c r="I296" s="898"/>
    </row>
    <row r="297" spans="1:11">
      <c r="B297" s="898"/>
      <c r="C297" s="898"/>
      <c r="D297" s="898"/>
      <c r="E297" s="898"/>
      <c r="F297" s="898"/>
      <c r="G297" s="898"/>
      <c r="H297" s="898"/>
      <c r="I297" s="898"/>
    </row>
    <row r="298" spans="1:11">
      <c r="B298" s="898"/>
      <c r="C298" s="898"/>
      <c r="D298" s="898"/>
      <c r="E298" s="898"/>
      <c r="F298" s="898"/>
      <c r="G298" s="898"/>
      <c r="H298" s="898"/>
      <c r="I298" s="898"/>
    </row>
    <row r="299" spans="1:11">
      <c r="B299" s="898"/>
      <c r="C299" s="898"/>
      <c r="D299" s="898"/>
      <c r="E299" s="898"/>
      <c r="F299" s="898"/>
      <c r="G299" s="898"/>
      <c r="H299" s="898"/>
      <c r="I299" s="898"/>
    </row>
    <row r="300" spans="1:11">
      <c r="B300" s="898"/>
      <c r="C300" s="898"/>
      <c r="D300" s="898"/>
      <c r="E300" s="898"/>
      <c r="F300" s="898"/>
      <c r="G300" s="898"/>
      <c r="H300" s="898"/>
      <c r="I300" s="898"/>
    </row>
  </sheetData>
  <phoneticPr fontId="0" type="noConversion"/>
  <printOptions horizontalCentered="1"/>
  <pageMargins left="0.75" right="0.75" top="0.44999999999999996" bottom="0.44999999999999996" header="0.5" footer="0.5"/>
  <pageSetup scale="77" orientation="portrait" horizontalDpi="300" verticalDpi="300" r:id="rId1"/>
  <headerFooter alignWithMargins="0">
    <oddFooter>&amp;CPage &amp;P of &amp;N</oddFooter>
  </headerFooter>
  <rowBreaks count="2" manualBreakCount="2">
    <brk id="127" max="10" man="1"/>
    <brk id="203" max="10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3"/>
  </sheetPr>
  <dimension ref="A1:G113"/>
  <sheetViews>
    <sheetView showFormulas="1" workbookViewId="0">
      <selection activeCell="B20" sqref="B20"/>
    </sheetView>
  </sheetViews>
  <sheetFormatPr defaultRowHeight="11.25"/>
  <cols>
    <col min="1" max="1" width="4.6640625" customWidth="1"/>
    <col min="2" max="2" width="89" customWidth="1"/>
    <col min="4" max="4" width="5.33203125" customWidth="1"/>
  </cols>
  <sheetData>
    <row r="1" spans="1:7" ht="12.75">
      <c r="A1" s="1066" t="s">
        <v>1889</v>
      </c>
      <c r="B1" s="1066" t="s">
        <v>1888</v>
      </c>
      <c r="C1" s="1066" t="s">
        <v>1890</v>
      </c>
      <c r="D1" s="1066" t="s">
        <v>2993</v>
      </c>
      <c r="E1" s="1066"/>
      <c r="F1" s="1066"/>
      <c r="G1" s="1066"/>
    </row>
    <row r="2" spans="1:7" ht="12.75">
      <c r="A2" s="1066" t="s">
        <v>1292</v>
      </c>
      <c r="B2" s="1066" t="s">
        <v>1293</v>
      </c>
      <c r="C2" s="1066" t="s">
        <v>1291</v>
      </c>
      <c r="D2" s="1066" t="s">
        <v>2736</v>
      </c>
      <c r="E2" s="1066"/>
      <c r="F2" s="1066"/>
      <c r="G2" s="1066"/>
    </row>
    <row r="3" spans="1:7" ht="12.75">
      <c r="A3" s="1066" t="s">
        <v>1294</v>
      </c>
      <c r="B3" s="1066" t="s">
        <v>1295</v>
      </c>
      <c r="C3" s="1066" t="s">
        <v>1291</v>
      </c>
      <c r="D3" s="1066" t="s">
        <v>2736</v>
      </c>
      <c r="E3" s="1066"/>
      <c r="F3" s="1066"/>
      <c r="G3" s="1066"/>
    </row>
    <row r="4" spans="1:7" ht="12.75">
      <c r="A4" s="1066" t="s">
        <v>1296</v>
      </c>
      <c r="B4" s="1066" t="s">
        <v>1731</v>
      </c>
      <c r="C4" s="1066" t="s">
        <v>1289</v>
      </c>
      <c r="D4" s="1066" t="s">
        <v>2736</v>
      </c>
      <c r="E4" s="1066"/>
      <c r="F4" s="1066"/>
      <c r="G4" s="1066"/>
    </row>
    <row r="5" spans="1:7" ht="12.75">
      <c r="A5" s="1066" t="s">
        <v>1732</v>
      </c>
      <c r="B5" s="1066" t="s">
        <v>1891</v>
      </c>
      <c r="C5" s="1066" t="s">
        <v>3414</v>
      </c>
      <c r="D5" s="1066" t="s">
        <v>2736</v>
      </c>
      <c r="E5" s="1066"/>
      <c r="F5" s="1066"/>
      <c r="G5" s="1066"/>
    </row>
    <row r="6" spans="1:7" ht="12.75">
      <c r="A6" s="1066" t="s">
        <v>1733</v>
      </c>
      <c r="B6" s="1066" t="s">
        <v>1734</v>
      </c>
      <c r="C6" s="1066" t="s">
        <v>1291</v>
      </c>
      <c r="D6" s="1066" t="s">
        <v>2736</v>
      </c>
      <c r="E6" s="1066"/>
      <c r="F6" s="1066"/>
      <c r="G6" s="1066"/>
    </row>
    <row r="7" spans="1:7" ht="12.75">
      <c r="A7" s="1066" t="s">
        <v>1735</v>
      </c>
      <c r="B7" s="1066" t="s">
        <v>301</v>
      </c>
      <c r="C7" s="1066" t="s">
        <v>1289</v>
      </c>
      <c r="D7" s="1066" t="s">
        <v>2736</v>
      </c>
      <c r="E7" s="1066"/>
      <c r="F7" s="1066"/>
      <c r="G7" s="1066"/>
    </row>
    <row r="8" spans="1:7" ht="12.75">
      <c r="A8" s="1066" t="s">
        <v>302</v>
      </c>
      <c r="B8" s="1066" t="s">
        <v>1176</v>
      </c>
      <c r="C8" s="1066" t="s">
        <v>1289</v>
      </c>
      <c r="D8" s="1066" t="s">
        <v>2736</v>
      </c>
      <c r="E8" s="1066"/>
      <c r="F8" s="1066"/>
      <c r="G8" s="1066"/>
    </row>
    <row r="9" spans="1:7" ht="12.75">
      <c r="A9" s="1066" t="s">
        <v>1177</v>
      </c>
      <c r="B9" s="1066" t="s">
        <v>1178</v>
      </c>
      <c r="C9" s="1066" t="s">
        <v>1289</v>
      </c>
      <c r="D9" s="1066" t="s">
        <v>2736</v>
      </c>
      <c r="E9" s="1066"/>
      <c r="F9" s="1066"/>
      <c r="G9" s="1066"/>
    </row>
    <row r="10" spans="1:7" ht="12.75">
      <c r="A10" s="1066" t="s">
        <v>1179</v>
      </c>
      <c r="B10" s="1066" t="s">
        <v>1300</v>
      </c>
      <c r="C10" s="1066" t="s">
        <v>1291</v>
      </c>
      <c r="D10" s="1066" t="s">
        <v>2736</v>
      </c>
      <c r="E10" s="1066"/>
      <c r="F10" s="1066"/>
      <c r="G10" s="1066"/>
    </row>
    <row r="11" spans="1:7" ht="12.75">
      <c r="A11" s="1066" t="s">
        <v>1301</v>
      </c>
      <c r="B11" s="1066" t="s">
        <v>1302</v>
      </c>
      <c r="C11" s="1066" t="s">
        <v>1290</v>
      </c>
      <c r="D11" s="1066" t="s">
        <v>2736</v>
      </c>
      <c r="E11" s="1066"/>
      <c r="F11" s="1066"/>
      <c r="G11" s="1066"/>
    </row>
    <row r="12" spans="1:7" ht="12.75">
      <c r="A12" s="1066" t="s">
        <v>1303</v>
      </c>
      <c r="B12" s="1066" t="s">
        <v>1304</v>
      </c>
      <c r="C12" s="1066" t="s">
        <v>1290</v>
      </c>
      <c r="D12" s="1066" t="s">
        <v>2064</v>
      </c>
      <c r="E12" s="1066"/>
      <c r="F12" s="1066"/>
      <c r="G12" s="1066"/>
    </row>
    <row r="13" spans="1:7" ht="12.75">
      <c r="A13" s="1066" t="s">
        <v>1305</v>
      </c>
      <c r="B13" s="1066" t="s">
        <v>1306</v>
      </c>
      <c r="C13" s="1066" t="s">
        <v>1291</v>
      </c>
      <c r="D13" s="1066" t="s">
        <v>2736</v>
      </c>
      <c r="E13" s="1066"/>
      <c r="F13" s="1066"/>
      <c r="G13" s="1066"/>
    </row>
    <row r="14" spans="1:7" ht="12.75">
      <c r="A14" s="1066" t="s">
        <v>2192</v>
      </c>
      <c r="B14" s="1066" t="s">
        <v>2193</v>
      </c>
      <c r="C14" s="1066" t="s">
        <v>1291</v>
      </c>
      <c r="D14" s="1066" t="s">
        <v>2736</v>
      </c>
      <c r="E14" s="1066"/>
      <c r="F14" s="1066"/>
      <c r="G14" s="1066"/>
    </row>
    <row r="15" spans="1:7" ht="12.75">
      <c r="A15" s="1066" t="s">
        <v>2194</v>
      </c>
      <c r="B15" s="1066" t="s">
        <v>2195</v>
      </c>
      <c r="C15" s="1066" t="s">
        <v>1291</v>
      </c>
      <c r="D15" s="1066" t="s">
        <v>2736</v>
      </c>
      <c r="E15" s="1066"/>
      <c r="F15" s="1066"/>
      <c r="G15" s="1066"/>
    </row>
    <row r="16" spans="1:7" ht="12.75">
      <c r="A16" s="1066" t="s">
        <v>2196</v>
      </c>
      <c r="B16" s="1066" t="s">
        <v>2580</v>
      </c>
      <c r="C16" s="1066" t="s">
        <v>3414</v>
      </c>
      <c r="D16" s="1066" t="s">
        <v>2736</v>
      </c>
      <c r="E16" s="1066"/>
      <c r="F16" s="1066"/>
      <c r="G16" s="1066"/>
    </row>
    <row r="17" spans="1:7" ht="12.75">
      <c r="A17" s="1066" t="s">
        <v>2581</v>
      </c>
      <c r="B17" s="1066" t="s">
        <v>3550</v>
      </c>
      <c r="C17" s="1066" t="s">
        <v>1291</v>
      </c>
      <c r="D17" s="1066" t="s">
        <v>2736</v>
      </c>
      <c r="E17" s="1066"/>
      <c r="F17" s="1066"/>
      <c r="G17" s="1066"/>
    </row>
    <row r="18" spans="1:7" ht="12.75">
      <c r="A18" s="1066" t="s">
        <v>3551</v>
      </c>
      <c r="B18" s="1066" t="s">
        <v>3565</v>
      </c>
      <c r="C18" s="1066" t="s">
        <v>1290</v>
      </c>
      <c r="D18" s="1066"/>
      <c r="E18" s="1066"/>
      <c r="F18" s="1066"/>
      <c r="G18" s="1066"/>
    </row>
    <row r="19" spans="1:7" ht="12.75">
      <c r="A19" s="1066" t="s">
        <v>3566</v>
      </c>
      <c r="B19" s="1066" t="s">
        <v>901</v>
      </c>
      <c r="C19" s="1066" t="s">
        <v>1291</v>
      </c>
      <c r="D19" s="1066" t="s">
        <v>2736</v>
      </c>
      <c r="E19" s="1066"/>
      <c r="F19" s="1066"/>
      <c r="G19" s="1066"/>
    </row>
    <row r="20" spans="1:7" ht="12.75">
      <c r="A20" s="1066" t="s">
        <v>902</v>
      </c>
      <c r="B20" s="1066" t="s">
        <v>1315</v>
      </c>
      <c r="C20" s="1066" t="s">
        <v>1291</v>
      </c>
      <c r="D20" s="1066" t="s">
        <v>2736</v>
      </c>
      <c r="E20" s="1066"/>
      <c r="F20" s="1066"/>
      <c r="G20" s="1066"/>
    </row>
    <row r="21" spans="1:7" ht="12.75">
      <c r="A21" s="1066" t="s">
        <v>1316</v>
      </c>
      <c r="B21" s="1066" t="s">
        <v>1317</v>
      </c>
      <c r="C21" s="1066" t="s">
        <v>1290</v>
      </c>
      <c r="D21" s="1066" t="s">
        <v>2782</v>
      </c>
      <c r="E21" s="1066"/>
      <c r="F21" s="1066"/>
      <c r="G21" s="1066"/>
    </row>
    <row r="22" spans="1:7" ht="12.75">
      <c r="A22" s="1066" t="s">
        <v>1318</v>
      </c>
      <c r="B22" s="1066" t="s">
        <v>1892</v>
      </c>
      <c r="C22" s="1066" t="s">
        <v>3414</v>
      </c>
      <c r="D22" s="1066" t="s">
        <v>2736</v>
      </c>
      <c r="E22" s="1066"/>
      <c r="F22" s="1066"/>
      <c r="G22" s="1066"/>
    </row>
    <row r="23" spans="1:7" ht="12.75">
      <c r="A23" s="1066" t="s">
        <v>1319</v>
      </c>
      <c r="B23" s="1066" t="s">
        <v>1320</v>
      </c>
      <c r="C23" s="1066" t="s">
        <v>1291</v>
      </c>
      <c r="D23" s="1066" t="s">
        <v>2736</v>
      </c>
      <c r="E23" s="1066"/>
      <c r="F23" s="1066"/>
      <c r="G23" s="1066"/>
    </row>
    <row r="24" spans="1:7" ht="12.75">
      <c r="A24" s="1066" t="s">
        <v>1321</v>
      </c>
      <c r="B24" s="1066" t="s">
        <v>1322</v>
      </c>
      <c r="C24" s="1066" t="s">
        <v>1290</v>
      </c>
      <c r="D24" s="1066" t="s">
        <v>2736</v>
      </c>
      <c r="E24" s="1066"/>
      <c r="F24" s="1066"/>
      <c r="G24" s="1066"/>
    </row>
    <row r="25" spans="1:7" ht="12.75">
      <c r="A25" s="1066" t="s">
        <v>1323</v>
      </c>
      <c r="B25" s="1066" t="s">
        <v>1324</v>
      </c>
      <c r="C25" s="1066" t="s">
        <v>1289</v>
      </c>
      <c r="D25" s="1066" t="s">
        <v>2736</v>
      </c>
      <c r="E25" s="1066"/>
      <c r="F25" s="1066"/>
      <c r="G25" s="1066"/>
    </row>
    <row r="26" spans="1:7" ht="12.75">
      <c r="A26" s="1066" t="s">
        <v>1325</v>
      </c>
      <c r="B26" s="1066" t="s">
        <v>1873</v>
      </c>
      <c r="C26" s="1066" t="s">
        <v>1289</v>
      </c>
      <c r="D26" s="1066" t="s">
        <v>2736</v>
      </c>
      <c r="E26" s="1066"/>
      <c r="F26" s="1066"/>
      <c r="G26" s="1066"/>
    </row>
    <row r="27" spans="1:7" ht="12.75">
      <c r="A27" s="1066" t="s">
        <v>1874</v>
      </c>
      <c r="B27" s="1066" t="s">
        <v>2989</v>
      </c>
      <c r="C27" s="1066" t="s">
        <v>1289</v>
      </c>
      <c r="D27" s="1066"/>
      <c r="E27" s="1066"/>
      <c r="F27" s="1066"/>
      <c r="G27" s="1066"/>
    </row>
    <row r="28" spans="1:7" ht="12.75">
      <c r="A28" s="1066" t="s">
        <v>2990</v>
      </c>
      <c r="B28" s="1066" t="s">
        <v>2076</v>
      </c>
      <c r="C28" s="1066" t="s">
        <v>1289</v>
      </c>
      <c r="D28" s="1066" t="s">
        <v>2782</v>
      </c>
      <c r="E28" s="1066"/>
      <c r="F28" s="1066"/>
      <c r="G28" s="1066"/>
    </row>
    <row r="29" spans="1:7" ht="12.75">
      <c r="A29" s="1066" t="s">
        <v>2077</v>
      </c>
      <c r="B29" s="1066" t="s">
        <v>2078</v>
      </c>
      <c r="C29" s="1066" t="s">
        <v>1289</v>
      </c>
      <c r="D29" s="1066" t="s">
        <v>2736</v>
      </c>
      <c r="E29" s="1066"/>
      <c r="F29" s="1066"/>
      <c r="G29" s="1066"/>
    </row>
    <row r="30" spans="1:7" ht="12.75">
      <c r="A30" s="1066" t="s">
        <v>2079</v>
      </c>
      <c r="B30" s="1066" t="s">
        <v>2080</v>
      </c>
      <c r="C30" s="1066" t="s">
        <v>1290</v>
      </c>
      <c r="D30" s="1066" t="s">
        <v>2736</v>
      </c>
      <c r="E30" s="1066"/>
      <c r="F30" s="1066"/>
      <c r="G30" s="1066"/>
    </row>
    <row r="31" spans="1:7" ht="12.75">
      <c r="A31" s="1066" t="s">
        <v>2081</v>
      </c>
      <c r="B31" s="1066" t="s">
        <v>2775</v>
      </c>
      <c r="C31" s="1066" t="s">
        <v>1291</v>
      </c>
      <c r="D31" s="1066" t="s">
        <v>2736</v>
      </c>
      <c r="E31" s="1066"/>
      <c r="F31" s="1066"/>
      <c r="G31" s="1066"/>
    </row>
    <row r="32" spans="1:7" ht="12.75">
      <c r="A32" s="1066" t="s">
        <v>2776</v>
      </c>
      <c r="B32" s="1066" t="s">
        <v>1887</v>
      </c>
      <c r="C32" s="1066" t="s">
        <v>1291</v>
      </c>
      <c r="D32" s="1066" t="s">
        <v>2736</v>
      </c>
      <c r="E32" s="1066"/>
      <c r="F32" s="1066"/>
      <c r="G32" s="1066"/>
    </row>
    <row r="33" spans="1:5" ht="12.75">
      <c r="A33" s="1066" t="s">
        <v>1796</v>
      </c>
      <c r="B33" s="1066" t="s">
        <v>169</v>
      </c>
      <c r="C33" s="1066" t="s">
        <v>1291</v>
      </c>
      <c r="D33" s="1066"/>
    </row>
    <row r="34" spans="1:5" ht="12.75">
      <c r="A34" s="1066" t="s">
        <v>1796</v>
      </c>
      <c r="B34" s="1066" t="s">
        <v>2911</v>
      </c>
      <c r="C34" s="1066" t="s">
        <v>1289</v>
      </c>
      <c r="D34" s="1066" t="s">
        <v>2736</v>
      </c>
    </row>
    <row r="35" spans="1:5" ht="12.75">
      <c r="A35" s="1066" t="s">
        <v>1796</v>
      </c>
      <c r="B35" s="1066" t="s">
        <v>2924</v>
      </c>
    </row>
    <row r="36" spans="1:5" ht="12.75">
      <c r="A36" s="1200" t="s">
        <v>831</v>
      </c>
      <c r="B36" s="1066" t="s">
        <v>3405</v>
      </c>
      <c r="D36" t="s">
        <v>2736</v>
      </c>
    </row>
    <row r="37" spans="1:5" ht="12.75">
      <c r="A37" s="1200" t="s">
        <v>170</v>
      </c>
      <c r="B37" s="1066" t="s">
        <v>3406</v>
      </c>
      <c r="D37" s="1066" t="s">
        <v>2736</v>
      </c>
    </row>
    <row r="38" spans="1:5" ht="12.75">
      <c r="A38" s="1200" t="s">
        <v>2919</v>
      </c>
      <c r="B38" s="1066" t="s">
        <v>3407</v>
      </c>
      <c r="D38" s="1066" t="s">
        <v>2736</v>
      </c>
    </row>
    <row r="39" spans="1:5" ht="12.75">
      <c r="A39" s="1200" t="s">
        <v>3408</v>
      </c>
      <c r="B39" s="1066" t="s">
        <v>3409</v>
      </c>
    </row>
    <row r="40" spans="1:5" ht="12.75">
      <c r="A40" s="1200" t="s">
        <v>3410</v>
      </c>
      <c r="B40" s="1066" t="s">
        <v>864</v>
      </c>
      <c r="D40" t="s">
        <v>2782</v>
      </c>
      <c r="E40" t="s">
        <v>2737</v>
      </c>
    </row>
    <row r="41" spans="1:5" ht="12.75">
      <c r="A41" s="1200" t="s">
        <v>865</v>
      </c>
      <c r="B41" s="1066" t="s">
        <v>1932</v>
      </c>
      <c r="D41" t="s">
        <v>2736</v>
      </c>
    </row>
    <row r="42" spans="1:5" ht="12.75">
      <c r="A42" s="1200" t="s">
        <v>1933</v>
      </c>
      <c r="B42" s="1066" t="s">
        <v>1931</v>
      </c>
      <c r="D42" t="s">
        <v>2736</v>
      </c>
    </row>
    <row r="43" spans="1:5" ht="12.75">
      <c r="A43" s="1200" t="s">
        <v>1235</v>
      </c>
      <c r="B43" s="1066" t="s">
        <v>1236</v>
      </c>
      <c r="D43" t="s">
        <v>2736</v>
      </c>
    </row>
    <row r="44" spans="1:5" ht="12.75">
      <c r="A44" s="1200" t="s">
        <v>1237</v>
      </c>
      <c r="B44" s="1066" t="s">
        <v>1238</v>
      </c>
      <c r="D44" t="s">
        <v>2736</v>
      </c>
    </row>
    <row r="45" spans="1:5" ht="12.75">
      <c r="A45" s="1200" t="s">
        <v>1239</v>
      </c>
      <c r="B45" s="1066" t="s">
        <v>1240</v>
      </c>
      <c r="D45" t="s">
        <v>2782</v>
      </c>
      <c r="E45" t="s">
        <v>2738</v>
      </c>
    </row>
    <row r="46" spans="1:5" ht="12.75">
      <c r="A46" s="1200" t="s">
        <v>1241</v>
      </c>
      <c r="B46" s="1066" t="s">
        <v>1242</v>
      </c>
      <c r="D46" t="s">
        <v>2782</v>
      </c>
      <c r="E46" t="s">
        <v>2993</v>
      </c>
    </row>
    <row r="47" spans="1:5" ht="12.75">
      <c r="A47" s="1200" t="s">
        <v>1243</v>
      </c>
      <c r="B47" s="1066" t="s">
        <v>1244</v>
      </c>
      <c r="D47" t="s">
        <v>2736</v>
      </c>
    </row>
    <row r="48" spans="1:5" ht="12.75">
      <c r="A48" s="1200" t="s">
        <v>1245</v>
      </c>
      <c r="B48" s="1066" t="s">
        <v>1246</v>
      </c>
      <c r="D48" t="s">
        <v>2782</v>
      </c>
    </row>
    <row r="49" spans="1:5" ht="12.75">
      <c r="A49" s="1201" t="s">
        <v>1247</v>
      </c>
      <c r="B49" s="1202" t="s">
        <v>1248</v>
      </c>
      <c r="C49" s="33" t="s">
        <v>3414</v>
      </c>
      <c r="D49" t="s">
        <v>2782</v>
      </c>
      <c r="E49" t="s">
        <v>3216</v>
      </c>
    </row>
    <row r="50" spans="1:5" ht="12.75">
      <c r="A50" s="1200" t="s">
        <v>1249</v>
      </c>
      <c r="B50" s="1066" t="s">
        <v>1250</v>
      </c>
      <c r="C50" s="1066" t="s">
        <v>1289</v>
      </c>
      <c r="D50" t="s">
        <v>2736</v>
      </c>
    </row>
    <row r="51" spans="1:5" ht="12.75">
      <c r="A51" s="1200" t="s">
        <v>1251</v>
      </c>
      <c r="B51" s="1066" t="s">
        <v>993</v>
      </c>
      <c r="C51" s="1066" t="s">
        <v>1289</v>
      </c>
      <c r="D51" t="s">
        <v>2736</v>
      </c>
    </row>
    <row r="52" spans="1:5" ht="12.75">
      <c r="A52" s="1200" t="s">
        <v>994</v>
      </c>
      <c r="B52" s="1066" t="s">
        <v>995</v>
      </c>
      <c r="C52" s="1066" t="s">
        <v>1289</v>
      </c>
      <c r="D52" t="s">
        <v>2736</v>
      </c>
    </row>
    <row r="53" spans="1:5" ht="12.75">
      <c r="A53" s="1203" t="s">
        <v>996</v>
      </c>
      <c r="B53" s="1204" t="s">
        <v>997</v>
      </c>
      <c r="C53" s="358" t="s">
        <v>3414</v>
      </c>
      <c r="D53" s="1066" t="s">
        <v>2736</v>
      </c>
    </row>
    <row r="54" spans="1:5" ht="12.75">
      <c r="A54" s="1200" t="s">
        <v>998</v>
      </c>
      <c r="B54" s="1066" t="s">
        <v>3403</v>
      </c>
      <c r="C54" t="s">
        <v>1291</v>
      </c>
      <c r="D54" t="s">
        <v>2736</v>
      </c>
      <c r="E54" t="s">
        <v>3761</v>
      </c>
    </row>
    <row r="55" spans="1:5" ht="12.75">
      <c r="A55" s="1200" t="s">
        <v>3404</v>
      </c>
      <c r="B55" s="1189" t="s">
        <v>1013</v>
      </c>
      <c r="C55" t="s">
        <v>1291</v>
      </c>
      <c r="D55" t="s">
        <v>2736</v>
      </c>
    </row>
    <row r="56" spans="1:5" ht="12.75">
      <c r="A56" s="1200" t="s">
        <v>1014</v>
      </c>
      <c r="B56" s="1066" t="s">
        <v>1015</v>
      </c>
      <c r="C56" t="s">
        <v>1016</v>
      </c>
      <c r="D56" t="s">
        <v>2782</v>
      </c>
      <c r="E56" t="s">
        <v>3</v>
      </c>
    </row>
    <row r="57" spans="1:5" ht="12.75">
      <c r="A57" s="1201" t="s">
        <v>1017</v>
      </c>
      <c r="B57" s="1202" t="s">
        <v>1018</v>
      </c>
      <c r="C57" s="33" t="s">
        <v>1291</v>
      </c>
      <c r="D57" t="s">
        <v>2736</v>
      </c>
    </row>
    <row r="58" spans="1:5" ht="12.75">
      <c r="A58" s="1201" t="s">
        <v>1019</v>
      </c>
      <c r="B58" s="1202" t="s">
        <v>1020</v>
      </c>
      <c r="C58" s="33" t="s">
        <v>1291</v>
      </c>
      <c r="D58" t="s">
        <v>2736</v>
      </c>
    </row>
    <row r="59" spans="1:5" ht="12.75">
      <c r="A59" s="1201" t="s">
        <v>1021</v>
      </c>
      <c r="B59" s="1202" t="s">
        <v>1022</v>
      </c>
      <c r="C59" s="33" t="s">
        <v>3414</v>
      </c>
      <c r="D59" t="s">
        <v>2736</v>
      </c>
    </row>
    <row r="60" spans="1:5" ht="12.75">
      <c r="A60" s="1201" t="s">
        <v>1023</v>
      </c>
      <c r="B60" s="1202" t="s">
        <v>1024</v>
      </c>
      <c r="C60" s="33" t="s">
        <v>3414</v>
      </c>
      <c r="D60" t="s">
        <v>2736</v>
      </c>
    </row>
    <row r="61" spans="1:5" ht="12.75">
      <c r="A61" s="1201" t="s">
        <v>1025</v>
      </c>
      <c r="B61" s="1202" t="s">
        <v>3655</v>
      </c>
      <c r="C61" s="33" t="s">
        <v>3414</v>
      </c>
      <c r="D61" t="s">
        <v>2736</v>
      </c>
    </row>
    <row r="62" spans="1:5" ht="12.75">
      <c r="A62" s="1201" t="s">
        <v>332</v>
      </c>
      <c r="B62" s="1202" t="s">
        <v>333</v>
      </c>
      <c r="C62" s="33" t="s">
        <v>1291</v>
      </c>
      <c r="D62" t="s">
        <v>2736</v>
      </c>
    </row>
    <row r="63" spans="1:5" ht="12.75">
      <c r="A63" s="1201" t="s">
        <v>334</v>
      </c>
      <c r="B63" s="1202" t="s">
        <v>1810</v>
      </c>
      <c r="C63" s="1066" t="s">
        <v>1289</v>
      </c>
      <c r="D63" t="s">
        <v>2736</v>
      </c>
    </row>
    <row r="64" spans="1:5" ht="12.75">
      <c r="A64" s="1201" t="s">
        <v>1811</v>
      </c>
      <c r="B64" s="1202" t="s">
        <v>1812</v>
      </c>
      <c r="C64" s="1066" t="s">
        <v>1289</v>
      </c>
      <c r="D64" t="s">
        <v>2736</v>
      </c>
    </row>
    <row r="65" spans="1:5" ht="12.75">
      <c r="A65" s="1201" t="s">
        <v>1813</v>
      </c>
      <c r="B65" s="1202" t="s">
        <v>1814</v>
      </c>
      <c r="C65" s="33" t="s">
        <v>1291</v>
      </c>
      <c r="D65" t="s">
        <v>2736</v>
      </c>
    </row>
    <row r="66" spans="1:5" ht="12.75">
      <c r="A66" s="1201" t="s">
        <v>1815</v>
      </c>
      <c r="B66" s="1202" t="s">
        <v>1816</v>
      </c>
      <c r="C66" s="1066" t="s">
        <v>1289</v>
      </c>
      <c r="D66" t="s">
        <v>2736</v>
      </c>
    </row>
    <row r="67" spans="1:5" ht="12.75">
      <c r="A67" s="1201" t="s">
        <v>1817</v>
      </c>
      <c r="B67" s="1202" t="s">
        <v>1818</v>
      </c>
      <c r="C67" s="470" t="s">
        <v>1291</v>
      </c>
      <c r="D67" t="s">
        <v>2736</v>
      </c>
      <c r="E67" t="s">
        <v>1697</v>
      </c>
    </row>
    <row r="68" spans="1:5" ht="12.75">
      <c r="A68" s="1201" t="s">
        <v>1819</v>
      </c>
      <c r="B68" s="1202" t="s">
        <v>3350</v>
      </c>
      <c r="C68" s="470" t="s">
        <v>1291</v>
      </c>
      <c r="D68" t="s">
        <v>2736</v>
      </c>
    </row>
    <row r="69" spans="1:5" ht="12.75">
      <c r="A69" s="1201" t="s">
        <v>3351</v>
      </c>
      <c r="B69" s="1202" t="s">
        <v>3352</v>
      </c>
      <c r="C69" s="470" t="s">
        <v>3414</v>
      </c>
      <c r="D69" t="s">
        <v>2736</v>
      </c>
    </row>
    <row r="70" spans="1:5" ht="12.75">
      <c r="A70" s="1201" t="s">
        <v>3353</v>
      </c>
      <c r="B70" s="1202" t="s">
        <v>3354</v>
      </c>
      <c r="C70" s="1066" t="s">
        <v>1289</v>
      </c>
      <c r="D70" t="s">
        <v>2736</v>
      </c>
      <c r="E70" t="s">
        <v>1511</v>
      </c>
    </row>
    <row r="71" spans="1:5" ht="12.75">
      <c r="A71" s="1201" t="s">
        <v>3355</v>
      </c>
      <c r="B71" s="1202" t="s">
        <v>529</v>
      </c>
      <c r="C71" s="470" t="s">
        <v>3414</v>
      </c>
      <c r="D71" t="s">
        <v>2736</v>
      </c>
      <c r="E71" t="s">
        <v>1513</v>
      </c>
    </row>
    <row r="72" spans="1:5" ht="12.75">
      <c r="A72" s="1201" t="s">
        <v>530</v>
      </c>
      <c r="B72" s="1202" t="s">
        <v>4</v>
      </c>
      <c r="C72" s="1066" t="s">
        <v>1289</v>
      </c>
      <c r="D72" t="s">
        <v>2736</v>
      </c>
    </row>
    <row r="73" spans="1:5" ht="12.75">
      <c r="A73" s="1201" t="s">
        <v>5</v>
      </c>
      <c r="B73" s="1202" t="s">
        <v>1895</v>
      </c>
      <c r="C73" s="470" t="s">
        <v>1291</v>
      </c>
      <c r="D73" t="s">
        <v>2736</v>
      </c>
      <c r="E73" t="s">
        <v>1698</v>
      </c>
    </row>
    <row r="74" spans="1:5" ht="12.75">
      <c r="A74" s="1201" t="s">
        <v>1896</v>
      </c>
      <c r="B74" s="1202" t="s">
        <v>25</v>
      </c>
      <c r="C74" s="1066" t="s">
        <v>1289</v>
      </c>
      <c r="D74" t="s">
        <v>2736</v>
      </c>
    </row>
    <row r="75" spans="1:5" ht="12.75">
      <c r="A75" s="1201" t="s">
        <v>26</v>
      </c>
      <c r="B75" s="1202" t="s">
        <v>27</v>
      </c>
      <c r="C75" s="470" t="s">
        <v>3414</v>
      </c>
      <c r="D75" t="s">
        <v>2736</v>
      </c>
    </row>
    <row r="76" spans="1:5" ht="12.75">
      <c r="A76" s="1201" t="s">
        <v>28</v>
      </c>
      <c r="B76" s="1202" t="s">
        <v>29</v>
      </c>
      <c r="C76" s="470" t="s">
        <v>3414</v>
      </c>
      <c r="D76" t="s">
        <v>2736</v>
      </c>
    </row>
    <row r="77" spans="1:5" ht="12.75">
      <c r="A77" s="1201" t="s">
        <v>30</v>
      </c>
      <c r="B77" s="1202" t="s">
        <v>2903</v>
      </c>
      <c r="C77" s="470" t="s">
        <v>3414</v>
      </c>
      <c r="D77" t="s">
        <v>2736</v>
      </c>
    </row>
    <row r="78" spans="1:5" ht="12.75">
      <c r="A78" s="1201" t="s">
        <v>2904</v>
      </c>
      <c r="B78" s="1202" t="s">
        <v>431</v>
      </c>
      <c r="C78" s="470" t="s">
        <v>3414</v>
      </c>
      <c r="D78" t="s">
        <v>2736</v>
      </c>
    </row>
    <row r="79" spans="1:5" ht="12.75">
      <c r="A79" s="1200" t="s">
        <v>432</v>
      </c>
      <c r="B79" s="1066" t="s">
        <v>433</v>
      </c>
      <c r="C79" s="3" t="s">
        <v>3414</v>
      </c>
      <c r="D79" t="s">
        <v>2736</v>
      </c>
    </row>
    <row r="80" spans="1:5" ht="12.75">
      <c r="A80" s="1200" t="s">
        <v>434</v>
      </c>
      <c r="B80" s="1066" t="s">
        <v>435</v>
      </c>
      <c r="C80" s="3" t="s">
        <v>436</v>
      </c>
      <c r="D80" t="s">
        <v>2736</v>
      </c>
      <c r="E80" t="s">
        <v>3765</v>
      </c>
    </row>
    <row r="81" spans="1:5" ht="12.75">
      <c r="A81" s="1200" t="s">
        <v>437</v>
      </c>
      <c r="B81" s="1066" t="s">
        <v>438</v>
      </c>
      <c r="C81" s="3" t="s">
        <v>3414</v>
      </c>
      <c r="D81" t="s">
        <v>2736</v>
      </c>
    </row>
    <row r="82" spans="1:5" ht="12.75">
      <c r="A82" s="1200" t="s">
        <v>439</v>
      </c>
      <c r="B82" s="1066" t="s">
        <v>1820</v>
      </c>
      <c r="C82" s="3" t="s">
        <v>3414</v>
      </c>
      <c r="D82" t="s">
        <v>2736</v>
      </c>
    </row>
    <row r="83" spans="1:5" ht="12.75">
      <c r="A83" s="1200" t="s">
        <v>1821</v>
      </c>
      <c r="B83" s="1066" t="s">
        <v>1822</v>
      </c>
      <c r="C83" s="3" t="s">
        <v>1291</v>
      </c>
      <c r="D83" t="s">
        <v>2736</v>
      </c>
      <c r="E83" t="s">
        <v>3766</v>
      </c>
    </row>
    <row r="84" spans="1:5" ht="12.75">
      <c r="A84" s="1200" t="s">
        <v>1066</v>
      </c>
      <c r="B84" s="1066" t="s">
        <v>352</v>
      </c>
      <c r="C84" s="1066" t="s">
        <v>1289</v>
      </c>
      <c r="D84" t="s">
        <v>2736</v>
      </c>
    </row>
    <row r="85" spans="1:5" ht="12.75">
      <c r="A85" s="1200" t="s">
        <v>353</v>
      </c>
      <c r="B85" s="1066" t="s">
        <v>354</v>
      </c>
      <c r="C85" s="3" t="s">
        <v>3414</v>
      </c>
      <c r="D85" t="s">
        <v>2736</v>
      </c>
    </row>
    <row r="86" spans="1:5" ht="12.75">
      <c r="A86" s="1200" t="s">
        <v>355</v>
      </c>
      <c r="B86" s="1066" t="s">
        <v>356</v>
      </c>
      <c r="C86" s="1066" t="s">
        <v>1289</v>
      </c>
      <c r="D86" t="s">
        <v>2736</v>
      </c>
      <c r="E86" t="s">
        <v>3767</v>
      </c>
    </row>
    <row r="87" spans="1:5" ht="12.75">
      <c r="A87" s="1200" t="s">
        <v>357</v>
      </c>
      <c r="B87" s="1066" t="s">
        <v>358</v>
      </c>
      <c r="C87" s="1066" t="s">
        <v>1289</v>
      </c>
      <c r="D87" t="s">
        <v>2736</v>
      </c>
    </row>
    <row r="88" spans="1:5" ht="12.75">
      <c r="A88" s="1200" t="s">
        <v>359</v>
      </c>
      <c r="B88" s="1066" t="s">
        <v>1792</v>
      </c>
      <c r="C88" s="1066" t="s">
        <v>1289</v>
      </c>
      <c r="D88" t="s">
        <v>2736</v>
      </c>
    </row>
    <row r="89" spans="1:5" ht="12.75">
      <c r="A89" s="1200" t="s">
        <v>1793</v>
      </c>
      <c r="B89" s="1066" t="s">
        <v>1794</v>
      </c>
      <c r="C89" s="3" t="s">
        <v>1291</v>
      </c>
      <c r="D89" t="s">
        <v>2782</v>
      </c>
      <c r="E89" t="s">
        <v>1699</v>
      </c>
    </row>
    <row r="90" spans="1:5" ht="12.75">
      <c r="A90" s="1203" t="s">
        <v>1795</v>
      </c>
      <c r="B90" s="1204" t="s">
        <v>3703</v>
      </c>
      <c r="C90" s="1066" t="s">
        <v>1289</v>
      </c>
      <c r="D90" t="s">
        <v>2736</v>
      </c>
      <c r="E90" t="s">
        <v>1511</v>
      </c>
    </row>
    <row r="91" spans="1:5" ht="12.75">
      <c r="A91" s="1200" t="s">
        <v>3704</v>
      </c>
      <c r="B91" s="1066" t="s">
        <v>3705</v>
      </c>
      <c r="C91" s="1066" t="s">
        <v>1289</v>
      </c>
      <c r="D91" t="s">
        <v>2736</v>
      </c>
    </row>
    <row r="92" spans="1:5" ht="12.75">
      <c r="A92" s="1200" t="s">
        <v>3706</v>
      </c>
      <c r="B92" s="1066" t="s">
        <v>3759</v>
      </c>
      <c r="C92" s="1066" t="s">
        <v>1289</v>
      </c>
      <c r="D92" t="s">
        <v>2736</v>
      </c>
    </row>
    <row r="93" spans="1:5" ht="12.75">
      <c r="A93" s="1200" t="s">
        <v>3760</v>
      </c>
      <c r="B93" s="1066" t="s">
        <v>3141</v>
      </c>
      <c r="C93" s="3" t="s">
        <v>1291</v>
      </c>
      <c r="D93" t="s">
        <v>2736</v>
      </c>
    </row>
    <row r="94" spans="1:5" ht="12.75">
      <c r="A94" s="1200" t="s">
        <v>3142</v>
      </c>
      <c r="B94" s="1066" t="s">
        <v>1130</v>
      </c>
      <c r="C94" s="3" t="s">
        <v>1291</v>
      </c>
      <c r="D94" t="s">
        <v>2782</v>
      </c>
    </row>
    <row r="95" spans="1:5" ht="12.75">
      <c r="A95" s="1200" t="s">
        <v>1131</v>
      </c>
      <c r="B95" s="1066" t="s">
        <v>1510</v>
      </c>
      <c r="C95" s="1066" t="s">
        <v>1289</v>
      </c>
      <c r="D95" t="s">
        <v>2736</v>
      </c>
    </row>
    <row r="96" spans="1:5" ht="12.75">
      <c r="A96" s="1324" t="s">
        <v>796</v>
      </c>
      <c r="B96" s="1066" t="s">
        <v>3089</v>
      </c>
      <c r="C96" s="1066" t="s">
        <v>3414</v>
      </c>
    </row>
    <row r="97" spans="1:4" ht="12.75">
      <c r="A97" s="1324" t="s">
        <v>3090</v>
      </c>
      <c r="B97" s="1066" t="s">
        <v>3091</v>
      </c>
      <c r="C97" s="1066" t="s">
        <v>1289</v>
      </c>
      <c r="D97" t="s">
        <v>2736</v>
      </c>
    </row>
    <row r="98" spans="1:4" ht="12.75">
      <c r="A98" s="1324" t="s">
        <v>3092</v>
      </c>
      <c r="B98" s="1066" t="s">
        <v>3682</v>
      </c>
      <c r="C98" s="1066" t="s">
        <v>1291</v>
      </c>
    </row>
    <row r="99" spans="1:4" ht="12.75">
      <c r="A99" s="1324" t="s">
        <v>1934</v>
      </c>
      <c r="B99" s="1066" t="s">
        <v>78</v>
      </c>
      <c r="C99" s="1066" t="s">
        <v>3414</v>
      </c>
    </row>
    <row r="100" spans="1:4" ht="12.75">
      <c r="A100" s="1324" t="s">
        <v>81</v>
      </c>
      <c r="B100" s="1066" t="s">
        <v>80</v>
      </c>
      <c r="C100" s="1066" t="s">
        <v>3414</v>
      </c>
      <c r="D100" t="s">
        <v>2736</v>
      </c>
    </row>
    <row r="101" spans="1:4" ht="12.75">
      <c r="A101" s="1324" t="s">
        <v>3562</v>
      </c>
      <c r="B101" s="1066" t="s">
        <v>3563</v>
      </c>
      <c r="C101" s="1066" t="s">
        <v>1289</v>
      </c>
      <c r="D101" t="s">
        <v>2736</v>
      </c>
    </row>
    <row r="102" spans="1:4" ht="12.75">
      <c r="A102" s="1324" t="s">
        <v>3564</v>
      </c>
      <c r="B102" s="1066" t="s">
        <v>1549</v>
      </c>
      <c r="C102" s="1066" t="s">
        <v>3414</v>
      </c>
      <c r="D102" t="s">
        <v>2736</v>
      </c>
    </row>
    <row r="103" spans="1:4" ht="12.75">
      <c r="A103" s="1324" t="s">
        <v>1078</v>
      </c>
      <c r="B103" s="1066" t="s">
        <v>2619</v>
      </c>
      <c r="C103" s="1066" t="s">
        <v>3414</v>
      </c>
      <c r="D103" t="s">
        <v>2736</v>
      </c>
    </row>
    <row r="104" spans="1:4" ht="12.75">
      <c r="A104" s="1203" t="s">
        <v>2759</v>
      </c>
      <c r="B104" s="1204" t="s">
        <v>491</v>
      </c>
      <c r="C104" s="1066" t="s">
        <v>1291</v>
      </c>
      <c r="D104" t="s">
        <v>2736</v>
      </c>
    </row>
    <row r="105" spans="1:4" ht="12.75">
      <c r="A105" s="1200" t="s">
        <v>2759</v>
      </c>
      <c r="B105" s="1066" t="s">
        <v>492</v>
      </c>
      <c r="C105" s="1066" t="s">
        <v>1291</v>
      </c>
      <c r="D105" t="s">
        <v>2064</v>
      </c>
    </row>
    <row r="106" spans="1:4" ht="12.75">
      <c r="A106" s="1200" t="s">
        <v>2760</v>
      </c>
      <c r="B106" s="1066" t="s">
        <v>2752</v>
      </c>
      <c r="C106" s="1066" t="s">
        <v>1289</v>
      </c>
      <c r="D106" t="s">
        <v>2064</v>
      </c>
    </row>
    <row r="107" spans="1:4" ht="12.75">
      <c r="A107" s="1200" t="s">
        <v>2761</v>
      </c>
      <c r="B107" s="1066" t="s">
        <v>2753</v>
      </c>
      <c r="C107" s="1066" t="s">
        <v>3414</v>
      </c>
      <c r="D107" t="s">
        <v>2736</v>
      </c>
    </row>
    <row r="108" spans="1:4" ht="12.75">
      <c r="A108" s="1200" t="s">
        <v>2762</v>
      </c>
      <c r="B108" s="1066" t="s">
        <v>2754</v>
      </c>
      <c r="C108" s="1066" t="s">
        <v>1291</v>
      </c>
      <c r="D108" t="s">
        <v>2736</v>
      </c>
    </row>
    <row r="109" spans="1:4" ht="12.75">
      <c r="A109" s="1200" t="s">
        <v>1685</v>
      </c>
      <c r="B109" s="1066" t="s">
        <v>2755</v>
      </c>
      <c r="C109" s="1066" t="s">
        <v>1289</v>
      </c>
    </row>
    <row r="110" spans="1:4" ht="12.75">
      <c r="A110" s="1200" t="s">
        <v>1686</v>
      </c>
      <c r="B110" s="1066" t="s">
        <v>2756</v>
      </c>
      <c r="C110" s="1066" t="s">
        <v>3414</v>
      </c>
      <c r="D110" t="s">
        <v>2736</v>
      </c>
    </row>
    <row r="111" spans="1:4" ht="12.75">
      <c r="A111" s="1200" t="s">
        <v>1687</v>
      </c>
      <c r="B111" s="1066" t="s">
        <v>2757</v>
      </c>
      <c r="C111" s="1066" t="s">
        <v>3414</v>
      </c>
      <c r="D111" t="s">
        <v>2736</v>
      </c>
    </row>
    <row r="112" spans="1:4" ht="12.75">
      <c r="A112" s="1200" t="s">
        <v>1688</v>
      </c>
      <c r="B112" s="1066" t="s">
        <v>2758</v>
      </c>
      <c r="C112" s="1066" t="s">
        <v>1291</v>
      </c>
      <c r="D112" t="s">
        <v>2736</v>
      </c>
    </row>
    <row r="113" spans="1:4" ht="12.75">
      <c r="A113" s="1200" t="s">
        <v>1689</v>
      </c>
      <c r="B113" s="1066" t="s">
        <v>2716</v>
      </c>
      <c r="C113" s="1066" t="s">
        <v>1289</v>
      </c>
      <c r="D113" t="s">
        <v>2736</v>
      </c>
    </row>
  </sheetData>
  <autoFilter ref="A1:D103"/>
  <phoneticPr fontId="0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tIndex"/>
  <dimension ref="A1:J131"/>
  <sheetViews>
    <sheetView topLeftCell="A74" zoomScale="115" workbookViewId="0">
      <selection activeCell="F125" sqref="F125"/>
    </sheetView>
  </sheetViews>
  <sheetFormatPr defaultRowHeight="11.25"/>
  <cols>
    <col min="4" max="4" width="33.33203125" customWidth="1"/>
    <col min="5" max="5" width="14.5" customWidth="1"/>
    <col min="6" max="10" width="15.1640625" customWidth="1"/>
  </cols>
  <sheetData>
    <row r="1" spans="1:9">
      <c r="A1" t="s">
        <v>168</v>
      </c>
    </row>
    <row r="3" spans="1:9" ht="12" thickBot="1">
      <c r="B3" s="2"/>
      <c r="C3" s="2"/>
      <c r="E3" s="1520" t="s">
        <v>3952</v>
      </c>
      <c r="F3" s="1520" t="s">
        <v>3953</v>
      </c>
      <c r="G3" s="1520" t="s">
        <v>3954</v>
      </c>
      <c r="H3" s="1520" t="s">
        <v>3961</v>
      </c>
      <c r="I3" s="1520" t="s">
        <v>3962</v>
      </c>
    </row>
    <row r="4" spans="1:9">
      <c r="A4" s="2625" t="s">
        <v>3955</v>
      </c>
      <c r="B4" s="1521">
        <v>190</v>
      </c>
      <c r="C4" s="1522" t="s">
        <v>2920</v>
      </c>
      <c r="D4" s="1522"/>
      <c r="E4" s="1221">
        <v>111</v>
      </c>
      <c r="F4" s="1221">
        <v>98</v>
      </c>
      <c r="G4" s="1221">
        <v>109</v>
      </c>
      <c r="H4" s="1221">
        <v>99</v>
      </c>
      <c r="I4" s="1221">
        <v>111</v>
      </c>
    </row>
    <row r="5" spans="1:9">
      <c r="A5" s="2626"/>
      <c r="B5" s="1524"/>
      <c r="C5" s="376" t="s">
        <v>848</v>
      </c>
      <c r="D5" s="1526" t="str">
        <f>VLOOKUP(C5,adj!$B$210:$C$872,2,0)</f>
        <v>Flavored Sparkling Water</v>
      </c>
      <c r="E5" s="1527" t="str">
        <f>IF(ISERROR(VLOOKUP($C5,cbal!E$280:E$332,1,0))=TRUE,"",VLOOKUP($C5,cbal!E$280:E$332,1,0))</f>
        <v/>
      </c>
      <c r="F5" s="1527" t="str">
        <f>IF(ISERROR(VLOOKUP($C5,cbal!F$280:F$332,1,0))=TRUE,"",VLOOKUP($C5,cbal!F$280:F$332,1,0))</f>
        <v/>
      </c>
      <c r="G5" s="1527" t="str">
        <f>IF(ISERROR(VLOOKUP($C5,cbal!G$280:G$332,1,0))=TRUE,"",VLOOKUP($C5,cbal!G$280:G$332,1,0))</f>
        <v/>
      </c>
      <c r="H5" s="1527" t="str">
        <f>IF(ISERROR(VLOOKUP($C5,cbal!H$280:H$332,1,0))=TRUE,"",VLOOKUP($C5,cbal!H$280:H$332,1,0))</f>
        <v/>
      </c>
      <c r="I5" s="1527" t="str">
        <f>IF(ISERROR(VLOOKUP($C5,cbal!I$280:I$332,1,0))=TRUE,"",VLOOKUP($C5,cbal!I$280:I$332,1,0))</f>
        <v/>
      </c>
    </row>
    <row r="6" spans="1:9">
      <c r="A6" s="2626"/>
      <c r="B6" s="1524"/>
      <c r="C6" s="376" t="s">
        <v>655</v>
      </c>
      <c r="D6" s="1526" t="str">
        <f>VLOOKUP(C6,adj!$B$210:$C$872,2,0)</f>
        <v>Organically Grown Green Tea</v>
      </c>
      <c r="E6" s="1527" t="str">
        <f>IF(ISERROR(VLOOKUP($C6,cbal!E$280:E$332,1,0))=TRUE,"",VLOOKUP($C6,cbal!E$280:E$332,1,0))</f>
        <v/>
      </c>
      <c r="F6" s="1527" t="str">
        <f>IF(ISERROR(VLOOKUP($C6,cbal!F$280:F$332,1,0))=TRUE,"",VLOOKUP($C6,cbal!F$280:F$332,1,0))</f>
        <v/>
      </c>
      <c r="G6" s="1527" t="str">
        <f>IF(ISERROR(VLOOKUP($C6,cbal!G$280:G$332,1,0))=TRUE,"",VLOOKUP($C6,cbal!G$280:G$332,1,0))</f>
        <v/>
      </c>
      <c r="H6" s="1527" t="str">
        <f>IF(ISERROR(VLOOKUP($C6,cbal!H$280:H$332,1,0))=TRUE,"",VLOOKUP($C6,cbal!H$280:H$332,1,0))</f>
        <v/>
      </c>
      <c r="I6" s="1527" t="str">
        <f>IF(ISERROR(VLOOKUP($C6,cbal!I$280:I$332,1,0))=TRUE,"",VLOOKUP($C6,cbal!I$280:I$332,1,0))</f>
        <v/>
      </c>
    </row>
    <row r="7" spans="1:9">
      <c r="A7" s="2626"/>
      <c r="B7" s="1524"/>
      <c r="C7" s="376" t="s">
        <v>1153</v>
      </c>
      <c r="D7" s="1526" t="str">
        <f>VLOOKUP(C7,adj!$B$210:$C$872,2,0)</f>
        <v>Whole Grain Cookies</v>
      </c>
      <c r="E7" s="1527" t="str">
        <f>IF(ISERROR(VLOOKUP($C7,cbal!E$280:E$332,1,0))=TRUE,"",VLOOKUP($C7,cbal!E$280:E$332,1,0))</f>
        <v/>
      </c>
      <c r="F7" s="1527" t="str">
        <f>IF(ISERROR(VLOOKUP($C7,cbal!F$280:F$332,1,0))=TRUE,"",VLOOKUP($C7,cbal!F$280:F$332,1,0))</f>
        <v/>
      </c>
      <c r="G7" s="1527" t="str">
        <f>IF(ISERROR(VLOOKUP($C7,cbal!G$280:G$332,1,0))=TRUE,"",VLOOKUP($C7,cbal!G$280:G$332,1,0))</f>
        <v/>
      </c>
      <c r="H7" s="1527" t="str">
        <f>IF(ISERROR(VLOOKUP($C7,cbal!H$280:H$332,1,0))=TRUE,"",VLOOKUP($C7,cbal!H$280:H$332,1,0))</f>
        <v/>
      </c>
      <c r="I7" s="1527" t="str">
        <f>IF(ISERROR(VLOOKUP($C7,cbal!I$280:I$332,1,0))=TRUE,"",VLOOKUP($C7,cbal!I$280:I$332,1,0))</f>
        <v/>
      </c>
    </row>
    <row r="8" spans="1:9">
      <c r="A8" s="2626"/>
      <c r="B8" s="1524"/>
      <c r="C8" s="214" t="s">
        <v>3616</v>
      </c>
      <c r="D8" s="1526" t="e">
        <f>VLOOKUP(C8,adj!$B$210:$C$872,2,0)</f>
        <v>#N/A</v>
      </c>
      <c r="E8" s="1527" t="str">
        <f>IF(ISERROR(VLOOKUP($C8,cbal!E$280:E$332,1,0))=TRUE,"",VLOOKUP($C8,cbal!E$280:E$332,1,0))</f>
        <v/>
      </c>
      <c r="F8" s="1527" t="str">
        <f>IF(ISERROR(VLOOKUP($C8,cbal!F$280:F$332,1,0))=TRUE,"",VLOOKUP($C8,cbal!F$280:F$332,1,0))</f>
        <v/>
      </c>
      <c r="G8" s="1527" t="str">
        <f>IF(ISERROR(VLOOKUP($C8,cbal!G$280:G$332,1,0))=TRUE,"",VLOOKUP($C8,cbal!G$280:G$332,1,0))</f>
        <v/>
      </c>
      <c r="H8" s="1527" t="str">
        <f>IF(ISERROR(VLOOKUP($C8,cbal!H$280:H$332,1,0))=TRUE,"",VLOOKUP($C8,cbal!H$280:H$332,1,0))</f>
        <v/>
      </c>
      <c r="I8" s="1527" t="str">
        <f>IF(ISERROR(VLOOKUP($C8,cbal!I$280:I$332,1,0))=TRUE,"",VLOOKUP($C8,cbal!I$280:I$332,1,0))</f>
        <v/>
      </c>
    </row>
    <row r="9" spans="1:9">
      <c r="A9" s="2626"/>
      <c r="B9" s="778"/>
      <c r="C9" s="376" t="s">
        <v>3618</v>
      </c>
      <c r="D9" s="1526" t="e">
        <f>VLOOKUP(C9,adj!$B$210:$C$872,2,0)</f>
        <v>#N/A</v>
      </c>
      <c r="E9" s="1527" t="str">
        <f>IF(ISERROR(VLOOKUP($C9,cbal!E$280:E$332,1,0))=TRUE,"",VLOOKUP($C9,cbal!E$280:E$332,1,0))</f>
        <v/>
      </c>
      <c r="F9" s="1527" t="str">
        <f>IF(ISERROR(VLOOKUP($C9,cbal!F$280:F$332,1,0))=TRUE,"",VLOOKUP($C9,cbal!F$280:F$332,1,0))</f>
        <v/>
      </c>
      <c r="G9" s="1527" t="str">
        <f>IF(ISERROR(VLOOKUP($C9,cbal!G$280:G$332,1,0))=TRUE,"",VLOOKUP($C9,cbal!G$280:G$332,1,0))</f>
        <v/>
      </c>
      <c r="H9" s="1527" t="str">
        <f>IF(ISERROR(VLOOKUP($C9,cbal!H$280:H$332,1,0))=TRUE,"",VLOOKUP($C9,cbal!H$280:H$332,1,0))</f>
        <v/>
      </c>
      <c r="I9" s="1527" t="str">
        <f>IF(ISERROR(VLOOKUP($C9,cbal!I$280:I$332,1,0))=TRUE,"",VLOOKUP($C9,cbal!I$280:I$332,1,0))</f>
        <v/>
      </c>
    </row>
    <row r="10" spans="1:9">
      <c r="A10" s="2626"/>
      <c r="B10" s="778"/>
      <c r="C10" s="904" t="s">
        <v>2202</v>
      </c>
      <c r="D10" s="1526" t="e">
        <f>VLOOKUP(C10,adj!$B$210:$C$872,2,0)</f>
        <v>#N/A</v>
      </c>
      <c r="E10" s="1527" t="str">
        <f>IF(ISERROR(VLOOKUP($C10,cbal!E$280:E$332,1,0))=TRUE,"",VLOOKUP($C10,cbal!E$280:E$332,1,0))</f>
        <v/>
      </c>
      <c r="F10" s="1527" t="str">
        <f>IF(ISERROR(VLOOKUP($C10,cbal!F$280:F$332,1,0))=TRUE,"",VLOOKUP($C10,cbal!F$280:F$332,1,0))</f>
        <v/>
      </c>
      <c r="G10" s="1527" t="str">
        <f>IF(ISERROR(VLOOKUP($C10,cbal!G$280:G$332,1,0))=TRUE,"",VLOOKUP($C10,cbal!G$280:G$332,1,0))</f>
        <v/>
      </c>
      <c r="H10" s="1527" t="str">
        <f>IF(ISERROR(VLOOKUP($C10,cbal!H$280:H$332,1,0))=TRUE,"",VLOOKUP($C10,cbal!H$280:H$332,1,0))</f>
        <v/>
      </c>
      <c r="I10" s="1527" t="str">
        <f>IF(ISERROR(VLOOKUP($C10,cbal!I$280:I$332,1,0))=TRUE,"",VLOOKUP($C10,cbal!I$280:I$332,1,0))</f>
        <v/>
      </c>
    </row>
    <row r="11" spans="1:9">
      <c r="A11" s="2626"/>
      <c r="B11" s="778"/>
      <c r="C11" s="376" t="s">
        <v>1116</v>
      </c>
      <c r="D11" s="1526" t="e">
        <f>VLOOKUP(C11,adj!$B$210:$C$872,2,0)</f>
        <v>#N/A</v>
      </c>
      <c r="E11" s="1527" t="str">
        <f>IF(ISERROR(VLOOKUP($C11,cbal!E$280:E$332,1,0))=TRUE,"",VLOOKUP($C11,cbal!E$280:E$332,1,0))</f>
        <v/>
      </c>
      <c r="F11" s="1527" t="str">
        <f>IF(ISERROR(VLOOKUP($C11,cbal!F$280:F$332,1,0))=TRUE,"",VLOOKUP($C11,cbal!F$280:F$332,1,0))</f>
        <v/>
      </c>
      <c r="G11" s="1527" t="str">
        <f>IF(ISERROR(VLOOKUP($C11,cbal!G$280:G$332,1,0))=TRUE,"",VLOOKUP($C11,cbal!G$280:G$332,1,0))</f>
        <v/>
      </c>
      <c r="H11" s="1527" t="str">
        <f>IF(ISERROR(VLOOKUP($C11,cbal!H$280:H$332,1,0))=TRUE,"",VLOOKUP($C11,cbal!H$280:H$332,1,0))</f>
        <v/>
      </c>
      <c r="I11" s="1527" t="str">
        <f>IF(ISERROR(VLOOKUP($C11,cbal!I$280:I$332,1,0))=TRUE,"",VLOOKUP($C11,cbal!I$280:I$332,1,0))</f>
        <v/>
      </c>
    </row>
    <row r="12" spans="1:9">
      <c r="A12" s="2626"/>
      <c r="B12" s="778"/>
      <c r="C12" s="214" t="s">
        <v>3626</v>
      </c>
      <c r="D12" s="1526" t="e">
        <f>VLOOKUP(C12,adj!$B$210:$C$872,2,0)</f>
        <v>#N/A</v>
      </c>
      <c r="E12" s="1527" t="str">
        <f>IF(ISERROR(VLOOKUP($C12,cbal!E$280:E$332,1,0))=TRUE,"",VLOOKUP($C12,cbal!E$280:E$332,1,0))</f>
        <v/>
      </c>
      <c r="F12" s="1527" t="str">
        <f>IF(ISERROR(VLOOKUP($C12,cbal!F$280:F$332,1,0))=TRUE,"",VLOOKUP($C12,cbal!F$280:F$332,1,0))</f>
        <v/>
      </c>
      <c r="G12" s="1527" t="str">
        <f>IF(ISERROR(VLOOKUP($C12,cbal!G$280:G$332,1,0))=TRUE,"",VLOOKUP($C12,cbal!G$280:G$332,1,0))</f>
        <v/>
      </c>
      <c r="H12" s="1527" t="str">
        <f>IF(ISERROR(VLOOKUP($C12,cbal!H$280:H$332,1,0))=TRUE,"",VLOOKUP($C12,cbal!H$280:H$332,1,0))</f>
        <v/>
      </c>
      <c r="I12" s="1527" t="str">
        <f>IF(ISERROR(VLOOKUP($C12,cbal!I$280:I$332,1,0))=TRUE,"",VLOOKUP($C12,cbal!I$280:I$332,1,0))</f>
        <v/>
      </c>
    </row>
    <row r="13" spans="1:9">
      <c r="A13" s="2626"/>
      <c r="B13" s="1524">
        <v>191</v>
      </c>
      <c r="C13" s="1525" t="s">
        <v>2921</v>
      </c>
      <c r="D13" s="1525"/>
      <c r="E13" s="1528">
        <v>135.34864509637632</v>
      </c>
      <c r="F13" s="1528">
        <v>94.431178894473518</v>
      </c>
      <c r="G13" s="1528">
        <v>124.40705586220049</v>
      </c>
      <c r="H13" s="1528">
        <v>119.89527414816081</v>
      </c>
      <c r="I13" s="1528">
        <v>136.09343784384919</v>
      </c>
    </row>
    <row r="14" spans="1:9">
      <c r="A14" s="2626"/>
      <c r="B14" s="778"/>
      <c r="C14" s="376" t="s">
        <v>657</v>
      </c>
      <c r="D14" s="1526" t="str">
        <f>VLOOKUP(C14,adj!$B$210:$C$872,2,0)</f>
        <v>Bio-Degradable Packaging</v>
      </c>
      <c r="E14" s="1527" t="str">
        <f>IF(ISERROR(VLOOKUP($C14,cbal!E$280:E$332,1,0))=TRUE,"",VLOOKUP($C14,cbal!E$280:E$332,1,0))</f>
        <v/>
      </c>
      <c r="F14" s="1527" t="str">
        <f>IF(ISERROR(VLOOKUP($C14,cbal!F$280:F$332,1,0))=TRUE,"",VLOOKUP($C14,cbal!F$280:F$332,1,0))</f>
        <v/>
      </c>
      <c r="G14" s="1527" t="str">
        <f>IF(ISERROR(VLOOKUP($C14,cbal!G$280:G$332,1,0))=TRUE,"",VLOOKUP($C14,cbal!G$280:G$332,1,0))</f>
        <v/>
      </c>
      <c r="H14" s="1527" t="str">
        <f>IF(ISERROR(VLOOKUP($C14,cbal!H$280:H$332,1,0))=TRUE,"",VLOOKUP($C14,cbal!H$280:H$332,1,0))</f>
        <v/>
      </c>
      <c r="I14" s="1527" t="str">
        <f>IF(ISERROR(VLOOKUP($C14,cbal!I$280:I$332,1,0))=TRUE,"",VLOOKUP($C14,cbal!I$280:I$332,1,0))</f>
        <v/>
      </c>
    </row>
    <row r="15" spans="1:9">
      <c r="A15" s="2626"/>
      <c r="B15" s="778"/>
      <c r="C15" s="376" t="s">
        <v>3648</v>
      </c>
      <c r="D15" s="1526">
        <f>VLOOKUP(C15,adj!$B$210:$C$872,2,0)</f>
        <v>191</v>
      </c>
      <c r="E15" s="1527" t="str">
        <f>IF(ISERROR(VLOOKUP($C15,cbal!E$280:E$332,1,0))=TRUE,"",VLOOKUP($C15,cbal!E$280:E$332,1,0))</f>
        <v/>
      </c>
      <c r="F15" s="1527" t="str">
        <f>IF(ISERROR(VLOOKUP($C15,cbal!F$280:F$332,1,0))=TRUE,"",VLOOKUP($C15,cbal!F$280:F$332,1,0))</f>
        <v/>
      </c>
      <c r="G15" s="1527" t="str">
        <f>IF(ISERROR(VLOOKUP($C15,cbal!G$280:G$332,1,0))=TRUE,"",VLOOKUP($C15,cbal!G$280:G$332,1,0))</f>
        <v/>
      </c>
      <c r="H15" s="1527" t="str">
        <f>IF(ISERROR(VLOOKUP($C15,cbal!H$280:H$332,1,0))=TRUE,"",VLOOKUP($C15,cbal!H$280:H$332,1,0))</f>
        <v/>
      </c>
      <c r="I15" s="1527" t="str">
        <f>IF(ISERROR(VLOOKUP($C15,cbal!I$280:I$332,1,0))=TRUE,"",VLOOKUP($C15,cbal!I$280:I$332,1,0))</f>
        <v/>
      </c>
    </row>
    <row r="16" spans="1:9">
      <c r="A16" s="2626"/>
      <c r="B16" s="778"/>
      <c r="C16" s="376" t="s">
        <v>3647</v>
      </c>
      <c r="D16" s="1526">
        <f>VLOOKUP(C16,adj!$B$210:$C$872,2,0)</f>
        <v>191</v>
      </c>
      <c r="E16" s="1527" t="str">
        <f>IF(ISERROR(VLOOKUP($C16,cbal!E$280:E$332,1,0))=TRUE,"",VLOOKUP($C16,cbal!E$280:E$332,1,0))</f>
        <v/>
      </c>
      <c r="F16" s="1527" t="str">
        <f>IF(ISERROR(VLOOKUP($C16,cbal!F$280:F$332,1,0))=TRUE,"",VLOOKUP($C16,cbal!F$280:F$332,1,0))</f>
        <v/>
      </c>
      <c r="G16" s="1527" t="str">
        <f>IF(ISERROR(VLOOKUP($C16,cbal!G$280:G$332,1,0))=TRUE,"",VLOOKUP($C16,cbal!G$280:G$332,1,0))</f>
        <v/>
      </c>
      <c r="H16" s="1527" t="str">
        <f>IF(ISERROR(VLOOKUP($C16,cbal!H$280:H$332,1,0))=TRUE,"",VLOOKUP($C16,cbal!H$280:H$332,1,0))</f>
        <v/>
      </c>
      <c r="I16" s="1527" t="str">
        <f>IF(ISERROR(VLOOKUP($C16,cbal!I$280:I$332,1,0))=TRUE,"",VLOOKUP($C16,cbal!I$280:I$332,1,0))</f>
        <v/>
      </c>
    </row>
    <row r="17" spans="1:9">
      <c r="A17" s="2626"/>
      <c r="B17" s="778"/>
      <c r="C17" s="376" t="s">
        <v>250</v>
      </c>
      <c r="D17" s="1526" t="e">
        <f>VLOOKUP(C17,adj!$B$210:$C$872,2,0)</f>
        <v>#N/A</v>
      </c>
      <c r="E17" s="1527" t="str">
        <f>IF(ISERROR(VLOOKUP($C17,cbal!E$280:E$332,1,0))=TRUE,"",VLOOKUP($C17,cbal!E$280:E$332,1,0))</f>
        <v/>
      </c>
      <c r="F17" s="1527" t="str">
        <f>IF(ISERROR(VLOOKUP($C17,cbal!F$280:F$332,1,0))=TRUE,"",VLOOKUP($C17,cbal!F$280:F$332,1,0))</f>
        <v/>
      </c>
      <c r="G17" s="1527" t="str">
        <f>IF(ISERROR(VLOOKUP($C17,cbal!G$280:G$332,1,0))=TRUE,"",VLOOKUP($C17,cbal!G$280:G$332,1,0))</f>
        <v/>
      </c>
      <c r="H17" s="1527" t="str">
        <f>IF(ISERROR(VLOOKUP($C17,cbal!H$280:H$332,1,0))=TRUE,"",VLOOKUP($C17,cbal!H$280:H$332,1,0))</f>
        <v/>
      </c>
      <c r="I17" s="1527" t="str">
        <f>IF(ISERROR(VLOOKUP($C17,cbal!I$280:I$332,1,0))=TRUE,"",VLOOKUP($C17,cbal!I$280:I$332,1,0))</f>
        <v/>
      </c>
    </row>
    <row r="18" spans="1:9">
      <c r="A18" s="2626"/>
      <c r="B18" s="778"/>
      <c r="C18" s="376" t="s">
        <v>251</v>
      </c>
      <c r="D18" s="1526" t="e">
        <f>VLOOKUP(C18,adj!$B$210:$C$872,2,0)</f>
        <v>#N/A</v>
      </c>
      <c r="E18" s="1527" t="str">
        <f>IF(ISERROR(VLOOKUP($C18,cbal!E$280:E$332,1,0))=TRUE,"",VLOOKUP($C18,cbal!E$280:E$332,1,0))</f>
        <v/>
      </c>
      <c r="F18" s="1527" t="str">
        <f>IF(ISERROR(VLOOKUP($C18,cbal!F$280:F$332,1,0))=TRUE,"",VLOOKUP($C18,cbal!F$280:F$332,1,0))</f>
        <v/>
      </c>
      <c r="G18" s="1527" t="str">
        <f>IF(ISERROR(VLOOKUP($C18,cbal!G$280:G$332,1,0))=TRUE,"",VLOOKUP($C18,cbal!G$280:G$332,1,0))</f>
        <v/>
      </c>
      <c r="H18" s="1527" t="str">
        <f>IF(ISERROR(VLOOKUP($C18,cbal!H$280:H$332,1,0))=TRUE,"",VLOOKUP($C18,cbal!H$280:H$332,1,0))</f>
        <v/>
      </c>
      <c r="I18" s="1527" t="str">
        <f>IF(ISERROR(VLOOKUP($C18,cbal!I$280:I$332,1,0))=TRUE,"",VLOOKUP($C18,cbal!I$280:I$332,1,0))</f>
        <v/>
      </c>
    </row>
    <row r="19" spans="1:9">
      <c r="A19" s="2626"/>
      <c r="B19" s="778"/>
      <c r="C19" s="376" t="s">
        <v>252</v>
      </c>
      <c r="D19" s="1526" t="e">
        <f>VLOOKUP(C19,adj!$B$210:$C$872,2,0)</f>
        <v>#N/A</v>
      </c>
      <c r="E19" s="1527" t="str">
        <f>IF(ISERROR(VLOOKUP($C19,cbal!E$280:E$332,1,0))=TRUE,"",VLOOKUP($C19,cbal!E$280:E$332,1,0))</f>
        <v/>
      </c>
      <c r="F19" s="1527" t="str">
        <f>IF(ISERROR(VLOOKUP($C19,cbal!F$280:F$332,1,0))=TRUE,"",VLOOKUP($C19,cbal!F$280:F$332,1,0))</f>
        <v/>
      </c>
      <c r="G19" s="1527" t="str">
        <f>IF(ISERROR(VLOOKUP($C19,cbal!G$280:G$332,1,0))=TRUE,"",VLOOKUP($C19,cbal!G$280:G$332,1,0))</f>
        <v/>
      </c>
      <c r="H19" s="1527" t="str">
        <f>IF(ISERROR(VLOOKUP($C19,cbal!H$280:H$332,1,0))=TRUE,"",VLOOKUP($C19,cbal!H$280:H$332,1,0))</f>
        <v/>
      </c>
      <c r="I19" s="1527" t="str">
        <f>IF(ISERROR(VLOOKUP($C19,cbal!I$280:I$332,1,0))=TRUE,"",VLOOKUP($C19,cbal!I$280:I$332,1,0))</f>
        <v/>
      </c>
    </row>
    <row r="20" spans="1:9">
      <c r="A20" s="2626"/>
      <c r="B20" s="778"/>
      <c r="C20" s="376" t="s">
        <v>254</v>
      </c>
      <c r="D20" s="1526" t="e">
        <f>VLOOKUP(C20,adj!$B$210:$C$872,2,0)</f>
        <v>#N/A</v>
      </c>
      <c r="E20" s="1527" t="str">
        <f>IF(ISERROR(VLOOKUP($C20,cbal!E$280:E$332,1,0))=TRUE,"",VLOOKUP($C20,cbal!E$280:E$332,1,0))</f>
        <v/>
      </c>
      <c r="F20" s="1527" t="str">
        <f>IF(ISERROR(VLOOKUP($C20,cbal!F$280:F$332,1,0))=TRUE,"",VLOOKUP($C20,cbal!F$280:F$332,1,0))</f>
        <v/>
      </c>
      <c r="G20" s="1527" t="str">
        <f>IF(ISERROR(VLOOKUP($C20,cbal!G$280:G$332,1,0))=TRUE,"",VLOOKUP($C20,cbal!G$280:G$332,1,0))</f>
        <v/>
      </c>
      <c r="H20" s="1527" t="str">
        <f>IF(ISERROR(VLOOKUP($C20,cbal!H$280:H$332,1,0))=TRUE,"",VLOOKUP($C20,cbal!H$280:H$332,1,0))</f>
        <v/>
      </c>
      <c r="I20" s="1527" t="str">
        <f>IF(ISERROR(VLOOKUP($C20,cbal!I$280:I$332,1,0))=TRUE,"",VLOOKUP($C20,cbal!I$280:I$332,1,0))</f>
        <v/>
      </c>
    </row>
    <row r="21" spans="1:9">
      <c r="A21" s="2626"/>
      <c r="B21" s="778"/>
      <c r="C21" s="904" t="s">
        <v>2202</v>
      </c>
      <c r="D21" s="1526" t="e">
        <f>VLOOKUP(C21,adj!$B$210:$C$872,2,0)</f>
        <v>#N/A</v>
      </c>
      <c r="E21" s="1527" t="str">
        <f>IF(ISERROR(VLOOKUP($C21,cbal!E$280:E$332,1,0))=TRUE,"",VLOOKUP($C21,cbal!E$280:E$332,1,0))</f>
        <v/>
      </c>
      <c r="F21" s="1527" t="str">
        <f>IF(ISERROR(VLOOKUP($C21,cbal!F$280:F$332,1,0))=TRUE,"",VLOOKUP($C21,cbal!F$280:F$332,1,0))</f>
        <v/>
      </c>
      <c r="G21" s="1527" t="str">
        <f>IF(ISERROR(VLOOKUP($C21,cbal!G$280:G$332,1,0))=TRUE,"",VLOOKUP($C21,cbal!G$280:G$332,1,0))</f>
        <v/>
      </c>
      <c r="H21" s="1527" t="str">
        <f>IF(ISERROR(VLOOKUP($C21,cbal!H$280:H$332,1,0))=TRUE,"",VLOOKUP($C21,cbal!H$280:H$332,1,0))</f>
        <v/>
      </c>
      <c r="I21" s="1527" t="str">
        <f>IF(ISERROR(VLOOKUP($C21,cbal!I$280:I$332,1,0))=TRUE,"",VLOOKUP($C21,cbal!I$280:I$332,1,0))</f>
        <v/>
      </c>
    </row>
    <row r="22" spans="1:9">
      <c r="A22" s="2626"/>
      <c r="B22" s="778"/>
      <c r="C22" s="376" t="s">
        <v>1116</v>
      </c>
      <c r="D22" s="1526" t="e">
        <f>VLOOKUP(C22,adj!$B$210:$C$872,2,0)</f>
        <v>#N/A</v>
      </c>
      <c r="E22" s="1527" t="str">
        <f>IF(ISERROR(VLOOKUP($C22,cbal!E$280:E$332,1,0))=TRUE,"",VLOOKUP($C22,cbal!E$280:E$332,1,0))</f>
        <v/>
      </c>
      <c r="F22" s="1527" t="str">
        <f>IF(ISERROR(VLOOKUP($C22,cbal!F$280:F$332,1,0))=TRUE,"",VLOOKUP($C22,cbal!F$280:F$332,1,0))</f>
        <v/>
      </c>
      <c r="G22" s="1527" t="str">
        <f>IF(ISERROR(VLOOKUP($C22,cbal!G$280:G$332,1,0))=TRUE,"",VLOOKUP($C22,cbal!G$280:G$332,1,0))</f>
        <v/>
      </c>
      <c r="H22" s="1527" t="str">
        <f>IF(ISERROR(VLOOKUP($C22,cbal!H$280:H$332,1,0))=TRUE,"",VLOOKUP($C22,cbal!H$280:H$332,1,0))</f>
        <v/>
      </c>
      <c r="I22" s="1527" t="str">
        <f>IF(ISERROR(VLOOKUP($C22,cbal!I$280:I$332,1,0))=TRUE,"",VLOOKUP($C22,cbal!I$280:I$332,1,0))</f>
        <v/>
      </c>
    </row>
    <row r="23" spans="1:9">
      <c r="A23" s="2626"/>
      <c r="B23" s="778"/>
      <c r="C23" s="376" t="s">
        <v>3103</v>
      </c>
      <c r="D23" s="1526" t="e">
        <f>VLOOKUP(C23,adj!$B$210:$C$872,2,0)</f>
        <v>#N/A</v>
      </c>
      <c r="E23" s="1527" t="str">
        <f>IF(ISERROR(VLOOKUP($C23,cbal!E$280:E$332,1,0))=TRUE,"",VLOOKUP($C23,cbal!E$280:E$332,1,0))</f>
        <v/>
      </c>
      <c r="F23" s="1527" t="str">
        <f>IF(ISERROR(VLOOKUP($C23,cbal!F$280:F$332,1,0))=TRUE,"",VLOOKUP($C23,cbal!F$280:F$332,1,0))</f>
        <v/>
      </c>
      <c r="G23" s="1527" t="str">
        <f>IF(ISERROR(VLOOKUP($C23,cbal!G$280:G$332,1,0))=TRUE,"",VLOOKUP($C23,cbal!G$280:G$332,1,0))</f>
        <v/>
      </c>
      <c r="H23" s="1527" t="str">
        <f>IF(ISERROR(VLOOKUP($C23,cbal!H$280:H$332,1,0))=TRUE,"",VLOOKUP($C23,cbal!H$280:H$332,1,0))</f>
        <v/>
      </c>
      <c r="I23" s="1527" t="str">
        <f>IF(ISERROR(VLOOKUP($C23,cbal!I$280:I$332,1,0))=TRUE,"",VLOOKUP($C23,cbal!I$280:I$332,1,0))</f>
        <v/>
      </c>
    </row>
    <row r="24" spans="1:9">
      <c r="A24" s="2626"/>
      <c r="B24" s="778"/>
      <c r="C24" s="376" t="s">
        <v>3104</v>
      </c>
      <c r="D24" s="1526" t="e">
        <f>VLOOKUP(C24,adj!$B$210:$C$872,2,0)</f>
        <v>#N/A</v>
      </c>
      <c r="E24" s="1527" t="str">
        <f>IF(ISERROR(VLOOKUP($C24,cbal!E$280:E$332,1,0))=TRUE,"",VLOOKUP($C24,cbal!E$280:E$332,1,0))</f>
        <v/>
      </c>
      <c r="F24" s="1527" t="str">
        <f>IF(ISERROR(VLOOKUP($C24,cbal!F$280:F$332,1,0))=TRUE,"",VLOOKUP($C24,cbal!F$280:F$332,1,0))</f>
        <v/>
      </c>
      <c r="G24" s="1527" t="str">
        <f>IF(ISERROR(VLOOKUP($C24,cbal!G$280:G$332,1,0))=TRUE,"",VLOOKUP($C24,cbal!G$280:G$332,1,0))</f>
        <v/>
      </c>
      <c r="H24" s="1527" t="str">
        <f>IF(ISERROR(VLOOKUP($C24,cbal!H$280:H$332,1,0))=TRUE,"",VLOOKUP($C24,cbal!H$280:H$332,1,0))</f>
        <v/>
      </c>
      <c r="I24" s="1527" t="str">
        <f>IF(ISERROR(VLOOKUP($C24,cbal!I$280:I$332,1,0))=TRUE,"",VLOOKUP($C24,cbal!I$280:I$332,1,0))</f>
        <v/>
      </c>
    </row>
    <row r="25" spans="1:9">
      <c r="A25" s="2626"/>
      <c r="B25" s="778"/>
      <c r="C25" s="904" t="s">
        <v>3105</v>
      </c>
      <c r="D25" s="1526" t="e">
        <f>VLOOKUP(C25,adj!$B$210:$C$872,2,0)</f>
        <v>#N/A</v>
      </c>
      <c r="E25" s="1527" t="str">
        <f>IF(ISERROR(VLOOKUP($C25,cbal!E$280:E$332,1,0))=TRUE,"",VLOOKUP($C25,cbal!E$280:E$332,1,0))</f>
        <v/>
      </c>
      <c r="F25" s="1527" t="str">
        <f>IF(ISERROR(VLOOKUP($C25,cbal!F$280:F$332,1,0))=TRUE,"",VLOOKUP($C25,cbal!F$280:F$332,1,0))</f>
        <v/>
      </c>
      <c r="G25" s="1527" t="str">
        <f>IF(ISERROR(VLOOKUP($C25,cbal!G$280:G$332,1,0))=TRUE,"",VLOOKUP($C25,cbal!G$280:G$332,1,0))</f>
        <v/>
      </c>
      <c r="H25" s="1527" t="str">
        <f>IF(ISERROR(VLOOKUP($C25,cbal!H$280:H$332,1,0))=TRUE,"",VLOOKUP($C25,cbal!H$280:H$332,1,0))</f>
        <v/>
      </c>
      <c r="I25" s="1527" t="str">
        <f>IF(ISERROR(VLOOKUP($C25,cbal!I$280:I$332,1,0))=TRUE,"",VLOOKUP($C25,cbal!I$280:I$332,1,0))</f>
        <v/>
      </c>
    </row>
    <row r="26" spans="1:9">
      <c r="A26" s="2626"/>
      <c r="B26" s="778"/>
      <c r="C26" s="904" t="s">
        <v>3106</v>
      </c>
      <c r="D26" s="1526" t="e">
        <f>VLOOKUP(C26,adj!$B$210:$C$872,2,0)</f>
        <v>#N/A</v>
      </c>
      <c r="E26" s="1527" t="str">
        <f>IF(ISERROR(VLOOKUP($C26,cbal!E$280:E$332,1,0))=TRUE,"",VLOOKUP($C26,cbal!E$280:E$332,1,0))</f>
        <v/>
      </c>
      <c r="F26" s="1527" t="str">
        <f>IF(ISERROR(VLOOKUP($C26,cbal!F$280:F$332,1,0))=TRUE,"",VLOOKUP($C26,cbal!F$280:F$332,1,0))</f>
        <v/>
      </c>
      <c r="G26" s="1527" t="str">
        <f>IF(ISERROR(VLOOKUP($C26,cbal!G$280:G$332,1,0))=TRUE,"",VLOOKUP($C26,cbal!G$280:G$332,1,0))</f>
        <v/>
      </c>
      <c r="H26" s="1527" t="str">
        <f>IF(ISERROR(VLOOKUP($C26,cbal!H$280:H$332,1,0))=TRUE,"",VLOOKUP($C26,cbal!H$280:H$332,1,0))</f>
        <v/>
      </c>
      <c r="I26" s="1527" t="str">
        <f>IF(ISERROR(VLOOKUP($C26,cbal!I$280:I$332,1,0))=TRUE,"",VLOOKUP($C26,cbal!I$280:I$332,1,0))</f>
        <v/>
      </c>
    </row>
    <row r="27" spans="1:9">
      <c r="A27" s="2626"/>
      <c r="B27" s="778"/>
      <c r="C27" s="376" t="s">
        <v>3453</v>
      </c>
      <c r="D27" s="1526" t="e">
        <f>VLOOKUP(C27,adj!$B$210:$C$872,2,0)</f>
        <v>#N/A</v>
      </c>
      <c r="E27" s="1527" t="str">
        <f>IF(ISERROR(VLOOKUP($C27,cbal!E$280:E$332,1,0))=TRUE,"",VLOOKUP($C27,cbal!E$280:E$332,1,0))</f>
        <v/>
      </c>
      <c r="F27" s="1527" t="str">
        <f>IF(ISERROR(VLOOKUP($C27,cbal!F$280:F$332,1,0))=TRUE,"",VLOOKUP($C27,cbal!F$280:F$332,1,0))</f>
        <v/>
      </c>
      <c r="G27" s="1527" t="str">
        <f>IF(ISERROR(VLOOKUP($C27,cbal!G$280:G$332,1,0))=TRUE,"",VLOOKUP($C27,cbal!G$280:G$332,1,0))</f>
        <v/>
      </c>
      <c r="H27" s="1527" t="str">
        <f>IF(ISERROR(VLOOKUP($C27,cbal!H$280:H$332,1,0))=TRUE,"",VLOOKUP($C27,cbal!H$280:H$332,1,0))</f>
        <v/>
      </c>
      <c r="I27" s="1527" t="str">
        <f>IF(ISERROR(VLOOKUP($C27,cbal!I$280:I$332,1,0))=TRUE,"",VLOOKUP($C27,cbal!I$280:I$332,1,0))</f>
        <v/>
      </c>
    </row>
    <row r="28" spans="1:9">
      <c r="A28" s="2626"/>
      <c r="B28" s="778"/>
      <c r="C28" s="376" t="s">
        <v>3454</v>
      </c>
      <c r="D28" s="1526" t="e">
        <f>VLOOKUP(C28,adj!$B$210:$C$872,2,0)</f>
        <v>#N/A</v>
      </c>
      <c r="E28" s="1527" t="str">
        <f>IF(ISERROR(VLOOKUP($C28,cbal!E$280:E$332,1,0))=TRUE,"",VLOOKUP($C28,cbal!E$280:E$332,1,0))</f>
        <v/>
      </c>
      <c r="F28" s="1527" t="str">
        <f>IF(ISERROR(VLOOKUP($C28,cbal!F$280:F$332,1,0))=TRUE,"",VLOOKUP($C28,cbal!F$280:F$332,1,0))</f>
        <v/>
      </c>
      <c r="G28" s="1527" t="str">
        <f>IF(ISERROR(VLOOKUP($C28,cbal!G$280:G$332,1,0))=TRUE,"",VLOOKUP($C28,cbal!G$280:G$332,1,0))</f>
        <v/>
      </c>
      <c r="H28" s="1527" t="str">
        <f>IF(ISERROR(VLOOKUP($C28,cbal!H$280:H$332,1,0))=TRUE,"",VLOOKUP($C28,cbal!H$280:H$332,1,0))</f>
        <v/>
      </c>
      <c r="I28" s="1527" t="str">
        <f>IF(ISERROR(VLOOKUP($C28,cbal!I$280:I$332,1,0))=TRUE,"",VLOOKUP($C28,cbal!I$280:I$332,1,0))</f>
        <v/>
      </c>
    </row>
    <row r="29" spans="1:9">
      <c r="A29" s="2626"/>
      <c r="B29" s="1524">
        <v>192</v>
      </c>
      <c r="C29" s="1525" t="s">
        <v>2922</v>
      </c>
      <c r="D29" s="1525"/>
      <c r="E29" s="1528">
        <v>127.94904798238626</v>
      </c>
      <c r="F29" s="1528">
        <v>131.06110802000001</v>
      </c>
      <c r="G29" s="1528">
        <v>116.14072070775102</v>
      </c>
      <c r="H29" s="1528">
        <v>125.03186880200086</v>
      </c>
      <c r="I29" s="1528">
        <v>119.5529113319154</v>
      </c>
    </row>
    <row r="30" spans="1:9">
      <c r="A30" s="2626"/>
      <c r="B30" s="1525" t="s">
        <v>419</v>
      </c>
      <c r="C30" s="376" t="s">
        <v>657</v>
      </c>
      <c r="D30" s="1526" t="str">
        <f>VLOOKUP(C30,adj!$B$210:$C$872,2,0)</f>
        <v>Bio-Degradable Packaging</v>
      </c>
      <c r="E30" s="1527" t="str">
        <f>IF(ISERROR(VLOOKUP($C30,cbal!E$280:E$332,1,0))=TRUE,"",VLOOKUP($C30,cbal!E$280:E$332,1,0))</f>
        <v/>
      </c>
      <c r="F30" s="1527" t="str">
        <f>IF(ISERROR(VLOOKUP($C30,cbal!F$280:F$332,1,0))=TRUE,"",VLOOKUP($C30,cbal!F$280:F$332,1,0))</f>
        <v/>
      </c>
      <c r="G30" s="1527" t="str">
        <f>IF(ISERROR(VLOOKUP($C30,cbal!G$280:G$332,1,0))=TRUE,"",VLOOKUP($C30,cbal!G$280:G$332,1,0))</f>
        <v/>
      </c>
      <c r="H30" s="1527" t="str">
        <f>IF(ISERROR(VLOOKUP($C30,cbal!H$280:H$332,1,0))=TRUE,"",VLOOKUP($C30,cbal!H$280:H$332,1,0))</f>
        <v/>
      </c>
      <c r="I30" s="1527" t="str">
        <f>IF(ISERROR(VLOOKUP($C30,cbal!I$280:I$332,1,0))=TRUE,"",VLOOKUP($C30,cbal!I$280:I$332,1,0))</f>
        <v/>
      </c>
    </row>
    <row r="31" spans="1:9">
      <c r="A31" s="2626"/>
      <c r="B31" s="1525"/>
      <c r="C31" s="376" t="s">
        <v>3648</v>
      </c>
      <c r="D31" s="1526">
        <f>VLOOKUP(C31,adj!$B$210:$C$872,2,0)</f>
        <v>191</v>
      </c>
      <c r="E31" s="1527" t="str">
        <f>IF(ISERROR(VLOOKUP($C31,cbal!E$280:E$332,1,0))=TRUE,"",VLOOKUP($C31,cbal!E$280:E$332,1,0))</f>
        <v/>
      </c>
      <c r="F31" s="1527" t="str">
        <f>IF(ISERROR(VLOOKUP($C31,cbal!F$280:F$332,1,0))=TRUE,"",VLOOKUP($C31,cbal!F$280:F$332,1,0))</f>
        <v/>
      </c>
      <c r="G31" s="1527" t="str">
        <f>IF(ISERROR(VLOOKUP($C31,cbal!G$280:G$332,1,0))=TRUE,"",VLOOKUP($C31,cbal!G$280:G$332,1,0))</f>
        <v/>
      </c>
      <c r="H31" s="1527" t="str">
        <f>IF(ISERROR(VLOOKUP($C31,cbal!H$280:H$332,1,0))=TRUE,"",VLOOKUP($C31,cbal!H$280:H$332,1,0))</f>
        <v/>
      </c>
      <c r="I31" s="1527" t="str">
        <f>IF(ISERROR(VLOOKUP($C31,cbal!I$280:I$332,1,0))=TRUE,"",VLOOKUP($C31,cbal!I$280:I$332,1,0))</f>
        <v/>
      </c>
    </row>
    <row r="32" spans="1:9">
      <c r="A32" s="2626"/>
      <c r="B32" s="1525"/>
      <c r="C32" s="376" t="s">
        <v>3768</v>
      </c>
      <c r="D32" s="1526">
        <f>VLOOKUP(C32,adj!$B$210:$C$872,2,0)</f>
        <v>192</v>
      </c>
      <c r="E32" s="1527" t="str">
        <f>IF(ISERROR(VLOOKUP($C32,cbal!E$280:E$332,1,0))=TRUE,"",VLOOKUP($C32,cbal!E$280:E$332,1,0))</f>
        <v/>
      </c>
      <c r="F32" s="1527" t="str">
        <f>IF(ISERROR(VLOOKUP($C32,cbal!F$280:F$332,1,0))=TRUE,"",VLOOKUP($C32,cbal!F$280:F$332,1,0))</f>
        <v/>
      </c>
      <c r="G32" s="1527" t="str">
        <f>IF(ISERROR(VLOOKUP($C32,cbal!G$280:G$332,1,0))=TRUE,"",VLOOKUP($C32,cbal!G$280:G$332,1,0))</f>
        <v/>
      </c>
      <c r="H32" s="1527" t="str">
        <f>IF(ISERROR(VLOOKUP($C32,cbal!H$280:H$332,1,0))=TRUE,"",VLOOKUP($C32,cbal!H$280:H$332,1,0))</f>
        <v/>
      </c>
      <c r="I32" s="1527" t="str">
        <f>IF(ISERROR(VLOOKUP($C32,cbal!I$280:I$332,1,0))=TRUE,"",VLOOKUP($C32,cbal!I$280:I$332,1,0))</f>
        <v/>
      </c>
    </row>
    <row r="33" spans="1:9">
      <c r="A33" s="2626"/>
      <c r="B33" s="1525"/>
      <c r="C33" s="376" t="s">
        <v>250</v>
      </c>
      <c r="D33" s="1526" t="e">
        <f>VLOOKUP(C33,adj!$B$210:$C$872,2,0)</f>
        <v>#N/A</v>
      </c>
      <c r="E33" s="1527" t="str">
        <f>IF(ISERROR(VLOOKUP($C33,cbal!E$280:E$332,1,0))=TRUE,"",VLOOKUP($C33,cbal!E$280:E$332,1,0))</f>
        <v/>
      </c>
      <c r="F33" s="1527" t="str">
        <f>IF(ISERROR(VLOOKUP($C33,cbal!F$280:F$332,1,0))=TRUE,"",VLOOKUP($C33,cbal!F$280:F$332,1,0))</f>
        <v/>
      </c>
      <c r="G33" s="1527" t="str">
        <f>IF(ISERROR(VLOOKUP($C33,cbal!G$280:G$332,1,0))=TRUE,"",VLOOKUP($C33,cbal!G$280:G$332,1,0))</f>
        <v/>
      </c>
      <c r="H33" s="1527" t="str">
        <f>IF(ISERROR(VLOOKUP($C33,cbal!H$280:H$332,1,0))=TRUE,"",VLOOKUP($C33,cbal!H$280:H$332,1,0))</f>
        <v/>
      </c>
      <c r="I33" s="1527" t="str">
        <f>IF(ISERROR(VLOOKUP($C33,cbal!I$280:I$332,1,0))=TRUE,"",VLOOKUP($C33,cbal!I$280:I$332,1,0))</f>
        <v/>
      </c>
    </row>
    <row r="34" spans="1:9">
      <c r="A34" s="2626"/>
      <c r="B34" s="1525"/>
      <c r="C34" s="376" t="s">
        <v>253</v>
      </c>
      <c r="D34" s="1526" t="e">
        <f>VLOOKUP(C34,adj!$B$210:$C$872,2,0)</f>
        <v>#N/A</v>
      </c>
      <c r="E34" s="1527" t="str">
        <f>IF(ISERROR(VLOOKUP($C34,cbal!E$280:E$332,1,0))=TRUE,"",VLOOKUP($C34,cbal!E$280:E$332,1,0))</f>
        <v/>
      </c>
      <c r="F34" s="1527" t="str">
        <f>IF(ISERROR(VLOOKUP($C34,cbal!F$280:F$332,1,0))=TRUE,"",VLOOKUP($C34,cbal!F$280:F$332,1,0))</f>
        <v/>
      </c>
      <c r="G34" s="1527" t="str">
        <f>IF(ISERROR(VLOOKUP($C34,cbal!G$280:G$332,1,0))=TRUE,"",VLOOKUP($C34,cbal!G$280:G$332,1,0))</f>
        <v/>
      </c>
      <c r="H34" s="1527" t="str">
        <f>IF(ISERROR(VLOOKUP($C34,cbal!H$280:H$332,1,0))=TRUE,"",VLOOKUP($C34,cbal!H$280:H$332,1,0))</f>
        <v/>
      </c>
      <c r="I34" s="1527" t="str">
        <f>IF(ISERROR(VLOOKUP($C34,cbal!I$280:I$332,1,0))=TRUE,"",VLOOKUP($C34,cbal!I$280:I$332,1,0))</f>
        <v/>
      </c>
    </row>
    <row r="35" spans="1:9">
      <c r="A35" s="2626"/>
      <c r="B35" s="1525"/>
      <c r="C35" s="376" t="s">
        <v>254</v>
      </c>
      <c r="D35" s="1526" t="e">
        <f>VLOOKUP(C35,adj!$B$210:$C$872,2,0)</f>
        <v>#N/A</v>
      </c>
      <c r="E35" s="1527" t="str">
        <f>IF(ISERROR(VLOOKUP($C35,cbal!E$280:E$332,1,0))=TRUE,"",VLOOKUP($C35,cbal!E$280:E$332,1,0))</f>
        <v/>
      </c>
      <c r="F35" s="1527" t="str">
        <f>IF(ISERROR(VLOOKUP($C35,cbal!F$280:F$332,1,0))=TRUE,"",VLOOKUP($C35,cbal!F$280:F$332,1,0))</f>
        <v/>
      </c>
      <c r="G35" s="1527" t="str">
        <f>IF(ISERROR(VLOOKUP($C35,cbal!G$280:G$332,1,0))=TRUE,"",VLOOKUP($C35,cbal!G$280:G$332,1,0))</f>
        <v/>
      </c>
      <c r="H35" s="1527" t="str">
        <f>IF(ISERROR(VLOOKUP($C35,cbal!H$280:H$332,1,0))=TRUE,"",VLOOKUP($C35,cbal!H$280:H$332,1,0))</f>
        <v/>
      </c>
      <c r="I35" s="1527" t="str">
        <f>IF(ISERROR(VLOOKUP($C35,cbal!I$280:I$332,1,0))=TRUE,"",VLOOKUP($C35,cbal!I$280:I$332,1,0))</f>
        <v/>
      </c>
    </row>
    <row r="36" spans="1:9">
      <c r="A36" s="2626"/>
      <c r="B36" s="1525"/>
      <c r="C36" s="376" t="s">
        <v>3618</v>
      </c>
      <c r="D36" s="1526" t="e">
        <f>VLOOKUP(C36,adj!$B$210:$C$872,2,0)</f>
        <v>#N/A</v>
      </c>
      <c r="E36" s="1527" t="str">
        <f>IF(ISERROR(VLOOKUP($C36,cbal!E$280:E$332,1,0))=TRUE,"",VLOOKUP($C36,cbal!E$280:E$332,1,0))</f>
        <v/>
      </c>
      <c r="F36" s="1527" t="str">
        <f>IF(ISERROR(VLOOKUP($C36,cbal!F$280:F$332,1,0))=TRUE,"",VLOOKUP($C36,cbal!F$280:F$332,1,0))</f>
        <v/>
      </c>
      <c r="G36" s="1527" t="str">
        <f>IF(ISERROR(VLOOKUP($C36,cbal!G$280:G$332,1,0))=TRUE,"",VLOOKUP($C36,cbal!G$280:G$332,1,0))</f>
        <v/>
      </c>
      <c r="H36" s="1527" t="str">
        <f>IF(ISERROR(VLOOKUP($C36,cbal!H$280:H$332,1,0))=TRUE,"",VLOOKUP($C36,cbal!H$280:H$332,1,0))</f>
        <v/>
      </c>
      <c r="I36" s="1527" t="str">
        <f>IF(ISERROR(VLOOKUP($C36,cbal!I$280:I$332,1,0))=TRUE,"",VLOOKUP($C36,cbal!I$280:I$332,1,0))</f>
        <v/>
      </c>
    </row>
    <row r="37" spans="1:9">
      <c r="A37" s="2626"/>
      <c r="B37" s="1525"/>
      <c r="C37" s="904" t="s">
        <v>2202</v>
      </c>
      <c r="D37" s="1526" t="e">
        <f>VLOOKUP(C37,adj!$B$210:$C$872,2,0)</f>
        <v>#N/A</v>
      </c>
      <c r="E37" s="1527" t="str">
        <f>IF(ISERROR(VLOOKUP($C37,cbal!E$280:E$332,1,0))=TRUE,"",VLOOKUP($C37,cbal!E$280:E$332,1,0))</f>
        <v/>
      </c>
      <c r="F37" s="1527" t="str">
        <f>IF(ISERROR(VLOOKUP($C37,cbal!F$280:F$332,1,0))=TRUE,"",VLOOKUP($C37,cbal!F$280:F$332,1,0))</f>
        <v/>
      </c>
      <c r="G37" s="1527" t="str">
        <f>IF(ISERROR(VLOOKUP($C37,cbal!G$280:G$332,1,0))=TRUE,"",VLOOKUP($C37,cbal!G$280:G$332,1,0))</f>
        <v/>
      </c>
      <c r="H37" s="1527" t="str">
        <f>IF(ISERROR(VLOOKUP($C37,cbal!H$280:H$332,1,0))=TRUE,"",VLOOKUP($C37,cbal!H$280:H$332,1,0))</f>
        <v/>
      </c>
      <c r="I37" s="1527" t="str">
        <f>IF(ISERROR(VLOOKUP($C37,cbal!I$280:I$332,1,0))=TRUE,"",VLOOKUP($C37,cbal!I$280:I$332,1,0))</f>
        <v/>
      </c>
    </row>
    <row r="38" spans="1:9">
      <c r="A38" s="2626"/>
      <c r="B38" s="1525"/>
      <c r="C38" s="376" t="s">
        <v>3103</v>
      </c>
      <c r="D38" s="1526" t="e">
        <f>VLOOKUP(C38,adj!$B$210:$C$872,2,0)</f>
        <v>#N/A</v>
      </c>
      <c r="E38" s="1527" t="str">
        <f>IF(ISERROR(VLOOKUP($C38,cbal!E$280:E$332,1,0))=TRUE,"",VLOOKUP($C38,cbal!E$280:E$332,1,0))</f>
        <v/>
      </c>
      <c r="F38" s="1527" t="str">
        <f>IF(ISERROR(VLOOKUP($C38,cbal!F$280:F$332,1,0))=TRUE,"",VLOOKUP($C38,cbal!F$280:F$332,1,0))</f>
        <v/>
      </c>
      <c r="G38" s="1527" t="str">
        <f>IF(ISERROR(VLOOKUP($C38,cbal!G$280:G$332,1,0))=TRUE,"",VLOOKUP($C38,cbal!G$280:G$332,1,0))</f>
        <v/>
      </c>
      <c r="H38" s="1527" t="str">
        <f>IF(ISERROR(VLOOKUP($C38,cbal!H$280:H$332,1,0))=TRUE,"",VLOOKUP($C38,cbal!H$280:H$332,1,0))</f>
        <v/>
      </c>
      <c r="I38" s="1527" t="str">
        <f>IF(ISERROR(VLOOKUP($C38,cbal!I$280:I$332,1,0))=TRUE,"",VLOOKUP($C38,cbal!I$280:I$332,1,0))</f>
        <v/>
      </c>
    </row>
    <row r="39" spans="1:9">
      <c r="A39" s="2626"/>
      <c r="B39" s="1525"/>
      <c r="C39" s="376" t="s">
        <v>3104</v>
      </c>
      <c r="D39" s="1526" t="e">
        <f>VLOOKUP(C39,adj!$B$210:$C$872,2,0)</f>
        <v>#N/A</v>
      </c>
      <c r="E39" s="1527" t="str">
        <f>IF(ISERROR(VLOOKUP($C39,cbal!E$280:E$332,1,0))=TRUE,"",VLOOKUP($C39,cbal!E$280:E$332,1,0))</f>
        <v/>
      </c>
      <c r="F39" s="1527" t="str">
        <f>IF(ISERROR(VLOOKUP($C39,cbal!F$280:F$332,1,0))=TRUE,"",VLOOKUP($C39,cbal!F$280:F$332,1,0))</f>
        <v/>
      </c>
      <c r="G39" s="1527" t="str">
        <f>IF(ISERROR(VLOOKUP($C39,cbal!G$280:G$332,1,0))=TRUE,"",VLOOKUP($C39,cbal!G$280:G$332,1,0))</f>
        <v/>
      </c>
      <c r="H39" s="1527" t="str">
        <f>IF(ISERROR(VLOOKUP($C39,cbal!H$280:H$332,1,0))=TRUE,"",VLOOKUP($C39,cbal!H$280:H$332,1,0))</f>
        <v/>
      </c>
      <c r="I39" s="1527" t="str">
        <f>IF(ISERROR(VLOOKUP($C39,cbal!I$280:I$332,1,0))=TRUE,"",VLOOKUP($C39,cbal!I$280:I$332,1,0))</f>
        <v/>
      </c>
    </row>
    <row r="40" spans="1:9">
      <c r="A40" s="2626"/>
      <c r="B40" s="1525"/>
      <c r="C40" s="904" t="s">
        <v>3105</v>
      </c>
      <c r="D40" s="1526" t="e">
        <f>VLOOKUP(C40,adj!$B$210:$C$872,2,0)</f>
        <v>#N/A</v>
      </c>
      <c r="E40" s="1527" t="str">
        <f>IF(ISERROR(VLOOKUP($C40,cbal!E$280:E$332,1,0))=TRUE,"",VLOOKUP($C40,cbal!E$280:E$332,1,0))</f>
        <v/>
      </c>
      <c r="F40" s="1527" t="str">
        <f>IF(ISERROR(VLOOKUP($C40,cbal!F$280:F$332,1,0))=TRUE,"",VLOOKUP($C40,cbal!F$280:F$332,1,0))</f>
        <v/>
      </c>
      <c r="G40" s="1527" t="str">
        <f>IF(ISERROR(VLOOKUP($C40,cbal!G$280:G$332,1,0))=TRUE,"",VLOOKUP($C40,cbal!G$280:G$332,1,0))</f>
        <v/>
      </c>
      <c r="H40" s="1527" t="str">
        <f>IF(ISERROR(VLOOKUP($C40,cbal!H$280:H$332,1,0))=TRUE,"",VLOOKUP($C40,cbal!H$280:H$332,1,0))</f>
        <v/>
      </c>
      <c r="I40" s="1527" t="str">
        <f>IF(ISERROR(VLOOKUP($C40,cbal!I$280:I$332,1,0))=TRUE,"",VLOOKUP($C40,cbal!I$280:I$332,1,0))</f>
        <v/>
      </c>
    </row>
    <row r="41" spans="1:9">
      <c r="A41" s="2626"/>
      <c r="B41" s="1525"/>
      <c r="C41" s="904" t="s">
        <v>3106</v>
      </c>
      <c r="D41" s="1526" t="e">
        <f>VLOOKUP(C41,adj!$B$210:$C$872,2,0)</f>
        <v>#N/A</v>
      </c>
      <c r="E41" s="1527" t="str">
        <f>IF(ISERROR(VLOOKUP($C41,cbal!E$280:E$332,1,0))=TRUE,"",VLOOKUP($C41,cbal!E$280:E$332,1,0))</f>
        <v/>
      </c>
      <c r="F41" s="1527" t="str">
        <f>IF(ISERROR(VLOOKUP($C41,cbal!F$280:F$332,1,0))=TRUE,"",VLOOKUP($C41,cbal!F$280:F$332,1,0))</f>
        <v/>
      </c>
      <c r="G41" s="1527" t="str">
        <f>IF(ISERROR(VLOOKUP($C41,cbal!G$280:G$332,1,0))=TRUE,"",VLOOKUP($C41,cbal!G$280:G$332,1,0))</f>
        <v/>
      </c>
      <c r="H41" s="1527" t="str">
        <f>IF(ISERROR(VLOOKUP($C41,cbal!H$280:H$332,1,0))=TRUE,"",VLOOKUP($C41,cbal!H$280:H$332,1,0))</f>
        <v/>
      </c>
      <c r="I41" s="1527" t="str">
        <f>IF(ISERROR(VLOOKUP($C41,cbal!I$280:I$332,1,0))=TRUE,"",VLOOKUP($C41,cbal!I$280:I$332,1,0))</f>
        <v/>
      </c>
    </row>
    <row r="42" spans="1:9">
      <c r="A42" s="2626"/>
      <c r="B42" s="1525"/>
      <c r="C42" s="376" t="s">
        <v>3453</v>
      </c>
      <c r="D42" s="1526" t="e">
        <f>VLOOKUP(C42,adj!$B$210:$C$872,2,0)</f>
        <v>#N/A</v>
      </c>
      <c r="E42" s="1527" t="str">
        <f>IF(ISERROR(VLOOKUP($C42,cbal!E$280:E$332,1,0))=TRUE,"",VLOOKUP($C42,cbal!E$280:E$332,1,0))</f>
        <v/>
      </c>
      <c r="F42" s="1527" t="str">
        <f>IF(ISERROR(VLOOKUP($C42,cbal!F$280:F$332,1,0))=TRUE,"",VLOOKUP($C42,cbal!F$280:F$332,1,0))</f>
        <v/>
      </c>
      <c r="G42" s="1527" t="str">
        <f>IF(ISERROR(VLOOKUP($C42,cbal!G$280:G$332,1,0))=TRUE,"",VLOOKUP($C42,cbal!G$280:G$332,1,0))</f>
        <v/>
      </c>
      <c r="H42" s="1527" t="str">
        <f>IF(ISERROR(VLOOKUP($C42,cbal!H$280:H$332,1,0))=TRUE,"",VLOOKUP($C42,cbal!H$280:H$332,1,0))</f>
        <v/>
      </c>
      <c r="I42" s="1527" t="str">
        <f>IF(ISERROR(VLOOKUP($C42,cbal!I$280:I$332,1,0))=TRUE,"",VLOOKUP($C42,cbal!I$280:I$332,1,0))</f>
        <v/>
      </c>
    </row>
    <row r="43" spans="1:9" ht="12" thickBot="1">
      <c r="A43" s="2627"/>
      <c r="B43" s="1529"/>
      <c r="C43" s="1530" t="s">
        <v>3454</v>
      </c>
      <c r="D43" s="1526" t="e">
        <f>VLOOKUP(C43,adj!$B$210:$C$872,2,0)</f>
        <v>#N/A</v>
      </c>
      <c r="E43" s="1527" t="str">
        <f>IF(ISERROR(VLOOKUP($C43,cbal!E$280:E$332,1,0))=TRUE,"",VLOOKUP($C43,cbal!E$280:E$332,1,0))</f>
        <v/>
      </c>
      <c r="F43" s="1527" t="str">
        <f>IF(ISERROR(VLOOKUP($C43,cbal!F$280:F$332,1,0))=TRUE,"",VLOOKUP($C43,cbal!F$280:F$332,1,0))</f>
        <v/>
      </c>
      <c r="G43" s="1527" t="str">
        <f>IF(ISERROR(VLOOKUP($C43,cbal!G$280:G$332,1,0))=TRUE,"",VLOOKUP($C43,cbal!G$280:G$332,1,0))</f>
        <v/>
      </c>
      <c r="H43" s="1527" t="str">
        <f>IF(ISERROR(VLOOKUP($C43,cbal!H$280:H$332,1,0))=TRUE,"",VLOOKUP($C43,cbal!H$280:H$332,1,0))</f>
        <v/>
      </c>
      <c r="I43" s="1527" t="str">
        <f>IF(ISERROR(VLOOKUP($C43,cbal!I$280:I$332,1,0))=TRUE,"",VLOOKUP($C43,cbal!I$280:I$332,1,0))</f>
        <v/>
      </c>
    </row>
    <row r="44" spans="1:9">
      <c r="A44" s="2625" t="s">
        <v>3956</v>
      </c>
      <c r="B44" s="1522" t="s">
        <v>3560</v>
      </c>
      <c r="C44" s="1522"/>
      <c r="D44" s="1523"/>
      <c r="E44" s="1221">
        <v>100</v>
      </c>
      <c r="F44" s="1221">
        <v>105</v>
      </c>
      <c r="G44" s="1221">
        <v>100</v>
      </c>
      <c r="H44" s="1221">
        <v>100</v>
      </c>
      <c r="I44" s="1221">
        <v>101</v>
      </c>
    </row>
    <row r="45" spans="1:9">
      <c r="A45" s="2626"/>
      <c r="B45" s="1525"/>
      <c r="C45" s="376" t="s">
        <v>848</v>
      </c>
      <c r="D45" s="1526" t="str">
        <f>VLOOKUP(C45,adj!$B$210:$C$872,2,0)</f>
        <v>Flavored Sparkling Water</v>
      </c>
      <c r="E45" s="1527" t="str">
        <f>IF(ISERROR(VLOOKUP($C45,cbal!E$280:E$332,1,0))=TRUE,"",VLOOKUP($C45,cbal!E$280:E$332,1,0))</f>
        <v/>
      </c>
      <c r="F45" s="1527" t="str">
        <f>IF(ISERROR(VLOOKUP($C45,cbal!F$280:F$332,1,0))=TRUE,"",VLOOKUP($C45,cbal!F$280:F$332,1,0))</f>
        <v/>
      </c>
      <c r="G45" s="1527" t="str">
        <f>IF(ISERROR(VLOOKUP($C45,cbal!G$280:G$332,1,0))=TRUE,"",VLOOKUP($C45,cbal!G$280:G$332,1,0))</f>
        <v/>
      </c>
      <c r="H45" s="1527" t="str">
        <f>IF(ISERROR(VLOOKUP($C45,cbal!H$280:H$332,1,0))=TRUE,"",VLOOKUP($C45,cbal!H$280:H$332,1,0))</f>
        <v/>
      </c>
      <c r="I45" s="1527" t="str">
        <f>IF(ISERROR(VLOOKUP($C45,cbal!I$280:I$332,1,0))=TRUE,"",VLOOKUP($C45,cbal!I$280:I$332,1,0))</f>
        <v/>
      </c>
    </row>
    <row r="46" spans="1:9">
      <c r="A46" s="2626"/>
      <c r="B46" s="1525" t="s">
        <v>1153</v>
      </c>
      <c r="C46" s="376" t="s">
        <v>1153</v>
      </c>
      <c r="D46" s="1526" t="str">
        <f>VLOOKUP(C46,adj!$B$210:$C$872,2,0)</f>
        <v>Whole Grain Cookies</v>
      </c>
      <c r="E46" s="1527" t="str">
        <f>IF(ISERROR(VLOOKUP($C46,cbal!E$280:E$332,1,0))=TRUE,"",VLOOKUP($C46,cbal!E$280:E$332,1,0))</f>
        <v/>
      </c>
      <c r="F46" s="1527" t="str">
        <f>IF(ISERROR(VLOOKUP($C46,cbal!F$280:F$332,1,0))=TRUE,"",VLOOKUP($C46,cbal!F$280:F$332,1,0))</f>
        <v/>
      </c>
      <c r="G46" s="1527" t="str">
        <f>IF(ISERROR(VLOOKUP($C46,cbal!G$280:G$332,1,0))=TRUE,"",VLOOKUP($C46,cbal!G$280:G$332,1,0))</f>
        <v/>
      </c>
      <c r="H46" s="1527" t="str">
        <f>IF(ISERROR(VLOOKUP($C46,cbal!H$280:H$332,1,0))=TRUE,"",VLOOKUP($C46,cbal!H$280:H$332,1,0))</f>
        <v/>
      </c>
      <c r="I46" s="1527" t="str">
        <f>IF(ISERROR(VLOOKUP($C46,cbal!I$280:I$332,1,0))=TRUE,"",VLOOKUP($C46,cbal!I$280:I$332,1,0))</f>
        <v/>
      </c>
    </row>
    <row r="47" spans="1:9">
      <c r="A47" s="2626"/>
      <c r="B47" s="1525"/>
      <c r="C47" s="376" t="s">
        <v>2026</v>
      </c>
      <c r="D47" s="1526" t="e">
        <f>VLOOKUP(C47,adj!$B$210:$C$872,2,0)</f>
        <v>#N/A</v>
      </c>
      <c r="E47" s="1527" t="str">
        <f>IF(ISERROR(VLOOKUP($C47,cbal!E$280:E$332,1,0))=TRUE,"",VLOOKUP($C47,cbal!E$280:E$332,1,0))</f>
        <v/>
      </c>
      <c r="F47" s="1527" t="str">
        <f>IF(ISERROR(VLOOKUP($C47,cbal!F$280:F$332,1,0))=TRUE,"",VLOOKUP($C47,cbal!F$280:F$332,1,0))</f>
        <v/>
      </c>
      <c r="G47" s="1527" t="str">
        <f>IF(ISERROR(VLOOKUP($C47,cbal!G$280:G$332,1,0))=TRUE,"",VLOOKUP($C47,cbal!G$280:G$332,1,0))</f>
        <v/>
      </c>
      <c r="H47" s="1527" t="str">
        <f>IF(ISERROR(VLOOKUP($C47,cbal!H$280:H$332,1,0))=TRUE,"",VLOOKUP($C47,cbal!H$280:H$332,1,0))</f>
        <v/>
      </c>
      <c r="I47" s="1527" t="str">
        <f>IF(ISERROR(VLOOKUP($C47,cbal!I$280:I$332,1,0))=TRUE,"",VLOOKUP($C47,cbal!I$280:I$332,1,0))</f>
        <v/>
      </c>
    </row>
    <row r="48" spans="1:9">
      <c r="A48" s="2626"/>
      <c r="B48" s="1525"/>
      <c r="C48" s="376" t="s">
        <v>2027</v>
      </c>
      <c r="D48" s="1526" t="e">
        <f>VLOOKUP(C48,adj!$B$210:$C$872,2,0)</f>
        <v>#N/A</v>
      </c>
      <c r="E48" s="1527" t="str">
        <f>IF(ISERROR(VLOOKUP($C48,cbal!E$280:E$332,1,0))=TRUE,"",VLOOKUP($C48,cbal!E$280:E$332,1,0))</f>
        <v/>
      </c>
      <c r="F48" s="1527" t="str">
        <f>IF(ISERROR(VLOOKUP($C48,cbal!F$280:F$332,1,0))=TRUE,"",VLOOKUP($C48,cbal!F$280:F$332,1,0))</f>
        <v/>
      </c>
      <c r="G48" s="1527" t="str">
        <f>IF(ISERROR(VLOOKUP($C48,cbal!G$280:G$332,1,0))=TRUE,"",VLOOKUP($C48,cbal!G$280:G$332,1,0))</f>
        <v/>
      </c>
      <c r="H48" s="1527" t="str">
        <f>IF(ISERROR(VLOOKUP($C48,cbal!H$280:H$332,1,0))=TRUE,"",VLOOKUP($C48,cbal!H$280:H$332,1,0))</f>
        <v/>
      </c>
      <c r="I48" s="1527" t="str">
        <f>IF(ISERROR(VLOOKUP($C48,cbal!I$280:I$332,1,0))=TRUE,"",VLOOKUP($C48,cbal!I$280:I$332,1,0))</f>
        <v/>
      </c>
    </row>
    <row r="49" spans="1:9">
      <c r="A49" s="2626"/>
      <c r="B49" s="1525"/>
      <c r="C49" s="904" t="s">
        <v>2202</v>
      </c>
      <c r="D49" s="1526" t="e">
        <f>VLOOKUP(C49,adj!$B$210:$C$872,2,0)</f>
        <v>#N/A</v>
      </c>
      <c r="E49" s="1527" t="str">
        <f>IF(ISERROR(VLOOKUP($C49,cbal!E$280:E$332,1,0))=TRUE,"",VLOOKUP($C49,cbal!E$280:E$332,1,0))</f>
        <v/>
      </c>
      <c r="F49" s="1527" t="str">
        <f>IF(ISERROR(VLOOKUP($C49,cbal!F$280:F$332,1,0))=TRUE,"",VLOOKUP($C49,cbal!F$280:F$332,1,0))</f>
        <v/>
      </c>
      <c r="G49" s="1527" t="str">
        <f>IF(ISERROR(VLOOKUP($C49,cbal!G$280:G$332,1,0))=TRUE,"",VLOOKUP($C49,cbal!G$280:G$332,1,0))</f>
        <v/>
      </c>
      <c r="H49" s="1527" t="str">
        <f>IF(ISERROR(VLOOKUP($C49,cbal!H$280:H$332,1,0))=TRUE,"",VLOOKUP($C49,cbal!H$280:H$332,1,0))</f>
        <v/>
      </c>
      <c r="I49" s="1527" t="str">
        <f>IF(ISERROR(VLOOKUP($C49,cbal!I$280:I$332,1,0))=TRUE,"",VLOOKUP($C49,cbal!I$280:I$332,1,0))</f>
        <v/>
      </c>
    </row>
    <row r="50" spans="1:9">
      <c r="A50" s="2626"/>
      <c r="B50" s="1525" t="s">
        <v>990</v>
      </c>
      <c r="C50" s="376"/>
      <c r="D50" s="1526"/>
      <c r="E50" s="1527"/>
      <c r="F50" s="1527"/>
      <c r="G50" s="1527"/>
      <c r="H50" s="1527"/>
      <c r="I50" s="1527"/>
    </row>
    <row r="51" spans="1:9">
      <c r="A51" s="2626"/>
      <c r="B51" s="1525"/>
      <c r="C51" s="376" t="s">
        <v>2939</v>
      </c>
      <c r="D51" s="1526" t="e">
        <f>VLOOKUP(C51,adj!$B$210:$C$872,2,0)</f>
        <v>#N/A</v>
      </c>
      <c r="E51" s="1527" t="str">
        <f>IF(ISERROR(VLOOKUP($C51,cbal!E$280:E$332,1,0))=TRUE,"",VLOOKUP($C51,cbal!E$280:E$332,1,0))</f>
        <v/>
      </c>
      <c r="F51" s="1527" t="str">
        <f>IF(ISERROR(VLOOKUP($C51,cbal!F$280:F$332,1,0))=TRUE,"",VLOOKUP($C51,cbal!F$280:F$332,1,0))</f>
        <v/>
      </c>
      <c r="G51" s="1527" t="str">
        <f>IF(ISERROR(VLOOKUP($C51,cbal!G$280:G$332,1,0))=TRUE,"",VLOOKUP($C51,cbal!G$280:G$332,1,0))</f>
        <v/>
      </c>
      <c r="H51" s="1527" t="str">
        <f>IF(ISERROR(VLOOKUP($C51,cbal!H$280:H$332,1,0))=TRUE,"",VLOOKUP($C51,cbal!H$280:H$332,1,0))</f>
        <v/>
      </c>
      <c r="I51" s="1527" t="str">
        <f>IF(ISERROR(VLOOKUP($C51,cbal!I$280:I$332,1,0))=TRUE,"",VLOOKUP($C51,cbal!I$280:I$332,1,0))</f>
        <v/>
      </c>
    </row>
    <row r="52" spans="1:9">
      <c r="A52" s="2626"/>
      <c r="B52" s="1525" t="s">
        <v>991</v>
      </c>
      <c r="C52" s="376"/>
      <c r="D52" s="1526"/>
      <c r="E52" s="1527"/>
      <c r="F52" s="1527"/>
      <c r="G52" s="1527"/>
      <c r="H52" s="1527"/>
      <c r="I52" s="1527"/>
    </row>
    <row r="53" spans="1:9" ht="12" thickBot="1">
      <c r="A53" s="2627"/>
      <c r="B53" s="1529"/>
      <c r="C53" s="1530" t="s">
        <v>3617</v>
      </c>
      <c r="D53" s="1526" t="e">
        <f>VLOOKUP(C53,adj!$B$210:$C$872,2,0)</f>
        <v>#N/A</v>
      </c>
      <c r="E53" s="1527" t="str">
        <f>IF(ISERROR(VLOOKUP($C53,cbal!E$280:E$332,1,0))=TRUE,"",VLOOKUP($C53,cbal!E$280:E$332,1,0))</f>
        <v/>
      </c>
      <c r="F53" s="1527" t="str">
        <f>IF(ISERROR(VLOOKUP($C53,cbal!F$280:F$332,1,0))=TRUE,"",VLOOKUP($C53,cbal!F$280:F$332,1,0))</f>
        <v/>
      </c>
      <c r="G53" s="1527" t="str">
        <f>IF(ISERROR(VLOOKUP($C53,cbal!G$280:G$332,1,0))=TRUE,"",VLOOKUP($C53,cbal!G$280:G$332,1,0))</f>
        <v/>
      </c>
      <c r="H53" s="1527" t="str">
        <f>IF(ISERROR(VLOOKUP($C53,cbal!H$280:H$332,1,0))=TRUE,"",VLOOKUP($C53,cbal!H$280:H$332,1,0))</f>
        <v/>
      </c>
      <c r="I53" s="1527" t="str">
        <f>IF(ISERROR(VLOOKUP($C53,cbal!I$280:I$332,1,0))=TRUE,"",VLOOKUP($C53,cbal!I$280:I$332,1,0))</f>
        <v/>
      </c>
    </row>
    <row r="54" spans="1:9">
      <c r="A54" s="2625" t="s">
        <v>3957</v>
      </c>
      <c r="B54" s="1531">
        <v>196</v>
      </c>
      <c r="C54" s="1522" t="s">
        <v>3561</v>
      </c>
      <c r="D54" s="1522"/>
      <c r="E54" s="1533">
        <v>111.63050000000001</v>
      </c>
      <c r="F54" s="1533">
        <v>111.657689375</v>
      </c>
      <c r="G54" s="1533">
        <v>106.07753124999999</v>
      </c>
      <c r="H54" s="1533">
        <v>123.25680338124999</v>
      </c>
      <c r="I54" s="1533">
        <v>107.657689375</v>
      </c>
    </row>
    <row r="55" spans="1:9">
      <c r="A55" s="2626"/>
      <c r="B55" s="1525"/>
      <c r="C55" s="376" t="s">
        <v>3649</v>
      </c>
      <c r="D55" s="1526">
        <f>VLOOKUP(C55,adj!$B$210:$C$872,2,0)</f>
        <v>196</v>
      </c>
      <c r="E55" s="1527" t="str">
        <f>IF(ISERROR(VLOOKUP($C55,cbal!E$280:E$332,1,0))=TRUE,"",VLOOKUP($C55,cbal!E$280:E$332,1,0))</f>
        <v/>
      </c>
      <c r="F55" s="1527" t="str">
        <f>IF(ISERROR(VLOOKUP($C55,cbal!F$280:F$332,1,0))=TRUE,"",VLOOKUP($C55,cbal!F$280:F$332,1,0))</f>
        <v/>
      </c>
      <c r="G55" s="1527" t="str">
        <f>IF(ISERROR(VLOOKUP($C55,cbal!G$280:G$332,1,0))=TRUE,"",VLOOKUP($C55,cbal!G$280:G$332,1,0))</f>
        <v/>
      </c>
      <c r="H55" s="1527" t="str">
        <f>IF(ISERROR(VLOOKUP($C55,cbal!H$280:H$332,1,0))=TRUE,"",VLOOKUP($C55,cbal!H$280:H$332,1,0))</f>
        <v/>
      </c>
      <c r="I55" s="1527" t="str">
        <f>IF(ISERROR(VLOOKUP($C55,cbal!I$280:I$332,1,0))=TRUE,"",VLOOKUP($C55,cbal!I$280:I$332,1,0))</f>
        <v/>
      </c>
    </row>
    <row r="56" spans="1:9">
      <c r="A56" s="2626"/>
      <c r="B56" s="1525"/>
      <c r="C56" s="376" t="s">
        <v>2028</v>
      </c>
      <c r="D56" s="1526" t="e">
        <f>VLOOKUP(C56,adj!$B$210:$C$872,2,0)</f>
        <v>#N/A</v>
      </c>
      <c r="E56" s="1527" t="str">
        <f>IF(ISERROR(VLOOKUP($C56,cbal!E$280:E$332,1,0))=TRUE,"",VLOOKUP($C56,cbal!E$280:E$332,1,0))</f>
        <v/>
      </c>
      <c r="F56" s="1527" t="str">
        <f>IF(ISERROR(VLOOKUP($C56,cbal!F$280:F$332,1,0))=TRUE,"",VLOOKUP($C56,cbal!F$280:F$332,1,0))</f>
        <v/>
      </c>
      <c r="G56" s="1527" t="str">
        <f>IF(ISERROR(VLOOKUP($C56,cbal!G$280:G$332,1,0))=TRUE,"",VLOOKUP($C56,cbal!G$280:G$332,1,0))</f>
        <v/>
      </c>
      <c r="H56" s="1527" t="str">
        <f>IF(ISERROR(VLOOKUP($C56,cbal!H$280:H$332,1,0))=TRUE,"",VLOOKUP($C56,cbal!H$280:H$332,1,0))</f>
        <v/>
      </c>
      <c r="I56" s="1527" t="str">
        <f>IF(ISERROR(VLOOKUP($C56,cbal!I$280:I$332,1,0))=TRUE,"",VLOOKUP($C56,cbal!I$280:I$332,1,0))</f>
        <v/>
      </c>
    </row>
    <row r="57" spans="1:9">
      <c r="A57" s="2626"/>
      <c r="B57" s="1525"/>
      <c r="C57" s="376" t="s">
        <v>2029</v>
      </c>
      <c r="D57" s="1526" t="e">
        <f>VLOOKUP(C57,adj!$B$210:$C$872,2,0)</f>
        <v>#N/A</v>
      </c>
      <c r="E57" s="1527" t="str">
        <f>IF(ISERROR(VLOOKUP($C57,cbal!E$280:E$332,1,0))=TRUE,"",VLOOKUP($C57,cbal!E$280:E$332,1,0))</f>
        <v/>
      </c>
      <c r="F57" s="1527" t="str">
        <f>IF(ISERROR(VLOOKUP($C57,cbal!F$280:F$332,1,0))=TRUE,"",VLOOKUP($C57,cbal!F$280:F$332,1,0))</f>
        <v/>
      </c>
      <c r="G57" s="1527" t="str">
        <f>IF(ISERROR(VLOOKUP($C57,cbal!G$280:G$332,1,0))=TRUE,"",VLOOKUP($C57,cbal!G$280:G$332,1,0))</f>
        <v/>
      </c>
      <c r="H57" s="1527" t="str">
        <f>IF(ISERROR(VLOOKUP($C57,cbal!H$280:H$332,1,0))=TRUE,"",VLOOKUP($C57,cbal!H$280:H$332,1,0))</f>
        <v/>
      </c>
      <c r="I57" s="1527" t="str">
        <f>IF(ISERROR(VLOOKUP($C57,cbal!I$280:I$332,1,0))=TRUE,"",VLOOKUP($C57,cbal!I$280:I$332,1,0))</f>
        <v/>
      </c>
    </row>
    <row r="58" spans="1:9">
      <c r="A58" s="2626"/>
      <c r="B58" s="1525"/>
      <c r="C58" s="376" t="s">
        <v>2286</v>
      </c>
      <c r="D58" s="1526" t="e">
        <f>VLOOKUP(C58,adj!$B$210:$C$872,2,0)</f>
        <v>#N/A</v>
      </c>
      <c r="E58" s="1527" t="str">
        <f>IF(ISERROR(VLOOKUP($C58,cbal!E$280:E$332,1,0))=TRUE,"",VLOOKUP($C58,cbal!E$280:E$332,1,0))</f>
        <v/>
      </c>
      <c r="F58" s="1527" t="str">
        <f>IF(ISERROR(VLOOKUP($C58,cbal!F$280:F$332,1,0))=TRUE,"",VLOOKUP($C58,cbal!F$280:F$332,1,0))</f>
        <v/>
      </c>
      <c r="G58" s="1527" t="str">
        <f>IF(ISERROR(VLOOKUP($C58,cbal!G$280:G$332,1,0))=TRUE,"",VLOOKUP($C58,cbal!G$280:G$332,1,0))</f>
        <v/>
      </c>
      <c r="H58" s="1527" t="str">
        <f>IF(ISERROR(VLOOKUP($C58,cbal!H$280:H$332,1,0))=TRUE,"",VLOOKUP($C58,cbal!H$280:H$332,1,0))</f>
        <v/>
      </c>
      <c r="I58" s="1527" t="str">
        <f>IF(ISERROR(VLOOKUP($C58,cbal!I$280:I$332,1,0))=TRUE,"",VLOOKUP($C58,cbal!I$280:I$332,1,0))</f>
        <v/>
      </c>
    </row>
    <row r="59" spans="1:9">
      <c r="A59" s="2626"/>
      <c r="B59" s="1525"/>
      <c r="C59" s="376" t="s">
        <v>2287</v>
      </c>
      <c r="D59" s="1526" t="e">
        <f>VLOOKUP(C59,adj!$B$210:$C$872,2,0)</f>
        <v>#N/A</v>
      </c>
      <c r="E59" s="1527" t="str">
        <f>IF(ISERROR(VLOOKUP($C59,cbal!E$280:E$332,1,0))=TRUE,"",VLOOKUP($C59,cbal!E$280:E$332,1,0))</f>
        <v/>
      </c>
      <c r="F59" s="1527" t="str">
        <f>IF(ISERROR(VLOOKUP($C59,cbal!F$280:F$332,1,0))=TRUE,"",VLOOKUP($C59,cbal!F$280:F$332,1,0))</f>
        <v/>
      </c>
      <c r="G59" s="1527" t="str">
        <f>IF(ISERROR(VLOOKUP($C59,cbal!G$280:G$332,1,0))=TRUE,"",VLOOKUP($C59,cbal!G$280:G$332,1,0))</f>
        <v/>
      </c>
      <c r="H59" s="1527" t="str">
        <f>IF(ISERROR(VLOOKUP($C59,cbal!H$280:H$332,1,0))=TRUE,"",VLOOKUP($C59,cbal!H$280:H$332,1,0))</f>
        <v/>
      </c>
      <c r="I59" s="1527" t="str">
        <f>IF(ISERROR(VLOOKUP($C59,cbal!I$280:I$332,1,0))=TRUE,"",VLOOKUP($C59,cbal!I$280:I$332,1,0))</f>
        <v/>
      </c>
    </row>
    <row r="60" spans="1:9">
      <c r="A60" s="2626"/>
      <c r="B60" s="1525"/>
      <c r="C60" s="376" t="s">
        <v>1113</v>
      </c>
      <c r="D60" s="1526" t="e">
        <f>VLOOKUP(C60,adj!$B$210:$C$872,2,0)</f>
        <v>#N/A</v>
      </c>
      <c r="E60" s="1527" t="str">
        <f>IF(ISERROR(VLOOKUP($C60,cbal!E$280:E$332,1,0))=TRUE,"",VLOOKUP($C60,cbal!E$280:E$332,1,0))</f>
        <v/>
      </c>
      <c r="F60" s="1527" t="str">
        <f>IF(ISERROR(VLOOKUP($C60,cbal!F$280:F$332,1,0))=TRUE,"",VLOOKUP($C60,cbal!F$280:F$332,1,0))</f>
        <v/>
      </c>
      <c r="G60" s="1527" t="str">
        <f>IF(ISERROR(VLOOKUP($C60,cbal!G$280:G$332,1,0))=TRUE,"",VLOOKUP($C60,cbal!G$280:G$332,1,0))</f>
        <v/>
      </c>
      <c r="H60" s="1527" t="str">
        <f>IF(ISERROR(VLOOKUP($C60,cbal!H$280:H$332,1,0))=TRUE,"",VLOOKUP($C60,cbal!H$280:H$332,1,0))</f>
        <v/>
      </c>
      <c r="I60" s="1527" t="str">
        <f>IF(ISERROR(VLOOKUP($C60,cbal!I$280:I$332,1,0))=TRUE,"",VLOOKUP($C60,cbal!I$280:I$332,1,0))</f>
        <v/>
      </c>
    </row>
    <row r="61" spans="1:9">
      <c r="A61" s="2626"/>
      <c r="B61" s="1525"/>
      <c r="C61" s="376" t="s">
        <v>1114</v>
      </c>
      <c r="D61" s="1526" t="e">
        <f>VLOOKUP(C61,adj!$B$210:$C$872,2,0)</f>
        <v>#N/A</v>
      </c>
      <c r="E61" s="1527" t="str">
        <f>IF(ISERROR(VLOOKUP($C61,cbal!E$280:E$332,1,0))=TRUE,"",VLOOKUP($C61,cbal!E$280:E$332,1,0))</f>
        <v/>
      </c>
      <c r="F61" s="1527" t="str">
        <f>IF(ISERROR(VLOOKUP($C61,cbal!F$280:F$332,1,0))=TRUE,"",VLOOKUP($C61,cbal!F$280:F$332,1,0))</f>
        <v/>
      </c>
      <c r="G61" s="1527" t="str">
        <f>IF(ISERROR(VLOOKUP($C61,cbal!G$280:G$332,1,0))=TRUE,"",VLOOKUP($C61,cbal!G$280:G$332,1,0))</f>
        <v/>
      </c>
      <c r="H61" s="1527" t="str">
        <f>IF(ISERROR(VLOOKUP($C61,cbal!H$280:H$332,1,0))=TRUE,"",VLOOKUP($C61,cbal!H$280:H$332,1,0))</f>
        <v/>
      </c>
      <c r="I61" s="1527" t="str">
        <f>IF(ISERROR(VLOOKUP($C61,cbal!I$280:I$332,1,0))=TRUE,"",VLOOKUP($C61,cbal!I$280:I$332,1,0))</f>
        <v/>
      </c>
    </row>
    <row r="62" spans="1:9">
      <c r="A62" s="2626"/>
      <c r="B62" s="1525"/>
      <c r="C62" s="376" t="s">
        <v>3101</v>
      </c>
      <c r="D62" s="1526" t="e">
        <f>VLOOKUP(C62,adj!$B$210:$C$872,2,0)</f>
        <v>#N/A</v>
      </c>
      <c r="E62" s="1527" t="str">
        <f>IF(ISERROR(VLOOKUP($C62,cbal!E$280:E$332,1,0))=TRUE,"",VLOOKUP($C62,cbal!E$280:E$332,1,0))</f>
        <v/>
      </c>
      <c r="F62" s="1527" t="str">
        <f>IF(ISERROR(VLOOKUP($C62,cbal!F$280:F$332,1,0))=TRUE,"",VLOOKUP($C62,cbal!F$280:F$332,1,0))</f>
        <v/>
      </c>
      <c r="G62" s="1527" t="str">
        <f>IF(ISERROR(VLOOKUP($C62,cbal!G$280:G$332,1,0))=TRUE,"",VLOOKUP($C62,cbal!G$280:G$332,1,0))</f>
        <v/>
      </c>
      <c r="H62" s="1527" t="str">
        <f>IF(ISERROR(VLOOKUP($C62,cbal!H$280:H$332,1,0))=TRUE,"",VLOOKUP($C62,cbal!H$280:H$332,1,0))</f>
        <v/>
      </c>
      <c r="I62" s="1527" t="str">
        <f>IF(ISERROR(VLOOKUP($C62,cbal!I$280:I$332,1,0))=TRUE,"",VLOOKUP($C62,cbal!I$280:I$332,1,0))</f>
        <v/>
      </c>
    </row>
    <row r="63" spans="1:9">
      <c r="A63" s="2626"/>
      <c r="B63" s="1525"/>
      <c r="C63" s="376" t="s">
        <v>3102</v>
      </c>
      <c r="D63" s="1526" t="e">
        <f>VLOOKUP(C63,adj!$B$210:$C$872,2,0)</f>
        <v>#N/A</v>
      </c>
      <c r="E63" s="1527" t="str">
        <f>IF(ISERROR(VLOOKUP($C63,cbal!E$280:E$332,1,0))=TRUE,"",VLOOKUP($C63,cbal!E$280:E$332,1,0))</f>
        <v/>
      </c>
      <c r="F63" s="1527" t="str">
        <f>IF(ISERROR(VLOOKUP($C63,cbal!F$280:F$332,1,0))=TRUE,"",VLOOKUP($C63,cbal!F$280:F$332,1,0))</f>
        <v/>
      </c>
      <c r="G63" s="1527" t="str">
        <f>IF(ISERROR(VLOOKUP($C63,cbal!G$280:G$332,1,0))=TRUE,"",VLOOKUP($C63,cbal!G$280:G$332,1,0))</f>
        <v/>
      </c>
      <c r="H63" s="1527" t="str">
        <f>IF(ISERROR(VLOOKUP($C63,cbal!H$280:H$332,1,0))=TRUE,"",VLOOKUP($C63,cbal!H$280:H$332,1,0))</f>
        <v/>
      </c>
      <c r="I63" s="1527" t="str">
        <f>IF(ISERROR(VLOOKUP($C63,cbal!I$280:I$332,1,0))=TRUE,"",VLOOKUP($C63,cbal!I$280:I$332,1,0))</f>
        <v/>
      </c>
    </row>
    <row r="64" spans="1:9">
      <c r="A64" s="2626"/>
      <c r="B64" s="1532">
        <v>197</v>
      </c>
      <c r="C64" s="1525" t="s">
        <v>1798</v>
      </c>
      <c r="D64" s="1525"/>
      <c r="E64" s="1528">
        <v>99.668057872494629</v>
      </c>
      <c r="F64" s="1528">
        <v>113.34790914639164</v>
      </c>
      <c r="G64" s="1528">
        <v>95.210832361783574</v>
      </c>
      <c r="H64" s="1528">
        <v>93.098375177895164</v>
      </c>
      <c r="I64" s="1528">
        <v>100.4181500189097</v>
      </c>
    </row>
    <row r="65" spans="1:10">
      <c r="A65" s="2626"/>
      <c r="B65" s="1525"/>
      <c r="C65" s="376" t="s">
        <v>3651</v>
      </c>
      <c r="D65" s="1526">
        <f>VLOOKUP(C65,adj!$B$210:$C$872,2,0)</f>
        <v>197</v>
      </c>
      <c r="E65" s="1527" t="str">
        <f>IF(ISERROR(VLOOKUP($C65,cbal!E$280:E$332,1,0))=TRUE,"",VLOOKUP($C65,cbal!E$280:E$332,1,0))</f>
        <v/>
      </c>
      <c r="F65" s="1527" t="str">
        <f>IF(ISERROR(VLOOKUP($C65,cbal!F$280:F$332,1,0))=TRUE,"",VLOOKUP($C65,cbal!F$280:F$332,1,0))</f>
        <v/>
      </c>
      <c r="G65" s="1527" t="str">
        <f>IF(ISERROR(VLOOKUP($C65,cbal!G$280:G$332,1,0))=TRUE,"",VLOOKUP($C65,cbal!G$280:G$332,1,0))</f>
        <v/>
      </c>
      <c r="H65" s="1527" t="str">
        <f>IF(ISERROR(VLOOKUP($C65,cbal!H$280:H$332,1,0))=TRUE,"",VLOOKUP($C65,cbal!H$280:H$332,1,0))</f>
        <v/>
      </c>
      <c r="I65" s="1527" t="str">
        <f>IF(ISERROR(VLOOKUP($C65,cbal!I$280:I$332,1,0))=TRUE,"",VLOOKUP($C65,cbal!I$280:I$332,1,0))</f>
        <v/>
      </c>
    </row>
    <row r="66" spans="1:10">
      <c r="A66" s="2626"/>
      <c r="B66" s="1525"/>
      <c r="C66" s="376" t="s">
        <v>3652</v>
      </c>
      <c r="D66" s="1526">
        <f>VLOOKUP(C66,adj!$B$210:$C$872,2,0)</f>
        <v>197</v>
      </c>
      <c r="E66" s="1527" t="str">
        <f>IF(ISERROR(VLOOKUP($C66,cbal!E$280:E$332,1,0))=TRUE,"",VLOOKUP($C66,cbal!E$280:E$332,1,0))</f>
        <v/>
      </c>
      <c r="F66" s="1527" t="str">
        <f>IF(ISERROR(VLOOKUP($C66,cbal!F$280:F$332,1,0))=TRUE,"",VLOOKUP($C66,cbal!F$280:F$332,1,0))</f>
        <v/>
      </c>
      <c r="G66" s="1527" t="str">
        <f>IF(ISERROR(VLOOKUP($C66,cbal!G$280:G$332,1,0))=TRUE,"",VLOOKUP($C66,cbal!G$280:G$332,1,0))</f>
        <v/>
      </c>
      <c r="H66" s="1527" t="str">
        <f>IF(ISERROR(VLOOKUP($C66,cbal!H$280:H$332,1,0))=TRUE,"",VLOOKUP($C66,cbal!H$280:H$332,1,0))</f>
        <v/>
      </c>
      <c r="I66" s="1527" t="str">
        <f>IF(ISERROR(VLOOKUP($C66,cbal!I$280:I$332,1,0))=TRUE,"",VLOOKUP($C66,cbal!I$280:I$332,1,0))</f>
        <v/>
      </c>
    </row>
    <row r="67" spans="1:10">
      <c r="A67" s="2626"/>
      <c r="B67" s="1525"/>
      <c r="C67" s="376" t="s">
        <v>1754</v>
      </c>
      <c r="D67" s="1526">
        <f>VLOOKUP(C67,adj!$B$210:$C$872,2,0)</f>
        <v>197</v>
      </c>
      <c r="E67" s="1527" t="str">
        <f>IF(ISERROR(VLOOKUP($C67,cbal!E$280:E$332,1,0))=TRUE,"",VLOOKUP($C67,cbal!E$280:E$332,1,0))</f>
        <v/>
      </c>
      <c r="F67" s="1527" t="str">
        <f>IF(ISERROR(VLOOKUP($C67,cbal!F$280:F$332,1,0))=TRUE,"",VLOOKUP($C67,cbal!F$280:F$332,1,0))</f>
        <v/>
      </c>
      <c r="G67" s="1527" t="str">
        <f>IF(ISERROR(VLOOKUP($C67,cbal!G$280:G$332,1,0))=TRUE,"",VLOOKUP($C67,cbal!G$280:G$332,1,0))</f>
        <v/>
      </c>
      <c r="H67" s="1527" t="str">
        <f>IF(ISERROR(VLOOKUP($C67,cbal!H$280:H$332,1,0))=TRUE,"",VLOOKUP($C67,cbal!H$280:H$332,1,0))</f>
        <v/>
      </c>
      <c r="I67" s="1527" t="str">
        <f>IF(ISERROR(VLOOKUP($C67,cbal!I$280:I$332,1,0))=TRUE,"",VLOOKUP($C67,cbal!I$280:I$332,1,0))</f>
        <v/>
      </c>
    </row>
    <row r="68" spans="1:10">
      <c r="A68" s="2626"/>
      <c r="B68" s="1525"/>
      <c r="C68" s="904" t="s">
        <v>1111</v>
      </c>
      <c r="D68" s="1526" t="e">
        <f>VLOOKUP(C68,adj!$B$210:$C$872,2,0)</f>
        <v>#N/A</v>
      </c>
      <c r="E68" s="1527" t="str">
        <f>IF(ISERROR(VLOOKUP($C68,cbal!E$280:E$332,1,0))=TRUE,"",VLOOKUP($C68,cbal!E$280:E$332,1,0))</f>
        <v/>
      </c>
      <c r="F68" s="1527" t="str">
        <f>IF(ISERROR(VLOOKUP($C68,cbal!F$280:F$332,1,0))=TRUE,"",VLOOKUP($C68,cbal!F$280:F$332,1,0))</f>
        <v/>
      </c>
      <c r="G68" s="1527" t="str">
        <f>IF(ISERROR(VLOOKUP($C68,cbal!G$280:G$332,1,0))=TRUE,"",VLOOKUP($C68,cbal!G$280:G$332,1,0))</f>
        <v/>
      </c>
      <c r="H68" s="1527" t="str">
        <f>IF(ISERROR(VLOOKUP($C68,cbal!H$280:H$332,1,0))=TRUE,"",VLOOKUP($C68,cbal!H$280:H$332,1,0))</f>
        <v/>
      </c>
      <c r="I68" s="1527" t="str">
        <f>IF(ISERROR(VLOOKUP($C68,cbal!I$280:I$332,1,0))=TRUE,"",VLOOKUP($C68,cbal!I$280:I$332,1,0))</f>
        <v/>
      </c>
    </row>
    <row r="69" spans="1:10">
      <c r="A69" s="2626"/>
      <c r="B69" s="1525"/>
      <c r="C69" s="376" t="s">
        <v>1113</v>
      </c>
      <c r="D69" s="1526" t="e">
        <f>VLOOKUP(C69,adj!$B$210:$C$872,2,0)</f>
        <v>#N/A</v>
      </c>
      <c r="E69" s="1527" t="str">
        <f>IF(ISERROR(VLOOKUP($C69,cbal!E$280:E$332,1,0))=TRUE,"",VLOOKUP($C69,cbal!E$280:E$332,1,0))</f>
        <v/>
      </c>
      <c r="F69" s="1527" t="str">
        <f>IF(ISERROR(VLOOKUP($C69,cbal!F$280:F$332,1,0))=TRUE,"",VLOOKUP($C69,cbal!F$280:F$332,1,0))</f>
        <v/>
      </c>
      <c r="G69" s="1527" t="str">
        <f>IF(ISERROR(VLOOKUP($C69,cbal!G$280:G$332,1,0))=TRUE,"",VLOOKUP($C69,cbal!G$280:G$332,1,0))</f>
        <v/>
      </c>
      <c r="H69" s="1527" t="str">
        <f>IF(ISERROR(VLOOKUP($C69,cbal!H$280:H$332,1,0))=TRUE,"",VLOOKUP($C69,cbal!H$280:H$332,1,0))</f>
        <v/>
      </c>
      <c r="I69" s="1527" t="str">
        <f>IF(ISERROR(VLOOKUP($C69,cbal!I$280:I$332,1,0))=TRUE,"",VLOOKUP($C69,cbal!I$280:I$332,1,0))</f>
        <v/>
      </c>
    </row>
    <row r="70" spans="1:10">
      <c r="A70" s="2626"/>
      <c r="B70" s="1525"/>
      <c r="C70" s="376" t="s">
        <v>1114</v>
      </c>
      <c r="D70" s="1526" t="e">
        <f>VLOOKUP(C70,adj!$B$210:$C$872,2,0)</f>
        <v>#N/A</v>
      </c>
      <c r="E70" s="1527" t="str">
        <f>IF(ISERROR(VLOOKUP($C70,cbal!E$280:E$332,1,0))=TRUE,"",VLOOKUP($C70,cbal!E$280:E$332,1,0))</f>
        <v/>
      </c>
      <c r="F70" s="1527" t="str">
        <f>IF(ISERROR(VLOOKUP($C70,cbal!F$280:F$332,1,0))=TRUE,"",VLOOKUP($C70,cbal!F$280:F$332,1,0))</f>
        <v/>
      </c>
      <c r="G70" s="1527" t="str">
        <f>IF(ISERROR(VLOOKUP($C70,cbal!G$280:G$332,1,0))=TRUE,"",VLOOKUP($C70,cbal!G$280:G$332,1,0))</f>
        <v/>
      </c>
      <c r="H70" s="1527" t="str">
        <f>IF(ISERROR(VLOOKUP($C70,cbal!H$280:H$332,1,0))=TRUE,"",VLOOKUP($C70,cbal!H$280:H$332,1,0))</f>
        <v/>
      </c>
      <c r="I70" s="1527" t="str">
        <f>IF(ISERROR(VLOOKUP($C70,cbal!I$280:I$332,1,0))=TRUE,"",VLOOKUP($C70,cbal!I$280:I$332,1,0))</f>
        <v/>
      </c>
    </row>
    <row r="71" spans="1:10">
      <c r="A71" s="2626"/>
      <c r="B71" s="1525"/>
      <c r="C71" s="376" t="s">
        <v>3101</v>
      </c>
      <c r="D71" s="1526" t="e">
        <f>VLOOKUP(C71,adj!$B$210:$C$872,2,0)</f>
        <v>#N/A</v>
      </c>
      <c r="E71" s="1527" t="str">
        <f>IF(ISERROR(VLOOKUP($C71,cbal!E$280:E$332,1,0))=TRUE,"",VLOOKUP($C71,cbal!E$280:E$332,1,0))</f>
        <v/>
      </c>
      <c r="F71" s="1527" t="str">
        <f>IF(ISERROR(VLOOKUP($C71,cbal!F$280:F$332,1,0))=TRUE,"",VLOOKUP($C71,cbal!F$280:F$332,1,0))</f>
        <v/>
      </c>
      <c r="G71" s="1527" t="str">
        <f>IF(ISERROR(VLOOKUP($C71,cbal!G$280:G$332,1,0))=TRUE,"",VLOOKUP($C71,cbal!G$280:G$332,1,0))</f>
        <v/>
      </c>
      <c r="H71" s="1527" t="str">
        <f>IF(ISERROR(VLOOKUP($C71,cbal!H$280:H$332,1,0))=TRUE,"",VLOOKUP($C71,cbal!H$280:H$332,1,0))</f>
        <v/>
      </c>
      <c r="I71" s="1527" t="str">
        <f>IF(ISERROR(VLOOKUP($C71,cbal!I$280:I$332,1,0))=TRUE,"",VLOOKUP($C71,cbal!I$280:I$332,1,0))</f>
        <v/>
      </c>
    </row>
    <row r="72" spans="1:10">
      <c r="A72" s="2626"/>
      <c r="B72" s="1525"/>
      <c r="C72" s="376" t="s">
        <v>3102</v>
      </c>
      <c r="D72" s="1526" t="e">
        <f>VLOOKUP(C72,adj!$B$210:$C$872,2,0)</f>
        <v>#N/A</v>
      </c>
      <c r="E72" s="1527" t="str">
        <f>IF(ISERROR(VLOOKUP($C72,cbal!E$280:E$332,1,0))=TRUE,"",VLOOKUP($C72,cbal!E$280:E$332,1,0))</f>
        <v/>
      </c>
      <c r="F72" s="1527" t="str">
        <f>IF(ISERROR(VLOOKUP($C72,cbal!F$280:F$332,1,0))=TRUE,"",VLOOKUP($C72,cbal!F$280:F$332,1,0))</f>
        <v/>
      </c>
      <c r="G72" s="1527" t="str">
        <f>IF(ISERROR(VLOOKUP($C72,cbal!G$280:G$332,1,0))=TRUE,"",VLOOKUP($C72,cbal!G$280:G$332,1,0))</f>
        <v/>
      </c>
      <c r="H72" s="1527" t="str">
        <f>IF(ISERROR(VLOOKUP($C72,cbal!H$280:H$332,1,0))=TRUE,"",VLOOKUP($C72,cbal!H$280:H$332,1,0))</f>
        <v/>
      </c>
      <c r="I72" s="1527" t="str">
        <f>IF(ISERROR(VLOOKUP($C72,cbal!I$280:I$332,1,0))=TRUE,"",VLOOKUP($C72,cbal!I$280:I$332,1,0))</f>
        <v/>
      </c>
    </row>
    <row r="73" spans="1:10">
      <c r="A73" s="2626"/>
      <c r="B73" s="1525"/>
      <c r="C73" s="376" t="s">
        <v>1117</v>
      </c>
      <c r="D73" s="1526" t="e">
        <f>VLOOKUP(C73,adj!$B$210:$C$872,2,0)</f>
        <v>#N/A</v>
      </c>
      <c r="E73" s="1527" t="str">
        <f>IF(ISERROR(VLOOKUP($C73,cbal!E$280:E$332,1,0))=TRUE,"",VLOOKUP($C73,cbal!E$280:E$332,1,0))</f>
        <v/>
      </c>
      <c r="F73" s="1527" t="str">
        <f>IF(ISERROR(VLOOKUP($C73,cbal!F$280:F$332,1,0))=TRUE,"",VLOOKUP($C73,cbal!F$280:F$332,1,0))</f>
        <v/>
      </c>
      <c r="G73" s="1527" t="str">
        <f>IF(ISERROR(VLOOKUP($C73,cbal!G$280:G$332,1,0))=TRUE,"",VLOOKUP($C73,cbal!G$280:G$332,1,0))</f>
        <v/>
      </c>
      <c r="H73" s="1527" t="str">
        <f>IF(ISERROR(VLOOKUP($C73,cbal!H$280:H$332,1,0))=TRUE,"",VLOOKUP($C73,cbal!H$280:H$332,1,0))</f>
        <v/>
      </c>
      <c r="I73" s="1527" t="str">
        <f>IF(ISERROR(VLOOKUP($C73,cbal!I$280:I$332,1,0))=TRUE,"",VLOOKUP($C73,cbal!I$280:I$332,1,0))</f>
        <v/>
      </c>
    </row>
    <row r="74" spans="1:10">
      <c r="A74" s="2626"/>
      <c r="B74" s="1525"/>
      <c r="C74" s="904" t="s">
        <v>3206</v>
      </c>
      <c r="D74" s="1526" t="str">
        <f>VLOOKUP(C74,adj!$B$210:$C$872,2,0)</f>
        <v>Nutrition Start-up Partnerships</v>
      </c>
      <c r="E74" s="1527" t="str">
        <f>IF(ISERROR(VLOOKUP($C74,cbal!E$280:E$332,1,0))=TRUE,"",VLOOKUP($C74,cbal!E$280:E$332,1,0))</f>
        <v/>
      </c>
      <c r="F74" s="1527" t="str">
        <f>IF(ISERROR(VLOOKUP($C74,cbal!F$280:F$332,1,0))=TRUE,"",VLOOKUP($C74,cbal!F$280:F$332,1,0))</f>
        <v/>
      </c>
      <c r="G74" s="1527" t="str">
        <f>IF(ISERROR(VLOOKUP($C74,cbal!G$280:G$332,1,0))=TRUE,"",VLOOKUP($C74,cbal!G$280:G$332,1,0))</f>
        <v/>
      </c>
      <c r="H74" s="1527" t="str">
        <f>IF(ISERROR(VLOOKUP($C74,cbal!H$280:H$332,1,0))=TRUE,"",VLOOKUP($C74,cbal!H$280:H$332,1,0))</f>
        <v/>
      </c>
      <c r="I74" s="1527" t="str">
        <f>IF(ISERROR(VLOOKUP($C74,cbal!I$280:I$332,1,0))=TRUE,"",VLOOKUP($C74,cbal!I$280:I$332,1,0))</f>
        <v/>
      </c>
    </row>
    <row r="75" spans="1:10">
      <c r="A75" s="2626"/>
      <c r="B75" s="1525"/>
      <c r="C75" s="904" t="s">
        <v>3105</v>
      </c>
      <c r="D75" s="1526" t="e">
        <f>VLOOKUP(C75,adj!$B$210:$C$872,2,0)</f>
        <v>#N/A</v>
      </c>
      <c r="E75" s="1527" t="str">
        <f>IF(ISERROR(VLOOKUP($C75,cbal!E$280:E$332,1,0))=TRUE,"",VLOOKUP($C75,cbal!E$280:E$332,1,0))</f>
        <v/>
      </c>
      <c r="F75" s="1527" t="str">
        <f>IF(ISERROR(VLOOKUP($C75,cbal!F$280:F$332,1,0))=TRUE,"",VLOOKUP($C75,cbal!F$280:F$332,1,0))</f>
        <v/>
      </c>
      <c r="G75" s="1527" t="str">
        <f>IF(ISERROR(VLOOKUP($C75,cbal!G$280:G$332,1,0))=TRUE,"",VLOOKUP($C75,cbal!G$280:G$332,1,0))</f>
        <v/>
      </c>
      <c r="H75" s="1527" t="str">
        <f>IF(ISERROR(VLOOKUP($C75,cbal!H$280:H$332,1,0))=TRUE,"",VLOOKUP($C75,cbal!H$280:H$332,1,0))</f>
        <v/>
      </c>
      <c r="I75" s="1527" t="str">
        <f>IF(ISERROR(VLOOKUP($C75,cbal!I$280:I$332,1,0))=TRUE,"",VLOOKUP($C75,cbal!I$280:I$332,1,0))</f>
        <v/>
      </c>
    </row>
    <row r="76" spans="1:10">
      <c r="A76" s="2626"/>
      <c r="B76" s="1525"/>
      <c r="C76" s="904" t="s">
        <v>3106</v>
      </c>
      <c r="D76" s="1526" t="e">
        <f>VLOOKUP(C76,adj!$B$210:$C$872,2,0)</f>
        <v>#N/A</v>
      </c>
      <c r="E76" s="1527" t="str">
        <f>IF(ISERROR(VLOOKUP($C76,cbal!E$280:E$332,1,0))=TRUE,"",VLOOKUP($C76,cbal!E$280:E$332,1,0))</f>
        <v/>
      </c>
      <c r="F76" s="1527" t="str">
        <f>IF(ISERROR(VLOOKUP($C76,cbal!F$280:F$332,1,0))=TRUE,"",VLOOKUP($C76,cbal!F$280:F$332,1,0))</f>
        <v/>
      </c>
      <c r="G76" s="1527" t="str">
        <f>IF(ISERROR(VLOOKUP($C76,cbal!G$280:G$332,1,0))=TRUE,"",VLOOKUP($C76,cbal!G$280:G$332,1,0))</f>
        <v/>
      </c>
      <c r="H76" s="1527" t="str">
        <f>IF(ISERROR(VLOOKUP($C76,cbal!H$280:H$332,1,0))=TRUE,"",VLOOKUP($C76,cbal!H$280:H$332,1,0))</f>
        <v/>
      </c>
      <c r="I76" s="1527" t="str">
        <f>IF(ISERROR(VLOOKUP($C76,cbal!I$280:I$332,1,0))=TRUE,"",VLOOKUP($C76,cbal!I$280:I$332,1,0))</f>
        <v/>
      </c>
    </row>
    <row r="77" spans="1:10" ht="12" thickBot="1">
      <c r="A77" s="2627"/>
      <c r="B77" s="1534">
        <v>198</v>
      </c>
      <c r="C77" s="1529" t="s">
        <v>1799</v>
      </c>
      <c r="D77" s="1529"/>
      <c r="E77" s="1535">
        <v>100</v>
      </c>
      <c r="F77" s="1535">
        <v>100</v>
      </c>
      <c r="G77" s="1535">
        <v>100</v>
      </c>
      <c r="H77" s="1535">
        <v>100</v>
      </c>
      <c r="I77" s="1535">
        <v>100</v>
      </c>
    </row>
    <row r="78" spans="1:10">
      <c r="A78" s="2"/>
      <c r="B78" s="2"/>
      <c r="C78" s="2"/>
      <c r="E78" s="606"/>
      <c r="F78" s="432"/>
      <c r="G78" s="432"/>
      <c r="H78" s="432"/>
      <c r="I78" s="432"/>
      <c r="J78" s="432"/>
    </row>
    <row r="79" spans="1:10">
      <c r="A79" s="2"/>
      <c r="B79" s="2"/>
      <c r="C79" s="2"/>
      <c r="E79" s="606"/>
      <c r="F79" s="432"/>
      <c r="G79" s="432"/>
      <c r="H79" s="432"/>
      <c r="I79" s="432"/>
      <c r="J79" s="432"/>
    </row>
    <row r="80" spans="1:10">
      <c r="A80" s="2"/>
      <c r="B80" s="2"/>
      <c r="C80" s="2">
        <v>142</v>
      </c>
      <c r="D80" t="s">
        <v>3958</v>
      </c>
      <c r="E80" s="606"/>
      <c r="F80" s="432"/>
      <c r="G80" s="432"/>
      <c r="H80" s="432"/>
      <c r="I80" s="432"/>
      <c r="J80" s="432"/>
    </row>
    <row r="81" spans="1:10">
      <c r="A81" s="2"/>
      <c r="B81" s="2"/>
      <c r="C81" s="2"/>
      <c r="D81" s="440" t="s">
        <v>1721</v>
      </c>
    </row>
    <row r="82" spans="1:10">
      <c r="A82" s="2"/>
      <c r="B82" s="2"/>
      <c r="C82" s="2"/>
      <c r="D82" s="440" t="s">
        <v>246</v>
      </c>
    </row>
    <row r="83" spans="1:10">
      <c r="B83" s="2"/>
      <c r="C83" s="2"/>
      <c r="D83" s="440" t="s">
        <v>3959</v>
      </c>
    </row>
    <row r="84" spans="1:10">
      <c r="B84" s="2"/>
      <c r="C84" s="2"/>
      <c r="D84" s="440" t="s">
        <v>3960</v>
      </c>
    </row>
    <row r="85" spans="1:10">
      <c r="B85" s="2"/>
      <c r="C85" s="2"/>
      <c r="D85" s="440" t="s">
        <v>134</v>
      </c>
    </row>
    <row r="86" spans="1:10">
      <c r="B86" s="2"/>
      <c r="C86" s="2"/>
      <c r="D86" s="440" t="s">
        <v>1945</v>
      </c>
    </row>
    <row r="87" spans="1:10">
      <c r="B87" s="2"/>
      <c r="C87" s="2"/>
      <c r="D87" s="457" t="s">
        <v>250</v>
      </c>
    </row>
    <row r="88" spans="1:10">
      <c r="B88" s="2"/>
      <c r="C88" s="2"/>
      <c r="D88" s="457" t="s">
        <v>254</v>
      </c>
    </row>
    <row r="89" spans="1:10">
      <c r="B89" s="2"/>
      <c r="C89" s="2"/>
      <c r="D89" s="457" t="s">
        <v>3616</v>
      </c>
    </row>
    <row r="90" spans="1:10">
      <c r="B90" s="2"/>
      <c r="C90" s="2"/>
      <c r="D90" s="457" t="s">
        <v>1116</v>
      </c>
    </row>
    <row r="91" spans="1:10">
      <c r="B91" s="2"/>
      <c r="C91" s="2"/>
      <c r="D91" s="457" t="s">
        <v>3206</v>
      </c>
    </row>
    <row r="92" spans="1:10">
      <c r="B92" s="2"/>
      <c r="C92" s="2"/>
      <c r="D92" s="457" t="s">
        <v>3623</v>
      </c>
    </row>
    <row r="93" spans="1:10">
      <c r="B93" s="2"/>
      <c r="C93" s="2"/>
      <c r="D93" s="1536" t="s">
        <v>3625</v>
      </c>
    </row>
    <row r="95" spans="1:10">
      <c r="C95" s="2" t="s">
        <v>1378</v>
      </c>
    </row>
    <row r="96" spans="1:10" ht="12" thickBot="1">
      <c r="C96" s="1542">
        <v>172</v>
      </c>
      <c r="D96" s="1543" t="str">
        <f>"Region 1 Special Program Success " &amp; DataNameProd1</f>
        <v>Region 1 Special Program Success CSD</v>
      </c>
      <c r="E96" s="1539"/>
      <c r="F96" s="1539"/>
      <c r="G96" s="1539"/>
      <c r="H96" s="1539"/>
      <c r="I96" s="1539"/>
      <c r="J96" s="1539"/>
    </row>
    <row r="97" spans="3:9">
      <c r="C97" s="112" t="s">
        <v>2028</v>
      </c>
      <c r="D97" s="1540" t="e">
        <f>VLOOKUP(C97,adj!$B$210:$C$872,2,0)</f>
        <v>#N/A</v>
      </c>
      <c r="E97" s="1538" t="str">
        <f>IF(ISERROR(VLOOKUP($C97,cbal!E$280:E$332,1,0))=TRUE,"",VLOOKUP($C97,cbal!E$280:E$332,1,0))</f>
        <v/>
      </c>
      <c r="F97" s="1538" t="str">
        <f>IF(ISERROR(VLOOKUP($C97,cbal!F$280:F$332,1,0))=TRUE,"",VLOOKUP($C97,cbal!F$280:F$332,1,0))</f>
        <v/>
      </c>
      <c r="G97" s="1538" t="str">
        <f>IF(ISERROR(VLOOKUP($C97,cbal!G$280:G$332,1,0))=TRUE,"",VLOOKUP($C97,cbal!G$280:G$332,1,0))</f>
        <v/>
      </c>
      <c r="H97" s="1538" t="str">
        <f>IF(ISERROR(VLOOKUP($C97,cbal!H$280:H$332,1,0))=TRUE,"",VLOOKUP($C97,cbal!H$280:H$332,1,0))</f>
        <v/>
      </c>
      <c r="I97" s="1538" t="str">
        <f>IF(ISERROR(VLOOKUP($C97,cbal!I$280:I$332,1,0))=TRUE,"",VLOOKUP($C97,cbal!I$280:I$332,1,0))</f>
        <v/>
      </c>
    </row>
    <row r="98" spans="3:9">
      <c r="C98" s="904" t="s">
        <v>2940</v>
      </c>
      <c r="D98" s="1541" t="e">
        <f>VLOOKUP(C98,adj!$B$210:$C$872,2,0)</f>
        <v>#N/A</v>
      </c>
      <c r="E98" s="1527" t="str">
        <f>IF(ISERROR(VLOOKUP($C98,cbal!E$280:E$332,1,0))=TRUE,"",VLOOKUP($C98,cbal!E$280:E$332,1,0))</f>
        <v/>
      </c>
      <c r="F98" s="1527" t="str">
        <f>IF(ISERROR(VLOOKUP($C98,cbal!F$280:F$332,1,0))=TRUE,"",VLOOKUP($C98,cbal!F$280:F$332,1,0))</f>
        <v/>
      </c>
      <c r="G98" s="1527" t="str">
        <f>IF(ISERROR(VLOOKUP($C98,cbal!G$280:G$332,1,0))=TRUE,"",VLOOKUP($C98,cbal!G$280:G$332,1,0))</f>
        <v/>
      </c>
      <c r="H98" s="1527" t="str">
        <f>IF(ISERROR(VLOOKUP($C98,cbal!H$280:H$332,1,0))=TRUE,"",VLOOKUP($C98,cbal!H$280:H$332,1,0))</f>
        <v/>
      </c>
      <c r="I98" s="1527" t="str">
        <f>IF(ISERROR(VLOOKUP($C98,cbal!I$280:I$332,1,0))=TRUE,"",VLOOKUP($C98,cbal!I$280:I$332,1,0))</f>
        <v/>
      </c>
    </row>
    <row r="99" spans="3:9">
      <c r="C99" s="376" t="s">
        <v>2286</v>
      </c>
      <c r="D99" s="1541" t="e">
        <f>VLOOKUP(C99,adj!$B$210:$C$872,2,0)</f>
        <v>#N/A</v>
      </c>
      <c r="E99" s="1527" t="str">
        <f>IF(ISERROR(VLOOKUP($C99,cbal!E$280:E$332,1,0))=TRUE,"",VLOOKUP($C99,cbal!E$280:E$332,1,0))</f>
        <v/>
      </c>
      <c r="F99" s="1527" t="str">
        <f>IF(ISERROR(VLOOKUP($C99,cbal!F$280:F$332,1,0))=TRUE,"",VLOOKUP($C99,cbal!F$280:F$332,1,0))</f>
        <v/>
      </c>
      <c r="G99" s="1527" t="str">
        <f>IF(ISERROR(VLOOKUP($C99,cbal!G$280:G$332,1,0))=TRUE,"",VLOOKUP($C99,cbal!G$280:G$332,1,0))</f>
        <v/>
      </c>
      <c r="H99" s="1527" t="str">
        <f>IF(ISERROR(VLOOKUP($C99,cbal!H$280:H$332,1,0))=TRUE,"",VLOOKUP($C99,cbal!H$280:H$332,1,0))</f>
        <v/>
      </c>
      <c r="I99" s="1527" t="str">
        <f>IF(ISERROR(VLOOKUP($C99,cbal!I$280:I$332,1,0))=TRUE,"",VLOOKUP($C99,cbal!I$280:I$332,1,0))</f>
        <v/>
      </c>
    </row>
    <row r="100" spans="3:9">
      <c r="C100" s="904" t="s">
        <v>2202</v>
      </c>
      <c r="D100" s="1541" t="e">
        <f>VLOOKUP(C100,adj!$B$210:$C$872,2,0)</f>
        <v>#N/A</v>
      </c>
      <c r="E100" s="1527" t="str">
        <f>IF(ISERROR(VLOOKUP($C100,cbal!E$280:E$332,1,0))=TRUE,"",VLOOKUP($C100,cbal!E$280:E$332,1,0))</f>
        <v/>
      </c>
      <c r="F100" s="1527" t="str">
        <f>IF(ISERROR(VLOOKUP($C100,cbal!F$280:F$332,1,0))=TRUE,"",VLOOKUP($C100,cbal!F$280:F$332,1,0))</f>
        <v/>
      </c>
      <c r="G100" s="1527" t="str">
        <f>IF(ISERROR(VLOOKUP($C100,cbal!G$280:G$332,1,0))=TRUE,"",VLOOKUP($C100,cbal!G$280:G$332,1,0))</f>
        <v/>
      </c>
      <c r="H100" s="1527" t="str">
        <f>IF(ISERROR(VLOOKUP($C100,cbal!H$280:H$332,1,0))=TRUE,"",VLOOKUP($C100,cbal!H$280:H$332,1,0))</f>
        <v/>
      </c>
      <c r="I100" s="1527" t="str">
        <f>IF(ISERROR(VLOOKUP($C100,cbal!I$280:I$332,1,0))=TRUE,"",VLOOKUP($C100,cbal!I$280:I$332,1,0))</f>
        <v/>
      </c>
    </row>
    <row r="101" spans="3:9">
      <c r="C101" s="904" t="s">
        <v>1645</v>
      </c>
      <c r="D101" s="1541" t="e">
        <f>VLOOKUP(C101,adj!$B$210:$C$872,2,0)</f>
        <v>#N/A</v>
      </c>
      <c r="E101" s="1527" t="str">
        <f>IF(ISERROR(VLOOKUP($C101,cbal!E$280:E$332,1,0))=TRUE,"",VLOOKUP($C101,cbal!E$280:E$332,1,0))</f>
        <v/>
      </c>
      <c r="F101" s="1527" t="str">
        <f>IF(ISERROR(VLOOKUP($C101,cbal!F$280:F$332,1,0))=TRUE,"",VLOOKUP($C101,cbal!F$280:F$332,1,0))</f>
        <v/>
      </c>
      <c r="G101" s="1527" t="str">
        <f>IF(ISERROR(VLOOKUP($C101,cbal!G$280:G$332,1,0))=TRUE,"",VLOOKUP($C101,cbal!G$280:G$332,1,0))</f>
        <v/>
      </c>
      <c r="H101" s="1527" t="str">
        <f>IF(ISERROR(VLOOKUP($C101,cbal!H$280:H$332,1,0))=TRUE,"",VLOOKUP($C101,cbal!H$280:H$332,1,0))</f>
        <v/>
      </c>
      <c r="I101" s="1527" t="str">
        <f>IF(ISERROR(VLOOKUP($C101,cbal!I$280:I$332,1,0))=TRUE,"",VLOOKUP($C101,cbal!I$280:I$332,1,0))</f>
        <v/>
      </c>
    </row>
    <row r="102" spans="3:9">
      <c r="C102" s="376" t="s">
        <v>3205</v>
      </c>
      <c r="D102" s="1541" t="str">
        <f>VLOOKUP(C102,adj!$B$210:$C$872,2,0)</f>
        <v>Market Research Study</v>
      </c>
      <c r="E102" s="1527" t="str">
        <f>IF(ISERROR(VLOOKUP($C102,cbal!E$280:E$332,1,0))=TRUE,"",VLOOKUP($C102,cbal!E$280:E$332,1,0))</f>
        <v/>
      </c>
      <c r="F102" s="1527" t="str">
        <f>IF(ISERROR(VLOOKUP($C102,cbal!F$280:F$332,1,0))=TRUE,"",VLOOKUP($C102,cbal!F$280:F$332,1,0))</f>
        <v/>
      </c>
      <c r="G102" s="1527" t="str">
        <f>IF(ISERROR(VLOOKUP($C102,cbal!G$280:G$332,1,0))=TRUE,"",VLOOKUP($C102,cbal!G$280:G$332,1,0))</f>
        <v/>
      </c>
      <c r="H102" s="1527" t="str">
        <f>IF(ISERROR(VLOOKUP($C102,cbal!H$280:H$332,1,0))=TRUE,"",VLOOKUP($C102,cbal!H$280:H$332,1,0))</f>
        <v/>
      </c>
      <c r="I102" s="1527" t="str">
        <f>IF(ISERROR(VLOOKUP($C102,cbal!I$280:I$332,1,0))=TRUE,"",VLOOKUP($C102,cbal!I$280:I$332,1,0))</f>
        <v/>
      </c>
    </row>
    <row r="103" spans="3:9" ht="12" thickBot="1">
      <c r="C103" s="1542">
        <v>174</v>
      </c>
      <c r="D103" s="1543" t="str">
        <f>"Region 1 Special Program Success " &amp; DataNameProd3</f>
        <v>Region 1 Special Program Success NCB</v>
      </c>
      <c r="E103" s="1539"/>
      <c r="F103" s="1539"/>
      <c r="G103" s="1539"/>
      <c r="H103" s="1539"/>
      <c r="I103" s="1539"/>
    </row>
    <row r="104" spans="3:9">
      <c r="C104" s="112" t="s">
        <v>2028</v>
      </c>
      <c r="D104" s="1541" t="e">
        <f>VLOOKUP(C104,adj!$B$210:$C$872,2,0)</f>
        <v>#N/A</v>
      </c>
      <c r="E104" s="1527" t="str">
        <f>IF(ISERROR(VLOOKUP($C104,cbal!E$280:E$332,1,0))=TRUE,"",VLOOKUP($C104,cbal!E$280:E$332,1,0))</f>
        <v/>
      </c>
      <c r="F104" s="1527" t="str">
        <f>IF(ISERROR(VLOOKUP($C104,cbal!F$280:F$332,1,0))=TRUE,"",VLOOKUP($C104,cbal!F$280:F$332,1,0))</f>
        <v/>
      </c>
      <c r="G104" s="1527" t="str">
        <f>IF(ISERROR(VLOOKUP($C104,cbal!G$280:G$332,1,0))=TRUE,"",VLOOKUP($C104,cbal!G$280:G$332,1,0))</f>
        <v/>
      </c>
      <c r="H104" s="1527" t="str">
        <f>IF(ISERROR(VLOOKUP($C104,cbal!H$280:H$332,1,0))=TRUE,"",VLOOKUP($C104,cbal!H$280:H$332,1,0))</f>
        <v/>
      </c>
      <c r="I104" s="1527" t="str">
        <f>IF(ISERROR(VLOOKUP($C104,cbal!I$280:I$332,1,0))=TRUE,"",VLOOKUP($C104,cbal!I$280:I$332,1,0))</f>
        <v/>
      </c>
    </row>
    <row r="105" spans="3:9">
      <c r="C105" s="904" t="s">
        <v>2284</v>
      </c>
      <c r="D105" s="1541" t="e">
        <f>VLOOKUP(C105,adj!$B$210:$C$872,2,0)</f>
        <v>#N/A</v>
      </c>
      <c r="E105" s="1527" t="str">
        <f>IF(ISERROR(VLOOKUP($C105,cbal!E$280:E$332,1,0))=TRUE,"",VLOOKUP($C105,cbal!E$280:E$332,1,0))</f>
        <v/>
      </c>
      <c r="F105" s="1527" t="str">
        <f>IF(ISERROR(VLOOKUP($C105,cbal!F$280:F$332,1,0))=TRUE,"",VLOOKUP($C105,cbal!F$280:F$332,1,0))</f>
        <v/>
      </c>
      <c r="G105" s="1527" t="str">
        <f>IF(ISERROR(VLOOKUP($C105,cbal!G$280:G$332,1,0))=TRUE,"",VLOOKUP($C105,cbal!G$280:G$332,1,0))</f>
        <v/>
      </c>
      <c r="H105" s="1527" t="str">
        <f>IF(ISERROR(VLOOKUP($C105,cbal!H$280:H$332,1,0))=TRUE,"",VLOOKUP($C105,cbal!H$280:H$332,1,0))</f>
        <v/>
      </c>
      <c r="I105" s="1527" t="str">
        <f>IF(ISERROR(VLOOKUP($C105,cbal!I$280:I$332,1,0))=TRUE,"",VLOOKUP($C105,cbal!I$280:I$332,1,0))</f>
        <v/>
      </c>
    </row>
    <row r="106" spans="3:9">
      <c r="C106" s="376" t="s">
        <v>2286</v>
      </c>
      <c r="D106" s="1541" t="e">
        <f>VLOOKUP(C106,adj!$B$210:$C$872,2,0)</f>
        <v>#N/A</v>
      </c>
      <c r="E106" s="1527" t="str">
        <f>IF(ISERROR(VLOOKUP($C106,cbal!E$280:E$332,1,0))=TRUE,"",VLOOKUP($C106,cbal!E$280:E$332,1,0))</f>
        <v/>
      </c>
      <c r="F106" s="1527" t="str">
        <f>IF(ISERROR(VLOOKUP($C106,cbal!F$280:F$332,1,0))=TRUE,"",VLOOKUP($C106,cbal!F$280:F$332,1,0))</f>
        <v/>
      </c>
      <c r="G106" s="1527" t="str">
        <f>IF(ISERROR(VLOOKUP($C106,cbal!G$280:G$332,1,0))=TRUE,"",VLOOKUP($C106,cbal!G$280:G$332,1,0))</f>
        <v/>
      </c>
      <c r="H106" s="1527" t="str">
        <f>IF(ISERROR(VLOOKUP($C106,cbal!H$280:H$332,1,0))=TRUE,"",VLOOKUP($C106,cbal!H$280:H$332,1,0))</f>
        <v/>
      </c>
      <c r="I106" s="1527" t="str">
        <f>IF(ISERROR(VLOOKUP($C106,cbal!I$280:I$332,1,0))=TRUE,"",VLOOKUP($C106,cbal!I$280:I$332,1,0))</f>
        <v/>
      </c>
    </row>
    <row r="107" spans="3:9">
      <c r="C107" s="904" t="s">
        <v>1645</v>
      </c>
      <c r="D107" s="1541" t="e">
        <f>VLOOKUP(C107,adj!$B$210:$C$872,2,0)</f>
        <v>#N/A</v>
      </c>
      <c r="E107" s="1527" t="str">
        <f>IF(ISERROR(VLOOKUP($C107,cbal!E$280:E$332,1,0))=TRUE,"",VLOOKUP($C107,cbal!E$280:E$332,1,0))</f>
        <v/>
      </c>
      <c r="F107" s="1527" t="str">
        <f>IF(ISERROR(VLOOKUP($C107,cbal!F$280:F$332,1,0))=TRUE,"",VLOOKUP($C107,cbal!F$280:F$332,1,0))</f>
        <v/>
      </c>
      <c r="G107" s="1527" t="str">
        <f>IF(ISERROR(VLOOKUP($C107,cbal!G$280:G$332,1,0))=TRUE,"",VLOOKUP($C107,cbal!G$280:G$332,1,0))</f>
        <v/>
      </c>
      <c r="H107" s="1527" t="str">
        <f>IF(ISERROR(VLOOKUP($C107,cbal!H$280:H$332,1,0))=TRUE,"",VLOOKUP($C107,cbal!H$280:H$332,1,0))</f>
        <v/>
      </c>
      <c r="I107" s="1527" t="str">
        <f>IF(ISERROR(VLOOKUP($C107,cbal!I$280:I$332,1,0))=TRUE,"",VLOOKUP($C107,cbal!I$280:I$332,1,0))</f>
        <v/>
      </c>
    </row>
    <row r="108" spans="3:9">
      <c r="C108" s="376" t="s">
        <v>3205</v>
      </c>
      <c r="D108" s="1541" t="str">
        <f>VLOOKUP(C108,adj!$B$210:$C$872,2,0)</f>
        <v>Market Research Study</v>
      </c>
      <c r="E108" s="1527" t="str">
        <f>IF(ISERROR(VLOOKUP($C108,cbal!E$280:E$332,1,0))=TRUE,"",VLOOKUP($C108,cbal!E$280:E$332,1,0))</f>
        <v/>
      </c>
      <c r="F108" s="1527" t="str">
        <f>IF(ISERROR(VLOOKUP($C108,cbal!F$280:F$332,1,0))=TRUE,"",VLOOKUP($C108,cbal!F$280:F$332,1,0))</f>
        <v/>
      </c>
      <c r="G108" s="1527" t="str">
        <f>IF(ISERROR(VLOOKUP($C108,cbal!G$280:G$332,1,0))=TRUE,"",VLOOKUP($C108,cbal!G$280:G$332,1,0))</f>
        <v/>
      </c>
      <c r="H108" s="1527" t="str">
        <f>IF(ISERROR(VLOOKUP($C108,cbal!H$280:H$332,1,0))=TRUE,"",VLOOKUP($C108,cbal!H$280:H$332,1,0))</f>
        <v/>
      </c>
      <c r="I108" s="1527" t="str">
        <f>IF(ISERROR(VLOOKUP($C108,cbal!I$280:I$332,1,0))=TRUE,"",VLOOKUP($C108,cbal!I$280:I$332,1,0))</f>
        <v/>
      </c>
    </row>
    <row r="109" spans="3:9" ht="12" thickBot="1">
      <c r="C109" s="1542">
        <v>175</v>
      </c>
      <c r="D109" s="1543" t="str">
        <f>"Region 1 Special Program Success " &amp; DataNameProd4</f>
        <v>Region 1 Special Program Success F&amp;S</v>
      </c>
      <c r="E109" s="1539"/>
      <c r="F109" s="1539"/>
      <c r="G109" s="1539"/>
      <c r="H109" s="1539"/>
      <c r="I109" s="1539"/>
    </row>
    <row r="110" spans="3:9">
      <c r="C110" s="112" t="s">
        <v>2028</v>
      </c>
      <c r="D110" s="1541" t="e">
        <f>VLOOKUP(C110,adj!$B$210:$C$872,2,0)</f>
        <v>#N/A</v>
      </c>
      <c r="E110" s="1527" t="str">
        <f>IF(ISERROR(VLOOKUP($C110,cbal!E$280:E$332,1,0))=TRUE,"",VLOOKUP($C110,cbal!E$280:E$332,1,0))</f>
        <v/>
      </c>
      <c r="F110" s="1527" t="str">
        <f>IF(ISERROR(VLOOKUP($C110,cbal!F$280:F$332,1,0))=TRUE,"",VLOOKUP($C110,cbal!F$280:F$332,1,0))</f>
        <v/>
      </c>
      <c r="G110" s="1527" t="str">
        <f>IF(ISERROR(VLOOKUP($C110,cbal!G$280:G$332,1,0))=TRUE,"",VLOOKUP($C110,cbal!G$280:G$332,1,0))</f>
        <v/>
      </c>
      <c r="H110" s="1527" t="str">
        <f>IF(ISERROR(VLOOKUP($C110,cbal!H$280:H$332,1,0))=TRUE,"",VLOOKUP($C110,cbal!H$280:H$332,1,0))</f>
        <v/>
      </c>
      <c r="I110" s="1527" t="str">
        <f>IF(ISERROR(VLOOKUP($C110,cbal!I$280:I$332,1,0))=TRUE,"",VLOOKUP($C110,cbal!I$280:I$332,1,0))</f>
        <v/>
      </c>
    </row>
    <row r="111" spans="3:9">
      <c r="C111" s="376" t="s">
        <v>2286</v>
      </c>
      <c r="D111" s="1541" t="e">
        <f>VLOOKUP(C111,adj!$B$210:$C$872,2,0)</f>
        <v>#N/A</v>
      </c>
      <c r="E111" s="1527" t="str">
        <f>IF(ISERROR(VLOOKUP($C111,cbal!E$280:E$332,1,0))=TRUE,"",VLOOKUP($C111,cbal!E$280:E$332,1,0))</f>
        <v/>
      </c>
      <c r="F111" s="1527" t="str">
        <f>IF(ISERROR(VLOOKUP($C111,cbal!F$280:F$332,1,0))=TRUE,"",VLOOKUP($C111,cbal!F$280:F$332,1,0))</f>
        <v/>
      </c>
      <c r="G111" s="1527" t="str">
        <f>IF(ISERROR(VLOOKUP($C111,cbal!G$280:G$332,1,0))=TRUE,"",VLOOKUP($C111,cbal!G$280:G$332,1,0))</f>
        <v/>
      </c>
      <c r="H111" s="1527" t="str">
        <f>IF(ISERROR(VLOOKUP($C111,cbal!H$280:H$332,1,0))=TRUE,"",VLOOKUP($C111,cbal!H$280:H$332,1,0))</f>
        <v/>
      </c>
      <c r="I111" s="1527" t="str">
        <f>IF(ISERROR(VLOOKUP($C111,cbal!I$280:I$332,1,0))=TRUE,"",VLOOKUP($C111,cbal!I$280:I$332,1,0))</f>
        <v/>
      </c>
    </row>
    <row r="112" spans="3:9">
      <c r="C112" s="904" t="s">
        <v>1645</v>
      </c>
      <c r="D112" s="1541" t="e">
        <f>VLOOKUP(C112,adj!$B$210:$C$872,2,0)</f>
        <v>#N/A</v>
      </c>
      <c r="E112" s="1527" t="str">
        <f>IF(ISERROR(VLOOKUP($C112,cbal!E$280:E$332,1,0))=TRUE,"",VLOOKUP($C112,cbal!E$280:E$332,1,0))</f>
        <v/>
      </c>
      <c r="F112" s="1527" t="str">
        <f>IF(ISERROR(VLOOKUP($C112,cbal!F$280:F$332,1,0))=TRUE,"",VLOOKUP($C112,cbal!F$280:F$332,1,0))</f>
        <v/>
      </c>
      <c r="G112" s="1527" t="str">
        <f>IF(ISERROR(VLOOKUP($C112,cbal!G$280:G$332,1,0))=TRUE,"",VLOOKUP($C112,cbal!G$280:G$332,1,0))</f>
        <v/>
      </c>
      <c r="H112" s="1527" t="str">
        <f>IF(ISERROR(VLOOKUP($C112,cbal!H$280:H$332,1,0))=TRUE,"",VLOOKUP($C112,cbal!H$280:H$332,1,0))</f>
        <v/>
      </c>
      <c r="I112" s="1527" t="str">
        <f>IF(ISERROR(VLOOKUP($C112,cbal!I$280:I$332,1,0))=TRUE,"",VLOOKUP($C112,cbal!I$280:I$332,1,0))</f>
        <v/>
      </c>
    </row>
    <row r="113" spans="3:10">
      <c r="C113" s="376" t="s">
        <v>3205</v>
      </c>
      <c r="D113" s="1541" t="str">
        <f>VLOOKUP(C113,adj!$B$210:$C$872,2,0)</f>
        <v>Market Research Study</v>
      </c>
      <c r="E113" s="1527" t="str">
        <f>IF(ISERROR(VLOOKUP($C113,cbal!E$280:E$332,1,0))=TRUE,"",VLOOKUP($C113,cbal!E$280:E$332,1,0))</f>
        <v/>
      </c>
      <c r="F113" s="1527" t="str">
        <f>IF(ISERROR(VLOOKUP($C113,cbal!F$280:F$332,1,0))=TRUE,"",VLOOKUP($C113,cbal!F$280:F$332,1,0))</f>
        <v/>
      </c>
      <c r="G113" s="1527" t="str">
        <f>IF(ISERROR(VLOOKUP($C113,cbal!G$280:G$332,1,0))=TRUE,"",VLOOKUP($C113,cbal!G$280:G$332,1,0))</f>
        <v/>
      </c>
      <c r="H113" s="1527" t="str">
        <f>IF(ISERROR(VLOOKUP($C113,cbal!H$280:H$332,1,0))=TRUE,"",VLOOKUP($C113,cbal!H$280:H$332,1,0))</f>
        <v/>
      </c>
      <c r="I113" s="1527" t="str">
        <f>IF(ISERROR(VLOOKUP($C113,cbal!I$280:I$332,1,0))=TRUE,"",VLOOKUP($C113,cbal!I$280:I$332,1,0))</f>
        <v/>
      </c>
    </row>
    <row r="114" spans="3:10" ht="12" thickBot="1">
      <c r="C114" s="1542">
        <v>176</v>
      </c>
      <c r="D114" s="1543" t="str">
        <f>"Region 2 Special Program Success " &amp; DataNameProd1</f>
        <v>Region 2 Special Program Success CSD</v>
      </c>
      <c r="E114" s="1539"/>
      <c r="F114" s="1539"/>
      <c r="G114" s="1539"/>
      <c r="H114" s="1539"/>
      <c r="I114" s="1539"/>
    </row>
    <row r="115" spans="3:10">
      <c r="C115" s="112" t="s">
        <v>2029</v>
      </c>
      <c r="D115" s="1541" t="e">
        <f>VLOOKUP(C115,adj!$B$210:$C$872,2,0)</f>
        <v>#N/A</v>
      </c>
      <c r="E115" s="1527" t="str">
        <f>IF(ISERROR(VLOOKUP($C115,cbal!E$280:E$332,1,0))=TRUE,"",VLOOKUP($C115,cbal!E$280:E$332,1,0))</f>
        <v/>
      </c>
      <c r="F115" s="1527" t="str">
        <f>IF(ISERROR(VLOOKUP($C115,cbal!F$280:F$332,1,0))=TRUE,"",VLOOKUP($C115,cbal!F$280:F$332,1,0))</f>
        <v/>
      </c>
      <c r="G115" s="1527" t="str">
        <f>IF(ISERROR(VLOOKUP($C115,cbal!G$280:G$332,1,0))=TRUE,"",VLOOKUP($C115,cbal!G$280:G$332,1,0))</f>
        <v/>
      </c>
      <c r="H115" s="1527" t="str">
        <f>IF(ISERROR(VLOOKUP($C115,cbal!H$280:H$332,1,0))=TRUE,"",VLOOKUP($C115,cbal!H$280:H$332,1,0))</f>
        <v/>
      </c>
      <c r="I115" s="1527" t="str">
        <f>IF(ISERROR(VLOOKUP($C115,cbal!I$280:I$332,1,0))=TRUE,"",VLOOKUP($C115,cbal!I$280:I$332,1,0))</f>
        <v/>
      </c>
    </row>
    <row r="116" spans="3:10">
      <c r="C116" s="376" t="s">
        <v>2287</v>
      </c>
      <c r="D116" s="1541" t="e">
        <f>VLOOKUP(C116,adj!$B$210:$C$872,2,0)</f>
        <v>#N/A</v>
      </c>
      <c r="E116" s="1527" t="str">
        <f>IF(ISERROR(VLOOKUP($C116,cbal!E$280:E$332,1,0))=TRUE,"",VLOOKUP($C116,cbal!E$280:E$332,1,0))</f>
        <v/>
      </c>
      <c r="F116" s="1527" t="str">
        <f>IF(ISERROR(VLOOKUP($C116,cbal!F$280:F$332,1,0))=TRUE,"",VLOOKUP($C116,cbal!F$280:F$332,1,0))</f>
        <v/>
      </c>
      <c r="G116" s="1527" t="str">
        <f>IF(ISERROR(VLOOKUP($C116,cbal!G$280:G$332,1,0))=TRUE,"",VLOOKUP($C116,cbal!G$280:G$332,1,0))</f>
        <v/>
      </c>
      <c r="H116" s="1527" t="str">
        <f>IF(ISERROR(VLOOKUP($C116,cbal!H$280:H$332,1,0))=TRUE,"",VLOOKUP($C116,cbal!H$280:H$332,1,0))</f>
        <v/>
      </c>
      <c r="I116" s="1527" t="str">
        <f>IF(ISERROR(VLOOKUP($C116,cbal!I$280:I$332,1,0))=TRUE,"",VLOOKUP($C116,cbal!I$280:I$332,1,0))</f>
        <v/>
      </c>
    </row>
    <row r="117" spans="3:10">
      <c r="C117" s="904" t="s">
        <v>1645</v>
      </c>
      <c r="D117" s="1541" t="e">
        <f>VLOOKUP(C117,adj!$B$210:$C$872,2,0)</f>
        <v>#N/A</v>
      </c>
      <c r="E117" s="1527" t="str">
        <f>IF(ISERROR(VLOOKUP($C117,cbal!E$280:E$332,1,0))=TRUE,"",VLOOKUP($C117,cbal!E$280:E$332,1,0))</f>
        <v/>
      </c>
      <c r="F117" s="1527" t="str">
        <f>IF(ISERROR(VLOOKUP($C117,cbal!F$280:F$332,1,0))=TRUE,"",VLOOKUP($C117,cbal!F$280:F$332,1,0))</f>
        <v/>
      </c>
      <c r="G117" s="1527" t="str">
        <f>IF(ISERROR(VLOOKUP($C117,cbal!G$280:G$332,1,0))=TRUE,"",VLOOKUP($C117,cbal!G$280:G$332,1,0))</f>
        <v/>
      </c>
      <c r="H117" s="1527" t="str">
        <f>IF(ISERROR(VLOOKUP($C117,cbal!H$280:H$332,1,0))=TRUE,"",VLOOKUP($C117,cbal!H$280:H$332,1,0))</f>
        <v/>
      </c>
      <c r="I117" s="1527" t="str">
        <f>IF(ISERROR(VLOOKUP($C117,cbal!I$280:I$332,1,0))=TRUE,"",VLOOKUP($C117,cbal!I$280:I$332,1,0))</f>
        <v/>
      </c>
    </row>
    <row r="118" spans="3:10">
      <c r="C118" s="376" t="s">
        <v>3205</v>
      </c>
      <c r="D118" s="1541" t="str">
        <f>VLOOKUP(C118,adj!$B$210:$C$872,2,0)</f>
        <v>Market Research Study</v>
      </c>
      <c r="E118" s="1527" t="str">
        <f>IF(ISERROR(VLOOKUP($C118,cbal!E$280:E$332,1,0))=TRUE,"",VLOOKUP($C118,cbal!E$280:E$332,1,0))</f>
        <v/>
      </c>
      <c r="F118" s="1527" t="str">
        <f>IF(ISERROR(VLOOKUP($C118,cbal!F$280:F$332,1,0))=TRUE,"",VLOOKUP($C118,cbal!F$280:F$332,1,0))</f>
        <v/>
      </c>
      <c r="G118" s="1527" t="str">
        <f>IF(ISERROR(VLOOKUP($C118,cbal!G$280:G$332,1,0))=TRUE,"",VLOOKUP($C118,cbal!G$280:G$332,1,0))</f>
        <v/>
      </c>
      <c r="H118" s="1527" t="str">
        <f>IF(ISERROR(VLOOKUP($C118,cbal!H$280:H$332,1,0))=TRUE,"",VLOOKUP($C118,cbal!H$280:H$332,1,0))</f>
        <v/>
      </c>
      <c r="I118" s="1527" t="str">
        <f>IF(ISERROR(VLOOKUP($C118,cbal!I$280:I$332,1,0))=TRUE,"",VLOOKUP($C118,cbal!I$280:I$332,1,0))</f>
        <v/>
      </c>
    </row>
    <row r="119" spans="3:10">
      <c r="C119" s="376" t="s">
        <v>3624</v>
      </c>
      <c r="D119" s="1541" t="e">
        <f>VLOOKUP(C119,adj!$B$210:$C$872,2,0)</f>
        <v>#N/A</v>
      </c>
      <c r="E119" s="1527" t="str">
        <f>IF(ISERROR(VLOOKUP($C119,cbal!E$280:E$332,1,0))=TRUE,"",VLOOKUP($C119,cbal!E$280:E$332,1,0))</f>
        <v/>
      </c>
      <c r="F119" s="1527" t="str">
        <f>IF(ISERROR(VLOOKUP($C119,cbal!F$280:F$332,1,0))=TRUE,"",VLOOKUP($C119,cbal!F$280:F$332,1,0))</f>
        <v/>
      </c>
      <c r="G119" s="1527" t="str">
        <f>IF(ISERROR(VLOOKUP($C119,cbal!G$280:G$332,1,0))=TRUE,"",VLOOKUP($C119,cbal!G$280:G$332,1,0))</f>
        <v/>
      </c>
      <c r="H119" s="1527" t="str">
        <f>IF(ISERROR(VLOOKUP($C119,cbal!H$280:H$332,1,0))=TRUE,"",VLOOKUP($C119,cbal!H$280:H$332,1,0))</f>
        <v/>
      </c>
      <c r="I119" s="1527" t="str">
        <f>IF(ISERROR(VLOOKUP($C119,cbal!I$280:I$332,1,0))=TRUE,"",VLOOKUP($C119,cbal!I$280:I$332,1,0))</f>
        <v/>
      </c>
    </row>
    <row r="120" spans="3:10" ht="12" thickBot="1">
      <c r="C120" s="1542">
        <v>178</v>
      </c>
      <c r="D120" s="1543" t="str">
        <f>"Region 2 Special Program Success " &amp; DataNameProd3</f>
        <v>Region 2 Special Program Success NCB</v>
      </c>
      <c r="E120" s="1539"/>
      <c r="F120" s="1539"/>
      <c r="G120" s="1539"/>
      <c r="H120" s="1539"/>
      <c r="I120" s="1539"/>
    </row>
    <row r="121" spans="3:10">
      <c r="C121" s="112" t="s">
        <v>2029</v>
      </c>
      <c r="D121" s="1541" t="e">
        <f>VLOOKUP(C121,adj!$B$210:$C$872,2,0)</f>
        <v>#N/A</v>
      </c>
      <c r="E121" s="1527" t="str">
        <f>IF(ISERROR(VLOOKUP($C121,cbal!E$280:E$332,1,0))=TRUE,"",VLOOKUP($C121,cbal!E$280:E$332,1,0))</f>
        <v/>
      </c>
      <c r="F121" s="1527" t="str">
        <f>IF(ISERROR(VLOOKUP($C121,cbal!F$280:F$332,1,0))=TRUE,"",VLOOKUP($C121,cbal!F$280:F$332,1,0))</f>
        <v/>
      </c>
      <c r="G121" s="1527" t="str">
        <f>IF(ISERROR(VLOOKUP($C121,cbal!G$280:G$332,1,0))=TRUE,"",VLOOKUP($C121,cbal!G$280:G$332,1,0))</f>
        <v/>
      </c>
      <c r="H121" s="1527" t="str">
        <f>IF(ISERROR(VLOOKUP($C121,cbal!H$280:H$332,1,0))=TRUE,"",VLOOKUP($C121,cbal!H$280:H$332,1,0))</f>
        <v/>
      </c>
      <c r="I121" s="1527" t="str">
        <f>IF(ISERROR(VLOOKUP($C121,cbal!I$280:I$332,1,0))=TRUE,"",VLOOKUP($C121,cbal!I$280:I$332,1,0))</f>
        <v/>
      </c>
    </row>
    <row r="122" spans="3:10">
      <c r="C122" s="904" t="s">
        <v>2285</v>
      </c>
      <c r="D122" s="1541" t="e">
        <f>VLOOKUP(C122,adj!$B$210:$C$872,2,0)</f>
        <v>#N/A</v>
      </c>
      <c r="E122" s="1527" t="str">
        <f>IF(ISERROR(VLOOKUP($C122,cbal!E$280:E$332,1,0))=TRUE,"",VLOOKUP($C122,cbal!E$280:E$332,1,0))</f>
        <v/>
      </c>
      <c r="F122" s="1527" t="str">
        <f>IF(ISERROR(VLOOKUP($C122,cbal!F$280:F$332,1,0))=TRUE,"",VLOOKUP($C122,cbal!F$280:F$332,1,0))</f>
        <v/>
      </c>
      <c r="G122" s="1527" t="str">
        <f>IF(ISERROR(VLOOKUP($C122,cbal!G$280:G$332,1,0))=TRUE,"",VLOOKUP($C122,cbal!G$280:G$332,1,0))</f>
        <v/>
      </c>
      <c r="H122" s="1527" t="str">
        <f>IF(ISERROR(VLOOKUP($C122,cbal!H$280:H$332,1,0))=TRUE,"",VLOOKUP($C122,cbal!H$280:H$332,1,0))</f>
        <v/>
      </c>
      <c r="I122" s="1527" t="str">
        <f>IF(ISERROR(VLOOKUP($C122,cbal!I$280:I$332,1,0))=TRUE,"",VLOOKUP($C122,cbal!I$280:I$332,1,0))</f>
        <v/>
      </c>
    </row>
    <row r="123" spans="3:10">
      <c r="C123" s="376" t="s">
        <v>2287</v>
      </c>
      <c r="D123" s="1541" t="e">
        <f>VLOOKUP(C123,adj!$B$210:$C$872,2,0)</f>
        <v>#N/A</v>
      </c>
      <c r="E123" s="1527" t="str">
        <f>IF(ISERROR(VLOOKUP($C123,cbal!E$280:E$332,1,0))=TRUE,"",VLOOKUP($C123,cbal!E$280:E$332,1,0))</f>
        <v/>
      </c>
      <c r="F123" s="1527" t="str">
        <f>IF(ISERROR(VLOOKUP($C123,cbal!F$280:F$332,1,0))=TRUE,"",VLOOKUP($C123,cbal!F$280:F$332,1,0))</f>
        <v/>
      </c>
      <c r="G123" s="1527" t="str">
        <f>IF(ISERROR(VLOOKUP($C123,cbal!G$280:G$332,1,0))=TRUE,"",VLOOKUP($C123,cbal!G$280:G$332,1,0))</f>
        <v/>
      </c>
      <c r="H123" s="1527" t="str">
        <f>IF(ISERROR(VLOOKUP($C123,cbal!H$280:H$332,1,0))=TRUE,"",VLOOKUP($C123,cbal!H$280:H$332,1,0))</f>
        <v/>
      </c>
      <c r="I123" s="1527" t="str">
        <f>IF(ISERROR(VLOOKUP($C123,cbal!I$280:I$332,1,0))=TRUE,"",VLOOKUP($C123,cbal!I$280:I$332,1,0))</f>
        <v/>
      </c>
    </row>
    <row r="124" spans="3:10">
      <c r="C124" s="904" t="s">
        <v>1645</v>
      </c>
      <c r="D124" s="1541" t="e">
        <f>VLOOKUP(C124,adj!$B$210:$C$872,2,0)</f>
        <v>#N/A</v>
      </c>
      <c r="E124" s="1527" t="str">
        <f>IF(ISERROR(VLOOKUP($C124,cbal!E$280:E$332,1,0))=TRUE,"",VLOOKUP($C124,cbal!E$280:E$332,1,0))</f>
        <v/>
      </c>
      <c r="F124" s="1527" t="str">
        <f>IF(ISERROR(VLOOKUP($C124,cbal!F$280:F$332,1,0))=TRUE,"",VLOOKUP($C124,cbal!F$280:F$332,1,0))</f>
        <v/>
      </c>
      <c r="G124" s="1527" t="str">
        <f>IF(ISERROR(VLOOKUP($C124,cbal!G$280:G$332,1,0))=TRUE,"",VLOOKUP($C124,cbal!G$280:G$332,1,0))</f>
        <v/>
      </c>
      <c r="H124" s="1527" t="str">
        <f>IF(ISERROR(VLOOKUP($C124,cbal!H$280:H$332,1,0))=TRUE,"",VLOOKUP($C124,cbal!H$280:H$332,1,0))</f>
        <v/>
      </c>
      <c r="I124" s="1527" t="str">
        <f>IF(ISERROR(VLOOKUP($C124,cbal!I$280:I$332,1,0))=TRUE,"",VLOOKUP($C124,cbal!I$280:I$332,1,0))</f>
        <v/>
      </c>
    </row>
    <row r="125" spans="3:10">
      <c r="C125" s="376" t="s">
        <v>3205</v>
      </c>
      <c r="D125" s="1541" t="str">
        <f>VLOOKUP(C125,adj!$B$210:$C$872,2,0)</f>
        <v>Market Research Study</v>
      </c>
      <c r="E125" s="1527" t="str">
        <f>IF(ISERROR(VLOOKUP($C125,cbal!E$280:E$332,1,0))=TRUE,"",VLOOKUP($C125,cbal!E$280:E$332,1,0))</f>
        <v/>
      </c>
      <c r="F125" s="1527" t="str">
        <f>IF(ISERROR(VLOOKUP($C125,cbal!F$280:F$332,1,0))=TRUE,"",VLOOKUP($C125,cbal!F$280:F$332,1,0))</f>
        <v/>
      </c>
      <c r="G125" s="1527" t="str">
        <f>IF(ISERROR(VLOOKUP($C125,cbal!G$280:G$332,1,0))=TRUE,"",VLOOKUP($C125,cbal!G$280:G$332,1,0))</f>
        <v/>
      </c>
      <c r="H125" s="1527" t="str">
        <f>IF(ISERROR(VLOOKUP($C125,cbal!H$280:H$332,1,0))=TRUE,"",VLOOKUP($C125,cbal!H$280:H$332,1,0))</f>
        <v/>
      </c>
      <c r="I125" s="1527" t="str">
        <f>IF(ISERROR(VLOOKUP($C125,cbal!I$280:I$332,1,0))=TRUE,"",VLOOKUP($C125,cbal!I$280:I$332,1,0))</f>
        <v/>
      </c>
    </row>
    <row r="126" spans="3:10">
      <c r="C126" s="376" t="s">
        <v>3624</v>
      </c>
      <c r="D126" s="1541" t="e">
        <f>VLOOKUP(C126,adj!$B$210:$C$872,2,0)</f>
        <v>#N/A</v>
      </c>
      <c r="E126" s="1527" t="str">
        <f>IF(ISERROR(VLOOKUP($C126,cbal!E$280:E$332,1,0))=TRUE,"",VLOOKUP($C126,cbal!E$280:E$332,1,0))</f>
        <v/>
      </c>
      <c r="F126" s="1527" t="str">
        <f>IF(ISERROR(VLOOKUP($C126,cbal!F$280:F$332,1,0))=TRUE,"",VLOOKUP($C126,cbal!F$280:F$332,1,0))</f>
        <v/>
      </c>
      <c r="G126" s="1527" t="str">
        <f>IF(ISERROR(VLOOKUP($C126,cbal!G$280:G$332,1,0))=TRUE,"",VLOOKUP($C126,cbal!G$280:G$332,1,0))</f>
        <v/>
      </c>
      <c r="H126" s="1527" t="str">
        <f>IF(ISERROR(VLOOKUP($C126,cbal!H$280:H$332,1,0))=TRUE,"",VLOOKUP($C126,cbal!H$280:H$332,1,0))</f>
        <v/>
      </c>
      <c r="I126" s="1527" t="str">
        <f>IF(ISERROR(VLOOKUP($C126,cbal!I$280:I$332,1,0))=TRUE,"",VLOOKUP($C126,cbal!I$280:I$332,1,0))</f>
        <v/>
      </c>
    </row>
    <row r="127" spans="3:10" ht="12" thickBot="1">
      <c r="C127" s="1542">
        <v>179</v>
      </c>
      <c r="D127" s="1543" t="str">
        <f>"Region 2 Special Program Success " &amp; DataNameProd4</f>
        <v>Region 2 Special Program Success F&amp;S</v>
      </c>
      <c r="E127" s="1539"/>
      <c r="F127" s="1539"/>
      <c r="G127" s="1539"/>
      <c r="H127" s="1539"/>
      <c r="I127" s="1539"/>
    </row>
    <row r="128" spans="3:10">
      <c r="C128" s="112" t="s">
        <v>2029</v>
      </c>
      <c r="D128" s="1541" t="e">
        <f>VLOOKUP(C128,adj!$B$210:$C$872,2,0)</f>
        <v>#N/A</v>
      </c>
      <c r="E128" s="1527" t="str">
        <f>IF(ISERROR(VLOOKUP($C128,cbal!E$280:E$332,1,0))=TRUE,"",VLOOKUP($C128,cbal!E$280:E$332,1,0))</f>
        <v/>
      </c>
      <c r="F128" s="1527" t="str">
        <f>IF(ISERROR(VLOOKUP($C128,cbal!F$280:F$332,1,0))=TRUE,"",VLOOKUP($C128,cbal!F$280:F$332,1,0))</f>
        <v/>
      </c>
      <c r="G128" s="1527" t="str">
        <f>IF(ISERROR(VLOOKUP($C128,cbal!G$280:G$332,1,0))=TRUE,"",VLOOKUP($C128,cbal!G$280:G$332,1,0))</f>
        <v/>
      </c>
      <c r="H128" s="1527" t="str">
        <f>IF(ISERROR(VLOOKUP($C128,cbal!H$280:H$332,1,0))=TRUE,"",VLOOKUP($C128,cbal!H$280:H$332,1,0))</f>
        <v/>
      </c>
      <c r="I128" s="1527" t="str">
        <f>IF(ISERROR(VLOOKUP($C128,cbal!I$280:I$332,1,0))=TRUE,"",VLOOKUP($C128,cbal!I$280:I$332,1,0))</f>
        <v/>
      </c>
      <c r="J128" s="1527" t="str">
        <f>IF(ISERROR(VLOOKUP($C128,cbal!J$280:J$332,1,0))=TRUE,"",VLOOKUP($C128,cbal!J$280:J$332,1,0))</f>
        <v/>
      </c>
    </row>
    <row r="129" spans="3:10">
      <c r="C129" s="376" t="s">
        <v>2287</v>
      </c>
      <c r="D129" s="1541" t="e">
        <f>VLOOKUP(C129,adj!$B$210:$C$872,2,0)</f>
        <v>#N/A</v>
      </c>
      <c r="E129" s="1527" t="str">
        <f>IF(ISERROR(VLOOKUP($C129,cbal!E$280:E$332,1,0))=TRUE,"",VLOOKUP($C129,cbal!E$280:E$332,1,0))</f>
        <v/>
      </c>
      <c r="F129" s="1527" t="str">
        <f>IF(ISERROR(VLOOKUP($C129,cbal!F$280:F$332,1,0))=TRUE,"",VLOOKUP($C129,cbal!F$280:F$332,1,0))</f>
        <v/>
      </c>
      <c r="G129" s="1527" t="str">
        <f>IF(ISERROR(VLOOKUP($C129,cbal!G$280:G$332,1,0))=TRUE,"",VLOOKUP($C129,cbal!G$280:G$332,1,0))</f>
        <v/>
      </c>
      <c r="H129" s="1527" t="str">
        <f>IF(ISERROR(VLOOKUP($C129,cbal!H$280:H$332,1,0))=TRUE,"",VLOOKUP($C129,cbal!H$280:H$332,1,0))</f>
        <v/>
      </c>
      <c r="I129" s="1527" t="str">
        <f>IF(ISERROR(VLOOKUP($C129,cbal!I$280:I$332,1,0))=TRUE,"",VLOOKUP($C129,cbal!I$280:I$332,1,0))</f>
        <v/>
      </c>
      <c r="J129" s="1527" t="str">
        <f>IF(ISERROR(VLOOKUP($C129,cbal!J$280:J$332,1,0))=TRUE,"",VLOOKUP($C129,cbal!J$280:J$332,1,0))</f>
        <v/>
      </c>
    </row>
    <row r="130" spans="3:10">
      <c r="C130" s="376" t="s">
        <v>3205</v>
      </c>
      <c r="D130" s="1541" t="str">
        <f>VLOOKUP(C130,adj!$B$210:$C$872,2,0)</f>
        <v>Market Research Study</v>
      </c>
      <c r="E130" s="1527" t="str">
        <f>IF(ISERROR(VLOOKUP($C130,cbal!E$280:E$332,1,0))=TRUE,"",VLOOKUP($C130,cbal!E$280:E$332,1,0))</f>
        <v/>
      </c>
      <c r="F130" s="1527" t="str">
        <f>IF(ISERROR(VLOOKUP($C130,cbal!F$280:F$332,1,0))=TRUE,"",VLOOKUP($C130,cbal!F$280:F$332,1,0))</f>
        <v/>
      </c>
      <c r="G130" s="1527" t="str">
        <f>IF(ISERROR(VLOOKUP($C130,cbal!G$280:G$332,1,0))=TRUE,"",VLOOKUP($C130,cbal!G$280:G$332,1,0))</f>
        <v/>
      </c>
      <c r="H130" s="1527" t="str">
        <f>IF(ISERROR(VLOOKUP($C130,cbal!H$280:H$332,1,0))=TRUE,"",VLOOKUP($C130,cbal!H$280:H$332,1,0))</f>
        <v/>
      </c>
      <c r="I130" s="1527" t="str">
        <f>IF(ISERROR(VLOOKUP($C130,cbal!I$280:I$332,1,0))=TRUE,"",VLOOKUP($C130,cbal!I$280:I$332,1,0))</f>
        <v/>
      </c>
      <c r="J130" s="1527" t="str">
        <f>IF(ISERROR(VLOOKUP($C130,cbal!J$280:J$332,1,0))=TRUE,"",VLOOKUP($C130,cbal!J$280:J$332,1,0))</f>
        <v/>
      </c>
    </row>
    <row r="131" spans="3:10">
      <c r="C131" s="376" t="s">
        <v>3624</v>
      </c>
      <c r="D131" s="1541" t="e">
        <f>VLOOKUP(C131,adj!$B$210:$C$872,2,0)</f>
        <v>#N/A</v>
      </c>
      <c r="E131" s="1527" t="str">
        <f>IF(ISERROR(VLOOKUP($C131,cbal!E$280:E$332,1,0))=TRUE,"",VLOOKUP($C131,cbal!E$280:E$332,1,0))</f>
        <v/>
      </c>
      <c r="F131" s="1527" t="str">
        <f>IF(ISERROR(VLOOKUP($C131,cbal!F$280:F$332,1,0))=TRUE,"",VLOOKUP($C131,cbal!F$280:F$332,1,0))</f>
        <v/>
      </c>
      <c r="G131" s="1527" t="str">
        <f>IF(ISERROR(VLOOKUP($C131,cbal!G$280:G$332,1,0))=TRUE,"",VLOOKUP($C131,cbal!G$280:G$332,1,0))</f>
        <v/>
      </c>
      <c r="H131" s="1527" t="str">
        <f>IF(ISERROR(VLOOKUP($C131,cbal!H$280:H$332,1,0))=TRUE,"",VLOOKUP($C131,cbal!H$280:H$332,1,0))</f>
        <v/>
      </c>
      <c r="I131" s="1527" t="str">
        <f>IF(ISERROR(VLOOKUP($C131,cbal!I$280:I$332,1,0))=TRUE,"",VLOOKUP($C131,cbal!I$280:I$332,1,0))</f>
        <v/>
      </c>
      <c r="J131" s="1527" t="str">
        <f>IF(ISERROR(VLOOKUP($C131,cbal!J$280:J$332,1,0))=TRUE,"",VLOOKUP($C131,cbal!J$280:J$332,1,0))</f>
        <v/>
      </c>
    </row>
  </sheetData>
  <mergeCells count="3">
    <mergeCell ref="A4:A43"/>
    <mergeCell ref="A44:A53"/>
    <mergeCell ref="A54:A77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dData">
    <tabColor indexed="55"/>
  </sheetPr>
  <dimension ref="A3:L113"/>
  <sheetViews>
    <sheetView workbookViewId="0">
      <selection activeCell="D21" sqref="D21"/>
    </sheetView>
  </sheetViews>
  <sheetFormatPr defaultRowHeight="11.25"/>
  <cols>
    <col min="2" max="2" width="8.83203125" customWidth="1"/>
    <col min="3" max="3" width="16.5" bestFit="1" customWidth="1"/>
    <col min="4" max="4" width="12.1640625" bestFit="1" customWidth="1"/>
    <col min="5" max="5" width="13.6640625" customWidth="1"/>
    <col min="6" max="6" width="11.1640625" bestFit="1" customWidth="1"/>
    <col min="7" max="9" width="12.1640625" customWidth="1"/>
    <col min="11" max="11" width="22" bestFit="1" customWidth="1"/>
    <col min="12" max="13" width="8.6640625" bestFit="1" customWidth="1"/>
    <col min="14" max="14" width="10.5" bestFit="1" customWidth="1"/>
  </cols>
  <sheetData>
    <row r="3" spans="1:12">
      <c r="A3" s="1684" t="s">
        <v>520</v>
      </c>
      <c r="B3" s="1685"/>
      <c r="C3" s="1685"/>
      <c r="D3" s="1685"/>
      <c r="E3" s="1685"/>
      <c r="G3" s="2628" t="s">
        <v>290</v>
      </c>
      <c r="H3" s="2628"/>
      <c r="I3" s="2628"/>
    </row>
    <row r="4" spans="1:12">
      <c r="A4" s="1686" t="s">
        <v>3558</v>
      </c>
      <c r="B4" s="1686" t="str">
        <f>DataNameProd1</f>
        <v>CSD</v>
      </c>
      <c r="C4" s="1687" t="str">
        <f>DataNameProd3</f>
        <v>NCB</v>
      </c>
      <c r="D4" s="1688" t="str">
        <f>DataNameProd4</f>
        <v>F&amp;S</v>
      </c>
      <c r="E4" s="1688" t="s">
        <v>2740</v>
      </c>
      <c r="G4" s="1690" t="s">
        <v>289</v>
      </c>
      <c r="H4" s="1691" t="s">
        <v>288</v>
      </c>
      <c r="I4" s="1692" t="s">
        <v>1709</v>
      </c>
    </row>
    <row r="5" spans="1:12">
      <c r="A5" s="1689" t="str">
        <f>"Year "&amp;tlInputTeamYear-1</f>
        <v>Year 0</v>
      </c>
      <c r="B5" s="1690">
        <f>INDEX(obalReg1Prod1Rev,xxIndexTeam)/$E5</f>
        <v>0.37017373488533517</v>
      </c>
      <c r="C5" s="1691">
        <f>INDEX(obalReg1Prod3Rev,xxIndexTeam)/$E5</f>
        <v>0.27765806697069845</v>
      </c>
      <c r="D5" s="1692">
        <f>INDEX(obalReg1Prod4Rev,xxIndexTeam)/$E5</f>
        <v>0.35216819814396638</v>
      </c>
      <c r="E5" s="1689">
        <f>INDEX(obalReg1Prod1Rev,xxIndexTeam)+INDEX(obalReg1Prod3Rev,xxIndexTeam)+INDEX(obalReg1Prod4Rev,xxIndexTeam)</f>
        <v>19227318184</v>
      </c>
      <c r="G5" s="1713">
        <f>IFERROR(STDEVP(analysis!$E20:$I20),0)</f>
        <v>0</v>
      </c>
      <c r="H5" s="1714">
        <f>IFERROR(AVERAGE(analysis!E20:I20)-MIN(analysis!E20:I20),0)</f>
        <v>0</v>
      </c>
      <c r="I5" s="1715">
        <f>IFERROR(AVERAGE(analysis!E20:I20)-(MIN(analysis!E20:I20)-STDEVP(analysis!E20:I20)),0)</f>
        <v>0</v>
      </c>
    </row>
    <row r="6" spans="1:12">
      <c r="A6" s="1693" t="str">
        <f>"Year "&amp;tlInputTeamYear</f>
        <v>Year 1</v>
      </c>
      <c r="B6" s="1694">
        <f>INDEX(finPNLReg1Prod1Rev,xxIndexTeam)/$E6</f>
        <v>0.36757687931932231</v>
      </c>
      <c r="C6" s="1695">
        <f>INDEX(finPNLReg1Prod3Rev,xxIndexTeam)/$E6</f>
        <v>0.27919316535442124</v>
      </c>
      <c r="D6" s="1696">
        <f>INDEX(finPNLReg1Prod4Rev,xxIndexTeam)/$E6</f>
        <v>0.35322995532625651</v>
      </c>
      <c r="E6" s="1693">
        <f>INDEX(finPNLReg1Prod1Rev,xxIndexTeam)+INDEX(finPNLReg1Prod3Rev,xxIndexTeam)+INDEX(finPNLReg1Prod4Rev,xxIndexTeam)</f>
        <v>19169523699.5</v>
      </c>
      <c r="G6" s="1713">
        <f ca="1">IFERROR(STDEVP(analysis!$E23:$I23),0)</f>
        <v>0</v>
      </c>
      <c r="H6" s="1714">
        <f ca="1">IFERROR(AVERAGE(analysis!E23:I23)-MIN(analysis!E23:I23),0)</f>
        <v>0</v>
      </c>
      <c r="I6" s="1715">
        <f ca="1">IFERROR(AVERAGE(analysis!E23:I23)-(MIN(analysis!E23:I23)-STDEVP(analysis!E23:I23)),0)</f>
        <v>0</v>
      </c>
    </row>
    <row r="7" spans="1:12">
      <c r="A7" s="1697" t="s">
        <v>3557</v>
      </c>
      <c r="B7" s="1686" t="str">
        <f>DataNameProd1</f>
        <v>CSD</v>
      </c>
      <c r="C7" s="1687" t="str">
        <f>DataNameProd3</f>
        <v>NCB</v>
      </c>
      <c r="D7" s="1688" t="str">
        <f>DataNameProd4</f>
        <v>F&amp;S</v>
      </c>
      <c r="E7" s="1688" t="s">
        <v>2740</v>
      </c>
      <c r="G7" s="1694">
        <f ca="1">IFERROR(STDEVP(analysis!$E27:$I27),0)</f>
        <v>0</v>
      </c>
      <c r="H7" s="1716">
        <f ca="1">IFERROR(AVERAGE(analysis!E27:I27)-MIN(analysis!E27:I27),0)</f>
        <v>0</v>
      </c>
      <c r="I7" s="1717">
        <f ca="1">IFERROR(AVERAGE(analysis!E27:I27)-(MIN(analysis!E27:I27)-STDEVP(analysis!E27:I27)),0)</f>
        <v>0</v>
      </c>
    </row>
    <row r="8" spans="1:12">
      <c r="A8" s="1689" t="str">
        <f>"Year "&amp;tlInputTeamYear-1</f>
        <v>Year 0</v>
      </c>
      <c r="B8" s="1690">
        <f>INDEX(obalReg2Prod1Rev,xxIndexTeam)/$E8</f>
        <v>0.3570580802780855</v>
      </c>
      <c r="C8" s="1691">
        <f>INDEX(obalReg2Prod3Rev,xxIndexTeam)/$E8</f>
        <v>0.34681368712470828</v>
      </c>
      <c r="D8" s="1692">
        <f>INDEX(obalReg2Prod4Rev,xxIndexTeam)/$E8</f>
        <v>0.29612823259720622</v>
      </c>
      <c r="E8" s="1689">
        <f>INDEX(obalReg2Prod1Rev,xxIndexTeam)+INDEX(obalReg2Prod3Rev,xxIndexTeam)+INDEX(obalReg2Prod4Rev,xxIndexTeam)</f>
        <v>6838253760</v>
      </c>
    </row>
    <row r="9" spans="1:12">
      <c r="A9" s="1693" t="str">
        <f>"Year "&amp;tlInputTeamYear</f>
        <v>Year 1</v>
      </c>
      <c r="B9" s="1694">
        <f>INDEX(finPNLReg2Prod1Rev,xxIndexTeam)/$E9</f>
        <v>0.35820210538393138</v>
      </c>
      <c r="C9" s="1695">
        <f>INDEX(finPNLReg2Prod3Rev,xxIndexTeam)/$E9</f>
        <v>0.35137538364455151</v>
      </c>
      <c r="D9" s="1696">
        <f>INDEX(finPNLReg2Prod4Rev,xxIndexTeam)/$E9</f>
        <v>0.29042251097151706</v>
      </c>
      <c r="E9" s="1693">
        <f>INDEX(finPNLReg2Prod1Rev,xxIndexTeam)+INDEX(finPNLReg2Prod3Rev,xxIndexTeam)+INDEX(finPNLReg2Prod4Rev,xxIndexTeam)</f>
        <v>6972600000</v>
      </c>
    </row>
    <row r="12" spans="1:12">
      <c r="B12" s="1684" t="s">
        <v>519</v>
      </c>
      <c r="C12" s="1685"/>
      <c r="D12" s="1685"/>
      <c r="E12" s="1685"/>
    </row>
    <row r="13" spans="1:12" ht="12" thickBot="1">
      <c r="B13" s="1685"/>
      <c r="C13" s="1686" t="str">
        <f>DataNameProd1</f>
        <v>CSD</v>
      </c>
      <c r="D13" s="1687" t="str">
        <f>DataNameProd3</f>
        <v>NCB</v>
      </c>
      <c r="E13" s="1688" t="str">
        <f>DataNameProd4</f>
        <v>F&amp;S</v>
      </c>
      <c r="K13" s="1707" t="s">
        <v>3362</v>
      </c>
      <c r="L13" s="1685"/>
    </row>
    <row r="14" spans="1:12">
      <c r="B14" s="1686" t="s">
        <v>3558</v>
      </c>
      <c r="C14" s="1690">
        <f>tlInputProd1Adv+tlInputProd1Promo</f>
        <v>1860</v>
      </c>
      <c r="D14" s="1691">
        <f>tlInputProd3Adv+tlInputProd3Promo</f>
        <v>1350</v>
      </c>
      <c r="E14" s="1692">
        <f>tlInputProd4Adv+tlInputProd4Promo</f>
        <v>1085</v>
      </c>
      <c r="K14" s="2487" t="s">
        <v>4779</v>
      </c>
      <c r="L14" s="1708">
        <f>INDEX(capChanCustMTUs,xxIndexTeam)</f>
        <v>6</v>
      </c>
    </row>
    <row r="15" spans="1:12">
      <c r="B15" s="1685"/>
      <c r="C15" s="1686" t="str">
        <f>DataNameProd1</f>
        <v>CSD</v>
      </c>
      <c r="D15" s="1687" t="str">
        <f>DataNameProd3</f>
        <v>NCB</v>
      </c>
      <c r="E15" s="1688" t="str">
        <f>DataNameProd4</f>
        <v>F&amp;S</v>
      </c>
      <c r="K15" s="1709" t="s">
        <v>3364</v>
      </c>
      <c r="L15" s="1710">
        <f>INDEX(capChanPenMTUs,xxIndexTeam)</f>
        <v>0</v>
      </c>
    </row>
    <row r="16" spans="1:12">
      <c r="B16" s="1697" t="s">
        <v>3557</v>
      </c>
      <c r="C16" s="1690">
        <f>tlInputProd1AdvR2+tlInputProd1PromoR2</f>
        <v>275</v>
      </c>
      <c r="D16" s="1691">
        <f>tlInputProd3AdvR2+tlInputProd3PromoR2</f>
        <v>230</v>
      </c>
      <c r="E16" s="1692">
        <f>tlInputProd4AdvR2+tlInputProd4PromoR2</f>
        <v>147</v>
      </c>
      <c r="K16" s="1709" t="s">
        <v>172</v>
      </c>
      <c r="L16" s="1710">
        <f>INDEX(capTotRnDMTUs,xxIndexTeam)</f>
        <v>0</v>
      </c>
    </row>
    <row r="17" spans="2:12">
      <c r="K17" s="1709" t="s">
        <v>1843</v>
      </c>
      <c r="L17" s="1710">
        <f>INDEX(capPlantCapMTUs,xxIndexTeam)+INDEX(capPlantFlexMTUs,xxIndexTeam)</f>
        <v>4</v>
      </c>
    </row>
    <row r="18" spans="2:12" ht="12" thickBot="1">
      <c r="B18" s="1685" t="s">
        <v>518</v>
      </c>
      <c r="C18" s="1685"/>
      <c r="D18" s="1685"/>
      <c r="K18" s="1709" t="s">
        <v>3365</v>
      </c>
      <c r="L18" s="1710">
        <f>INDEX(capEmpDevMTUs,xxIndexTeam)+INDEX(capRecruitingMTUs,xxIndexTeam)</f>
        <v>14</v>
      </c>
    </row>
    <row r="19" spans="2:12">
      <c r="B19" s="1698"/>
      <c r="C19" s="1699" t="s">
        <v>3450</v>
      </c>
      <c r="D19" s="1700" t="s">
        <v>3093</v>
      </c>
      <c r="K19" s="1709" t="s">
        <v>3363</v>
      </c>
      <c r="L19" s="1710">
        <f>INDEX(capITinvestMTUs,xxIndexTeam)</f>
        <v>2</v>
      </c>
    </row>
    <row r="20" spans="2:12" ht="12" thickBot="1">
      <c r="B20" s="1701" t="s">
        <v>1843</v>
      </c>
      <c r="C20" s="1702">
        <f ca="1">INDEX(capPlant1HoursAvail,xxIndexTeam)</f>
        <v>4273290</v>
      </c>
      <c r="D20" s="1703">
        <f ca="1">INDEX(capPlant1Utiliz,xxIndexTeam)</f>
        <v>0.91400000000000003</v>
      </c>
      <c r="K20" s="1711" t="s">
        <v>1945</v>
      </c>
      <c r="L20" s="1712">
        <f>INDEX(capInitsMTUs,xxIndexTeam)</f>
        <v>0</v>
      </c>
    </row>
    <row r="21" spans="2:12" ht="12" thickBot="1">
      <c r="B21" s="1704" t="s">
        <v>1287</v>
      </c>
      <c r="C21" s="1705">
        <f>INDEX(capEmp3HoursAvail,xxIndexTeam)</f>
        <v>202106919</v>
      </c>
      <c r="D21" s="1706">
        <f>INDEX(capEmp3Utiliz,xxIndexTeam)</f>
        <v>1.0371559793673131</v>
      </c>
    </row>
    <row r="26" spans="2:12" ht="12" thickBot="1">
      <c r="B26" s="1685" t="s">
        <v>521</v>
      </c>
      <c r="C26" s="1685"/>
      <c r="D26" s="1685"/>
      <c r="E26" s="1685"/>
      <c r="F26" s="1685"/>
      <c r="G26" s="1685"/>
      <c r="H26" s="1685"/>
      <c r="I26" s="1685"/>
      <c r="J26" s="1685"/>
    </row>
    <row r="27" spans="2:12">
      <c r="B27" s="1718" t="s">
        <v>1863</v>
      </c>
      <c r="C27" s="1699"/>
      <c r="D27" s="1699"/>
      <c r="E27" s="1719">
        <f>SUM(E28:E39)</f>
        <v>0</v>
      </c>
      <c r="F27" s="1719">
        <f>SUM(F28:F39)</f>
        <v>0</v>
      </c>
      <c r="G27" s="1719">
        <f>SUM(G28:G39)</f>
        <v>0</v>
      </c>
      <c r="H27" s="1719">
        <f>SUM(H28:H39)</f>
        <v>0</v>
      </c>
      <c r="I27" s="1720">
        <f>SUM(I28:I39)</f>
        <v>0</v>
      </c>
      <c r="J27" s="1685"/>
    </row>
    <row r="28" spans="2:12">
      <c r="B28" s="1709" t="s">
        <v>504</v>
      </c>
      <c r="C28" s="1721" t="s">
        <v>2433</v>
      </c>
      <c r="D28" s="1721"/>
      <c r="E28" s="1722">
        <f>IFERROR(INDEX(DataPage!$J$318:$J$337,MATCH(cbal!E304,DataPage!$I$318:$I$337,0)),0)</f>
        <v>0</v>
      </c>
      <c r="F28" s="1722">
        <f>IFERROR(INDEX(DataPage!$J$318:$J$337,MATCH(cbal!F304,DataPage!$I$318:$I$337,0)),0)</f>
        <v>0</v>
      </c>
      <c r="G28" s="1722">
        <f>IFERROR(INDEX(DataPage!$J$318:$J$337,MATCH(cbal!G304,DataPage!$I$318:$I$337,0)),0)</f>
        <v>0</v>
      </c>
      <c r="H28" s="1722">
        <f>IFERROR(INDEX(DataPage!$J$318:$J$337,MATCH(cbal!H304,DataPage!$I$318:$I$337,0)),0)</f>
        <v>0</v>
      </c>
      <c r="I28" s="1723">
        <f>IFERROR(INDEX(DataPage!$J$318:$J$337,MATCH(cbal!I304,DataPage!$I$318:$I$337,0)),0)</f>
        <v>0</v>
      </c>
      <c r="J28" s="1685"/>
    </row>
    <row r="29" spans="2:12">
      <c r="B29" s="1709" t="s">
        <v>504</v>
      </c>
      <c r="C29" s="1721" t="s">
        <v>2434</v>
      </c>
      <c r="D29" s="1721"/>
      <c r="E29" s="1722">
        <f>IFERROR(INDEX(DataPage!$J$318:$J$337,MATCH(cbal!E305,DataPage!$I$318:$I$337,0)),0)</f>
        <v>0</v>
      </c>
      <c r="F29" s="1722">
        <f>IFERROR(INDEX(DataPage!$J$318:$J$337,MATCH(cbal!F305,DataPage!$I$318:$I$337,0)),0)</f>
        <v>0</v>
      </c>
      <c r="G29" s="1722">
        <f>IFERROR(INDEX(DataPage!$J$318:$J$337,MATCH(cbal!G305,DataPage!$I$318:$I$337,0)),0)</f>
        <v>0</v>
      </c>
      <c r="H29" s="1722">
        <f>IFERROR(INDEX(DataPage!$J$318:$J$337,MATCH(cbal!H305,DataPage!$I$318:$I$337,0)),0)</f>
        <v>0</v>
      </c>
      <c r="I29" s="1723">
        <f>IFERROR(INDEX(DataPage!$J$318:$J$337,MATCH(cbal!I305,DataPage!$I$318:$I$337,0)),0)</f>
        <v>0</v>
      </c>
      <c r="J29" s="1685"/>
    </row>
    <row r="30" spans="2:12">
      <c r="B30" s="1709" t="s">
        <v>504</v>
      </c>
      <c r="C30" s="1721" t="s">
        <v>2435</v>
      </c>
      <c r="D30" s="1721"/>
      <c r="E30" s="1722">
        <f>IFERROR(INDEX(DataPage!$J$318:$J$337,MATCH(cbal!E306,DataPage!$I$318:$I$337,0)),0)</f>
        <v>0</v>
      </c>
      <c r="F30" s="1722">
        <f>IFERROR(INDEX(DataPage!$J$318:$J$337,MATCH(cbal!F306,DataPage!$I$318:$I$337,0)),0)</f>
        <v>0</v>
      </c>
      <c r="G30" s="1722">
        <f>IFERROR(INDEX(DataPage!$J$318:$J$337,MATCH(cbal!G306,DataPage!$I$318:$I$337,0)),0)</f>
        <v>0</v>
      </c>
      <c r="H30" s="1722">
        <f>IFERROR(INDEX(DataPage!$J$318:$J$337,MATCH(cbal!H306,DataPage!$I$318:$I$337,0)),0)</f>
        <v>0</v>
      </c>
      <c r="I30" s="1723">
        <f>IFERROR(INDEX(DataPage!$J$318:$J$337,MATCH(cbal!I306,DataPage!$I$318:$I$337,0)),0)</f>
        <v>0</v>
      </c>
      <c r="J30" s="1685"/>
    </row>
    <row r="31" spans="2:12">
      <c r="B31" s="1709" t="s">
        <v>504</v>
      </c>
      <c r="C31" s="1721" t="s">
        <v>2436</v>
      </c>
      <c r="D31" s="1721"/>
      <c r="E31" s="1722">
        <f>IFERROR(INDEX(DataPage!$J$318:$J$337,MATCH(cbal!E307,DataPage!$I$318:$I$337,0)),0)</f>
        <v>0</v>
      </c>
      <c r="F31" s="1722">
        <f>IFERROR(INDEX(DataPage!$J$318:$J$337,MATCH(cbal!F307,DataPage!$I$318:$I$337,0)),0)</f>
        <v>0</v>
      </c>
      <c r="G31" s="1722">
        <f>IFERROR(INDEX(DataPage!$J$318:$J$337,MATCH(cbal!G307,DataPage!$I$318:$I$337,0)),0)</f>
        <v>0</v>
      </c>
      <c r="H31" s="1722">
        <f>IFERROR(INDEX(DataPage!$J$318:$J$337,MATCH(cbal!H307,DataPage!$I$318:$I$337,0)),0)</f>
        <v>0</v>
      </c>
      <c r="I31" s="1723">
        <f>IFERROR(INDEX(DataPage!$J$318:$J$337,MATCH(cbal!I307,DataPage!$I$318:$I$337,0)),0)</f>
        <v>0</v>
      </c>
      <c r="J31" s="1685"/>
    </row>
    <row r="32" spans="2:12">
      <c r="B32" s="1709" t="s">
        <v>503</v>
      </c>
      <c r="C32" s="1721" t="s">
        <v>2433</v>
      </c>
      <c r="D32" s="1721"/>
      <c r="E32" s="1722">
        <f>IFERROR(INDEX(DataPage!$J$318:$J$337,MATCH(cbal!E308,DataPage!$I$318:$I$337,0)),0)</f>
        <v>0</v>
      </c>
      <c r="F32" s="1722">
        <f>IFERROR(INDEX(DataPage!$J$318:$J$337,MATCH(cbal!F308,DataPage!$I$318:$I$337,0)),0)</f>
        <v>0</v>
      </c>
      <c r="G32" s="1722">
        <f>IFERROR(INDEX(DataPage!$J$318:$J$337,MATCH(cbal!G308,DataPage!$I$318:$I$337,0)),0)</f>
        <v>0</v>
      </c>
      <c r="H32" s="1722">
        <f>IFERROR(INDEX(DataPage!$J$318:$J$337,MATCH(cbal!H308,DataPage!$I$318:$I$337,0)),0)</f>
        <v>0</v>
      </c>
      <c r="I32" s="1723">
        <f>IFERROR(INDEX(DataPage!$J$318:$J$337,MATCH(cbal!I308,DataPage!$I$318:$I$337,0)),0)</f>
        <v>0</v>
      </c>
      <c r="J32" s="1685"/>
    </row>
    <row r="33" spans="2:10">
      <c r="B33" s="1709" t="s">
        <v>503</v>
      </c>
      <c r="C33" s="1721" t="s">
        <v>2434</v>
      </c>
      <c r="D33" s="1721"/>
      <c r="E33" s="1722">
        <f>IFERROR(INDEX(DataPage!$J$318:$J$337,MATCH(cbal!E309,DataPage!$I$318:$I$337,0)),0)</f>
        <v>0</v>
      </c>
      <c r="F33" s="1722">
        <f>IFERROR(INDEX(DataPage!$J$318:$J$337,MATCH(cbal!F309,DataPage!$I$318:$I$337,0)),0)</f>
        <v>0</v>
      </c>
      <c r="G33" s="1722">
        <f>IFERROR(INDEX(DataPage!$J$318:$J$337,MATCH(cbal!G309,DataPage!$I$318:$I$337,0)),0)</f>
        <v>0</v>
      </c>
      <c r="H33" s="1722">
        <f>IFERROR(INDEX(DataPage!$J$318:$J$337,MATCH(cbal!H309,DataPage!$I$318:$I$337,0)),0)</f>
        <v>0</v>
      </c>
      <c r="I33" s="1723">
        <f>IFERROR(INDEX(DataPage!$J$318:$J$337,MATCH(cbal!I309,DataPage!$I$318:$I$337,0)),0)</f>
        <v>0</v>
      </c>
      <c r="J33" s="1685"/>
    </row>
    <row r="34" spans="2:10">
      <c r="B34" s="1709" t="s">
        <v>503</v>
      </c>
      <c r="C34" s="1721" t="s">
        <v>2435</v>
      </c>
      <c r="D34" s="1721"/>
      <c r="E34" s="1722">
        <f>IFERROR(INDEX(DataPage!$J$318:$J$337,MATCH(cbal!E310,DataPage!$I$318:$I$337,0)),0)</f>
        <v>0</v>
      </c>
      <c r="F34" s="1722">
        <f>IFERROR(INDEX(DataPage!$J$318:$J$337,MATCH(cbal!F310,DataPage!$I$318:$I$337,0)),0)</f>
        <v>0</v>
      </c>
      <c r="G34" s="1722">
        <f>IFERROR(INDEX(DataPage!$J$318:$J$337,MATCH(cbal!G310,DataPage!$I$318:$I$337,0)),0)</f>
        <v>0</v>
      </c>
      <c r="H34" s="1722">
        <f>IFERROR(INDEX(DataPage!$J$318:$J$337,MATCH(cbal!H310,DataPage!$I$318:$I$337,0)),0)</f>
        <v>0</v>
      </c>
      <c r="I34" s="1723">
        <f>IFERROR(INDEX(DataPage!$J$318:$J$337,MATCH(cbal!I310,DataPage!$I$318:$I$337,0)),0)</f>
        <v>0</v>
      </c>
      <c r="J34" s="1685"/>
    </row>
    <row r="35" spans="2:10">
      <c r="B35" s="1709" t="s">
        <v>503</v>
      </c>
      <c r="C35" s="1721" t="s">
        <v>2436</v>
      </c>
      <c r="D35" s="1721"/>
      <c r="E35" s="1722">
        <f>IFERROR(INDEX(DataPage!$J$318:$J$337,MATCH(cbal!E311,DataPage!$I$318:$I$337,0)),0)</f>
        <v>0</v>
      </c>
      <c r="F35" s="1722">
        <f>IFERROR(INDEX(DataPage!$J$318:$J$337,MATCH(cbal!F311,DataPage!$I$318:$I$337,0)),0)</f>
        <v>0</v>
      </c>
      <c r="G35" s="1722">
        <f>IFERROR(INDEX(DataPage!$J$318:$J$337,MATCH(cbal!G311,DataPage!$I$318:$I$337,0)),0)</f>
        <v>0</v>
      </c>
      <c r="H35" s="1722">
        <f>IFERROR(INDEX(DataPage!$J$318:$J$337,MATCH(cbal!H311,DataPage!$I$318:$I$337,0)),0)</f>
        <v>0</v>
      </c>
      <c r="I35" s="1723">
        <f>IFERROR(INDEX(DataPage!$J$318:$J$337,MATCH(cbal!I311,DataPage!$I$318:$I$337,0)),0)</f>
        <v>0</v>
      </c>
      <c r="J35" s="1685"/>
    </row>
    <row r="36" spans="2:10">
      <c r="B36" s="1709" t="s">
        <v>513</v>
      </c>
      <c r="C36" s="1721" t="s">
        <v>2433</v>
      </c>
      <c r="D36" s="1721"/>
      <c r="E36" s="1722">
        <f>IFERROR(INDEX(DataPage!$J$318:$J$337,MATCH(cbal!E312,DataPage!$I$318:$I$337,0)),0)</f>
        <v>0</v>
      </c>
      <c r="F36" s="1722">
        <f>IFERROR(INDEX(DataPage!$J$318:$J$337,MATCH(cbal!F312,DataPage!$I$318:$I$337,0)),0)</f>
        <v>0</v>
      </c>
      <c r="G36" s="1722">
        <f>IFERROR(INDEX(DataPage!$J$318:$J$337,MATCH(cbal!G312,DataPage!$I$318:$I$337,0)),0)</f>
        <v>0</v>
      </c>
      <c r="H36" s="1722">
        <f>IFERROR(INDEX(DataPage!$J$318:$J$337,MATCH(cbal!H312,DataPage!$I$318:$I$337,0)),0)</f>
        <v>0</v>
      </c>
      <c r="I36" s="1723">
        <f>IFERROR(INDEX(DataPage!$J$318:$J$337,MATCH(cbal!I312,DataPage!$I$318:$I$337,0)),0)</f>
        <v>0</v>
      </c>
      <c r="J36" s="1685"/>
    </row>
    <row r="37" spans="2:10">
      <c r="B37" s="1709" t="s">
        <v>513</v>
      </c>
      <c r="C37" s="1721" t="s">
        <v>2434</v>
      </c>
      <c r="D37" s="1721"/>
      <c r="E37" s="1722">
        <f>IFERROR(INDEX(DataPage!$J$318:$J$337,MATCH(cbal!E313,DataPage!$I$318:$I$337,0)),0)</f>
        <v>0</v>
      </c>
      <c r="F37" s="1722">
        <f>IFERROR(INDEX(DataPage!$J$318:$J$337,MATCH(cbal!F313,DataPage!$I$318:$I$337,0)),0)</f>
        <v>0</v>
      </c>
      <c r="G37" s="1722">
        <f>IFERROR(INDEX(DataPage!$J$318:$J$337,MATCH(cbal!G313,DataPage!$I$318:$I$337,0)),0)</f>
        <v>0</v>
      </c>
      <c r="H37" s="1722">
        <f>IFERROR(INDEX(DataPage!$J$318:$J$337,MATCH(cbal!H313,DataPage!$I$318:$I$337,0)),0)</f>
        <v>0</v>
      </c>
      <c r="I37" s="1723">
        <f>IFERROR(INDEX(DataPage!$J$318:$J$337,MATCH(cbal!I313,DataPage!$I$318:$I$337,0)),0)</f>
        <v>0</v>
      </c>
      <c r="J37" s="1685"/>
    </row>
    <row r="38" spans="2:10">
      <c r="B38" s="1709" t="s">
        <v>513</v>
      </c>
      <c r="C38" s="1721" t="s">
        <v>2435</v>
      </c>
      <c r="D38" s="1721"/>
      <c r="E38" s="1722">
        <f>IFERROR(INDEX(DataPage!$J$318:$J$337,MATCH(cbal!E314,DataPage!$I$318:$I$337,0)),0)</f>
        <v>0</v>
      </c>
      <c r="F38" s="1722">
        <f>IFERROR(INDEX(DataPage!$J$318:$J$337,MATCH(cbal!F314,DataPage!$I$318:$I$337,0)),0)</f>
        <v>0</v>
      </c>
      <c r="G38" s="1722">
        <f>IFERROR(INDEX(DataPage!$J$318:$J$337,MATCH(cbal!G314,DataPage!$I$318:$I$337,0)),0)</f>
        <v>0</v>
      </c>
      <c r="H38" s="1722">
        <f>IFERROR(INDEX(DataPage!$J$318:$J$337,MATCH(cbal!H314,DataPage!$I$318:$I$337,0)),0)</f>
        <v>0</v>
      </c>
      <c r="I38" s="1723">
        <f>IFERROR(INDEX(DataPage!$J$318:$J$337,MATCH(cbal!I314,DataPage!$I$318:$I$337,0)),0)</f>
        <v>0</v>
      </c>
      <c r="J38" s="1685"/>
    </row>
    <row r="39" spans="2:10">
      <c r="B39" s="1709" t="s">
        <v>513</v>
      </c>
      <c r="C39" s="1721" t="s">
        <v>2436</v>
      </c>
      <c r="D39" s="1721"/>
      <c r="E39" s="1722">
        <f>IFERROR(INDEX(DataPage!$J$318:$J$337,MATCH(cbal!E315,DataPage!$I$318:$I$337,0)),0)</f>
        <v>0</v>
      </c>
      <c r="F39" s="1722">
        <f>IFERROR(INDEX(DataPage!$J$318:$J$337,MATCH(cbal!F315,DataPage!$I$318:$I$337,0)),0)</f>
        <v>0</v>
      </c>
      <c r="G39" s="1722">
        <f>IFERROR(INDEX(DataPage!$J$318:$J$337,MATCH(cbal!G315,DataPage!$I$318:$I$337,0)),0)</f>
        <v>0</v>
      </c>
      <c r="H39" s="1722">
        <f>IFERROR(INDEX(DataPage!$J$318:$J$337,MATCH(cbal!H315,DataPage!$I$318:$I$337,0)),0)</f>
        <v>0</v>
      </c>
      <c r="I39" s="1723">
        <f>IFERROR(INDEX(DataPage!$J$318:$J$337,MATCH(cbal!I315,DataPage!$I$318:$I$337,0)),0)</f>
        <v>0</v>
      </c>
      <c r="J39" s="1685"/>
    </row>
    <row r="40" spans="2:10">
      <c r="B40" s="1724" t="s">
        <v>3809</v>
      </c>
      <c r="C40" s="1725"/>
      <c r="D40" s="1721"/>
      <c r="E40" s="1722"/>
      <c r="F40" s="1722"/>
      <c r="G40" s="1722"/>
      <c r="H40" s="1722"/>
      <c r="I40" s="1723"/>
      <c r="J40" s="1685"/>
    </row>
    <row r="41" spans="2:10">
      <c r="B41" s="1709" t="s">
        <v>504</v>
      </c>
      <c r="C41" s="1721" t="s">
        <v>2433</v>
      </c>
      <c r="D41" s="1721"/>
      <c r="E41" s="1722">
        <f>IFERROR(INDEX(DataPage!$H$318:$H$337,MATCH(cbal!E304,DataPage!$I$318:$I$337,0)),0)</f>
        <v>0</v>
      </c>
      <c r="F41" s="1722">
        <f>IFERROR(INDEX(DataPage!$H$318:$H$337,MATCH(cbal!F304,DataPage!$I$318:$I$337,0)),0)</f>
        <v>0</v>
      </c>
      <c r="G41" s="1722">
        <f>IFERROR(INDEX(DataPage!$H$318:$H$337,MATCH(cbal!G304,DataPage!$I$318:$I$337,0)),0)</f>
        <v>0</v>
      </c>
      <c r="H41" s="1722">
        <f>IFERROR(INDEX(DataPage!$H$318:$H$337,MATCH(cbal!H304,DataPage!$I$318:$I$337,0)),0)</f>
        <v>0</v>
      </c>
      <c r="I41" s="1723">
        <f>IFERROR(INDEX(DataPage!$H$318:$H$337,MATCH(cbal!I304,DataPage!$I$318:$I$337,0)),0)</f>
        <v>0</v>
      </c>
      <c r="J41" s="1685"/>
    </row>
    <row r="42" spans="2:10">
      <c r="B42" s="1709" t="s">
        <v>504</v>
      </c>
      <c r="C42" s="1721" t="s">
        <v>2434</v>
      </c>
      <c r="D42" s="1721"/>
      <c r="E42" s="1722">
        <f>IFERROR(INDEX(DataPage!$H$318:$H$337,MATCH(cbal!E305,DataPage!$I$318:$I$337,0)),0)</f>
        <v>0</v>
      </c>
      <c r="F42" s="1722">
        <f>IFERROR(INDEX(DataPage!$H$318:$H$337,MATCH(cbal!F305,DataPage!$I$318:$I$337,0)),0)</f>
        <v>0</v>
      </c>
      <c r="G42" s="1722">
        <f>IFERROR(INDEX(DataPage!$H$318:$H$337,MATCH(cbal!G305,DataPage!$I$318:$I$337,0)),0)</f>
        <v>0</v>
      </c>
      <c r="H42" s="1722">
        <f>IFERROR(INDEX(DataPage!$H$318:$H$337,MATCH(cbal!H305,DataPage!$I$318:$I$337,0)),0)</f>
        <v>0</v>
      </c>
      <c r="I42" s="1723">
        <f>IFERROR(INDEX(DataPage!$H$318:$H$337,MATCH(cbal!I305,DataPage!$I$318:$I$337,0)),0)</f>
        <v>0</v>
      </c>
      <c r="J42" s="1685"/>
    </row>
    <row r="43" spans="2:10">
      <c r="B43" s="1709" t="s">
        <v>504</v>
      </c>
      <c r="C43" s="1721" t="s">
        <v>2435</v>
      </c>
      <c r="D43" s="1721"/>
      <c r="E43" s="1722">
        <f>IFERROR(INDEX(DataPage!$H$318:$H$337,MATCH(cbal!E306,DataPage!$I$318:$I$337,0)),0)</f>
        <v>0</v>
      </c>
      <c r="F43" s="1722">
        <f>IFERROR(INDEX(DataPage!$H$318:$H$337,MATCH(cbal!F306,DataPage!$I$318:$I$337,0)),0)</f>
        <v>0</v>
      </c>
      <c r="G43" s="1722">
        <f>IFERROR(INDEX(DataPage!$H$318:$H$337,MATCH(cbal!G306,DataPage!$I$318:$I$337,0)),0)</f>
        <v>0</v>
      </c>
      <c r="H43" s="1722">
        <f>IFERROR(INDEX(DataPage!$H$318:$H$337,MATCH(cbal!H306,DataPage!$I$318:$I$337,0)),0)</f>
        <v>0</v>
      </c>
      <c r="I43" s="1723">
        <f>IFERROR(INDEX(DataPage!$H$318:$H$337,MATCH(cbal!I306,DataPage!$I$318:$I$337,0)),0)</f>
        <v>0</v>
      </c>
      <c r="J43" s="1685"/>
    </row>
    <row r="44" spans="2:10">
      <c r="B44" s="1709" t="s">
        <v>504</v>
      </c>
      <c r="C44" s="1721" t="s">
        <v>2436</v>
      </c>
      <c r="D44" s="1721"/>
      <c r="E44" s="1722">
        <f>IFERROR(INDEX(DataPage!$H$318:$H$337,MATCH(cbal!E307,DataPage!$I$318:$I$337,0)),0)</f>
        <v>0</v>
      </c>
      <c r="F44" s="1722">
        <f>IFERROR(INDEX(DataPage!$H$318:$H$337,MATCH(cbal!F307,DataPage!$I$318:$I$337,0)),0)</f>
        <v>0</v>
      </c>
      <c r="G44" s="1722">
        <f>IFERROR(INDEX(DataPage!$H$318:$H$337,MATCH(cbal!G307,DataPage!$I$318:$I$337,0)),0)</f>
        <v>0</v>
      </c>
      <c r="H44" s="1722">
        <f>IFERROR(INDEX(DataPage!$H$318:$H$337,MATCH(cbal!H307,DataPage!$I$318:$I$337,0)),0)</f>
        <v>0</v>
      </c>
      <c r="I44" s="1723">
        <f>IFERROR(INDEX(DataPage!$H$318:$H$337,MATCH(cbal!I307,DataPage!$I$318:$I$337,0)),0)</f>
        <v>0</v>
      </c>
      <c r="J44" s="1685"/>
    </row>
    <row r="45" spans="2:10">
      <c r="B45" s="1709" t="s">
        <v>503</v>
      </c>
      <c r="C45" s="1721" t="s">
        <v>2433</v>
      </c>
      <c r="D45" s="1721"/>
      <c r="E45" s="1722">
        <f>IFERROR(INDEX(DataPage!$H$318:$H$337,MATCH(cbal!E308,DataPage!$I$318:$I$337,0)),0)</f>
        <v>0</v>
      </c>
      <c r="F45" s="1722">
        <f>IFERROR(INDEX(DataPage!$H$318:$H$337,MATCH(cbal!F308,DataPage!$I$318:$I$337,0)),0)</f>
        <v>0</v>
      </c>
      <c r="G45" s="1722">
        <f>IFERROR(INDEX(DataPage!$H$318:$H$337,MATCH(cbal!G308,DataPage!$I$318:$I$337,0)),0)</f>
        <v>0</v>
      </c>
      <c r="H45" s="1722">
        <f>IFERROR(INDEX(DataPage!$H$318:$H$337,MATCH(cbal!H308,DataPage!$I$318:$I$337,0)),0)</f>
        <v>0</v>
      </c>
      <c r="I45" s="1723">
        <f>IFERROR(INDEX(DataPage!$H$318:$H$337,MATCH(cbal!I308,DataPage!$I$318:$I$337,0)),0)</f>
        <v>0</v>
      </c>
      <c r="J45" s="1685"/>
    </row>
    <row r="46" spans="2:10">
      <c r="B46" s="1709" t="s">
        <v>503</v>
      </c>
      <c r="C46" s="1721" t="s">
        <v>2434</v>
      </c>
      <c r="D46" s="1721"/>
      <c r="E46" s="1722">
        <f>IFERROR(INDEX(DataPage!$H$318:$H$337,MATCH(cbal!E309,DataPage!$I$318:$I$337,0)),0)</f>
        <v>0</v>
      </c>
      <c r="F46" s="1722">
        <f>IFERROR(INDEX(DataPage!$H$318:$H$337,MATCH(cbal!F309,DataPage!$I$318:$I$337,0)),0)</f>
        <v>0</v>
      </c>
      <c r="G46" s="1722">
        <f>IFERROR(INDEX(DataPage!$H$318:$H$337,MATCH(cbal!G309,DataPage!$I$318:$I$337,0)),0)</f>
        <v>0</v>
      </c>
      <c r="H46" s="1722">
        <f>IFERROR(INDEX(DataPage!$H$318:$H$337,MATCH(cbal!H309,DataPage!$I$318:$I$337,0)),0)</f>
        <v>0</v>
      </c>
      <c r="I46" s="1723">
        <f>IFERROR(INDEX(DataPage!$H$318:$H$337,MATCH(cbal!I309,DataPage!$I$318:$I$337,0)),0)</f>
        <v>0</v>
      </c>
      <c r="J46" s="1685"/>
    </row>
    <row r="47" spans="2:10">
      <c r="B47" s="1709" t="s">
        <v>503</v>
      </c>
      <c r="C47" s="1721" t="s">
        <v>2435</v>
      </c>
      <c r="D47" s="1721"/>
      <c r="E47" s="1722">
        <f>IFERROR(INDEX(DataPage!$H$318:$H$337,MATCH(cbal!E310,DataPage!$I$318:$I$337,0)),0)</f>
        <v>0</v>
      </c>
      <c r="F47" s="1722">
        <f>IFERROR(INDEX(DataPage!$H$318:$H$337,MATCH(cbal!F310,DataPage!$I$318:$I$337,0)),0)</f>
        <v>0</v>
      </c>
      <c r="G47" s="1722">
        <f>IFERROR(INDEX(DataPage!$H$318:$H$337,MATCH(cbal!G310,DataPage!$I$318:$I$337,0)),0)</f>
        <v>0</v>
      </c>
      <c r="H47" s="1722">
        <f>IFERROR(INDEX(DataPage!$H$318:$H$337,MATCH(cbal!H310,DataPage!$I$318:$I$337,0)),0)</f>
        <v>0</v>
      </c>
      <c r="I47" s="1723">
        <f>IFERROR(INDEX(DataPage!$H$318:$H$337,MATCH(cbal!I310,DataPage!$I$318:$I$337,0)),0)</f>
        <v>0</v>
      </c>
      <c r="J47" s="1685"/>
    </row>
    <row r="48" spans="2:10">
      <c r="B48" s="1709" t="s">
        <v>503</v>
      </c>
      <c r="C48" s="1721" t="s">
        <v>2436</v>
      </c>
      <c r="D48" s="1721"/>
      <c r="E48" s="1722">
        <f>IFERROR(INDEX(DataPage!$H$318:$H$337,MATCH(cbal!E311,DataPage!$I$318:$I$337,0)),0)</f>
        <v>0</v>
      </c>
      <c r="F48" s="1722">
        <f>IFERROR(INDEX(DataPage!$H$318:$H$337,MATCH(cbal!F311,DataPage!$I$318:$I$337,0)),0)</f>
        <v>0</v>
      </c>
      <c r="G48" s="1722">
        <f>IFERROR(INDEX(DataPage!$H$318:$H$337,MATCH(cbal!G311,DataPage!$I$318:$I$337,0)),0)</f>
        <v>0</v>
      </c>
      <c r="H48" s="1722">
        <f>IFERROR(INDEX(DataPage!$H$318:$H$337,MATCH(cbal!H311,DataPage!$I$318:$I$337,0)),0)</f>
        <v>0</v>
      </c>
      <c r="I48" s="1723">
        <f>IFERROR(INDEX(DataPage!$H$318:$H$337,MATCH(cbal!I311,DataPage!$I$318:$I$337,0)),0)</f>
        <v>0</v>
      </c>
      <c r="J48" s="1685"/>
    </row>
    <row r="49" spans="2:10">
      <c r="B49" s="1709" t="s">
        <v>513</v>
      </c>
      <c r="C49" s="1721" t="s">
        <v>2433</v>
      </c>
      <c r="D49" s="1721"/>
      <c r="E49" s="1722">
        <f>IFERROR(INDEX(DataPage!$H$318:$H$337,MATCH(cbal!E312,DataPage!$I$318:$I$337,0)),0)</f>
        <v>0</v>
      </c>
      <c r="F49" s="1722">
        <f>IFERROR(INDEX(DataPage!$H$318:$H$337,MATCH(cbal!F312,DataPage!$I$318:$I$337,0)),0)</f>
        <v>0</v>
      </c>
      <c r="G49" s="1722">
        <f>IFERROR(INDEX(DataPage!$H$318:$H$337,MATCH(cbal!G312,DataPage!$I$318:$I$337,0)),0)</f>
        <v>0</v>
      </c>
      <c r="H49" s="1722">
        <f>IFERROR(INDEX(DataPage!$H$318:$H$337,MATCH(cbal!H312,DataPage!$I$318:$I$337,0)),0)</f>
        <v>0</v>
      </c>
      <c r="I49" s="1723">
        <f>IFERROR(INDEX(DataPage!$H$318:$H$337,MATCH(cbal!I312,DataPage!$I$318:$I$337,0)),0)</f>
        <v>0</v>
      </c>
      <c r="J49" s="1685"/>
    </row>
    <row r="50" spans="2:10">
      <c r="B50" s="1709" t="s">
        <v>513</v>
      </c>
      <c r="C50" s="1721" t="s">
        <v>2434</v>
      </c>
      <c r="D50" s="1721"/>
      <c r="E50" s="1722">
        <f>IFERROR(INDEX(DataPage!$H$318:$H$337,MATCH(cbal!E313,DataPage!$I$318:$I$337,0)),0)</f>
        <v>0</v>
      </c>
      <c r="F50" s="1722">
        <f>IFERROR(INDEX(DataPage!$H$318:$H$337,MATCH(cbal!F313,DataPage!$I$318:$I$337,0)),0)</f>
        <v>0</v>
      </c>
      <c r="G50" s="1722">
        <f>IFERROR(INDEX(DataPage!$H$318:$H$337,MATCH(cbal!G313,DataPage!$I$318:$I$337,0)),0)</f>
        <v>0</v>
      </c>
      <c r="H50" s="1722">
        <f>IFERROR(INDEX(DataPage!$H$318:$H$337,MATCH(cbal!H313,DataPage!$I$318:$I$337,0)),0)</f>
        <v>0</v>
      </c>
      <c r="I50" s="1723">
        <f>IFERROR(INDEX(DataPage!$H$318:$H$337,MATCH(cbal!I313,DataPage!$I$318:$I$337,0)),0)</f>
        <v>0</v>
      </c>
      <c r="J50" s="1685"/>
    </row>
    <row r="51" spans="2:10">
      <c r="B51" s="1709" t="s">
        <v>513</v>
      </c>
      <c r="C51" s="1721" t="s">
        <v>2435</v>
      </c>
      <c r="D51" s="1721"/>
      <c r="E51" s="1722">
        <f>IFERROR(INDEX(DataPage!$H$318:$H$337,MATCH(cbal!E314,DataPage!$I$318:$I$337,0)),0)</f>
        <v>0</v>
      </c>
      <c r="F51" s="1722">
        <f>IFERROR(INDEX(DataPage!$H$318:$H$337,MATCH(cbal!F314,DataPage!$I$318:$I$337,0)),0)</f>
        <v>0</v>
      </c>
      <c r="G51" s="1722">
        <f>IFERROR(INDEX(DataPage!$H$318:$H$337,MATCH(cbal!G314,DataPage!$I$318:$I$337,0)),0)</f>
        <v>0</v>
      </c>
      <c r="H51" s="1722">
        <f>IFERROR(INDEX(DataPage!$H$318:$H$337,MATCH(cbal!H314,DataPage!$I$318:$I$337,0)),0)</f>
        <v>0</v>
      </c>
      <c r="I51" s="1723">
        <f>IFERROR(INDEX(DataPage!$H$318:$H$337,MATCH(cbal!I314,DataPage!$I$318:$I$337,0)),0)</f>
        <v>0</v>
      </c>
      <c r="J51" s="1685"/>
    </row>
    <row r="52" spans="2:10">
      <c r="B52" s="1709" t="s">
        <v>513</v>
      </c>
      <c r="C52" s="1721" t="s">
        <v>2436</v>
      </c>
      <c r="D52" s="1721"/>
      <c r="E52" s="1722">
        <f>IFERROR(INDEX(DataPage!$H$318:$H$337,MATCH(cbal!E315,DataPage!$I$318:$I$337,0)),0)</f>
        <v>0</v>
      </c>
      <c r="F52" s="1722">
        <f>IFERROR(INDEX(DataPage!$H$318:$H$337,MATCH(cbal!F315,DataPage!$I$318:$I$337,0)),0)</f>
        <v>0</v>
      </c>
      <c r="G52" s="1722">
        <f>IFERROR(INDEX(DataPage!$H$318:$H$337,MATCH(cbal!G315,DataPage!$I$318:$I$337,0)),0)</f>
        <v>0</v>
      </c>
      <c r="H52" s="1722">
        <f>IFERROR(INDEX(DataPage!$H$318:$H$337,MATCH(cbal!H315,DataPage!$I$318:$I$337,0)),0)</f>
        <v>0</v>
      </c>
      <c r="I52" s="1723">
        <f>IFERROR(INDEX(DataPage!$H$318:$H$337,MATCH(cbal!I315,DataPage!$I$318:$I$337,0)),0)</f>
        <v>0</v>
      </c>
      <c r="J52" s="1685"/>
    </row>
    <row r="53" spans="2:10">
      <c r="B53" s="1724" t="s">
        <v>3810</v>
      </c>
      <c r="C53" s="1721"/>
      <c r="D53" s="1721"/>
      <c r="E53" s="1722"/>
      <c r="F53" s="1722"/>
      <c r="G53" s="1722"/>
      <c r="H53" s="1722"/>
      <c r="I53" s="1723"/>
      <c r="J53" s="1685"/>
    </row>
    <row r="54" spans="2:10">
      <c r="B54" s="1709"/>
      <c r="C54" s="1721" t="str">
        <f>DataNameProd1</f>
        <v>CSD</v>
      </c>
      <c r="D54" s="1721"/>
      <c r="E54" s="1722">
        <f>SUMIF(E$41:E$52,$C54,E$28:E$39)</f>
        <v>0</v>
      </c>
      <c r="F54" s="1722">
        <f t="shared" ref="F54:I57" si="0">SUMIF(F$41:F$52,$C54,F$28:F$39)</f>
        <v>0</v>
      </c>
      <c r="G54" s="1722">
        <f t="shared" si="0"/>
        <v>0</v>
      </c>
      <c r="H54" s="1722">
        <f t="shared" si="0"/>
        <v>0</v>
      </c>
      <c r="I54" s="1723">
        <f t="shared" si="0"/>
        <v>0</v>
      </c>
      <c r="J54" s="1685" t="s">
        <v>514</v>
      </c>
    </row>
    <row r="55" spans="2:10">
      <c r="B55" s="1709"/>
      <c r="C55" s="1721" t="str">
        <f>DataNameProd3</f>
        <v>NCB</v>
      </c>
      <c r="D55" s="1726"/>
      <c r="E55" s="1722">
        <f>SUMIF(E$41:E$52,$C55,E$28:E$39)</f>
        <v>0</v>
      </c>
      <c r="F55" s="1722">
        <f t="shared" si="0"/>
        <v>0</v>
      </c>
      <c r="G55" s="1722">
        <f t="shared" si="0"/>
        <v>0</v>
      </c>
      <c r="H55" s="1722">
        <f t="shared" si="0"/>
        <v>0</v>
      </c>
      <c r="I55" s="1723">
        <f t="shared" si="0"/>
        <v>0</v>
      </c>
      <c r="J55" s="1685" t="s">
        <v>515</v>
      </c>
    </row>
    <row r="56" spans="2:10">
      <c r="B56" s="1709"/>
      <c r="C56" s="1721" t="str">
        <f>DataNameProd4</f>
        <v>F&amp;S</v>
      </c>
      <c r="D56" s="1726"/>
      <c r="E56" s="1722">
        <f>SUMIF(E$41:E$52,$C56,E$28:E$39)</f>
        <v>0</v>
      </c>
      <c r="F56" s="1722">
        <f t="shared" si="0"/>
        <v>0</v>
      </c>
      <c r="G56" s="1722">
        <f t="shared" si="0"/>
        <v>0</v>
      </c>
      <c r="H56" s="1722">
        <f t="shared" si="0"/>
        <v>0</v>
      </c>
      <c r="I56" s="1723">
        <f t="shared" si="0"/>
        <v>0</v>
      </c>
      <c r="J56" s="1685" t="s">
        <v>516</v>
      </c>
    </row>
    <row r="57" spans="2:10" ht="12" thickBot="1">
      <c r="B57" s="1727"/>
      <c r="C57" s="1728" t="str">
        <f>DataNameProd2</f>
        <v>Breakthrough</v>
      </c>
      <c r="D57" s="1728"/>
      <c r="E57" s="1729">
        <f>SUMIF(E$41:E$52,$C57,E$28:E$39)</f>
        <v>0</v>
      </c>
      <c r="F57" s="1729">
        <f t="shared" si="0"/>
        <v>0</v>
      </c>
      <c r="G57" s="1729">
        <f t="shared" si="0"/>
        <v>0</v>
      </c>
      <c r="H57" s="1729">
        <f t="shared" si="0"/>
        <v>0</v>
      </c>
      <c r="I57" s="1730">
        <f t="shared" si="0"/>
        <v>0</v>
      </c>
      <c r="J57" s="1685" t="s">
        <v>517</v>
      </c>
    </row>
    <row r="58" spans="2:10">
      <c r="B58" s="1685"/>
      <c r="C58" s="1684"/>
      <c r="D58" s="1684"/>
      <c r="E58" s="1731"/>
      <c r="F58" s="1731"/>
      <c r="G58" s="1731"/>
      <c r="H58" s="1731"/>
      <c r="I58" s="1731"/>
      <c r="J58" s="1685"/>
    </row>
    <row r="59" spans="2:10" ht="12" thickBot="1">
      <c r="B59" s="1685"/>
      <c r="C59" s="1684"/>
      <c r="D59" s="1684"/>
      <c r="E59" s="1731"/>
      <c r="F59" s="1731"/>
      <c r="G59" s="1731"/>
      <c r="H59" s="1731"/>
      <c r="I59" s="1731"/>
      <c r="J59" s="1685"/>
    </row>
    <row r="60" spans="2:10">
      <c r="B60" s="1685"/>
      <c r="C60" s="1698" t="str">
        <f>DataNameProd1</f>
        <v>CSD</v>
      </c>
      <c r="D60" s="1708">
        <f>INDEX(graphCSDAllocation,xxIndexTeam)</f>
        <v>0</v>
      </c>
      <c r="E60" s="1685" t="s">
        <v>2852</v>
      </c>
      <c r="F60" s="1685"/>
      <c r="G60" s="1685"/>
      <c r="H60" s="1685"/>
      <c r="I60" s="1685"/>
      <c r="J60" s="1685"/>
    </row>
    <row r="61" spans="2:10">
      <c r="B61" s="1685"/>
      <c r="C61" s="1709" t="str">
        <f>DataNameProd3</f>
        <v>NCB</v>
      </c>
      <c r="D61" s="1710">
        <f>INDEX(graphNCBAllocation,xxIndexTeam)</f>
        <v>0</v>
      </c>
      <c r="E61" s="1685"/>
      <c r="F61" s="1685"/>
      <c r="G61" s="1685"/>
      <c r="H61" s="1685"/>
      <c r="I61" s="1685"/>
      <c r="J61" s="1685"/>
    </row>
    <row r="62" spans="2:10">
      <c r="B62" s="1685"/>
      <c r="C62" s="1709" t="str">
        <f>DataNameProd4</f>
        <v>F&amp;S</v>
      </c>
      <c r="D62" s="1710">
        <f>INDEX(graphFnSAllocation,xxIndexTeam)</f>
        <v>0</v>
      </c>
      <c r="E62" s="1685"/>
      <c r="F62" s="1685"/>
      <c r="G62" s="1685"/>
      <c r="H62" s="1685"/>
      <c r="I62" s="1685"/>
      <c r="J62" s="1685"/>
    </row>
    <row r="63" spans="2:10" ht="12" thickBot="1">
      <c r="B63" s="1685"/>
      <c r="C63" s="1711" t="s">
        <v>3535</v>
      </c>
      <c r="D63" s="1712">
        <f>INDEX(graphNSAllocation,xxIndexTeam)</f>
        <v>0</v>
      </c>
      <c r="E63" s="1685"/>
      <c r="F63" s="1685"/>
      <c r="G63" s="1685"/>
      <c r="H63" s="1685"/>
      <c r="I63" s="1685"/>
      <c r="J63" s="1685"/>
    </row>
    <row r="64" spans="2:10">
      <c r="B64" s="1685"/>
      <c r="C64" s="1685"/>
      <c r="D64" s="1685"/>
      <c r="E64" s="1685"/>
      <c r="F64" s="1685"/>
      <c r="G64" s="1685"/>
      <c r="H64" s="1685"/>
      <c r="I64" s="1685"/>
      <c r="J64" s="1685"/>
    </row>
    <row r="65" spans="2:10">
      <c r="B65" s="1685"/>
      <c r="C65" s="1685"/>
      <c r="D65" s="1685"/>
      <c r="E65" s="1685"/>
      <c r="F65" s="1685"/>
      <c r="G65" s="1685"/>
      <c r="H65" s="1685"/>
      <c r="I65" s="1685"/>
      <c r="J65" s="1685"/>
    </row>
    <row r="66" spans="2:10">
      <c r="B66" s="1685"/>
      <c r="C66" s="1685"/>
      <c r="D66" s="1685"/>
      <c r="E66" s="1685"/>
      <c r="F66" s="1685"/>
      <c r="G66" s="1685"/>
      <c r="H66" s="1685"/>
      <c r="I66" s="1685"/>
      <c r="J66" s="1685"/>
    </row>
    <row r="67" spans="2:10">
      <c r="B67" s="1685"/>
      <c r="C67" s="1685"/>
      <c r="D67" s="1685"/>
      <c r="E67" s="1685"/>
      <c r="F67" s="1685"/>
      <c r="G67" s="1685"/>
      <c r="H67" s="1685"/>
      <c r="I67" s="1685"/>
      <c r="J67" s="1685"/>
    </row>
    <row r="68" spans="2:10" ht="12" thickBot="1">
      <c r="B68" s="1685" t="s">
        <v>521</v>
      </c>
      <c r="C68" s="1685"/>
      <c r="D68" s="1685"/>
      <c r="E68" s="1685"/>
      <c r="F68" s="1685"/>
      <c r="G68" s="1685"/>
      <c r="H68" s="1685"/>
      <c r="I68" s="1685"/>
      <c r="J68" s="1685"/>
    </row>
    <row r="69" spans="2:10">
      <c r="B69" s="1718" t="s">
        <v>3358</v>
      </c>
      <c r="C69" s="1699"/>
      <c r="D69" s="1699"/>
      <c r="E69" s="1719">
        <f>SUM(E70:E83)</f>
        <v>0</v>
      </c>
      <c r="F69" s="1719">
        <f>SUM(F70:F83)</f>
        <v>0</v>
      </c>
      <c r="G69" s="1719">
        <f>SUM(G70:G83)</f>
        <v>0</v>
      </c>
      <c r="H69" s="1719">
        <f>SUM(H70:H83)</f>
        <v>0</v>
      </c>
      <c r="I69" s="1720">
        <f>SUM(I70:I83)</f>
        <v>0</v>
      </c>
      <c r="J69" s="1685"/>
    </row>
    <row r="70" spans="2:10">
      <c r="B70" s="1709" t="s">
        <v>504</v>
      </c>
      <c r="C70" s="1721" t="s">
        <v>2066</v>
      </c>
      <c r="D70" s="1721"/>
      <c r="E70" s="1722">
        <f>IFERROR(INDEX(DataPage!$M$342:$M$412,MATCH(cbal!E280,DataPage!$G$342:$G$412,0)),0)</f>
        <v>0</v>
      </c>
      <c r="F70" s="1722">
        <f>IFERROR(INDEX(DataPage!$M$342:$M$412,MATCH(cbal!F280,DataPage!$G$342:$G$412,0)),0)</f>
        <v>0</v>
      </c>
      <c r="G70" s="1722">
        <f>IFERROR(INDEX(DataPage!$M$342:$M$412,MATCH(cbal!G280,DataPage!$G$342:$G$412,0)),0)</f>
        <v>0</v>
      </c>
      <c r="H70" s="1722">
        <f>IFERROR(INDEX(DataPage!$M$342:$M$412,MATCH(cbal!H280,DataPage!$G$342:$G$412,0)),0)</f>
        <v>0</v>
      </c>
      <c r="I70" s="1723">
        <f>IFERROR(INDEX(DataPage!$M$342:$M$412,MATCH(cbal!I280,DataPage!$G$342:$G$412,0)),0)</f>
        <v>0</v>
      </c>
      <c r="J70" s="1685"/>
    </row>
    <row r="71" spans="2:10">
      <c r="B71" s="1709" t="s">
        <v>504</v>
      </c>
      <c r="C71" s="1721" t="s">
        <v>2067</v>
      </c>
      <c r="D71" s="1721"/>
      <c r="E71" s="1722">
        <f>IFERROR(INDEX(DataPage!$M$342:$M$412,MATCH(cbal!E281,DataPage!$G$342:$G$412,0)),0)</f>
        <v>0</v>
      </c>
      <c r="F71" s="1722">
        <f>IFERROR(INDEX(DataPage!$M$342:$M$412,MATCH(cbal!F281,DataPage!$G$342:$G$412,0)),0)</f>
        <v>0</v>
      </c>
      <c r="G71" s="1722">
        <f>IFERROR(INDEX(DataPage!$M$342:$M$412,MATCH(cbal!G281,DataPage!$G$342:$G$412,0)),0)</f>
        <v>0</v>
      </c>
      <c r="H71" s="1722">
        <f>IFERROR(INDEX(DataPage!$M$342:$M$412,MATCH(cbal!H281,DataPage!$G$342:$G$412,0)),0)</f>
        <v>0</v>
      </c>
      <c r="I71" s="1723">
        <f>IFERROR(INDEX(DataPage!$M$342:$M$412,MATCH(cbal!I281,DataPage!$G$342:$G$412,0)),0)</f>
        <v>0</v>
      </c>
      <c r="J71" s="1685"/>
    </row>
    <row r="72" spans="2:10">
      <c r="B72" s="1709" t="s">
        <v>504</v>
      </c>
      <c r="C72" s="1721" t="s">
        <v>2068</v>
      </c>
      <c r="D72" s="1721"/>
      <c r="E72" s="1722">
        <f>IFERROR(INDEX(DataPage!$M$342:$M$412,MATCH(cbal!E282,DataPage!$G$342:$G$412,0)),0)</f>
        <v>0</v>
      </c>
      <c r="F72" s="1722">
        <f>IFERROR(INDEX(DataPage!$M$342:$M$412,MATCH(cbal!F282,DataPage!$G$342:$G$412,0)),0)</f>
        <v>0</v>
      </c>
      <c r="G72" s="1722">
        <f>IFERROR(INDEX(DataPage!$M$342:$M$412,MATCH(cbal!G282,DataPage!$G$342:$G$412,0)),0)</f>
        <v>0</v>
      </c>
      <c r="H72" s="1722">
        <f>IFERROR(INDEX(DataPage!$M$342:$M$412,MATCH(cbal!H282,DataPage!$G$342:$G$412,0)),0)</f>
        <v>0</v>
      </c>
      <c r="I72" s="1723">
        <f>IFERROR(INDEX(DataPage!$M$342:$M$412,MATCH(cbal!I282,DataPage!$G$342:$G$412,0)),0)</f>
        <v>0</v>
      </c>
      <c r="J72" s="1685"/>
    </row>
    <row r="73" spans="2:10">
      <c r="B73" s="1709" t="s">
        <v>504</v>
      </c>
      <c r="C73" s="1721" t="s">
        <v>2069</v>
      </c>
      <c r="D73" s="1721"/>
      <c r="E73" s="1722">
        <f>IFERROR(INDEX(DataPage!$M$342:$M$412,MATCH(cbal!E283,DataPage!$G$342:$G$412,0)),0)</f>
        <v>0</v>
      </c>
      <c r="F73" s="1722">
        <f>IFERROR(INDEX(DataPage!$M$342:$M$412,MATCH(cbal!F283,DataPage!$G$342:$G$412,0)),0)</f>
        <v>0</v>
      </c>
      <c r="G73" s="1722">
        <f>IFERROR(INDEX(DataPage!$M$342:$M$412,MATCH(cbal!G283,DataPage!$G$342:$G$412,0)),0)</f>
        <v>0</v>
      </c>
      <c r="H73" s="1722">
        <f>IFERROR(INDEX(DataPage!$M$342:$M$412,MATCH(cbal!H283,DataPage!$G$342:$G$412,0)),0)</f>
        <v>0</v>
      </c>
      <c r="I73" s="1723">
        <f>IFERROR(INDEX(DataPage!$M$342:$M$412,MATCH(cbal!I283,DataPage!$G$342:$G$412,0)),0)</f>
        <v>0</v>
      </c>
      <c r="J73" s="1685"/>
    </row>
    <row r="74" spans="2:10">
      <c r="B74" s="1709" t="s">
        <v>504</v>
      </c>
      <c r="C74" s="1721" t="s">
        <v>2070</v>
      </c>
      <c r="D74" s="1721"/>
      <c r="E74" s="1722">
        <f>IFERROR(INDEX(DataPage!$M$342:$M$412,MATCH(cbal!E284,DataPage!$G$342:$G$412,0)),0)</f>
        <v>0</v>
      </c>
      <c r="F74" s="1722">
        <f>IFERROR(INDEX(DataPage!$M$342:$M$412,MATCH(cbal!F284,DataPage!$G$342:$G$412,0)),0)</f>
        <v>0</v>
      </c>
      <c r="G74" s="1722">
        <f>IFERROR(INDEX(DataPage!$M$342:$M$412,MATCH(cbal!G284,DataPage!$G$342:$G$412,0)),0)</f>
        <v>0</v>
      </c>
      <c r="H74" s="1722">
        <f>IFERROR(INDEX(DataPage!$M$342:$M$412,MATCH(cbal!H284,DataPage!$G$342:$G$412,0)),0)</f>
        <v>0</v>
      </c>
      <c r="I74" s="1723">
        <f>IFERROR(INDEX(DataPage!$M$342:$M$412,MATCH(cbal!I284,DataPage!$G$342:$G$412,0)),0)</f>
        <v>0</v>
      </c>
      <c r="J74" s="1685"/>
    </row>
    <row r="75" spans="2:10">
      <c r="B75" s="1709" t="s">
        <v>503</v>
      </c>
      <c r="C75" s="1721" t="s">
        <v>2066</v>
      </c>
      <c r="D75" s="1721"/>
      <c r="E75" s="1722">
        <f>IFERROR(INDEX(DataPage!$M$342:$M$412,MATCH(cbal!E285,DataPage!$G$342:$G$412,0)),0)</f>
        <v>0</v>
      </c>
      <c r="F75" s="1722">
        <f>IFERROR(INDEX(DataPage!$M$342:$M$412,MATCH(cbal!F285,DataPage!$G$342:$G$412,0)),0)</f>
        <v>0</v>
      </c>
      <c r="G75" s="1722">
        <f>IFERROR(INDEX(DataPage!$M$342:$M$412,MATCH(cbal!G285,DataPage!$G$342:$G$412,0)),0)</f>
        <v>0</v>
      </c>
      <c r="H75" s="1722">
        <f>IFERROR(INDEX(DataPage!$M$342:$M$412,MATCH(cbal!H285,DataPage!$G$342:$G$412,0)),0)</f>
        <v>0</v>
      </c>
      <c r="I75" s="1723">
        <f>IFERROR(INDEX(DataPage!$M$342:$M$412,MATCH(cbal!I285,DataPage!$G$342:$G$412,0)),0)</f>
        <v>0</v>
      </c>
      <c r="J75" s="1685"/>
    </row>
    <row r="76" spans="2:10">
      <c r="B76" s="1709" t="s">
        <v>503</v>
      </c>
      <c r="C76" s="1721" t="s">
        <v>2067</v>
      </c>
      <c r="D76" s="1721"/>
      <c r="E76" s="1722">
        <f>IFERROR(INDEX(DataPage!$M$342:$M$412,MATCH(cbal!E286,DataPage!$G$342:$G$412,0)),0)</f>
        <v>0</v>
      </c>
      <c r="F76" s="1722">
        <f>IFERROR(INDEX(DataPage!$M$342:$M$412,MATCH(cbal!F286,DataPage!$G$342:$G$412,0)),0)</f>
        <v>0</v>
      </c>
      <c r="G76" s="1722">
        <f>IFERROR(INDEX(DataPage!$M$342:$M$412,MATCH(cbal!G286,DataPage!$G$342:$G$412,0)),0)</f>
        <v>0</v>
      </c>
      <c r="H76" s="1722">
        <f>IFERROR(INDEX(DataPage!$M$342:$M$412,MATCH(cbal!H286,DataPage!$G$342:$G$412,0)),0)</f>
        <v>0</v>
      </c>
      <c r="I76" s="1723">
        <f>IFERROR(INDEX(DataPage!$M$342:$M$412,MATCH(cbal!I286,DataPage!$G$342:$G$412,0)),0)</f>
        <v>0</v>
      </c>
      <c r="J76" s="1685"/>
    </row>
    <row r="77" spans="2:10">
      <c r="B77" s="1709" t="s">
        <v>503</v>
      </c>
      <c r="C77" s="1721" t="s">
        <v>2068</v>
      </c>
      <c r="D77" s="1721"/>
      <c r="E77" s="1722">
        <f>IFERROR(INDEX(DataPage!$M$342:$M$412,MATCH(cbal!E287,DataPage!$G$342:$G$412,0)),0)</f>
        <v>0</v>
      </c>
      <c r="F77" s="1722">
        <f>IFERROR(INDEX(DataPage!$M$342:$M$412,MATCH(cbal!F287,DataPage!$G$342:$G$412,0)),0)</f>
        <v>0</v>
      </c>
      <c r="G77" s="1722">
        <f>IFERROR(INDEX(DataPage!$M$342:$M$412,MATCH(cbal!G287,DataPage!$G$342:$G$412,0)),0)</f>
        <v>0</v>
      </c>
      <c r="H77" s="1722">
        <f>IFERROR(INDEX(DataPage!$M$342:$M$412,MATCH(cbal!H287,DataPage!$G$342:$G$412,0)),0)</f>
        <v>0</v>
      </c>
      <c r="I77" s="1723">
        <f>IFERROR(INDEX(DataPage!$M$342:$M$412,MATCH(cbal!I287,DataPage!$G$342:$G$412,0)),0)</f>
        <v>0</v>
      </c>
      <c r="J77" s="1685"/>
    </row>
    <row r="78" spans="2:10">
      <c r="B78" s="1709" t="s">
        <v>503</v>
      </c>
      <c r="C78" s="1721" t="s">
        <v>2069</v>
      </c>
      <c r="D78" s="1721"/>
      <c r="E78" s="1722">
        <f>IFERROR(INDEX(DataPage!$M$342:$M$412,MATCH(cbal!E288,DataPage!$G$342:$G$412,0)),0)</f>
        <v>0</v>
      </c>
      <c r="F78" s="1722">
        <f>IFERROR(INDEX(DataPage!$M$342:$M$412,MATCH(cbal!F288,DataPage!$G$342:$G$412,0)),0)</f>
        <v>0</v>
      </c>
      <c r="G78" s="1722">
        <f>IFERROR(INDEX(DataPage!$M$342:$M$412,MATCH(cbal!G288,DataPage!$G$342:$G$412,0)),0)</f>
        <v>0</v>
      </c>
      <c r="H78" s="1722">
        <f>IFERROR(INDEX(DataPage!$M$342:$M$412,MATCH(cbal!H288,DataPage!$G$342:$G$412,0)),0)</f>
        <v>0</v>
      </c>
      <c r="I78" s="1723">
        <f>IFERROR(INDEX(DataPage!$M$342:$M$412,MATCH(cbal!I288,DataPage!$G$342:$G$412,0)),0)</f>
        <v>0</v>
      </c>
      <c r="J78" s="1685"/>
    </row>
    <row r="79" spans="2:10">
      <c r="B79" s="1709" t="s">
        <v>503</v>
      </c>
      <c r="C79" s="1721" t="s">
        <v>2070</v>
      </c>
      <c r="D79" s="1721"/>
      <c r="E79" s="1722">
        <f>IFERROR(INDEX(DataPage!$M$342:$M$412,MATCH(cbal!E289,DataPage!$G$342:$G$412,0)),0)</f>
        <v>0</v>
      </c>
      <c r="F79" s="1722">
        <f>IFERROR(INDEX(DataPage!$M$342:$M$412,MATCH(cbal!F289,DataPage!$G$342:$G$412,0)),0)</f>
        <v>0</v>
      </c>
      <c r="G79" s="1722">
        <f>IFERROR(INDEX(DataPage!$M$342:$M$412,MATCH(cbal!G289,DataPage!$G$342:$G$412,0)),0)</f>
        <v>0</v>
      </c>
      <c r="H79" s="1722">
        <f>IFERROR(INDEX(DataPage!$M$342:$M$412,MATCH(cbal!H289,DataPage!$G$342:$G$412,0)),0)</f>
        <v>0</v>
      </c>
      <c r="I79" s="1723">
        <f>IFERROR(INDEX(DataPage!$M$342:$M$412,MATCH(cbal!I289,DataPage!$G$342:$G$412,0)),0)</f>
        <v>0</v>
      </c>
      <c r="J79" s="1685"/>
    </row>
    <row r="80" spans="2:10">
      <c r="B80" s="1709" t="s">
        <v>513</v>
      </c>
      <c r="C80" s="1721" t="s">
        <v>2066</v>
      </c>
      <c r="D80" s="1721"/>
      <c r="E80" s="1722">
        <f>IFERROR(INDEX(DataPage!$M$342:$M$412,MATCH(cbal!E290,DataPage!$G$342:$G$412,0)),0)</f>
        <v>0</v>
      </c>
      <c r="F80" s="1722">
        <f>IFERROR(INDEX(DataPage!$M$342:$M$412,MATCH(cbal!F290,DataPage!$G$342:$G$412,0)),0)</f>
        <v>0</v>
      </c>
      <c r="G80" s="1722">
        <f>IFERROR(INDEX(DataPage!$M$342:$M$412,MATCH(cbal!G290,DataPage!$G$342:$G$412,0)),0)</f>
        <v>0</v>
      </c>
      <c r="H80" s="1722">
        <f>IFERROR(INDEX(DataPage!$M$342:$M$412,MATCH(cbal!H290,DataPage!$G$342:$G$412,0)),0)</f>
        <v>0</v>
      </c>
      <c r="I80" s="1723">
        <f>IFERROR(INDEX(DataPage!$M$342:$M$412,MATCH(cbal!I290,DataPage!$G$342:$G$412,0)),0)</f>
        <v>0</v>
      </c>
      <c r="J80" s="1685"/>
    </row>
    <row r="81" spans="2:10">
      <c r="B81" s="1709" t="s">
        <v>513</v>
      </c>
      <c r="C81" s="1721" t="s">
        <v>2067</v>
      </c>
      <c r="D81" s="1721"/>
      <c r="E81" s="1722">
        <f>IFERROR(INDEX(DataPage!$M$342:$M$412,MATCH(cbal!E291,DataPage!$G$342:$G$412,0)),0)</f>
        <v>0</v>
      </c>
      <c r="F81" s="1722">
        <f>IFERROR(INDEX(DataPage!$M$342:$M$412,MATCH(cbal!F291,DataPage!$G$342:$G$412,0)),0)</f>
        <v>0</v>
      </c>
      <c r="G81" s="1722">
        <f>IFERROR(INDEX(DataPage!$M$342:$M$412,MATCH(cbal!G291,DataPage!$G$342:$G$412,0)),0)</f>
        <v>0</v>
      </c>
      <c r="H81" s="1722">
        <f>IFERROR(INDEX(DataPage!$M$342:$M$412,MATCH(cbal!H291,DataPage!$G$342:$G$412,0)),0)</f>
        <v>0</v>
      </c>
      <c r="I81" s="1723">
        <f>IFERROR(INDEX(DataPage!$M$342:$M$412,MATCH(cbal!I291,DataPage!$G$342:$G$412,0)),0)</f>
        <v>0</v>
      </c>
      <c r="J81" s="1685"/>
    </row>
    <row r="82" spans="2:10">
      <c r="B82" s="1709" t="s">
        <v>513</v>
      </c>
      <c r="C82" s="1721" t="s">
        <v>2068</v>
      </c>
      <c r="D82" s="1721"/>
      <c r="E82" s="1722">
        <f>IFERROR(INDEX(DataPage!$M$342:$M$412,MATCH(cbal!E292,DataPage!$G$342:$G$412,0)),0)</f>
        <v>0</v>
      </c>
      <c r="F82" s="1722">
        <f>IFERROR(INDEX(DataPage!$M$342:$M$412,MATCH(cbal!F292,DataPage!$G$342:$G$412,0)),0)</f>
        <v>0</v>
      </c>
      <c r="G82" s="1722">
        <f>IFERROR(INDEX(DataPage!$M$342:$M$412,MATCH(cbal!G292,DataPage!$G$342:$G$412,0)),0)</f>
        <v>0</v>
      </c>
      <c r="H82" s="1722">
        <f>IFERROR(INDEX(DataPage!$M$342:$M$412,MATCH(cbal!H292,DataPage!$G$342:$G$412,0)),0)</f>
        <v>0</v>
      </c>
      <c r="I82" s="1723">
        <f>IFERROR(INDEX(DataPage!$M$342:$M$412,MATCH(cbal!I292,DataPage!$G$342:$G$412,0)),0)</f>
        <v>0</v>
      </c>
      <c r="J82" s="1685"/>
    </row>
    <row r="83" spans="2:10">
      <c r="B83" s="1709" t="s">
        <v>513</v>
      </c>
      <c r="C83" s="1721" t="s">
        <v>2069</v>
      </c>
      <c r="D83" s="1721"/>
      <c r="E83" s="1722">
        <f>IFERROR(INDEX(DataPage!$M$342:$M$412,MATCH(cbal!E293,DataPage!$G$342:$G$412,0)),0)</f>
        <v>0</v>
      </c>
      <c r="F83" s="1722">
        <f>IFERROR(INDEX(DataPage!$M$342:$M$412,MATCH(cbal!F293,DataPage!$G$342:$G$412,0)),0)</f>
        <v>0</v>
      </c>
      <c r="G83" s="1722">
        <f>IFERROR(INDEX(DataPage!$M$342:$M$412,MATCH(cbal!G293,DataPage!$G$342:$G$412,0)),0)</f>
        <v>0</v>
      </c>
      <c r="H83" s="1722">
        <f>IFERROR(INDEX(DataPage!$M$342:$M$412,MATCH(cbal!H293,DataPage!$G$342:$G$412,0)),0)</f>
        <v>0</v>
      </c>
      <c r="I83" s="1723">
        <f>IFERROR(INDEX(DataPage!$M$342:$M$412,MATCH(cbal!I293,DataPage!$G$342:$G$412,0)),0)</f>
        <v>0</v>
      </c>
      <c r="J83" s="1685"/>
    </row>
    <row r="84" spans="2:10">
      <c r="B84" s="1709" t="s">
        <v>513</v>
      </c>
      <c r="C84" s="1721" t="s">
        <v>2069</v>
      </c>
      <c r="D84" s="1721"/>
      <c r="E84" s="1722">
        <f>IFERROR(INDEX(DataPage!$M$342:$M$412,MATCH(cbal!E294,DataPage!$G$342:$G$412,0)),0)</f>
        <v>0</v>
      </c>
      <c r="F84" s="1722">
        <f>IFERROR(INDEX(DataPage!$M$342:$M$412,MATCH(cbal!F294,DataPage!$G$342:$G$412,0)),0)</f>
        <v>0</v>
      </c>
      <c r="G84" s="1722">
        <f>IFERROR(INDEX(DataPage!$M$342:$M$412,MATCH(cbal!G294,DataPage!$G$342:$G$412,0)),0)</f>
        <v>0</v>
      </c>
      <c r="H84" s="1722">
        <f>IFERROR(INDEX(DataPage!$M$342:$M$412,MATCH(cbal!H294,DataPage!$G$342:$G$412,0)),0)</f>
        <v>0</v>
      </c>
      <c r="I84" s="1723">
        <f>IFERROR(INDEX(DataPage!$M$342:$M$412,MATCH(cbal!I294,DataPage!$G$342:$G$412,0)),0)</f>
        <v>0</v>
      </c>
      <c r="J84" s="1685"/>
    </row>
    <row r="85" spans="2:10">
      <c r="B85" s="1724" t="s">
        <v>2065</v>
      </c>
      <c r="C85" s="1725"/>
      <c r="D85" s="1721"/>
      <c r="E85" s="1722"/>
      <c r="F85" s="1722"/>
      <c r="G85" s="1722"/>
      <c r="H85" s="1722"/>
      <c r="I85" s="1723"/>
      <c r="J85" s="1685"/>
    </row>
    <row r="86" spans="2:10">
      <c r="B86" s="1709" t="s">
        <v>504</v>
      </c>
      <c r="C86" s="1721" t="s">
        <v>2066</v>
      </c>
      <c r="D86" s="1721"/>
      <c r="E86" s="1722">
        <f>IFERROR(INDEX(DataPage!$L$342:$L$412,MATCH(cbal!E280,DataPage!$G$342:$G$412,0)),0)</f>
        <v>0</v>
      </c>
      <c r="F86" s="1722">
        <f>IFERROR(INDEX(DataPage!$L$342:$L$412,MATCH(cbal!F280,DataPage!$G$342:$G$412,0)),0)</f>
        <v>0</v>
      </c>
      <c r="G86" s="1722">
        <f>IFERROR(INDEX(DataPage!$L$342:$L$412,MATCH(cbal!G280,DataPage!$G$342:$G$412,0)),0)</f>
        <v>0</v>
      </c>
      <c r="H86" s="1722">
        <f>IFERROR(INDEX(DataPage!$L$342:$L$412,MATCH(cbal!H280,DataPage!$G$342:$G$412,0)),0)</f>
        <v>0</v>
      </c>
      <c r="I86" s="1723">
        <f>IFERROR(INDEX(DataPage!$L$342:$L$412,MATCH(cbal!I280,DataPage!$G$342:$G$412,0)),0)</f>
        <v>0</v>
      </c>
      <c r="J86" s="1685"/>
    </row>
    <row r="87" spans="2:10">
      <c r="B87" s="1709" t="s">
        <v>504</v>
      </c>
      <c r="C87" s="1721" t="s">
        <v>2067</v>
      </c>
      <c r="D87" s="1721"/>
      <c r="E87" s="1722">
        <f>IFERROR(INDEX(DataPage!$L$342:$L$412,MATCH(cbal!E281,DataPage!$G$342:$G$412,0)),0)</f>
        <v>0</v>
      </c>
      <c r="F87" s="1722">
        <f>IFERROR(INDEX(DataPage!$L$342:$L$412,MATCH(cbal!F281,DataPage!$G$342:$G$412,0)),0)</f>
        <v>0</v>
      </c>
      <c r="G87" s="1722">
        <f>IFERROR(INDEX(DataPage!$L$342:$L$412,MATCH(cbal!G281,DataPage!$G$342:$G$412,0)),0)</f>
        <v>0</v>
      </c>
      <c r="H87" s="1722">
        <f>IFERROR(INDEX(DataPage!$L$342:$L$412,MATCH(cbal!H281,DataPage!$G$342:$G$412,0)),0)</f>
        <v>0</v>
      </c>
      <c r="I87" s="1723">
        <f>IFERROR(INDEX(DataPage!$L$342:$L$412,MATCH(cbal!I281,DataPage!$G$342:$G$412,0)),0)</f>
        <v>0</v>
      </c>
      <c r="J87" s="1685"/>
    </row>
    <row r="88" spans="2:10">
      <c r="B88" s="1709" t="s">
        <v>504</v>
      </c>
      <c r="C88" s="1721" t="s">
        <v>2068</v>
      </c>
      <c r="D88" s="1721"/>
      <c r="E88" s="1722">
        <f>IFERROR(INDEX(DataPage!$L$342:$L$412,MATCH(cbal!E282,DataPage!$G$342:$G$412,0)),0)</f>
        <v>0</v>
      </c>
      <c r="F88" s="1722">
        <f>IFERROR(INDEX(DataPage!$L$342:$L$412,MATCH(cbal!F282,DataPage!$G$342:$G$412,0)),0)</f>
        <v>0</v>
      </c>
      <c r="G88" s="1722">
        <f>IFERROR(INDEX(DataPage!$L$342:$L$412,MATCH(cbal!G282,DataPage!$G$342:$G$412,0)),0)</f>
        <v>0</v>
      </c>
      <c r="H88" s="1722">
        <f>IFERROR(INDEX(DataPage!$L$342:$L$412,MATCH(cbal!H282,DataPage!$G$342:$G$412,0)),0)</f>
        <v>0</v>
      </c>
      <c r="I88" s="1723">
        <f>IFERROR(INDEX(DataPage!$L$342:$L$412,MATCH(cbal!I282,DataPage!$G$342:$G$412,0)),0)</f>
        <v>0</v>
      </c>
      <c r="J88" s="1685"/>
    </row>
    <row r="89" spans="2:10">
      <c r="B89" s="1709" t="s">
        <v>504</v>
      </c>
      <c r="C89" s="1721" t="s">
        <v>2069</v>
      </c>
      <c r="D89" s="1721"/>
      <c r="E89" s="1722">
        <f>IFERROR(INDEX(DataPage!$L$342:$L$412,MATCH(cbal!E283,DataPage!$G$342:$G$412,0)),0)</f>
        <v>0</v>
      </c>
      <c r="F89" s="1722">
        <f>IFERROR(INDEX(DataPage!$L$342:$L$412,MATCH(cbal!F283,DataPage!$G$342:$G$412,0)),0)</f>
        <v>0</v>
      </c>
      <c r="G89" s="1722">
        <f>IFERROR(INDEX(DataPage!$L$342:$L$412,MATCH(cbal!G283,DataPage!$G$342:$G$412,0)),0)</f>
        <v>0</v>
      </c>
      <c r="H89" s="1722">
        <f>IFERROR(INDEX(DataPage!$L$342:$L$412,MATCH(cbal!H283,DataPage!$G$342:$G$412,0)),0)</f>
        <v>0</v>
      </c>
      <c r="I89" s="1723">
        <f>IFERROR(INDEX(DataPage!$L$342:$L$412,MATCH(cbal!I283,DataPage!$G$342:$G$412,0)),0)</f>
        <v>0</v>
      </c>
      <c r="J89" s="1685"/>
    </row>
    <row r="90" spans="2:10">
      <c r="B90" s="1709" t="s">
        <v>504</v>
      </c>
      <c r="C90" s="1721" t="s">
        <v>2070</v>
      </c>
      <c r="D90" s="1721"/>
      <c r="E90" s="1722">
        <f>IFERROR(INDEX(DataPage!$L$342:$L$412,MATCH(cbal!E284,DataPage!$G$342:$G$412,0)),0)</f>
        <v>0</v>
      </c>
      <c r="F90" s="1722">
        <f>IFERROR(INDEX(DataPage!$L$342:$L$412,MATCH(cbal!F284,DataPage!$G$342:$G$412,0)),0)</f>
        <v>0</v>
      </c>
      <c r="G90" s="1722">
        <f>IFERROR(INDEX(DataPage!$L$342:$L$412,MATCH(cbal!G284,DataPage!$G$342:$G$412,0)),0)</f>
        <v>0</v>
      </c>
      <c r="H90" s="1722">
        <f>IFERROR(INDEX(DataPage!$L$342:$L$412,MATCH(cbal!H284,DataPage!$G$342:$G$412,0)),0)</f>
        <v>0</v>
      </c>
      <c r="I90" s="1723">
        <f>IFERROR(INDEX(DataPage!$L$342:$L$412,MATCH(cbal!I284,DataPage!$G$342:$G$412,0)),0)</f>
        <v>0</v>
      </c>
      <c r="J90" s="1685"/>
    </row>
    <row r="91" spans="2:10">
      <c r="B91" s="1709" t="s">
        <v>503</v>
      </c>
      <c r="C91" s="1721" t="s">
        <v>2066</v>
      </c>
      <c r="D91" s="1721"/>
      <c r="E91" s="1722">
        <f>IFERROR(INDEX(DataPage!$L$342:$L$412,MATCH(cbal!E285,DataPage!$G$342:$G$412,0)),0)</f>
        <v>0</v>
      </c>
      <c r="F91" s="1722">
        <f>IFERROR(INDEX(DataPage!$L$342:$L$412,MATCH(cbal!F285,DataPage!$G$342:$G$412,0)),0)</f>
        <v>0</v>
      </c>
      <c r="G91" s="1722">
        <f>IFERROR(INDEX(DataPage!$L$342:$L$412,MATCH(cbal!G285,DataPage!$G$342:$G$412,0)),0)</f>
        <v>0</v>
      </c>
      <c r="H91" s="1722">
        <f>IFERROR(INDEX(DataPage!$L$342:$L$412,MATCH(cbal!H285,DataPage!$G$342:$G$412,0)),0)</f>
        <v>0</v>
      </c>
      <c r="I91" s="1723">
        <f>IFERROR(INDEX(DataPage!$L$342:$L$412,MATCH(cbal!I285,DataPage!$G$342:$G$412,0)),0)</f>
        <v>0</v>
      </c>
      <c r="J91" s="1685"/>
    </row>
    <row r="92" spans="2:10">
      <c r="B92" s="1709" t="s">
        <v>503</v>
      </c>
      <c r="C92" s="1721" t="s">
        <v>2067</v>
      </c>
      <c r="D92" s="1721"/>
      <c r="E92" s="1722">
        <f>IFERROR(INDEX(DataPage!$L$342:$L$412,MATCH(cbal!E286,DataPage!$G$342:$G$412,0)),0)</f>
        <v>0</v>
      </c>
      <c r="F92" s="1722">
        <f>IFERROR(INDEX(DataPage!$L$342:$L$412,MATCH(cbal!F286,DataPage!$G$342:$G$412,0)),0)</f>
        <v>0</v>
      </c>
      <c r="G92" s="1722">
        <f>IFERROR(INDEX(DataPage!$L$342:$L$412,MATCH(cbal!G286,DataPage!$G$342:$G$412,0)),0)</f>
        <v>0</v>
      </c>
      <c r="H92" s="1722">
        <f>IFERROR(INDEX(DataPage!$L$342:$L$412,MATCH(cbal!H286,DataPage!$G$342:$G$412,0)),0)</f>
        <v>0</v>
      </c>
      <c r="I92" s="1723">
        <f>IFERROR(INDEX(DataPage!$L$342:$L$412,MATCH(cbal!I286,DataPage!$G$342:$G$412,0)),0)</f>
        <v>0</v>
      </c>
      <c r="J92" s="1685"/>
    </row>
    <row r="93" spans="2:10">
      <c r="B93" s="1709" t="s">
        <v>503</v>
      </c>
      <c r="C93" s="1721" t="s">
        <v>2068</v>
      </c>
      <c r="D93" s="1721"/>
      <c r="E93" s="1722">
        <f>IFERROR(INDEX(DataPage!$L$342:$L$412,MATCH(cbal!E287,DataPage!$G$342:$G$412,0)),0)</f>
        <v>0</v>
      </c>
      <c r="F93" s="1722">
        <f>IFERROR(INDEX(DataPage!$L$342:$L$412,MATCH(cbal!F287,DataPage!$G$342:$G$412,0)),0)</f>
        <v>0</v>
      </c>
      <c r="G93" s="1722">
        <f>IFERROR(INDEX(DataPage!$L$342:$L$412,MATCH(cbal!G287,DataPage!$G$342:$G$412,0)),0)</f>
        <v>0</v>
      </c>
      <c r="H93" s="1722">
        <f>IFERROR(INDEX(DataPage!$L$342:$L$412,MATCH(cbal!H287,DataPage!$G$342:$G$412,0)),0)</f>
        <v>0</v>
      </c>
      <c r="I93" s="1723">
        <f>IFERROR(INDEX(DataPage!$L$342:$L$412,MATCH(cbal!I287,DataPage!$G$342:$G$412,0)),0)</f>
        <v>0</v>
      </c>
      <c r="J93" s="1685"/>
    </row>
    <row r="94" spans="2:10">
      <c r="B94" s="1709" t="s">
        <v>503</v>
      </c>
      <c r="C94" s="1721" t="s">
        <v>2069</v>
      </c>
      <c r="D94" s="1721"/>
      <c r="E94" s="1722">
        <f>IFERROR(INDEX(DataPage!$L$342:$L$412,MATCH(cbal!E288,DataPage!$G$342:$G$412,0)),0)</f>
        <v>0</v>
      </c>
      <c r="F94" s="1722">
        <f>IFERROR(INDEX(DataPage!$L$342:$L$412,MATCH(cbal!F288,DataPage!$G$342:$G$412,0)),0)</f>
        <v>0</v>
      </c>
      <c r="G94" s="1722">
        <f>IFERROR(INDEX(DataPage!$L$342:$L$412,MATCH(cbal!G288,DataPage!$G$342:$G$412,0)),0)</f>
        <v>0</v>
      </c>
      <c r="H94" s="1722">
        <f>IFERROR(INDEX(DataPage!$L$342:$L$412,MATCH(cbal!H288,DataPage!$G$342:$G$412,0)),0)</f>
        <v>0</v>
      </c>
      <c r="I94" s="1723">
        <f>IFERROR(INDEX(DataPage!$L$342:$L$412,MATCH(cbal!I288,DataPage!$G$342:$G$412,0)),0)</f>
        <v>0</v>
      </c>
      <c r="J94" s="1685"/>
    </row>
    <row r="95" spans="2:10">
      <c r="B95" s="1709" t="s">
        <v>503</v>
      </c>
      <c r="C95" s="1721" t="s">
        <v>2070</v>
      </c>
      <c r="D95" s="1721"/>
      <c r="E95" s="1722">
        <f>IFERROR(INDEX(DataPage!$L$342:$L$412,MATCH(cbal!E289,DataPage!$G$342:$G$412,0)),0)</f>
        <v>0</v>
      </c>
      <c r="F95" s="1722">
        <f>IFERROR(INDEX(DataPage!$L$342:$L$412,MATCH(cbal!F289,DataPage!$G$342:$G$412,0)),0)</f>
        <v>0</v>
      </c>
      <c r="G95" s="1722">
        <f>IFERROR(INDEX(DataPage!$L$342:$L$412,MATCH(cbal!G289,DataPage!$G$342:$G$412,0)),0)</f>
        <v>0</v>
      </c>
      <c r="H95" s="1722">
        <f>IFERROR(INDEX(DataPage!$L$342:$L$412,MATCH(cbal!H289,DataPage!$G$342:$G$412,0)),0)</f>
        <v>0</v>
      </c>
      <c r="I95" s="1723">
        <f>IFERROR(INDEX(DataPage!$L$342:$L$412,MATCH(cbal!I289,DataPage!$G$342:$G$412,0)),0)</f>
        <v>0</v>
      </c>
      <c r="J95" s="1685"/>
    </row>
    <row r="96" spans="2:10">
      <c r="B96" s="1709" t="s">
        <v>513</v>
      </c>
      <c r="C96" s="1721" t="s">
        <v>2066</v>
      </c>
      <c r="D96" s="1721"/>
      <c r="E96" s="1722">
        <f>IFERROR(INDEX(DataPage!$L$342:$L$412,MATCH(cbal!E290,DataPage!$G$342:$G$412,0)),0)</f>
        <v>0</v>
      </c>
      <c r="F96" s="1722">
        <f>IFERROR(INDEX(DataPage!$L$342:$L$412,MATCH(cbal!F290,DataPage!$G$342:$G$412,0)),0)</f>
        <v>0</v>
      </c>
      <c r="G96" s="1722">
        <f>IFERROR(INDEX(DataPage!$L$342:$L$412,MATCH(cbal!G290,DataPage!$G$342:$G$412,0)),0)</f>
        <v>0</v>
      </c>
      <c r="H96" s="1722">
        <f>IFERROR(INDEX(DataPage!$L$342:$L$412,MATCH(cbal!H290,DataPage!$G$342:$G$412,0)),0)</f>
        <v>0</v>
      </c>
      <c r="I96" s="1723">
        <f>IFERROR(INDEX(DataPage!$L$342:$L$412,MATCH(cbal!I290,DataPage!$G$342:$G$412,0)),0)</f>
        <v>0</v>
      </c>
      <c r="J96" s="1685"/>
    </row>
    <row r="97" spans="2:10">
      <c r="B97" s="1709" t="s">
        <v>513</v>
      </c>
      <c r="C97" s="1721" t="s">
        <v>2067</v>
      </c>
      <c r="D97" s="1721"/>
      <c r="E97" s="1722">
        <f>IFERROR(INDEX(DataPage!$L$342:$L$412,MATCH(cbal!E291,DataPage!$G$342:$G$412,0)),0)</f>
        <v>0</v>
      </c>
      <c r="F97" s="1722">
        <f>IFERROR(INDEX(DataPage!$L$342:$L$412,MATCH(cbal!F291,DataPage!$G$342:$G$412,0)),0)</f>
        <v>0</v>
      </c>
      <c r="G97" s="1722">
        <f>IFERROR(INDEX(DataPage!$L$342:$L$412,MATCH(cbal!G291,DataPage!$G$342:$G$412,0)),0)</f>
        <v>0</v>
      </c>
      <c r="H97" s="1722">
        <f>IFERROR(INDEX(DataPage!$L$342:$L$412,MATCH(cbal!H291,DataPage!$G$342:$G$412,0)),0)</f>
        <v>0</v>
      </c>
      <c r="I97" s="1723">
        <f>IFERROR(INDEX(DataPage!$L$342:$L$412,MATCH(cbal!I291,DataPage!$G$342:$G$412,0)),0)</f>
        <v>0</v>
      </c>
      <c r="J97" s="1685"/>
    </row>
    <row r="98" spans="2:10">
      <c r="B98" s="1709" t="s">
        <v>513</v>
      </c>
      <c r="C98" s="1721" t="s">
        <v>2068</v>
      </c>
      <c r="D98" s="1721"/>
      <c r="E98" s="1722">
        <f>IFERROR(INDEX(DataPage!$L$342:$L$412,MATCH(cbal!E292,DataPage!$G$342:$G$412,0)),0)</f>
        <v>0</v>
      </c>
      <c r="F98" s="1722">
        <f>IFERROR(INDEX(DataPage!$L$342:$L$412,MATCH(cbal!F292,DataPage!$G$342:$G$412,0)),0)</f>
        <v>0</v>
      </c>
      <c r="G98" s="1722">
        <f>IFERROR(INDEX(DataPage!$L$342:$L$412,MATCH(cbal!G292,DataPage!$G$342:$G$412,0)),0)</f>
        <v>0</v>
      </c>
      <c r="H98" s="1722">
        <f>IFERROR(INDEX(DataPage!$L$342:$L$412,MATCH(cbal!H292,DataPage!$G$342:$G$412,0)),0)</f>
        <v>0</v>
      </c>
      <c r="I98" s="1723">
        <f>IFERROR(INDEX(DataPage!$L$342:$L$412,MATCH(cbal!I292,DataPage!$G$342:$G$412,0)),0)</f>
        <v>0</v>
      </c>
      <c r="J98" s="1685"/>
    </row>
    <row r="99" spans="2:10">
      <c r="B99" s="1709" t="s">
        <v>513</v>
      </c>
      <c r="C99" s="1721" t="s">
        <v>2069</v>
      </c>
      <c r="D99" s="1721"/>
      <c r="E99" s="1722">
        <f>IFERROR(INDEX(DataPage!$L$342:$L$412,MATCH(cbal!E293,DataPage!$G$342:$G$412,0)),0)</f>
        <v>0</v>
      </c>
      <c r="F99" s="1722">
        <f>IFERROR(INDEX(DataPage!$L$342:$L$412,MATCH(cbal!F293,DataPage!$G$342:$G$412,0)),0)</f>
        <v>0</v>
      </c>
      <c r="G99" s="1722">
        <f>IFERROR(INDEX(DataPage!$L$342:$L$412,MATCH(cbal!G293,DataPage!$G$342:$G$412,0)),0)</f>
        <v>0</v>
      </c>
      <c r="H99" s="1722">
        <f>IFERROR(INDEX(DataPage!$L$342:$L$412,MATCH(cbal!H293,DataPage!$G$342:$G$412,0)),0)</f>
        <v>0</v>
      </c>
      <c r="I99" s="1723">
        <f>IFERROR(INDEX(DataPage!$L$342:$L$412,MATCH(cbal!I293,DataPage!$G$342:$G$412,0)),0)</f>
        <v>0</v>
      </c>
      <c r="J99" s="1685"/>
    </row>
    <row r="100" spans="2:10">
      <c r="B100" s="1709" t="s">
        <v>513</v>
      </c>
      <c r="C100" s="1721" t="s">
        <v>2070</v>
      </c>
      <c r="D100" s="1721"/>
      <c r="E100" s="1722">
        <f>IFERROR(INDEX(DataPage!$L$342:$L$412,MATCH(cbal!E294,DataPage!$G$342:$G$412,0)),0)</f>
        <v>0</v>
      </c>
      <c r="F100" s="1722">
        <f>IFERROR(INDEX(DataPage!$L$342:$L$412,MATCH(cbal!F294,DataPage!$G$342:$G$412,0)),0)</f>
        <v>0</v>
      </c>
      <c r="G100" s="1722">
        <f>IFERROR(INDEX(DataPage!$L$342:$L$412,MATCH(cbal!G294,DataPage!$G$342:$G$412,0)),0)</f>
        <v>0</v>
      </c>
      <c r="H100" s="1722">
        <f>IFERROR(INDEX(DataPage!$L$342:$L$412,MATCH(cbal!H294,DataPage!$G$342:$G$412,0)),0)</f>
        <v>0</v>
      </c>
      <c r="I100" s="1723">
        <f>IFERROR(INDEX(DataPage!$L$342:$L$412,MATCH(cbal!I294,DataPage!$G$342:$G$412,0)),0)</f>
        <v>0</v>
      </c>
      <c r="J100" s="1685"/>
    </row>
    <row r="101" spans="2:10">
      <c r="B101" s="1724" t="s">
        <v>2071</v>
      </c>
      <c r="C101" s="1721"/>
      <c r="D101" s="1726"/>
      <c r="E101" s="1722"/>
      <c r="F101" s="1722"/>
      <c r="G101" s="1722"/>
      <c r="H101" s="1722"/>
      <c r="I101" s="1723"/>
      <c r="J101" s="1685"/>
    </row>
    <row r="102" spans="2:10">
      <c r="B102" s="1724"/>
      <c r="C102" s="1721" t="s">
        <v>1403</v>
      </c>
      <c r="D102" s="1726"/>
      <c r="E102" s="1722">
        <f t="shared" ref="E102:I106" si="1">SUMIF(E$86:E$100,$C102,E$70:E$84)</f>
        <v>0</v>
      </c>
      <c r="F102" s="1722">
        <f t="shared" si="1"/>
        <v>0</v>
      </c>
      <c r="G102" s="1722">
        <f t="shared" si="1"/>
        <v>0</v>
      </c>
      <c r="H102" s="1722">
        <f t="shared" si="1"/>
        <v>0</v>
      </c>
      <c r="I102" s="1723">
        <f t="shared" si="1"/>
        <v>0</v>
      </c>
      <c r="J102" s="1685" t="s">
        <v>2072</v>
      </c>
    </row>
    <row r="103" spans="2:10">
      <c r="B103" s="1724"/>
      <c r="C103" s="1721" t="s">
        <v>2998</v>
      </c>
      <c r="D103" s="1726"/>
      <c r="E103" s="1722">
        <f t="shared" si="1"/>
        <v>0</v>
      </c>
      <c r="F103" s="1722">
        <f t="shared" si="1"/>
        <v>0</v>
      </c>
      <c r="G103" s="1722">
        <f t="shared" si="1"/>
        <v>0</v>
      </c>
      <c r="H103" s="1722">
        <f t="shared" si="1"/>
        <v>0</v>
      </c>
      <c r="I103" s="1723">
        <f t="shared" si="1"/>
        <v>0</v>
      </c>
      <c r="J103" s="1685" t="s">
        <v>2073</v>
      </c>
    </row>
    <row r="104" spans="2:10">
      <c r="B104" s="1724"/>
      <c r="C104" s="1721" t="s">
        <v>2997</v>
      </c>
      <c r="D104" s="1726"/>
      <c r="E104" s="1722">
        <f t="shared" si="1"/>
        <v>0</v>
      </c>
      <c r="F104" s="1722">
        <f t="shared" si="1"/>
        <v>0</v>
      </c>
      <c r="G104" s="1722">
        <f t="shared" si="1"/>
        <v>0</v>
      </c>
      <c r="H104" s="1722">
        <f t="shared" si="1"/>
        <v>0</v>
      </c>
      <c r="I104" s="1723">
        <f t="shared" si="1"/>
        <v>0</v>
      </c>
      <c r="J104" s="1685" t="s">
        <v>2074</v>
      </c>
    </row>
    <row r="105" spans="2:10">
      <c r="B105" s="1724"/>
      <c r="C105" s="1721" t="s">
        <v>1108</v>
      </c>
      <c r="D105" s="1726"/>
      <c r="E105" s="1722">
        <f t="shared" si="1"/>
        <v>0</v>
      </c>
      <c r="F105" s="1722">
        <f t="shared" si="1"/>
        <v>0</v>
      </c>
      <c r="G105" s="1722">
        <f t="shared" si="1"/>
        <v>0</v>
      </c>
      <c r="H105" s="1722">
        <f t="shared" si="1"/>
        <v>0</v>
      </c>
      <c r="I105" s="1723">
        <f t="shared" si="1"/>
        <v>0</v>
      </c>
      <c r="J105" s="1685" t="s">
        <v>2075</v>
      </c>
    </row>
    <row r="106" spans="2:10" ht="12" thickBot="1">
      <c r="B106" s="1727"/>
      <c r="C106" s="1728" t="s">
        <v>3443</v>
      </c>
      <c r="D106" s="1728"/>
      <c r="E106" s="1729">
        <f>SUMIF(E$86:E$100,$C106,E$70:E$84)</f>
        <v>0</v>
      </c>
      <c r="F106" s="1729">
        <f t="shared" si="1"/>
        <v>0</v>
      </c>
      <c r="G106" s="1729">
        <f t="shared" si="1"/>
        <v>0</v>
      </c>
      <c r="H106" s="1729">
        <f t="shared" si="1"/>
        <v>0</v>
      </c>
      <c r="I106" s="1730">
        <f t="shared" si="1"/>
        <v>0</v>
      </c>
      <c r="J106" s="1685" t="s">
        <v>2996</v>
      </c>
    </row>
    <row r="107" spans="2:10">
      <c r="C107" s="3"/>
      <c r="D107" s="3"/>
      <c r="E107" s="23"/>
      <c r="F107" s="23"/>
      <c r="G107" s="23"/>
      <c r="H107" s="23"/>
      <c r="I107" s="23"/>
    </row>
    <row r="108" spans="2:10" ht="12" thickBot="1">
      <c r="C108" s="3"/>
      <c r="D108" s="3"/>
      <c r="E108" s="23"/>
      <c r="F108" s="23"/>
      <c r="G108" s="23"/>
      <c r="H108" s="23"/>
      <c r="I108" s="23"/>
    </row>
    <row r="109" spans="2:10">
      <c r="C109" s="1698" t="s">
        <v>1403</v>
      </c>
      <c r="D109" s="1708">
        <f>INDEX($E102:$I102,xxIndexTeam)</f>
        <v>0</v>
      </c>
      <c r="E109" s="1685" t="s">
        <v>3664</v>
      </c>
    </row>
    <row r="110" spans="2:10">
      <c r="C110" s="1709" t="s">
        <v>2998</v>
      </c>
      <c r="D110" s="1710">
        <f>INDEX($E103:$I103,xxIndexTeam)</f>
        <v>0</v>
      </c>
      <c r="E110" s="1685"/>
    </row>
    <row r="111" spans="2:10">
      <c r="C111" s="1709" t="s">
        <v>2997</v>
      </c>
      <c r="D111" s="1710">
        <f>INDEX($E104:$I104,xxIndexTeam)</f>
        <v>0</v>
      </c>
      <c r="E111" s="1685"/>
    </row>
    <row r="112" spans="2:10">
      <c r="C112" s="1709" t="s">
        <v>1108</v>
      </c>
      <c r="D112" s="1710">
        <f>INDEX($E105:$I105,xxIndexTeam)</f>
        <v>0</v>
      </c>
      <c r="E112" s="1685"/>
    </row>
    <row r="113" spans="3:5" ht="12" thickBot="1">
      <c r="C113" s="1711" t="s">
        <v>3443</v>
      </c>
      <c r="D113" s="1712">
        <f>INDEX($E106:$I106,xxIndexTeam)</f>
        <v>0</v>
      </c>
      <c r="E113" s="1685"/>
    </row>
  </sheetData>
  <mergeCells count="1">
    <mergeCell ref="G3:I3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57"/>
  </sheetPr>
  <dimension ref="A1:J49"/>
  <sheetViews>
    <sheetView workbookViewId="0">
      <selection activeCell="E35" sqref="E35"/>
    </sheetView>
  </sheetViews>
  <sheetFormatPr defaultRowHeight="11.25"/>
  <cols>
    <col min="3" max="3" width="30.83203125" bestFit="1" customWidth="1"/>
    <col min="5" max="9" width="10.6640625" bestFit="1" customWidth="1"/>
  </cols>
  <sheetData>
    <row r="1" spans="1:10" s="144" customFormat="1" ht="15.75">
      <c r="A1" s="143" t="s">
        <v>1265</v>
      </c>
      <c r="B1" s="143"/>
      <c r="C1" s="143"/>
      <c r="D1" s="143"/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3" spans="1:10" s="905" customFormat="1">
      <c r="B3" s="906" t="s">
        <v>2089</v>
      </c>
      <c r="C3" s="906"/>
      <c r="D3" s="906"/>
      <c r="E3" s="907"/>
      <c r="F3" s="907"/>
      <c r="G3" s="907"/>
      <c r="H3" s="907"/>
      <c r="I3" s="907"/>
      <c r="J3" s="907"/>
    </row>
    <row r="5" spans="1:10">
      <c r="B5" t="s">
        <v>1194</v>
      </c>
      <c r="E5" s="10">
        <f>IFERROR(SUMIF(cbal!E$280:E$297,Iniative_Grid!$B5,cbal!$B$280:$B$297),0)</f>
        <v>0</v>
      </c>
      <c r="F5" s="10">
        <f>IFERROR(SUMIF(cbal!F$280:F$297,Iniative_Grid!$B5,cbal!$B$280:$B$297),0)</f>
        <v>0</v>
      </c>
      <c r="G5" s="10">
        <f>IFERROR(SUMIF(cbal!G$280:G$297,Iniative_Grid!$B5,cbal!$B$280:$B$297),0)</f>
        <v>0</v>
      </c>
      <c r="H5" s="10">
        <f>IFERROR(SUMIF(cbal!H$280:H$297,Iniative_Grid!$B5,cbal!$B$280:$B$297),0)</f>
        <v>0</v>
      </c>
      <c r="I5" s="10">
        <f>IFERROR(SUMIF(cbal!I$280:I$297,Iniative_Grid!$B5,cbal!$B$280:$B$297),0)</f>
        <v>0</v>
      </c>
    </row>
    <row r="6" spans="1:10">
      <c r="B6" t="s">
        <v>1195</v>
      </c>
      <c r="C6" s="397"/>
      <c r="E6" s="10">
        <f>IFERROR(SUMIF(cbal!E$280:E$297,Iniative_Grid!$B6,cbal!$B$280:$B$297),0)</f>
        <v>0</v>
      </c>
      <c r="F6" s="10">
        <f>IFERROR(SUMIF(cbal!F$280:F$297,Iniative_Grid!$B6,cbal!$B$280:$B$297),0)</f>
        <v>0</v>
      </c>
      <c r="G6" s="10">
        <f>IFERROR(SUMIF(cbal!G$280:G$297,Iniative_Grid!$B6,cbal!$B$280:$B$297),0)</f>
        <v>0</v>
      </c>
      <c r="H6" s="10">
        <f>IFERROR(SUMIF(cbal!H$280:H$297,Iniative_Grid!$B6,cbal!$B$280:$B$297),0)</f>
        <v>0</v>
      </c>
      <c r="I6" s="10">
        <f>IFERROR(SUMIF(cbal!I$280:I$297,Iniative_Grid!$B6,cbal!$B$280:$B$297),0)</f>
        <v>0</v>
      </c>
    </row>
    <row r="7" spans="1:10">
      <c r="B7" s="908" t="s">
        <v>1196</v>
      </c>
      <c r="E7" s="10">
        <f>IFERROR(SUMIF(cbal!E$280:E$297,Iniative_Grid!$B7,cbal!$B$280:$B$297),0)</f>
        <v>0</v>
      </c>
      <c r="F7" s="10">
        <f>IFERROR(SUMIF(cbal!F$280:F$297,Iniative_Grid!$B7,cbal!$B$280:$B$297),0)</f>
        <v>0</v>
      </c>
      <c r="G7" s="10">
        <f>IFERROR(SUMIF(cbal!G$280:G$297,Iniative_Grid!$B7,cbal!$B$280:$B$297),0)</f>
        <v>0</v>
      </c>
      <c r="H7" s="10">
        <f>IFERROR(SUMIF(cbal!H$280:H$297,Iniative_Grid!$B7,cbal!$B$280:$B$297),0)</f>
        <v>0</v>
      </c>
      <c r="I7" s="10">
        <f>IFERROR(SUMIF(cbal!I$280:I$297,Iniative_Grid!$B7,cbal!$B$280:$B$297),0)</f>
        <v>0</v>
      </c>
    </row>
    <row r="8" spans="1:10">
      <c r="B8" s="908" t="s">
        <v>1197</v>
      </c>
      <c r="E8" s="10">
        <f>IFERROR(SUMIF(cbal!E$280:E$297,Iniative_Grid!$B8,cbal!$B$280:$B$297),0)</f>
        <v>0</v>
      </c>
      <c r="F8" s="10">
        <f>IFERROR(SUMIF(cbal!F$280:F$297,Iniative_Grid!$B8,cbal!$B$280:$B$297),0)</f>
        <v>0</v>
      </c>
      <c r="G8" s="10">
        <f>IFERROR(SUMIF(cbal!G$280:G$297,Iniative_Grid!$B8,cbal!$B$280:$B$297),0)</f>
        <v>0</v>
      </c>
      <c r="H8" s="10">
        <f>IFERROR(SUMIF(cbal!H$280:H$297,Iniative_Grid!$B8,cbal!$B$280:$B$297),0)</f>
        <v>0</v>
      </c>
      <c r="I8" s="10">
        <f>IFERROR(SUMIF(cbal!I$280:I$297,Iniative_Grid!$B8,cbal!$B$280:$B$297),0)</f>
        <v>0</v>
      </c>
    </row>
    <row r="9" spans="1:10">
      <c r="B9" s="908" t="s">
        <v>1198</v>
      </c>
      <c r="C9" s="397"/>
      <c r="E9" s="10">
        <f>IFERROR(SUMIF(cbal!E$280:E$297,Iniative_Grid!$B9,cbal!$B$280:$B$297),0)</f>
        <v>0</v>
      </c>
      <c r="F9" s="10">
        <f>IFERROR(SUMIF(cbal!F$280:F$297,Iniative_Grid!$B9,cbal!$B$280:$B$297),0)</f>
        <v>0</v>
      </c>
      <c r="G9" s="10">
        <f>IFERROR(SUMIF(cbal!G$280:G$297,Iniative_Grid!$B9,cbal!$B$280:$B$297),0)</f>
        <v>0</v>
      </c>
      <c r="H9" s="10">
        <f>IFERROR(SUMIF(cbal!H$280:H$297,Iniative_Grid!$B9,cbal!$B$280:$B$297),0)</f>
        <v>0</v>
      </c>
      <c r="I9" s="10">
        <f>IFERROR(SUMIF(cbal!I$280:I$297,Iniative_Grid!$B9,cbal!$B$280:$B$297),0)</f>
        <v>0</v>
      </c>
    </row>
    <row r="10" spans="1:10">
      <c r="B10" s="908" t="s">
        <v>1199</v>
      </c>
      <c r="C10" s="397"/>
      <c r="E10" s="10">
        <f>IFERROR(SUMIF(cbal!E$280:E$297,Iniative_Grid!$B10,cbal!$B$280:$B$297),0)</f>
        <v>0</v>
      </c>
      <c r="F10" s="10">
        <f>IFERROR(SUMIF(cbal!F$280:F$297,Iniative_Grid!$B10,cbal!$B$280:$B$297),0)</f>
        <v>0</v>
      </c>
      <c r="G10" s="10">
        <f>IFERROR(SUMIF(cbal!G$280:G$297,Iniative_Grid!$B10,cbal!$B$280:$B$297),0)</f>
        <v>0</v>
      </c>
      <c r="H10" s="10">
        <f>IFERROR(SUMIF(cbal!H$280:H$297,Iniative_Grid!$B10,cbal!$B$280:$B$297),0)</f>
        <v>0</v>
      </c>
      <c r="I10" s="10">
        <f>IFERROR(SUMIF(cbal!I$280:I$297,Iniative_Grid!$B10,cbal!$B$280:$B$297),0)</f>
        <v>0</v>
      </c>
    </row>
    <row r="11" spans="1:10">
      <c r="B11" s="908" t="s">
        <v>1200</v>
      </c>
      <c r="C11" s="397"/>
      <c r="E11" s="10">
        <f>IFERROR(SUMIF(cbal!E$280:E$297,Iniative_Grid!$B11,cbal!$B$280:$B$297),0)</f>
        <v>0</v>
      </c>
      <c r="F11" s="10">
        <f>IFERROR(SUMIF(cbal!F$280:F$297,Iniative_Grid!$B11,cbal!$B$280:$B$297),0)</f>
        <v>0</v>
      </c>
      <c r="G11" s="10">
        <f>IFERROR(SUMIF(cbal!G$280:G$297,Iniative_Grid!$B11,cbal!$B$280:$B$297),0)</f>
        <v>0</v>
      </c>
      <c r="H11" s="10">
        <f>IFERROR(SUMIF(cbal!H$280:H$297,Iniative_Grid!$B11,cbal!$B$280:$B$297),0)</f>
        <v>0</v>
      </c>
      <c r="I11" s="10">
        <f>IFERROR(SUMIF(cbal!I$280:I$297,Iniative_Grid!$B11,cbal!$B$280:$B$297),0)</f>
        <v>0</v>
      </c>
    </row>
    <row r="12" spans="1:10">
      <c r="B12" s="908" t="s">
        <v>1201</v>
      </c>
      <c r="C12" s="397"/>
      <c r="E12" s="10">
        <f>IFERROR(SUMIF(cbal!E$280:E$297,Iniative_Grid!$B12,cbal!$B$280:$B$297),0)</f>
        <v>0</v>
      </c>
      <c r="F12" s="10">
        <f>IFERROR(SUMIF(cbal!F$280:F$297,Iniative_Grid!$B12,cbal!$B$280:$B$297),0)</f>
        <v>0</v>
      </c>
      <c r="G12" s="10">
        <f>IFERROR(SUMIF(cbal!G$280:G$297,Iniative_Grid!$B12,cbal!$B$280:$B$297),0)</f>
        <v>0</v>
      </c>
      <c r="H12" s="10">
        <f>IFERROR(SUMIF(cbal!H$280:H$297,Iniative_Grid!$B12,cbal!$B$280:$B$297),0)</f>
        <v>0</v>
      </c>
      <c r="I12" s="10">
        <f>IFERROR(SUMIF(cbal!I$280:I$297,Iniative_Grid!$B12,cbal!$B$280:$B$297),0)</f>
        <v>0</v>
      </c>
    </row>
    <row r="13" spans="1:10">
      <c r="B13" s="908" t="s">
        <v>1202</v>
      </c>
      <c r="C13" s="397"/>
      <c r="E13" s="10">
        <f>IFERROR(SUMIF(cbal!E$280:E$297,Iniative_Grid!$B13,cbal!$B$280:$B$297),0)</f>
        <v>0</v>
      </c>
      <c r="F13" s="10">
        <f>IFERROR(SUMIF(cbal!F$280:F$297,Iniative_Grid!$B13,cbal!$B$280:$B$297),0)</f>
        <v>0</v>
      </c>
      <c r="G13" s="10">
        <f>IFERROR(SUMIF(cbal!G$280:G$297,Iniative_Grid!$B13,cbal!$B$280:$B$297),0)</f>
        <v>0</v>
      </c>
      <c r="H13" s="10">
        <f>IFERROR(SUMIF(cbal!H$280:H$297,Iniative_Grid!$B13,cbal!$B$280:$B$297),0)</f>
        <v>0</v>
      </c>
      <c r="I13" s="10">
        <f>IFERROR(SUMIF(cbal!I$280:I$297,Iniative_Grid!$B13,cbal!$B$280:$B$297),0)</f>
        <v>0</v>
      </c>
    </row>
    <row r="14" spans="1:10">
      <c r="B14" s="909" t="s">
        <v>1203</v>
      </c>
      <c r="C14" s="397"/>
      <c r="E14" s="10">
        <f>IFERROR(SUMIF(cbal!E$280:E$297,Iniative_Grid!$B14,cbal!$B$280:$B$297),0)</f>
        <v>0</v>
      </c>
      <c r="F14" s="10">
        <f>IFERROR(SUMIF(cbal!F$280:F$297,Iniative_Grid!$B14,cbal!$B$280:$B$297),0)</f>
        <v>0</v>
      </c>
      <c r="G14" s="10">
        <f>IFERROR(SUMIF(cbal!G$280:G$297,Iniative_Grid!$B14,cbal!$B$280:$B$297),0)</f>
        <v>0</v>
      </c>
      <c r="H14" s="10">
        <f>IFERROR(SUMIF(cbal!H$280:H$297,Iniative_Grid!$B14,cbal!$B$280:$B$297),0)</f>
        <v>0</v>
      </c>
      <c r="I14" s="10">
        <f>IFERROR(SUMIF(cbal!I$280:I$297,Iniative_Grid!$B14,cbal!$B$280:$B$297),0)</f>
        <v>0</v>
      </c>
    </row>
    <row r="15" spans="1:10">
      <c r="B15" s="909" t="s">
        <v>1204</v>
      </c>
      <c r="C15" s="397"/>
      <c r="E15" s="10">
        <f>IFERROR(SUMIF(cbal!E$280:E$297,Iniative_Grid!$B15,cbal!$B$280:$B$297),0)</f>
        <v>0</v>
      </c>
      <c r="F15" s="10">
        <f>IFERROR(SUMIF(cbal!F$280:F$297,Iniative_Grid!$B15,cbal!$B$280:$B$297),0)</f>
        <v>0</v>
      </c>
      <c r="G15" s="10">
        <f>IFERROR(SUMIF(cbal!G$280:G$297,Iniative_Grid!$B15,cbal!$B$280:$B$297),0)</f>
        <v>0</v>
      </c>
      <c r="H15" s="10">
        <f>IFERROR(SUMIF(cbal!H$280:H$297,Iniative_Grid!$B15,cbal!$B$280:$B$297),0)</f>
        <v>0</v>
      </c>
      <c r="I15" s="10">
        <f>IFERROR(SUMIF(cbal!I$280:I$297,Iniative_Grid!$B15,cbal!$B$280:$B$297),0)</f>
        <v>0</v>
      </c>
    </row>
    <row r="16" spans="1:10">
      <c r="B16" s="909" t="s">
        <v>1205</v>
      </c>
      <c r="C16" s="397"/>
      <c r="E16" s="10">
        <f>IFERROR(SUMIF(cbal!E$280:E$297,Iniative_Grid!$B16,cbal!$B$280:$B$297),0)</f>
        <v>0</v>
      </c>
      <c r="F16" s="10">
        <f>IFERROR(SUMIF(cbal!F$280:F$297,Iniative_Grid!$B16,cbal!$B$280:$B$297),0)</f>
        <v>0</v>
      </c>
      <c r="G16" s="10">
        <f>IFERROR(SUMIF(cbal!G$280:G$297,Iniative_Grid!$B16,cbal!$B$280:$B$297),0)</f>
        <v>0</v>
      </c>
      <c r="H16" s="10">
        <f>IFERROR(SUMIF(cbal!H$280:H$297,Iniative_Grid!$B16,cbal!$B$280:$B$297),0)</f>
        <v>0</v>
      </c>
      <c r="I16" s="10">
        <f>IFERROR(SUMIF(cbal!I$280:I$297,Iniative_Grid!$B16,cbal!$B$280:$B$297),0)</f>
        <v>0</v>
      </c>
    </row>
    <row r="17" spans="2:9">
      <c r="B17" s="909" t="s">
        <v>1206</v>
      </c>
      <c r="C17" s="397"/>
      <c r="E17" s="10">
        <f>IFERROR(SUMIF(cbal!E$280:E$297,Iniative_Grid!$B17,cbal!$B$280:$B$297),0)</f>
        <v>0</v>
      </c>
      <c r="F17" s="10">
        <f>IFERROR(SUMIF(cbal!F$280:F$297,Iniative_Grid!$B17,cbal!$B$280:$B$297),0)</f>
        <v>0</v>
      </c>
      <c r="G17" s="10">
        <f>IFERROR(SUMIF(cbal!G$280:G$297,Iniative_Grid!$B17,cbal!$B$280:$B$297),0)</f>
        <v>0</v>
      </c>
      <c r="H17" s="10">
        <f>IFERROR(SUMIF(cbal!H$280:H$297,Iniative_Grid!$B17,cbal!$B$280:$B$297),0)</f>
        <v>0</v>
      </c>
      <c r="I17" s="10">
        <f>IFERROR(SUMIF(cbal!I$280:I$297,Iniative_Grid!$B17,cbal!$B$280:$B$297),0)</f>
        <v>0</v>
      </c>
    </row>
    <row r="18" spans="2:9">
      <c r="B18" s="909" t="s">
        <v>1207</v>
      </c>
      <c r="C18" s="397"/>
      <c r="E18" s="10">
        <f>IFERROR(SUMIF(cbal!E$280:E$297,Iniative_Grid!$B18,cbal!$B$280:$B$297),0)</f>
        <v>0</v>
      </c>
      <c r="F18" s="10">
        <f>IFERROR(SUMIF(cbal!F$280:F$297,Iniative_Grid!$B18,cbal!$B$280:$B$297),0)</f>
        <v>0</v>
      </c>
      <c r="G18" s="10">
        <f>IFERROR(SUMIF(cbal!G$280:G$297,Iniative_Grid!$B18,cbal!$B$280:$B$297),0)</f>
        <v>0</v>
      </c>
      <c r="H18" s="10">
        <f>IFERROR(SUMIF(cbal!H$280:H$297,Iniative_Grid!$B18,cbal!$B$280:$B$297),0)</f>
        <v>0</v>
      </c>
      <c r="I18" s="10">
        <f>IFERROR(SUMIF(cbal!I$280:I$297,Iniative_Grid!$B18,cbal!$B$280:$B$297),0)</f>
        <v>0</v>
      </c>
    </row>
    <row r="19" spans="2:9">
      <c r="B19" s="909" t="s">
        <v>1208</v>
      </c>
      <c r="C19" s="397"/>
      <c r="E19" s="10">
        <f>IFERROR(SUMIF(cbal!E$280:E$297,Iniative_Grid!$B19,cbal!$B$280:$B$297),0)</f>
        <v>0</v>
      </c>
      <c r="F19" s="10">
        <f>IFERROR(SUMIF(cbal!F$280:F$297,Iniative_Grid!$B19,cbal!$B$280:$B$297),0)</f>
        <v>0</v>
      </c>
      <c r="G19" s="10">
        <f>IFERROR(SUMIF(cbal!G$280:G$297,Iniative_Grid!$B19,cbal!$B$280:$B$297),0)</f>
        <v>0</v>
      </c>
      <c r="H19" s="10">
        <f>IFERROR(SUMIF(cbal!H$280:H$297,Iniative_Grid!$B19,cbal!$B$280:$B$297),0)</f>
        <v>0</v>
      </c>
      <c r="I19" s="10">
        <f>IFERROR(SUMIF(cbal!I$280:I$297,Iniative_Grid!$B19,cbal!$B$280:$B$297),0)</f>
        <v>0</v>
      </c>
    </row>
    <row r="20" spans="2:9">
      <c r="B20" s="909" t="s">
        <v>1209</v>
      </c>
      <c r="E20" s="10">
        <f>IFERROR(SUMIF(cbal!E$280:E$297,Iniative_Grid!$B20,cbal!$B$280:$B$297),0)</f>
        <v>0</v>
      </c>
      <c r="F20" s="10">
        <f>IFERROR(SUMIF(cbal!F$280:F$297,Iniative_Grid!$B20,cbal!$B$280:$B$297),0)</f>
        <v>0</v>
      </c>
      <c r="G20" s="10">
        <f>IFERROR(SUMIF(cbal!G$280:G$297,Iniative_Grid!$B20,cbal!$B$280:$B$297),0)</f>
        <v>0</v>
      </c>
      <c r="H20" s="10">
        <f>IFERROR(SUMIF(cbal!H$280:H$297,Iniative_Grid!$B20,cbal!$B$280:$B$297),0)</f>
        <v>0</v>
      </c>
      <c r="I20" s="10">
        <f>IFERROR(SUMIF(cbal!I$280:I$297,Iniative_Grid!$B20,cbal!$B$280:$B$297),0)</f>
        <v>0</v>
      </c>
    </row>
    <row r="21" spans="2:9">
      <c r="B21" s="909" t="s">
        <v>1210</v>
      </c>
      <c r="C21" s="397"/>
      <c r="E21" s="10">
        <f>IFERROR(SUMIF(cbal!E$280:E$297,Iniative_Grid!$B21,cbal!$B$280:$B$297),0)</f>
        <v>0</v>
      </c>
      <c r="F21" s="10">
        <f>IFERROR(SUMIF(cbal!F$280:F$297,Iniative_Grid!$B21,cbal!$B$280:$B$297),0)</f>
        <v>0</v>
      </c>
      <c r="G21" s="10">
        <f>IFERROR(SUMIF(cbal!G$280:G$297,Iniative_Grid!$B21,cbal!$B$280:$B$297),0)</f>
        <v>0</v>
      </c>
      <c r="H21" s="10">
        <f>IFERROR(SUMIF(cbal!H$280:H$297,Iniative_Grid!$B21,cbal!$B$280:$B$297),0)</f>
        <v>0</v>
      </c>
      <c r="I21" s="10">
        <f>IFERROR(SUMIF(cbal!I$280:I$297,Iniative_Grid!$B21,cbal!$B$280:$B$297),0)</f>
        <v>0</v>
      </c>
    </row>
    <row r="22" spans="2:9">
      <c r="B22" s="909" t="s">
        <v>1211</v>
      </c>
      <c r="C22" s="397"/>
      <c r="E22" s="10">
        <f>IFERROR(SUMIF(cbal!E$280:E$297,Iniative_Grid!$B22,cbal!$B$280:$B$297),0)</f>
        <v>0</v>
      </c>
      <c r="F22" s="10">
        <f>IFERROR(SUMIF(cbal!F$280:F$297,Iniative_Grid!$B22,cbal!$B$280:$B$297),0)</f>
        <v>0</v>
      </c>
      <c r="G22" s="10">
        <f>IFERROR(SUMIF(cbal!G$280:G$297,Iniative_Grid!$B22,cbal!$B$280:$B$297),0)</f>
        <v>0</v>
      </c>
      <c r="H22" s="10">
        <f>IFERROR(SUMIF(cbal!H$280:H$297,Iniative_Grid!$B22,cbal!$B$280:$B$297),0)</f>
        <v>0</v>
      </c>
      <c r="I22" s="10">
        <f>IFERROR(SUMIF(cbal!I$280:I$297,Iniative_Grid!$B22,cbal!$B$280:$B$297),0)</f>
        <v>0</v>
      </c>
    </row>
    <row r="23" spans="2:9">
      <c r="B23" s="909" t="s">
        <v>1212</v>
      </c>
      <c r="C23" s="397"/>
      <c r="E23" s="10">
        <f>IFERROR(SUMIF(cbal!E$280:E$297,Iniative_Grid!$B23,cbal!$B$280:$B$297),0)</f>
        <v>0</v>
      </c>
      <c r="F23" s="10">
        <f>IFERROR(SUMIF(cbal!F$280:F$297,Iniative_Grid!$B23,cbal!$B$280:$B$297),0)</f>
        <v>0</v>
      </c>
      <c r="G23" s="10">
        <f>IFERROR(SUMIF(cbal!G$280:G$297,Iniative_Grid!$B23,cbal!$B$280:$B$297),0)</f>
        <v>0</v>
      </c>
      <c r="H23" s="10">
        <f>IFERROR(SUMIF(cbal!H$280:H$297,Iniative_Grid!$B23,cbal!$B$280:$B$297),0)</f>
        <v>0</v>
      </c>
      <c r="I23" s="10">
        <f>IFERROR(SUMIF(cbal!I$280:I$297,Iniative_Grid!$B23,cbal!$B$280:$B$297),0)</f>
        <v>0</v>
      </c>
    </row>
    <row r="24" spans="2:9">
      <c r="B24" s="909" t="s">
        <v>1213</v>
      </c>
      <c r="C24" s="397"/>
      <c r="E24" s="10">
        <f>IFERROR(SUMIF(cbal!E$280:E$297,Iniative_Grid!$B24,cbal!$B$280:$B$297),0)</f>
        <v>0</v>
      </c>
      <c r="F24" s="10">
        <f>IFERROR(SUMIF(cbal!F$280:F$297,Iniative_Grid!$B24,cbal!$B$280:$B$297),0)</f>
        <v>0</v>
      </c>
      <c r="G24" s="10">
        <f>IFERROR(SUMIF(cbal!G$280:G$297,Iniative_Grid!$B24,cbal!$B$280:$B$297),0)</f>
        <v>0</v>
      </c>
      <c r="H24" s="10">
        <f>IFERROR(SUMIF(cbal!H$280:H$297,Iniative_Grid!$B24,cbal!$B$280:$B$297),0)</f>
        <v>0</v>
      </c>
      <c r="I24" s="10">
        <f>IFERROR(SUMIF(cbal!I$280:I$297,Iniative_Grid!$B24,cbal!$B$280:$B$297),0)</f>
        <v>0</v>
      </c>
    </row>
    <row r="25" spans="2:9">
      <c r="B25" s="909" t="s">
        <v>1214</v>
      </c>
      <c r="C25" s="397"/>
      <c r="E25" s="10">
        <f>IFERROR(SUMIF(cbal!E$280:E$297,Iniative_Grid!$B25,cbal!$B$280:$B$297),0)</f>
        <v>0</v>
      </c>
      <c r="F25" s="10">
        <f>IFERROR(SUMIF(cbal!F$280:F$297,Iniative_Grid!$B25,cbal!$B$280:$B$297),0)</f>
        <v>0</v>
      </c>
      <c r="G25" s="10">
        <f>IFERROR(SUMIF(cbal!G$280:G$297,Iniative_Grid!$B25,cbal!$B$280:$B$297),0)</f>
        <v>0</v>
      </c>
      <c r="H25" s="10">
        <f>IFERROR(SUMIF(cbal!H$280:H$297,Iniative_Grid!$B25,cbal!$B$280:$B$297),0)</f>
        <v>0</v>
      </c>
      <c r="I25" s="10">
        <f>IFERROR(SUMIF(cbal!I$280:I$297,Iniative_Grid!$B25,cbal!$B$280:$B$297),0)</f>
        <v>0</v>
      </c>
    </row>
    <row r="26" spans="2:9">
      <c r="B26" s="909" t="s">
        <v>1215</v>
      </c>
      <c r="C26" s="397"/>
      <c r="E26" s="10">
        <f>IFERROR(SUMIF(cbal!E$280:E$297,Iniative_Grid!$B26,cbal!$B$280:$B$297),0)</f>
        <v>0</v>
      </c>
      <c r="F26" s="10">
        <f>IFERROR(SUMIF(cbal!F$280:F$297,Iniative_Grid!$B26,cbal!$B$280:$B$297),0)</f>
        <v>0</v>
      </c>
      <c r="G26" s="10">
        <f>IFERROR(SUMIF(cbal!G$280:G$297,Iniative_Grid!$B26,cbal!$B$280:$B$297),0)</f>
        <v>0</v>
      </c>
      <c r="H26" s="10">
        <f>IFERROR(SUMIF(cbal!H$280:H$297,Iniative_Grid!$B26,cbal!$B$280:$B$297),0)</f>
        <v>0</v>
      </c>
      <c r="I26" s="10">
        <f>IFERROR(SUMIF(cbal!I$280:I$297,Iniative_Grid!$B26,cbal!$B$280:$B$297),0)</f>
        <v>0</v>
      </c>
    </row>
    <row r="27" spans="2:9">
      <c r="B27" s="909" t="s">
        <v>1604</v>
      </c>
      <c r="C27" s="397"/>
      <c r="E27" s="10">
        <f>IFERROR(SUMIF(cbal!E$280:E$297,Iniative_Grid!$B27,cbal!$B$280:$B$297),0)</f>
        <v>0</v>
      </c>
      <c r="F27" s="10">
        <f>IFERROR(SUMIF(cbal!F$280:F$297,Iniative_Grid!$B27,cbal!$B$280:$B$297),0)</f>
        <v>0</v>
      </c>
      <c r="G27" s="10">
        <f>IFERROR(SUMIF(cbal!G$280:G$297,Iniative_Grid!$B27,cbal!$B$280:$B$297),0)</f>
        <v>0</v>
      </c>
      <c r="H27" s="10">
        <f>IFERROR(SUMIF(cbal!H$280:H$297,Iniative_Grid!$B27,cbal!$B$280:$B$297),0)</f>
        <v>0</v>
      </c>
      <c r="I27" s="10">
        <f>IFERROR(SUMIF(cbal!I$280:I$297,Iniative_Grid!$B27,cbal!$B$280:$B$297),0)</f>
        <v>0</v>
      </c>
    </row>
    <row r="28" spans="2:9">
      <c r="B28" s="909" t="s">
        <v>1605</v>
      </c>
      <c r="C28" s="397"/>
      <c r="E28" s="10">
        <f>IFERROR(SUMIF(cbal!E$280:E$297,Iniative_Grid!$B28,cbal!$B$280:$B$297),0)</f>
        <v>0</v>
      </c>
      <c r="F28" s="10">
        <f>IFERROR(SUMIF(cbal!F$280:F$297,Iniative_Grid!$B28,cbal!$B$280:$B$297),0)</f>
        <v>0</v>
      </c>
      <c r="G28" s="10">
        <f>IFERROR(SUMIF(cbal!G$280:G$297,Iniative_Grid!$B28,cbal!$B$280:$B$297),0)</f>
        <v>0</v>
      </c>
      <c r="H28" s="10">
        <f>IFERROR(SUMIF(cbal!H$280:H$297,Iniative_Grid!$B28,cbal!$B$280:$B$297),0)</f>
        <v>0</v>
      </c>
      <c r="I28" s="10">
        <f>IFERROR(SUMIF(cbal!I$280:I$297,Iniative_Grid!$B28,cbal!$B$280:$B$297),0)</f>
        <v>0</v>
      </c>
    </row>
    <row r="29" spans="2:9">
      <c r="B29" s="909" t="s">
        <v>1606</v>
      </c>
      <c r="E29" s="10">
        <f>IFERROR(SUMIF(cbal!E$280:E$297,Iniative_Grid!$B29,cbal!$B$280:$B$297),0)</f>
        <v>0</v>
      </c>
      <c r="F29" s="10">
        <f>IFERROR(SUMIF(cbal!F$280:F$297,Iniative_Grid!$B29,cbal!$B$280:$B$297),0)</f>
        <v>0</v>
      </c>
      <c r="G29" s="10">
        <f>IFERROR(SUMIF(cbal!G$280:G$297,Iniative_Grid!$B29,cbal!$B$280:$B$297),0)</f>
        <v>0</v>
      </c>
      <c r="H29" s="10">
        <f>IFERROR(SUMIF(cbal!H$280:H$297,Iniative_Grid!$B29,cbal!$B$280:$B$297),0)</f>
        <v>0</v>
      </c>
      <c r="I29" s="10">
        <f>IFERROR(SUMIF(cbal!I$280:I$297,Iniative_Grid!$B29,cbal!$B$280:$B$297),0)</f>
        <v>0</v>
      </c>
    </row>
    <row r="30" spans="2:9">
      <c r="B30" s="909" t="s">
        <v>1607</v>
      </c>
      <c r="C30" s="397"/>
      <c r="E30" s="10">
        <f>IFERROR(SUMIF(cbal!E$280:E$297,Iniative_Grid!$B30,cbal!$B$280:$B$297),0)</f>
        <v>0</v>
      </c>
      <c r="F30" s="10">
        <f>IFERROR(SUMIF(cbal!F$280:F$297,Iniative_Grid!$B30,cbal!$B$280:$B$297),0)</f>
        <v>0</v>
      </c>
      <c r="G30" s="10">
        <f>IFERROR(SUMIF(cbal!G$280:G$297,Iniative_Grid!$B30,cbal!$B$280:$B$297),0)</f>
        <v>0</v>
      </c>
      <c r="H30" s="10">
        <f>IFERROR(SUMIF(cbal!H$280:H$297,Iniative_Grid!$B30,cbal!$B$280:$B$297),0)</f>
        <v>0</v>
      </c>
      <c r="I30" s="10">
        <f>IFERROR(SUMIF(cbal!I$280:I$297,Iniative_Grid!$B30,cbal!$B$280:$B$297),0)</f>
        <v>0</v>
      </c>
    </row>
    <row r="31" spans="2:9">
      <c r="B31" s="909" t="s">
        <v>1608</v>
      </c>
      <c r="C31" s="397"/>
      <c r="E31" s="10">
        <f>IFERROR(SUMIF(cbal!E$280:E$297,Iniative_Grid!$B31,cbal!$B$280:$B$297),0)</f>
        <v>0</v>
      </c>
      <c r="F31" s="10">
        <f>IFERROR(SUMIF(cbal!F$280:F$297,Iniative_Grid!$B31,cbal!$B$280:$B$297),0)</f>
        <v>0</v>
      </c>
      <c r="G31" s="10">
        <f>IFERROR(SUMIF(cbal!G$280:G$297,Iniative_Grid!$B31,cbal!$B$280:$B$297),0)</f>
        <v>0</v>
      </c>
      <c r="H31" s="10">
        <f>IFERROR(SUMIF(cbal!H$280:H$297,Iniative_Grid!$B31,cbal!$B$280:$B$297),0)</f>
        <v>0</v>
      </c>
      <c r="I31" s="10">
        <f>IFERROR(SUMIF(cbal!I$280:I$297,Iniative_Grid!$B31,cbal!$B$280:$B$297),0)</f>
        <v>0</v>
      </c>
    </row>
    <row r="32" spans="2:9">
      <c r="B32" s="909" t="s">
        <v>1609</v>
      </c>
      <c r="C32" s="397"/>
      <c r="E32" s="10">
        <f>IFERROR(SUMIF(cbal!E$280:E$297,Iniative_Grid!$B32,cbal!$B$280:$B$297),0)</f>
        <v>0</v>
      </c>
      <c r="F32" s="10">
        <f>IFERROR(SUMIF(cbal!F$280:F$297,Iniative_Grid!$B32,cbal!$B$280:$B$297),0)</f>
        <v>0</v>
      </c>
      <c r="G32" s="10">
        <f>IFERROR(SUMIF(cbal!G$280:G$297,Iniative_Grid!$B32,cbal!$B$280:$B$297),0)</f>
        <v>0</v>
      </c>
      <c r="H32" s="10">
        <f>IFERROR(SUMIF(cbal!H$280:H$297,Iniative_Grid!$B32,cbal!$B$280:$B$297),0)</f>
        <v>0</v>
      </c>
      <c r="I32" s="10">
        <f>IFERROR(SUMIF(cbal!I$280:I$297,Iniative_Grid!$B32,cbal!$B$280:$B$297),0)</f>
        <v>0</v>
      </c>
    </row>
    <row r="33" spans="2:9">
      <c r="B33" s="909" t="s">
        <v>1610</v>
      </c>
      <c r="C33" s="397"/>
      <c r="E33" s="10">
        <f>IFERROR(SUMIF(cbal!E$280:E$297,Iniative_Grid!$B33,cbal!$B$280:$B$297),0)</f>
        <v>0</v>
      </c>
      <c r="F33" s="10">
        <f>IFERROR(SUMIF(cbal!F$280:F$297,Iniative_Grid!$B33,cbal!$B$280:$B$297),0)</f>
        <v>0</v>
      </c>
      <c r="G33" s="10">
        <f>IFERROR(SUMIF(cbal!G$280:G$297,Iniative_Grid!$B33,cbal!$B$280:$B$297),0)</f>
        <v>0</v>
      </c>
      <c r="H33" s="10">
        <f>IFERROR(SUMIF(cbal!H$280:H$297,Iniative_Grid!$B33,cbal!$B$280:$B$297),0)</f>
        <v>0</v>
      </c>
      <c r="I33" s="10">
        <f>IFERROR(SUMIF(cbal!I$280:I$297,Iniative_Grid!$B33,cbal!$B$280:$B$297),0)</f>
        <v>0</v>
      </c>
    </row>
    <row r="34" spans="2:9">
      <c r="B34" s="909" t="s">
        <v>1611</v>
      </c>
      <c r="C34" s="397"/>
      <c r="E34" s="10">
        <f>IFERROR(SUMIF(cbal!E$280:E$297,Iniative_Grid!$B34,cbal!$B$280:$B$297),0)</f>
        <v>0</v>
      </c>
      <c r="F34" s="10">
        <f>IFERROR(SUMIF(cbal!F$280:F$297,Iniative_Grid!$B34,cbal!$B$280:$B$297),0)</f>
        <v>0</v>
      </c>
      <c r="G34" s="10">
        <f>IFERROR(SUMIF(cbal!G$280:G$297,Iniative_Grid!$B34,cbal!$B$280:$B$297),0)</f>
        <v>0</v>
      </c>
      <c r="H34" s="10">
        <f>IFERROR(SUMIF(cbal!H$280:H$297,Iniative_Grid!$B34,cbal!$B$280:$B$297),0)</f>
        <v>0</v>
      </c>
      <c r="I34" s="10">
        <f>IFERROR(SUMIF(cbal!I$280:I$297,Iniative_Grid!$B34,cbal!$B$280:$B$297),0)</f>
        <v>0</v>
      </c>
    </row>
    <row r="35" spans="2:9">
      <c r="B35" s="909" t="s">
        <v>1612</v>
      </c>
      <c r="C35" s="397"/>
      <c r="E35" s="10">
        <f>IFERROR(SUMIF(cbal!E$280:E$297,Iniative_Grid!$B35,cbal!$B$280:$B$297),0)</f>
        <v>0</v>
      </c>
      <c r="F35" s="10">
        <f>IFERROR(SUMIF(cbal!F$280:F$297,Iniative_Grid!$B35,cbal!$B$280:$B$297),0)</f>
        <v>0</v>
      </c>
      <c r="G35" s="10">
        <f>IFERROR(SUMIF(cbal!G$280:G$297,Iniative_Grid!$B35,cbal!$B$280:$B$297),0)</f>
        <v>0</v>
      </c>
      <c r="H35" s="10">
        <f>IFERROR(SUMIF(cbal!H$280:H$297,Iniative_Grid!$B35,cbal!$B$280:$B$297),0)</f>
        <v>0</v>
      </c>
      <c r="I35" s="10">
        <f>IFERROR(SUMIF(cbal!I$280:I$297,Iniative_Grid!$B35,cbal!$B$280:$B$297),0)</f>
        <v>0</v>
      </c>
    </row>
    <row r="36" spans="2:9">
      <c r="B36" s="909" t="s">
        <v>1613</v>
      </c>
      <c r="C36" s="397"/>
      <c r="E36" s="10">
        <f>IFERROR(SUMIF(cbal!E$280:E$297,Iniative_Grid!$B36,cbal!$B$280:$B$297),0)</f>
        <v>0</v>
      </c>
      <c r="F36" s="10">
        <f>IFERROR(SUMIF(cbal!F$280:F$297,Iniative_Grid!$B36,cbal!$B$280:$B$297),0)</f>
        <v>0</v>
      </c>
      <c r="G36" s="10">
        <f>IFERROR(SUMIF(cbal!G$280:G$297,Iniative_Grid!$B36,cbal!$B$280:$B$297),0)</f>
        <v>0</v>
      </c>
      <c r="H36" s="10">
        <f>IFERROR(SUMIF(cbal!H$280:H$297,Iniative_Grid!$B36,cbal!$B$280:$B$297),0)</f>
        <v>0</v>
      </c>
      <c r="I36" s="10">
        <f>IFERROR(SUMIF(cbal!I$280:I$297,Iniative_Grid!$B36,cbal!$B$280:$B$297),0)</f>
        <v>0</v>
      </c>
    </row>
    <row r="37" spans="2:9">
      <c r="B37" s="909" t="s">
        <v>1614</v>
      </c>
      <c r="C37" s="397"/>
      <c r="E37" s="10">
        <f>IFERROR(SUMIF(cbal!E$280:E$297,Iniative_Grid!$B37,cbal!$B$280:$B$297),0)</f>
        <v>0</v>
      </c>
      <c r="F37" s="10">
        <f>IFERROR(SUMIF(cbal!F$280:F$297,Iniative_Grid!$B37,cbal!$B$280:$B$297),0)</f>
        <v>0</v>
      </c>
      <c r="G37" s="10">
        <f>IFERROR(SUMIF(cbal!G$280:G$297,Iniative_Grid!$B37,cbal!$B$280:$B$297),0)</f>
        <v>0</v>
      </c>
      <c r="H37" s="10">
        <f>IFERROR(SUMIF(cbal!H$280:H$297,Iniative_Grid!$B37,cbal!$B$280:$B$297),0)</f>
        <v>0</v>
      </c>
      <c r="I37" s="10">
        <f>IFERROR(SUMIF(cbal!I$280:I$297,Iniative_Grid!$B37,cbal!$B$280:$B$297),0)</f>
        <v>0</v>
      </c>
    </row>
    <row r="38" spans="2:9">
      <c r="B38" s="909" t="s">
        <v>1615</v>
      </c>
      <c r="C38" s="397"/>
      <c r="E38" s="10">
        <f>IFERROR(SUMIF(cbal!E$280:E$297,Iniative_Grid!$B38,cbal!$B$280:$B$297),0)</f>
        <v>0</v>
      </c>
      <c r="F38" s="10">
        <f>IFERROR(SUMIF(cbal!F$280:F$297,Iniative_Grid!$B38,cbal!$B$280:$B$297),0)</f>
        <v>0</v>
      </c>
      <c r="G38" s="10">
        <f>IFERROR(SUMIF(cbal!G$280:G$297,Iniative_Grid!$B38,cbal!$B$280:$B$297),0)</f>
        <v>0</v>
      </c>
      <c r="H38" s="10">
        <f>IFERROR(SUMIF(cbal!H$280:H$297,Iniative_Grid!$B38,cbal!$B$280:$B$297),0)</f>
        <v>0</v>
      </c>
      <c r="I38" s="10">
        <f>IFERROR(SUMIF(cbal!I$280:I$297,Iniative_Grid!$B38,cbal!$B$280:$B$297),0)</f>
        <v>0</v>
      </c>
    </row>
    <row r="39" spans="2:9">
      <c r="B39" s="909" t="s">
        <v>1616</v>
      </c>
      <c r="C39" s="397"/>
      <c r="E39" s="10">
        <f>IFERROR(SUMIF(cbal!E$280:E$297,Iniative_Grid!$B39,cbal!$B$280:$B$297),0)</f>
        <v>0</v>
      </c>
      <c r="F39" s="10">
        <f>IFERROR(SUMIF(cbal!F$280:F$297,Iniative_Grid!$B39,cbal!$B$280:$B$297),0)</f>
        <v>0</v>
      </c>
      <c r="G39" s="10">
        <f>IFERROR(SUMIF(cbal!G$280:G$297,Iniative_Grid!$B39,cbal!$B$280:$B$297),0)</f>
        <v>0</v>
      </c>
      <c r="H39" s="10">
        <f>IFERROR(SUMIF(cbal!H$280:H$297,Iniative_Grid!$B39,cbal!$B$280:$B$297),0)</f>
        <v>0</v>
      </c>
      <c r="I39" s="10">
        <f>IFERROR(SUMIF(cbal!I$280:I$297,Iniative_Grid!$B39,cbal!$B$280:$B$297),0)</f>
        <v>0</v>
      </c>
    </row>
    <row r="40" spans="2:9">
      <c r="B40" s="909" t="s">
        <v>1617</v>
      </c>
      <c r="C40" s="397"/>
      <c r="E40" s="10">
        <f>IFERROR(SUMIF(cbal!E$280:E$297,Iniative_Grid!$B40,cbal!$B$280:$B$297),0)</f>
        <v>0</v>
      </c>
      <c r="F40" s="10">
        <f>IFERROR(SUMIF(cbal!F$280:F$297,Iniative_Grid!$B40,cbal!$B$280:$B$297),0)</f>
        <v>0</v>
      </c>
      <c r="G40" s="10">
        <f>IFERROR(SUMIF(cbal!G$280:G$297,Iniative_Grid!$B40,cbal!$B$280:$B$297),0)</f>
        <v>0</v>
      </c>
      <c r="H40" s="10">
        <f>IFERROR(SUMIF(cbal!H$280:H$297,Iniative_Grid!$B40,cbal!$B$280:$B$297),0)</f>
        <v>0</v>
      </c>
      <c r="I40" s="10">
        <f>IFERROR(SUMIF(cbal!I$280:I$297,Iniative_Grid!$B40,cbal!$B$280:$B$297),0)</f>
        <v>0</v>
      </c>
    </row>
    <row r="41" spans="2:9">
      <c r="B41" s="909" t="s">
        <v>1618</v>
      </c>
      <c r="C41" s="397"/>
      <c r="E41" s="10">
        <f>IFERROR(SUMIF(cbal!E$280:E$297,Iniative_Grid!$B41,cbal!$B$280:$B$297),0)</f>
        <v>0</v>
      </c>
      <c r="F41" s="10">
        <f>IFERROR(SUMIF(cbal!F$280:F$297,Iniative_Grid!$B41,cbal!$B$280:$B$297),0)</f>
        <v>0</v>
      </c>
      <c r="G41" s="10">
        <f>IFERROR(SUMIF(cbal!G$280:G$297,Iniative_Grid!$B41,cbal!$B$280:$B$297),0)</f>
        <v>0</v>
      </c>
      <c r="H41" s="10">
        <f>IFERROR(SUMIF(cbal!H$280:H$297,Iniative_Grid!$B41,cbal!$B$280:$B$297),0)</f>
        <v>0</v>
      </c>
      <c r="I41" s="10">
        <f>IFERROR(SUMIF(cbal!I$280:I$297,Iniative_Grid!$B41,cbal!$B$280:$B$297),0)</f>
        <v>0</v>
      </c>
    </row>
    <row r="42" spans="2:9">
      <c r="B42" s="909" t="s">
        <v>1619</v>
      </c>
      <c r="E42" s="10">
        <f>IFERROR(SUMIF(cbal!E$280:E$297,Iniative_Grid!$B42,cbal!$B$280:$B$297),0)</f>
        <v>0</v>
      </c>
      <c r="F42" s="10">
        <f>IFERROR(SUMIF(cbal!F$280:F$297,Iniative_Grid!$B42,cbal!$B$280:$B$297),0)</f>
        <v>0</v>
      </c>
      <c r="G42" s="10">
        <f>IFERROR(SUMIF(cbal!G$280:G$297,Iniative_Grid!$B42,cbal!$B$280:$B$297),0)</f>
        <v>0</v>
      </c>
      <c r="H42" s="10">
        <f>IFERROR(SUMIF(cbal!H$280:H$297,Iniative_Grid!$B42,cbal!$B$280:$B$297),0)</f>
        <v>0</v>
      </c>
      <c r="I42" s="10">
        <f>IFERROR(SUMIF(cbal!I$280:I$297,Iniative_Grid!$B42,cbal!$B$280:$B$297),0)</f>
        <v>0</v>
      </c>
    </row>
    <row r="43" spans="2:9">
      <c r="B43" s="909" t="s">
        <v>1620</v>
      </c>
      <c r="E43" s="10">
        <f>IFERROR(SUMIF(cbal!E$280:E$297,Iniative_Grid!$B43,cbal!$B$280:$B$297),0)</f>
        <v>0</v>
      </c>
      <c r="F43" s="10">
        <f>IFERROR(SUMIF(cbal!F$280:F$297,Iniative_Grid!$B43,cbal!$B$280:$B$297),0)</f>
        <v>0</v>
      </c>
      <c r="G43" s="10">
        <f>IFERROR(SUMIF(cbal!G$280:G$297,Iniative_Grid!$B43,cbal!$B$280:$B$297),0)</f>
        <v>0</v>
      </c>
      <c r="H43" s="10">
        <f>IFERROR(SUMIF(cbal!H$280:H$297,Iniative_Grid!$B43,cbal!$B$280:$B$297),0)</f>
        <v>0</v>
      </c>
      <c r="I43" s="10">
        <f>IFERROR(SUMIF(cbal!I$280:I$297,Iniative_Grid!$B43,cbal!$B$280:$B$297),0)</f>
        <v>0</v>
      </c>
    </row>
    <row r="44" spans="2:9">
      <c r="B44" s="909" t="s">
        <v>1621</v>
      </c>
      <c r="E44" s="10">
        <f>IFERROR(SUMIF(cbal!E$280:E$297,Iniative_Grid!$B44,cbal!$B$280:$B$297),0)</f>
        <v>0</v>
      </c>
      <c r="F44" s="10">
        <f>IFERROR(SUMIF(cbal!F$280:F$297,Iniative_Grid!$B44,cbal!$B$280:$B$297),0)</f>
        <v>0</v>
      </c>
      <c r="G44" s="10">
        <f>IFERROR(SUMIF(cbal!G$280:G$297,Iniative_Grid!$B44,cbal!$B$280:$B$297),0)</f>
        <v>0</v>
      </c>
      <c r="H44" s="10">
        <f>IFERROR(SUMIF(cbal!H$280:H$297,Iniative_Grid!$B44,cbal!$B$280:$B$297),0)</f>
        <v>0</v>
      </c>
      <c r="I44" s="10">
        <f>IFERROR(SUMIF(cbal!I$280:I$297,Iniative_Grid!$B44,cbal!$B$280:$B$297),0)</f>
        <v>0</v>
      </c>
    </row>
    <row r="45" spans="2:9">
      <c r="B45" s="909" t="s">
        <v>1622</v>
      </c>
      <c r="E45" s="10">
        <f>IFERROR(SUMIF(cbal!E$280:E$297,Iniative_Grid!$B45,cbal!$B$280:$B$297),0)</f>
        <v>0</v>
      </c>
      <c r="F45" s="10">
        <f>IFERROR(SUMIF(cbal!F$280:F$297,Iniative_Grid!$B45,cbal!$B$280:$B$297),0)</f>
        <v>0</v>
      </c>
      <c r="G45" s="10">
        <f>IFERROR(SUMIF(cbal!G$280:G$297,Iniative_Grid!$B45,cbal!$B$280:$B$297),0)</f>
        <v>0</v>
      </c>
      <c r="H45" s="10">
        <f>IFERROR(SUMIF(cbal!H$280:H$297,Iniative_Grid!$B45,cbal!$B$280:$B$297),0)</f>
        <v>0</v>
      </c>
      <c r="I45" s="10">
        <f>IFERROR(SUMIF(cbal!I$280:I$297,Iniative_Grid!$B45,cbal!$B$280:$B$297),0)</f>
        <v>0</v>
      </c>
    </row>
    <row r="46" spans="2:9">
      <c r="B46" s="909" t="s">
        <v>1623</v>
      </c>
      <c r="E46" s="10">
        <f>IFERROR(SUMIF(cbal!E$280:E$297,Iniative_Grid!$B46,cbal!$B$280:$B$297),0)</f>
        <v>0</v>
      </c>
      <c r="F46" s="10">
        <f>IFERROR(SUMIF(cbal!F$280:F$297,Iniative_Grid!$B46,cbal!$B$280:$B$297),0)</f>
        <v>0</v>
      </c>
      <c r="G46" s="10">
        <f>IFERROR(SUMIF(cbal!G$280:G$297,Iniative_Grid!$B46,cbal!$B$280:$B$297),0)</f>
        <v>0</v>
      </c>
      <c r="H46" s="10">
        <f>IFERROR(SUMIF(cbal!H$280:H$297,Iniative_Grid!$B46,cbal!$B$280:$B$297),0)</f>
        <v>0</v>
      </c>
      <c r="I46" s="10">
        <f>IFERROR(SUMIF(cbal!I$280:I$297,Iniative_Grid!$B46,cbal!$B$280:$B$297),0)</f>
        <v>0</v>
      </c>
    </row>
    <row r="47" spans="2:9">
      <c r="B47" s="909" t="s">
        <v>1624</v>
      </c>
      <c r="E47" s="10">
        <f>IFERROR(SUMIF(cbal!E$280:E$297,Iniative_Grid!$B47,cbal!$B$280:$B$297),0)</f>
        <v>0</v>
      </c>
      <c r="F47" s="10">
        <f>IFERROR(SUMIF(cbal!F$280:F$297,Iniative_Grid!$B47,cbal!$B$280:$B$297),0)</f>
        <v>0</v>
      </c>
      <c r="G47" s="10">
        <f>IFERROR(SUMIF(cbal!G$280:G$297,Iniative_Grid!$B47,cbal!$B$280:$B$297),0)</f>
        <v>0</v>
      </c>
      <c r="H47" s="10">
        <f>IFERROR(SUMIF(cbal!H$280:H$297,Iniative_Grid!$B47,cbal!$B$280:$B$297),0)</f>
        <v>0</v>
      </c>
      <c r="I47" s="10">
        <f>IFERROR(SUMIF(cbal!I$280:I$297,Iniative_Grid!$B47,cbal!$B$280:$B$297),0)</f>
        <v>0</v>
      </c>
    </row>
    <row r="48" spans="2:9">
      <c r="B48" s="909" t="s">
        <v>1625</v>
      </c>
      <c r="E48" s="10">
        <f>IFERROR(SUMIF(cbal!E$280:E$297,Iniative_Grid!$B48,cbal!$B$280:$B$297),0)</f>
        <v>0</v>
      </c>
      <c r="F48" s="10">
        <f>IFERROR(SUMIF(cbal!F$280:F$297,Iniative_Grid!$B48,cbal!$B$280:$B$297),0)</f>
        <v>0</v>
      </c>
      <c r="G48" s="10">
        <f>IFERROR(SUMIF(cbal!G$280:G$297,Iniative_Grid!$B48,cbal!$B$280:$B$297),0)</f>
        <v>0</v>
      </c>
      <c r="H48" s="10">
        <f>IFERROR(SUMIF(cbal!H$280:H$297,Iniative_Grid!$B48,cbal!$B$280:$B$297),0)</f>
        <v>0</v>
      </c>
      <c r="I48" s="10">
        <f>IFERROR(SUMIF(cbal!I$280:I$297,Iniative_Grid!$B48,cbal!$B$280:$B$297),0)</f>
        <v>0</v>
      </c>
    </row>
    <row r="49" spans="2:9">
      <c r="B49" s="909" t="s">
        <v>1626</v>
      </c>
      <c r="E49" s="10">
        <f>IFERROR(SUMIF(cbal!E$280:E$297,Iniative_Grid!$B49,cbal!$B$280:$B$297),0)</f>
        <v>0</v>
      </c>
      <c r="F49" s="10">
        <f>IFERROR(SUMIF(cbal!F$280:F$297,Iniative_Grid!$B49,cbal!$B$280:$B$297),0)</f>
        <v>0</v>
      </c>
      <c r="G49" s="10">
        <f>IFERROR(SUMIF(cbal!G$280:G$297,Iniative_Grid!$B49,cbal!$B$280:$B$297),0)</f>
        <v>0</v>
      </c>
      <c r="H49" s="10">
        <f>IFERROR(SUMIF(cbal!H$280:H$297,Iniative_Grid!$B49,cbal!$B$280:$B$297),0)</f>
        <v>0</v>
      </c>
      <c r="I49" s="10">
        <f>IFERROR(SUMIF(cbal!I$280:I$297,Iniative_Grid!$B49,cbal!$B$280:$B$297),0)</f>
        <v>0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age">
    <tabColor indexed="53"/>
    <pageSetUpPr fitToPage="1"/>
  </sheetPr>
  <dimension ref="A1:X412"/>
  <sheetViews>
    <sheetView topLeftCell="C396" workbookViewId="0">
      <selection activeCell="L343" sqref="L343"/>
    </sheetView>
  </sheetViews>
  <sheetFormatPr defaultRowHeight="11.25"/>
  <cols>
    <col min="1" max="1" width="15" bestFit="1" customWidth="1"/>
    <col min="2" max="2" width="23.33203125" customWidth="1"/>
    <col min="3" max="3" width="21.5" customWidth="1"/>
    <col min="4" max="5" width="17.5" customWidth="1"/>
    <col min="6" max="6" width="19.6640625" customWidth="1"/>
    <col min="7" max="7" width="18.83203125" customWidth="1"/>
    <col min="8" max="8" width="18.6640625" customWidth="1"/>
    <col min="9" max="9" width="16.6640625" bestFit="1" customWidth="1"/>
    <col min="10" max="10" width="17.6640625" bestFit="1" customWidth="1"/>
    <col min="11" max="11" width="18.33203125" bestFit="1" customWidth="1"/>
    <col min="12" max="12" width="13.6640625" customWidth="1"/>
    <col min="13" max="13" width="15.1640625" bestFit="1" customWidth="1"/>
    <col min="14" max="14" width="14" bestFit="1" customWidth="1"/>
    <col min="15" max="15" width="10.33203125" bestFit="1" customWidth="1"/>
    <col min="16" max="16" width="10.83203125" customWidth="1"/>
    <col min="17" max="18" width="12.33203125" bestFit="1" customWidth="1"/>
  </cols>
  <sheetData>
    <row r="1" spans="1:19">
      <c r="A1" s="2" t="s">
        <v>3789</v>
      </c>
    </row>
    <row r="2" spans="1:19">
      <c r="A2" s="2" t="s">
        <v>2507</v>
      </c>
      <c r="B2" s="4"/>
      <c r="C2" s="21"/>
      <c r="R2" s="126"/>
      <c r="S2" s="126"/>
    </row>
    <row r="3" spans="1:19">
      <c r="R3" s="126"/>
      <c r="S3" s="126"/>
    </row>
    <row r="4" spans="1:19">
      <c r="B4" s="2" t="s">
        <v>255</v>
      </c>
      <c r="C4" s="2" t="s">
        <v>256</v>
      </c>
      <c r="D4" t="s">
        <v>2508</v>
      </c>
      <c r="E4" t="s">
        <v>2565</v>
      </c>
      <c r="F4" t="s">
        <v>258</v>
      </c>
      <c r="R4" s="126"/>
      <c r="S4" s="126"/>
    </row>
    <row r="5" spans="1:19">
      <c r="B5" s="108" t="s">
        <v>787</v>
      </c>
      <c r="C5" s="348" t="str">
        <f>INDEX(D5:I5,xxContLangCode)</f>
        <v>CSD</v>
      </c>
      <c r="D5" s="89" t="s">
        <v>3518</v>
      </c>
      <c r="E5" s="89" t="str">
        <f>D5&amp;" Swedish"</f>
        <v>CSD Swedish</v>
      </c>
      <c r="F5" s="89" t="s">
        <v>259</v>
      </c>
      <c r="G5" s="89"/>
      <c r="H5" s="89"/>
      <c r="I5" s="90"/>
      <c r="R5" s="126"/>
      <c r="S5" s="126"/>
    </row>
    <row r="6" spans="1:19">
      <c r="B6" s="91" t="s">
        <v>788</v>
      </c>
      <c r="C6" s="210" t="str">
        <f>INDEX(D6:I6,xxContLangCode)</f>
        <v>Breakthrough</v>
      </c>
      <c r="D6" s="1571" t="s">
        <v>846</v>
      </c>
      <c r="E6" s="21" t="str">
        <f t="shared" ref="E6:E20" si="0">D6&amp;" Swedish"</f>
        <v>Breakthrough Swedish</v>
      </c>
      <c r="F6" s="21"/>
      <c r="G6" s="21"/>
      <c r="H6" s="21"/>
      <c r="I6" s="97"/>
      <c r="R6" s="126"/>
      <c r="S6" s="126"/>
    </row>
    <row r="7" spans="1:19">
      <c r="B7" s="91" t="s">
        <v>789</v>
      </c>
      <c r="C7" s="210" t="str">
        <f>INDEX(D7:I7,xxContLangCode)</f>
        <v>NCB</v>
      </c>
      <c r="D7" s="21" t="s">
        <v>3519</v>
      </c>
      <c r="E7" s="21" t="str">
        <f t="shared" si="0"/>
        <v>NCB Swedish</v>
      </c>
      <c r="F7" s="21"/>
      <c r="G7" s="21"/>
      <c r="H7" s="21"/>
      <c r="I7" s="97"/>
      <c r="R7" s="126"/>
      <c r="S7" s="126"/>
    </row>
    <row r="8" spans="1:19">
      <c r="B8" s="91" t="s">
        <v>790</v>
      </c>
      <c r="C8" s="210" t="str">
        <f>INDEX(D8:I8,xxContLangCode)</f>
        <v>F&amp;S</v>
      </c>
      <c r="D8" s="21" t="s">
        <v>3173</v>
      </c>
      <c r="E8" s="21" t="str">
        <f t="shared" si="0"/>
        <v>F&amp;S Swedish</v>
      </c>
      <c r="F8" s="21"/>
      <c r="G8" s="21"/>
      <c r="H8" s="21"/>
      <c r="I8" s="97"/>
      <c r="R8" s="126"/>
      <c r="S8" s="126"/>
    </row>
    <row r="9" spans="1:19">
      <c r="B9" s="91" t="s">
        <v>791</v>
      </c>
      <c r="C9" s="210" t="str">
        <f t="shared" ref="C9:C17" si="1">INDEX(D9:G9,xxContLangCode)</f>
        <v>Product Five</v>
      </c>
      <c r="D9" s="21" t="s">
        <v>793</v>
      </c>
      <c r="E9" s="21" t="str">
        <f t="shared" si="0"/>
        <v>Product Five Swedish</v>
      </c>
      <c r="F9" s="21"/>
      <c r="G9" s="21"/>
      <c r="H9" s="21"/>
      <c r="I9" s="97"/>
      <c r="R9" s="126"/>
      <c r="S9" s="126"/>
    </row>
    <row r="10" spans="1:19">
      <c r="B10" s="91" t="s">
        <v>792</v>
      </c>
      <c r="C10" s="210" t="str">
        <f t="shared" si="1"/>
        <v>Product Six</v>
      </c>
      <c r="D10" s="21" t="s">
        <v>794</v>
      </c>
      <c r="E10" s="21" t="str">
        <f t="shared" si="0"/>
        <v>Product Six Swedish</v>
      </c>
      <c r="F10" s="21"/>
      <c r="G10" s="21"/>
      <c r="H10" s="21"/>
      <c r="I10" s="97"/>
      <c r="R10" s="126"/>
      <c r="S10" s="126"/>
    </row>
    <row r="11" spans="1:19">
      <c r="B11" s="91" t="s">
        <v>3211</v>
      </c>
      <c r="C11" s="210" t="str">
        <f>INDEX(D11:I11,xxContLangCode)</f>
        <v>Lower Region Sales Force</v>
      </c>
      <c r="D11" s="21" t="s">
        <v>578</v>
      </c>
      <c r="E11" s="21" t="str">
        <f t="shared" si="0"/>
        <v>Lower Region Sales Force Swedish</v>
      </c>
      <c r="F11" s="21"/>
      <c r="G11" s="21"/>
      <c r="H11" s="21"/>
      <c r="I11" s="97"/>
      <c r="R11" s="126"/>
      <c r="S11" s="126"/>
    </row>
    <row r="12" spans="1:19">
      <c r="B12" s="91" t="s">
        <v>778</v>
      </c>
      <c r="C12" s="210" t="str">
        <f>INDEX(D12:I12,xxContLangCode)</f>
        <v>Upper Region Sales Force</v>
      </c>
      <c r="D12" s="21" t="s">
        <v>579</v>
      </c>
      <c r="E12" s="21" t="str">
        <f t="shared" si="0"/>
        <v>Upper Region Sales Force Swedish</v>
      </c>
      <c r="F12" s="21"/>
      <c r="G12" s="21"/>
      <c r="H12" s="21"/>
      <c r="I12" s="97"/>
      <c r="R12" s="126"/>
      <c r="S12" s="126"/>
    </row>
    <row r="13" spans="1:19">
      <c r="A13" s="2"/>
      <c r="B13" s="91" t="s">
        <v>779</v>
      </c>
      <c r="C13" s="210" t="str">
        <f>INDEX(D13:I13,xxContLangCode)</f>
        <v>Labor</v>
      </c>
      <c r="D13" s="21" t="s">
        <v>1287</v>
      </c>
      <c r="E13" s="21" t="str">
        <f t="shared" si="0"/>
        <v>Labor Swedish</v>
      </c>
      <c r="F13" s="21"/>
      <c r="G13" s="21"/>
      <c r="H13" s="21"/>
      <c r="I13" s="97"/>
      <c r="R13" s="126"/>
      <c r="S13" s="126"/>
    </row>
    <row r="14" spans="1:19">
      <c r="B14" s="91" t="s">
        <v>780</v>
      </c>
      <c r="C14" s="210" t="str">
        <f t="shared" si="1"/>
        <v>Beta Sales</v>
      </c>
      <c r="D14" s="21" t="s">
        <v>340</v>
      </c>
      <c r="E14" s="21" t="str">
        <f t="shared" si="0"/>
        <v>Beta Sales Swedish</v>
      </c>
      <c r="F14" s="21"/>
      <c r="G14" s="21"/>
      <c r="H14" s="21"/>
      <c r="I14" s="97"/>
      <c r="R14" s="126"/>
      <c r="S14" s="126"/>
    </row>
    <row r="15" spans="1:19">
      <c r="B15" s="91" t="s">
        <v>781</v>
      </c>
      <c r="C15" s="210" t="str">
        <f t="shared" si="1"/>
        <v>International Labor</v>
      </c>
      <c r="D15" s="21" t="s">
        <v>592</v>
      </c>
      <c r="E15" s="21" t="str">
        <f t="shared" si="0"/>
        <v>International Labor Swedish</v>
      </c>
      <c r="F15" s="21"/>
      <c r="G15" s="21"/>
      <c r="H15" s="21"/>
      <c r="I15" s="97"/>
      <c r="R15" s="126"/>
      <c r="S15" s="126"/>
    </row>
    <row r="16" spans="1:19">
      <c r="B16" s="91" t="s">
        <v>782</v>
      </c>
      <c r="C16" s="210" t="str">
        <f t="shared" si="1"/>
        <v>Gamma Sales</v>
      </c>
      <c r="D16" s="21" t="s">
        <v>341</v>
      </c>
      <c r="E16" s="21" t="str">
        <f t="shared" si="0"/>
        <v>Gamma Sales Swedish</v>
      </c>
      <c r="F16" s="21"/>
      <c r="G16" s="21"/>
      <c r="H16" s="21"/>
      <c r="I16" s="97"/>
      <c r="R16" s="126"/>
      <c r="S16" s="126"/>
    </row>
    <row r="17" spans="2:19">
      <c r="B17" s="91" t="s">
        <v>783</v>
      </c>
      <c r="C17" s="210" t="str">
        <f t="shared" si="1"/>
        <v>Bid Labor</v>
      </c>
      <c r="D17" s="21" t="s">
        <v>595</v>
      </c>
      <c r="E17" s="21" t="str">
        <f t="shared" si="0"/>
        <v>Bid Labor Swedish</v>
      </c>
      <c r="F17" s="21"/>
      <c r="G17" s="21"/>
      <c r="H17" s="21"/>
      <c r="I17" s="97"/>
      <c r="R17" s="126"/>
      <c r="S17" s="126"/>
    </row>
    <row r="18" spans="2:19">
      <c r="B18" s="91" t="s">
        <v>784</v>
      </c>
      <c r="C18" s="210" t="str">
        <f t="shared" ref="C18:C54" si="2">INDEX(D18:G18,xxContLangCode)</f>
        <v>Delta Sales</v>
      </c>
      <c r="D18" s="21" t="s">
        <v>75</v>
      </c>
      <c r="E18" s="21" t="str">
        <f t="shared" si="0"/>
        <v>Delta Sales Swedish</v>
      </c>
      <c r="F18" s="21"/>
      <c r="G18" s="21"/>
      <c r="H18" s="21"/>
      <c r="I18" s="97"/>
      <c r="R18" s="126"/>
      <c r="S18" s="126"/>
    </row>
    <row r="19" spans="2:19">
      <c r="B19" s="91" t="s">
        <v>785</v>
      </c>
      <c r="C19" s="210" t="str">
        <f t="shared" si="2"/>
        <v>Employee 9</v>
      </c>
      <c r="D19" s="21" t="s">
        <v>795</v>
      </c>
      <c r="E19" s="21" t="str">
        <f t="shared" si="0"/>
        <v>Employee 9 Swedish</v>
      </c>
      <c r="F19" s="21"/>
      <c r="G19" s="21"/>
      <c r="H19" s="21"/>
      <c r="I19" s="97"/>
      <c r="R19" s="126"/>
      <c r="S19" s="126"/>
    </row>
    <row r="20" spans="2:19">
      <c r="B20" s="91" t="s">
        <v>786</v>
      </c>
      <c r="C20" s="210" t="str">
        <f t="shared" si="2"/>
        <v>MTU</v>
      </c>
      <c r="D20" s="21" t="s">
        <v>1994</v>
      </c>
      <c r="E20" s="21" t="str">
        <f t="shared" si="0"/>
        <v>MTU Swedish</v>
      </c>
      <c r="F20" s="21"/>
      <c r="G20" s="21"/>
      <c r="H20" s="21"/>
      <c r="I20" s="97"/>
      <c r="R20" s="126"/>
      <c r="S20" s="126"/>
    </row>
    <row r="21" spans="2:19">
      <c r="B21" s="91" t="s">
        <v>2929</v>
      </c>
      <c r="C21" s="210" t="str">
        <f>INDEX(D21:I21,xxContLangCode)</f>
        <v>Plant</v>
      </c>
      <c r="D21" s="21" t="s">
        <v>1843</v>
      </c>
      <c r="E21" s="21" t="s">
        <v>2932</v>
      </c>
      <c r="F21" s="21"/>
      <c r="G21" s="21"/>
      <c r="H21" s="21"/>
      <c r="I21" s="97"/>
      <c r="R21" s="126"/>
      <c r="S21" s="126"/>
    </row>
    <row r="22" spans="2:19">
      <c r="B22" s="91" t="s">
        <v>2930</v>
      </c>
      <c r="C22" s="210" t="str">
        <f t="shared" si="2"/>
        <v>Plant 2</v>
      </c>
      <c r="D22" s="21" t="s">
        <v>3432</v>
      </c>
      <c r="E22" s="21" t="s">
        <v>3989</v>
      </c>
      <c r="F22" s="21"/>
      <c r="G22" s="21"/>
      <c r="H22" s="21"/>
      <c r="I22" s="97"/>
      <c r="R22" s="126"/>
      <c r="S22" s="126"/>
    </row>
    <row r="23" spans="2:19">
      <c r="B23" s="91" t="s">
        <v>2931</v>
      </c>
      <c r="C23" s="210" t="str">
        <f t="shared" si="2"/>
        <v>Bid Plant</v>
      </c>
      <c r="D23" s="21" t="s">
        <v>3943</v>
      </c>
      <c r="E23" s="21" t="s">
        <v>3990</v>
      </c>
      <c r="F23" s="21"/>
      <c r="G23" s="21"/>
      <c r="H23" s="21"/>
      <c r="I23" s="97"/>
      <c r="R23" s="126"/>
      <c r="S23" s="126"/>
    </row>
    <row r="24" spans="2:19">
      <c r="B24" s="91" t="s">
        <v>1164</v>
      </c>
      <c r="C24" s="210" t="str">
        <f t="shared" si="2"/>
        <v>Vetera</v>
      </c>
      <c r="D24" s="21" t="s">
        <v>1598</v>
      </c>
      <c r="E24" s="21" t="s">
        <v>3238</v>
      </c>
      <c r="F24" s="21"/>
      <c r="G24" s="21"/>
      <c r="H24" s="21"/>
      <c r="I24" s="97"/>
      <c r="R24" s="126"/>
      <c r="S24" s="126"/>
    </row>
    <row r="25" spans="2:19">
      <c r="B25" s="91" t="s">
        <v>1165</v>
      </c>
      <c r="C25" s="210" t="str">
        <f>INDEX(D25:G25,xxContLangCode)</f>
        <v>Escendia</v>
      </c>
      <c r="D25" s="21" t="s">
        <v>1599</v>
      </c>
      <c r="E25" s="21" t="s">
        <v>3239</v>
      </c>
      <c r="F25" s="21"/>
      <c r="G25" s="21"/>
      <c r="H25" s="21"/>
      <c r="I25" s="97"/>
      <c r="R25" s="126"/>
      <c r="S25" s="126"/>
    </row>
    <row r="26" spans="2:19">
      <c r="B26" s="91" t="s">
        <v>3730</v>
      </c>
      <c r="C26" s="210" t="str">
        <f t="shared" si="2"/>
        <v>Segment 3</v>
      </c>
      <c r="D26" s="21" t="s">
        <v>131</v>
      </c>
      <c r="E26" s="21" t="s">
        <v>3240</v>
      </c>
      <c r="F26" s="21"/>
      <c r="G26" s="21"/>
      <c r="H26" s="21"/>
      <c r="I26" s="97"/>
      <c r="R26" s="126"/>
      <c r="S26" s="126"/>
    </row>
    <row r="27" spans="2:19">
      <c r="B27" s="91" t="s">
        <v>3298</v>
      </c>
      <c r="C27" s="210" t="str">
        <f t="shared" si="2"/>
        <v>Segment 4</v>
      </c>
      <c r="D27" s="21" t="s">
        <v>1133</v>
      </c>
      <c r="E27" s="21" t="s">
        <v>3241</v>
      </c>
      <c r="F27" s="21"/>
      <c r="G27" s="21"/>
      <c r="H27" s="21"/>
      <c r="I27" s="97"/>
      <c r="R27" s="126"/>
      <c r="S27" s="126"/>
    </row>
    <row r="28" spans="2:19">
      <c r="B28" s="91" t="s">
        <v>3299</v>
      </c>
      <c r="C28" s="210" t="str">
        <f t="shared" si="2"/>
        <v>Segment 5</v>
      </c>
      <c r="D28" s="21" t="s">
        <v>1134</v>
      </c>
      <c r="E28" s="21" t="s">
        <v>158</v>
      </c>
      <c r="F28" s="21"/>
      <c r="G28" s="21"/>
      <c r="H28" s="21"/>
      <c r="I28" s="97"/>
      <c r="R28" s="126"/>
      <c r="S28" s="126"/>
    </row>
    <row r="29" spans="2:19">
      <c r="B29" s="91" t="s">
        <v>3304</v>
      </c>
      <c r="C29" s="210" t="str">
        <f t="shared" si="2"/>
        <v>*Holy Cow Cup</v>
      </c>
      <c r="D29" s="1571" t="s">
        <v>4111</v>
      </c>
      <c r="E29" s="21" t="str">
        <f>DataNameProd2 &amp; " Consumers"</f>
        <v>Breakthrough Consumers</v>
      </c>
      <c r="F29" s="21"/>
      <c r="G29" s="21"/>
      <c r="H29" s="21"/>
      <c r="I29" s="97"/>
      <c r="R29" s="126"/>
      <c r="S29" s="126"/>
    </row>
    <row r="30" spans="2:19">
      <c r="B30" s="91" t="s">
        <v>3300</v>
      </c>
      <c r="C30" s="210" t="str">
        <f t="shared" si="2"/>
        <v>*Nitro Nachos</v>
      </c>
      <c r="D30" s="1571" t="s">
        <v>4112</v>
      </c>
      <c r="E30" s="21" t="s">
        <v>159</v>
      </c>
      <c r="F30" s="21"/>
      <c r="G30" s="21"/>
      <c r="H30" s="21"/>
      <c r="I30" s="97"/>
      <c r="R30" s="126"/>
      <c r="S30" s="126"/>
    </row>
    <row r="31" spans="2:19">
      <c r="B31" s="91" t="s">
        <v>3301</v>
      </c>
      <c r="C31" s="210" t="str">
        <f t="shared" si="2"/>
        <v>*Home Fountain</v>
      </c>
      <c r="D31" s="21" t="s">
        <v>1570</v>
      </c>
      <c r="E31" s="21" t="s">
        <v>159</v>
      </c>
      <c r="F31" s="21"/>
      <c r="G31" s="21"/>
      <c r="H31" s="21"/>
      <c r="I31" s="97"/>
      <c r="R31" s="126"/>
      <c r="S31" s="126"/>
    </row>
    <row r="32" spans="2:19">
      <c r="B32" s="91" t="s">
        <v>3302</v>
      </c>
      <c r="C32" s="210" t="str">
        <f t="shared" si="2"/>
        <v>*CentrePlate</v>
      </c>
      <c r="D32" s="21" t="s">
        <v>511</v>
      </c>
      <c r="E32" s="21" t="s">
        <v>159</v>
      </c>
      <c r="F32" s="21"/>
      <c r="G32" s="21"/>
      <c r="H32" s="21"/>
      <c r="I32" s="97"/>
      <c r="R32" s="126"/>
      <c r="S32" s="126"/>
    </row>
    <row r="33" spans="2:19">
      <c r="B33" s="91" t="s">
        <v>3303</v>
      </c>
      <c r="C33" s="210" t="str">
        <f t="shared" si="2"/>
        <v>Segment 5</v>
      </c>
      <c r="D33" s="21" t="s">
        <v>1134</v>
      </c>
      <c r="E33" s="21" t="s">
        <v>159</v>
      </c>
      <c r="F33" s="21"/>
      <c r="G33" s="21"/>
      <c r="H33" s="21"/>
      <c r="I33" s="97"/>
      <c r="R33" s="126"/>
      <c r="S33" s="126"/>
    </row>
    <row r="34" spans="2:19">
      <c r="B34" s="91" t="s">
        <v>3833</v>
      </c>
      <c r="C34" s="210" t="str">
        <f t="shared" si="2"/>
        <v>Vetera</v>
      </c>
      <c r="D34" s="21" t="s">
        <v>1598</v>
      </c>
      <c r="E34" s="21" t="s">
        <v>160</v>
      </c>
      <c r="F34" s="21"/>
      <c r="G34" s="21"/>
      <c r="H34" s="21"/>
      <c r="I34" s="97"/>
      <c r="R34" s="126"/>
      <c r="S34" s="126"/>
    </row>
    <row r="35" spans="2:19">
      <c r="B35" s="91" t="s">
        <v>3305</v>
      </c>
      <c r="C35" s="210" t="str">
        <f t="shared" si="2"/>
        <v>Escendia</v>
      </c>
      <c r="D35" s="21" t="s">
        <v>1599</v>
      </c>
      <c r="E35" s="21" t="s">
        <v>161</v>
      </c>
      <c r="F35" s="21"/>
      <c r="G35" s="21"/>
      <c r="H35" s="21"/>
      <c r="I35" s="97"/>
      <c r="R35" s="126"/>
      <c r="S35" s="126"/>
    </row>
    <row r="36" spans="2:19">
      <c r="B36" s="91" t="s">
        <v>3830</v>
      </c>
      <c r="C36" s="210" t="str">
        <f t="shared" si="2"/>
        <v>Segment 3</v>
      </c>
      <c r="D36" s="21" t="s">
        <v>131</v>
      </c>
      <c r="E36" s="21" t="s">
        <v>162</v>
      </c>
      <c r="F36" s="21"/>
      <c r="G36" s="21"/>
      <c r="H36" s="21"/>
      <c r="I36" s="97"/>
      <c r="R36" s="126"/>
      <c r="S36" s="126"/>
    </row>
    <row r="37" spans="2:19">
      <c r="B37" s="91" t="s">
        <v>3831</v>
      </c>
      <c r="C37" s="210" t="str">
        <f t="shared" si="2"/>
        <v>Segment 4</v>
      </c>
      <c r="D37" s="21" t="s">
        <v>1133</v>
      </c>
      <c r="E37" s="21" t="s">
        <v>163</v>
      </c>
      <c r="F37" s="21"/>
      <c r="G37" s="21"/>
      <c r="H37" s="21"/>
      <c r="I37" s="97"/>
      <c r="R37" s="126"/>
      <c r="S37" s="126"/>
    </row>
    <row r="38" spans="2:19">
      <c r="B38" s="91" t="s">
        <v>3832</v>
      </c>
      <c r="C38" s="210" t="str">
        <f t="shared" si="2"/>
        <v>Segment 5</v>
      </c>
      <c r="D38" s="21" t="s">
        <v>1134</v>
      </c>
      <c r="E38" s="21" t="s">
        <v>3147</v>
      </c>
      <c r="F38" s="21"/>
      <c r="G38" s="21"/>
      <c r="H38" s="21"/>
      <c r="I38" s="97"/>
      <c r="R38" s="126"/>
      <c r="S38" s="126"/>
    </row>
    <row r="39" spans="2:19">
      <c r="B39" s="91" t="s">
        <v>3429</v>
      </c>
      <c r="C39" s="210" t="str">
        <f t="shared" ref="C39:C53" si="3">INDEX(D39:G39,xxContLangCode)</f>
        <v>Vetera</v>
      </c>
      <c r="D39" s="21" t="s">
        <v>1598</v>
      </c>
      <c r="E39" s="21" t="s">
        <v>3148</v>
      </c>
      <c r="F39" s="21"/>
      <c r="G39" s="21"/>
      <c r="H39" s="21"/>
      <c r="I39" s="97"/>
      <c r="R39" s="126"/>
      <c r="S39" s="126"/>
    </row>
    <row r="40" spans="2:19">
      <c r="B40" s="91" t="s">
        <v>3430</v>
      </c>
      <c r="C40" s="210" t="str">
        <f t="shared" si="3"/>
        <v>Escendia</v>
      </c>
      <c r="D40" s="21" t="s">
        <v>1599</v>
      </c>
      <c r="E40" s="21" t="s">
        <v>2051</v>
      </c>
      <c r="F40" s="21"/>
      <c r="G40" s="21"/>
      <c r="H40" s="21"/>
      <c r="I40" s="97"/>
      <c r="R40" s="126"/>
      <c r="S40" s="126"/>
    </row>
    <row r="41" spans="2:19">
      <c r="B41" s="91" t="s">
        <v>3834</v>
      </c>
      <c r="C41" s="210" t="str">
        <f t="shared" si="3"/>
        <v>Segment 3</v>
      </c>
      <c r="D41" s="21" t="s">
        <v>131</v>
      </c>
      <c r="E41" s="21" t="s">
        <v>2052</v>
      </c>
      <c r="F41" s="21"/>
      <c r="G41" s="21"/>
      <c r="H41" s="21"/>
      <c r="I41" s="97"/>
      <c r="R41" s="126"/>
      <c r="S41" s="126"/>
    </row>
    <row r="42" spans="2:19">
      <c r="B42" s="91" t="s">
        <v>3427</v>
      </c>
      <c r="C42" s="210" t="str">
        <f t="shared" si="3"/>
        <v>Segment 4</v>
      </c>
      <c r="D42" s="21" t="s">
        <v>1133</v>
      </c>
      <c r="E42" s="21" t="s">
        <v>2053</v>
      </c>
      <c r="F42" s="21"/>
      <c r="G42" s="21"/>
      <c r="H42" s="21"/>
      <c r="I42" s="97"/>
      <c r="R42" s="126"/>
      <c r="S42" s="126"/>
    </row>
    <row r="43" spans="2:19">
      <c r="B43" s="91" t="s">
        <v>3428</v>
      </c>
      <c r="C43" s="210" t="str">
        <f t="shared" si="3"/>
        <v>Segment 5</v>
      </c>
      <c r="D43" s="21" t="s">
        <v>1134</v>
      </c>
      <c r="E43" s="21" t="s">
        <v>2277</v>
      </c>
      <c r="F43" s="21"/>
      <c r="G43" s="21"/>
      <c r="H43" s="21"/>
      <c r="I43" s="97"/>
      <c r="R43" s="126"/>
      <c r="S43" s="126"/>
    </row>
    <row r="44" spans="2:19">
      <c r="B44" s="91" t="s">
        <v>2292</v>
      </c>
      <c r="C44" s="210" t="str">
        <f t="shared" si="3"/>
        <v>Product 5 Segment 1</v>
      </c>
      <c r="D44" s="21" t="s">
        <v>2881</v>
      </c>
      <c r="E44" s="21" t="s">
        <v>2881</v>
      </c>
      <c r="F44" s="21"/>
      <c r="G44" s="21"/>
      <c r="H44" s="21"/>
      <c r="I44" s="97"/>
      <c r="R44" s="126"/>
      <c r="S44" s="126"/>
    </row>
    <row r="45" spans="2:19">
      <c r="B45" s="91" t="s">
        <v>2288</v>
      </c>
      <c r="C45" s="210" t="str">
        <f t="shared" si="3"/>
        <v>Product 5 Segment 2</v>
      </c>
      <c r="D45" s="21" t="s">
        <v>2882</v>
      </c>
      <c r="E45" s="21" t="s">
        <v>2882</v>
      </c>
      <c r="F45" s="21"/>
      <c r="G45" s="21"/>
      <c r="H45" s="21"/>
      <c r="I45" s="97"/>
      <c r="R45" s="126"/>
      <c r="S45" s="126"/>
    </row>
    <row r="46" spans="2:19">
      <c r="B46" s="91" t="s">
        <v>2289</v>
      </c>
      <c r="C46" s="210" t="str">
        <f t="shared" si="3"/>
        <v>Product 5 Segment 3</v>
      </c>
      <c r="D46" s="21" t="s">
        <v>2883</v>
      </c>
      <c r="E46" s="21" t="s">
        <v>2883</v>
      </c>
      <c r="F46" s="21"/>
      <c r="G46" s="21"/>
      <c r="H46" s="21"/>
      <c r="I46" s="97"/>
      <c r="R46" s="126"/>
      <c r="S46" s="126"/>
    </row>
    <row r="47" spans="2:19">
      <c r="B47" s="91" t="s">
        <v>2290</v>
      </c>
      <c r="C47" s="210" t="str">
        <f t="shared" si="3"/>
        <v>Product 5 Segment 4</v>
      </c>
      <c r="D47" s="21" t="s">
        <v>2884</v>
      </c>
      <c r="E47" s="21" t="s">
        <v>2884</v>
      </c>
      <c r="F47" s="21"/>
      <c r="G47" s="21"/>
      <c r="H47" s="21"/>
      <c r="I47" s="97"/>
      <c r="R47" s="126"/>
      <c r="S47" s="126"/>
    </row>
    <row r="48" spans="2:19">
      <c r="B48" s="91" t="s">
        <v>2291</v>
      </c>
      <c r="C48" s="210" t="str">
        <f t="shared" si="3"/>
        <v>Product 5 Segment 5</v>
      </c>
      <c r="D48" s="21" t="s">
        <v>2885</v>
      </c>
      <c r="E48" s="21" t="s">
        <v>2885</v>
      </c>
      <c r="F48" s="21"/>
      <c r="G48" s="21"/>
      <c r="H48" s="21"/>
      <c r="I48" s="97"/>
      <c r="R48" s="126"/>
      <c r="S48" s="126"/>
    </row>
    <row r="49" spans="2:19">
      <c r="B49" s="91" t="s">
        <v>3237</v>
      </c>
      <c r="C49" s="210" t="str">
        <f t="shared" si="3"/>
        <v>Product 6 Segment 1</v>
      </c>
      <c r="D49" s="21" t="s">
        <v>2886</v>
      </c>
      <c r="E49" s="21" t="s">
        <v>2886</v>
      </c>
      <c r="F49" s="21"/>
      <c r="G49" s="21"/>
      <c r="H49" s="21"/>
      <c r="I49" s="97"/>
      <c r="R49" s="126"/>
      <c r="S49" s="126"/>
    </row>
    <row r="50" spans="2:19">
      <c r="B50" s="91" t="s">
        <v>2293</v>
      </c>
      <c r="C50" s="210" t="str">
        <f t="shared" si="3"/>
        <v>Product 6 Segment 2</v>
      </c>
      <c r="D50" s="21" t="s">
        <v>2887</v>
      </c>
      <c r="E50" s="21" t="s">
        <v>2887</v>
      </c>
      <c r="F50" s="21"/>
      <c r="G50" s="21"/>
      <c r="H50" s="21"/>
      <c r="I50" s="97"/>
      <c r="R50" s="126"/>
      <c r="S50" s="126"/>
    </row>
    <row r="51" spans="2:19">
      <c r="B51" s="91" t="s">
        <v>1458</v>
      </c>
      <c r="C51" s="210" t="str">
        <f t="shared" si="3"/>
        <v>Product 6 Segment 3</v>
      </c>
      <c r="D51" s="21" t="s">
        <v>1264</v>
      </c>
      <c r="E51" s="21" t="s">
        <v>1264</v>
      </c>
      <c r="F51" s="21"/>
      <c r="G51" s="21"/>
      <c r="H51" s="21"/>
      <c r="I51" s="97"/>
      <c r="R51" s="126"/>
      <c r="S51" s="126"/>
    </row>
    <row r="52" spans="2:19">
      <c r="B52" s="91" t="s">
        <v>1459</v>
      </c>
      <c r="C52" s="210" t="str">
        <f t="shared" si="3"/>
        <v>Product 6 Segment 4</v>
      </c>
      <c r="D52" s="21" t="s">
        <v>1627</v>
      </c>
      <c r="E52" s="21" t="s">
        <v>1627</v>
      </c>
      <c r="F52" s="21"/>
      <c r="G52" s="21"/>
      <c r="H52" s="21"/>
      <c r="I52" s="97"/>
      <c r="R52" s="126"/>
      <c r="S52" s="126"/>
    </row>
    <row r="53" spans="2:19">
      <c r="B53" s="91" t="s">
        <v>3976</v>
      </c>
      <c r="C53" s="210" t="str">
        <f t="shared" si="3"/>
        <v>Product 6 Segment 5</v>
      </c>
      <c r="D53" s="21" t="s">
        <v>1628</v>
      </c>
      <c r="E53" s="21" t="s">
        <v>1628</v>
      </c>
      <c r="F53" s="21"/>
      <c r="G53" s="21"/>
      <c r="H53" s="21"/>
      <c r="I53" s="97"/>
      <c r="R53" s="126"/>
      <c r="S53" s="126"/>
    </row>
    <row r="54" spans="2:19">
      <c r="B54" s="91"/>
      <c r="C54" s="210" t="str">
        <f t="shared" si="2"/>
        <v>Beverage</v>
      </c>
      <c r="D54" s="1575" t="s">
        <v>4118</v>
      </c>
      <c r="E54" s="21"/>
      <c r="F54" s="21"/>
      <c r="G54" s="21"/>
      <c r="H54" s="21"/>
      <c r="I54" s="97"/>
      <c r="R54" s="126"/>
      <c r="S54" s="126"/>
    </row>
    <row r="55" spans="2:19">
      <c r="B55" s="206"/>
      <c r="C55" s="207"/>
      <c r="D55" s="207"/>
      <c r="E55" s="207"/>
      <c r="F55" s="207"/>
      <c r="G55" s="207"/>
      <c r="H55" s="207"/>
      <c r="I55" s="208"/>
      <c r="R55" s="126"/>
      <c r="S55" s="126"/>
    </row>
    <row r="57" spans="2:19">
      <c r="B57" s="21"/>
      <c r="C57" s="21"/>
      <c r="D57" s="21"/>
      <c r="E57" s="21"/>
      <c r="F57" s="21"/>
      <c r="G57" s="21"/>
      <c r="H57" s="21"/>
      <c r="I57" s="21"/>
      <c r="R57" s="126"/>
      <c r="S57" s="126"/>
    </row>
    <row r="58" spans="2:19">
      <c r="B58" s="2" t="s">
        <v>475</v>
      </c>
    </row>
    <row r="60" spans="2:19">
      <c r="B60" t="str">
        <f>DataNameProd1</f>
        <v>CSD</v>
      </c>
      <c r="C60" s="76">
        <f>SUM(C85:C86)*5</f>
        <v>5530400000</v>
      </c>
      <c r="D60" t="s">
        <v>474</v>
      </c>
      <c r="R60" s="126"/>
      <c r="S60" s="126"/>
    </row>
    <row r="61" spans="2:19">
      <c r="B61" t="str">
        <f>DataNameProd2</f>
        <v>Breakthrough</v>
      </c>
      <c r="C61" s="76"/>
      <c r="D61" t="s">
        <v>3225</v>
      </c>
      <c r="R61" s="126"/>
      <c r="S61" s="126"/>
    </row>
    <row r="62" spans="2:19">
      <c r="B62" t="str">
        <f>DataNameProd3</f>
        <v>NCB</v>
      </c>
      <c r="C62" s="76">
        <f>SUM(C175:C178)*5</f>
        <v>3009000000</v>
      </c>
      <c r="D62" t="s">
        <v>3226</v>
      </c>
      <c r="F62" s="398"/>
      <c r="R62" s="126"/>
      <c r="S62" s="126"/>
    </row>
    <row r="63" spans="2:19">
      <c r="B63" t="str">
        <f>DataNameProd4</f>
        <v>F&amp;S</v>
      </c>
      <c r="C63" s="76">
        <f>SUM(C219:C220)*5</f>
        <v>3833500000</v>
      </c>
      <c r="D63" t="s">
        <v>695</v>
      </c>
      <c r="F63" s="398"/>
      <c r="R63" s="126"/>
      <c r="S63" s="126"/>
    </row>
    <row r="64" spans="2:19">
      <c r="B64" t="str">
        <f>DataNameProd5</f>
        <v>Product Five</v>
      </c>
      <c r="C64" s="76"/>
      <c r="D64" t="s">
        <v>696</v>
      </c>
      <c r="R64" s="126"/>
      <c r="S64" s="126"/>
    </row>
    <row r="65" spans="1:19">
      <c r="B65" t="str">
        <f>DataNameProd6</f>
        <v>Product Six</v>
      </c>
      <c r="C65" s="76"/>
      <c r="D65" t="s">
        <v>473</v>
      </c>
      <c r="R65" s="126"/>
      <c r="S65" s="126"/>
    </row>
    <row r="66" spans="1:19">
      <c r="C66" s="180"/>
      <c r="R66" s="126"/>
      <c r="S66" s="126"/>
    </row>
    <row r="67" spans="1:19">
      <c r="R67" s="126"/>
      <c r="S67" s="126"/>
    </row>
    <row r="68" spans="1:19">
      <c r="A68" s="2" t="s">
        <v>3790</v>
      </c>
      <c r="R68" s="126"/>
      <c r="S68" s="126"/>
    </row>
    <row r="69" spans="1:19">
      <c r="A69" s="2" t="s">
        <v>3903</v>
      </c>
      <c r="B69" s="184" t="s">
        <v>3199</v>
      </c>
      <c r="D69" t="s">
        <v>3858</v>
      </c>
      <c r="F69" t="s">
        <v>1600</v>
      </c>
      <c r="R69" s="126"/>
      <c r="S69" s="126"/>
    </row>
    <row r="70" spans="1:19">
      <c r="A70" s="2"/>
      <c r="B70" s="2" t="s">
        <v>1102</v>
      </c>
      <c r="R70" s="126"/>
      <c r="S70" s="126"/>
    </row>
    <row r="71" spans="1:19" ht="12" customHeight="1">
      <c r="B71" s="2" t="s">
        <v>190</v>
      </c>
      <c r="C71" s="77">
        <v>-2</v>
      </c>
      <c r="D71" s="77">
        <v>-1</v>
      </c>
      <c r="E71" s="77">
        <v>0</v>
      </c>
      <c r="F71" s="77">
        <v>1</v>
      </c>
      <c r="G71" s="77">
        <v>2</v>
      </c>
      <c r="H71" s="77">
        <v>3</v>
      </c>
      <c r="I71" s="77">
        <v>4</v>
      </c>
      <c r="J71" s="77">
        <v>5</v>
      </c>
      <c r="R71" s="126"/>
      <c r="S71" s="126"/>
    </row>
    <row r="72" spans="1:19">
      <c r="B72" s="3" t="s">
        <v>688</v>
      </c>
      <c r="C72" s="78"/>
      <c r="D72" s="78"/>
      <c r="E72" s="79"/>
      <c r="F72" s="11">
        <v>101</v>
      </c>
      <c r="G72" s="11">
        <v>101</v>
      </c>
      <c r="H72" s="11">
        <v>101</v>
      </c>
      <c r="I72" s="11">
        <v>101</v>
      </c>
      <c r="J72" s="11">
        <v>101</v>
      </c>
      <c r="R72" s="126"/>
      <c r="S72" s="126"/>
    </row>
    <row r="73" spans="1:19">
      <c r="B73" s="3" t="s">
        <v>689</v>
      </c>
      <c r="C73" s="78"/>
      <c r="D73" s="78"/>
      <c r="E73" s="79"/>
      <c r="F73" s="82"/>
      <c r="G73" s="11">
        <v>102</v>
      </c>
      <c r="H73" s="11">
        <v>102</v>
      </c>
      <c r="I73" s="11">
        <v>102</v>
      </c>
      <c r="J73" s="11">
        <v>102</v>
      </c>
      <c r="R73" s="126"/>
      <c r="S73" s="126"/>
    </row>
    <row r="74" spans="1:19">
      <c r="B74" s="3" t="s">
        <v>690</v>
      </c>
      <c r="C74" s="80"/>
      <c r="D74" s="80"/>
      <c r="E74" s="81"/>
      <c r="F74" s="83"/>
      <c r="G74" s="83"/>
      <c r="H74" s="23">
        <v>103</v>
      </c>
      <c r="I74" s="23">
        <v>103</v>
      </c>
      <c r="J74" s="23">
        <v>103</v>
      </c>
      <c r="R74" s="126"/>
      <c r="S74" s="126"/>
    </row>
    <row r="75" spans="1:19">
      <c r="B75" s="3" t="s">
        <v>691</v>
      </c>
      <c r="C75" s="80"/>
      <c r="D75" s="80"/>
      <c r="E75" s="81"/>
      <c r="F75" s="83"/>
      <c r="G75" s="83"/>
      <c r="H75" s="84"/>
      <c r="I75" s="23">
        <v>104</v>
      </c>
      <c r="J75" s="23">
        <v>104</v>
      </c>
      <c r="R75" s="126"/>
      <c r="S75" s="126"/>
    </row>
    <row r="76" spans="1:19">
      <c r="B76" s="3" t="s">
        <v>692</v>
      </c>
      <c r="C76" s="78"/>
      <c r="D76" s="78"/>
      <c r="E76" s="78"/>
      <c r="F76" s="82"/>
      <c r="G76" s="82"/>
      <c r="H76" s="84"/>
      <c r="I76" s="84"/>
      <c r="J76" s="23">
        <v>105</v>
      </c>
      <c r="R76" s="126"/>
      <c r="S76" s="126"/>
    </row>
    <row r="77" spans="1:19">
      <c r="B77" s="3"/>
      <c r="C77" s="3"/>
      <c r="D77" s="3"/>
      <c r="E77" s="3"/>
      <c r="F77" s="3"/>
      <c r="G77" s="3"/>
      <c r="H77" s="3"/>
      <c r="I77" s="3"/>
      <c r="J77" s="3"/>
      <c r="K77" s="3"/>
      <c r="R77" s="126"/>
      <c r="S77" s="126"/>
    </row>
    <row r="78" spans="1:19">
      <c r="B78" s="2" t="s">
        <v>13</v>
      </c>
      <c r="R78" s="126"/>
      <c r="S78" s="126"/>
    </row>
    <row r="79" spans="1:19">
      <c r="B79" s="2" t="s">
        <v>190</v>
      </c>
      <c r="C79" s="2">
        <f>C71</f>
        <v>-2</v>
      </c>
      <c r="D79" s="2">
        <f t="shared" ref="D79:J79" si="4">D71</f>
        <v>-1</v>
      </c>
      <c r="E79" s="2">
        <f t="shared" si="4"/>
        <v>0</v>
      </c>
      <c r="F79" s="2">
        <f t="shared" si="4"/>
        <v>1</v>
      </c>
      <c r="G79" s="2">
        <f t="shared" si="4"/>
        <v>2</v>
      </c>
      <c r="H79" s="2">
        <f t="shared" si="4"/>
        <v>3</v>
      </c>
      <c r="I79" s="2">
        <f t="shared" si="4"/>
        <v>4</v>
      </c>
      <c r="J79" s="2">
        <f t="shared" si="4"/>
        <v>5</v>
      </c>
      <c r="R79" s="126"/>
      <c r="S79" s="126"/>
    </row>
    <row r="80" spans="1:19">
      <c r="B80" t="s">
        <v>3790</v>
      </c>
      <c r="C80" s="11">
        <v>90</v>
      </c>
      <c r="D80" s="11">
        <v>95</v>
      </c>
      <c r="E80" s="11">
        <v>100</v>
      </c>
      <c r="F80" s="11">
        <v>110</v>
      </c>
      <c r="G80" s="11">
        <v>120</v>
      </c>
      <c r="H80" s="11">
        <v>130</v>
      </c>
      <c r="I80" s="11">
        <v>140</v>
      </c>
      <c r="J80" s="11">
        <v>150</v>
      </c>
      <c r="R80" s="126"/>
      <c r="S80" s="126"/>
    </row>
    <row r="81" spans="1:19">
      <c r="C81" s="2"/>
      <c r="D81" s="2"/>
      <c r="E81" s="2"/>
      <c r="F81" s="2"/>
      <c r="G81" s="2"/>
      <c r="H81" s="2"/>
      <c r="I81" s="2"/>
      <c r="J81" s="2"/>
      <c r="R81" s="126"/>
      <c r="S81" s="126"/>
    </row>
    <row r="82" spans="1:19">
      <c r="A82" s="2" t="str">
        <f>DataNameProd1 &amp; " Data"</f>
        <v>CSD Data</v>
      </c>
      <c r="R82" s="126"/>
      <c r="S82" s="126"/>
    </row>
    <row r="83" spans="1:19">
      <c r="B83" s="3"/>
      <c r="C83" s="3"/>
      <c r="D83" s="3"/>
      <c r="E83" s="3"/>
      <c r="F83" s="3"/>
      <c r="G83" s="3"/>
      <c r="H83" s="3"/>
      <c r="I83" s="3"/>
      <c r="J83" s="3"/>
      <c r="R83" s="126"/>
      <c r="S83" s="126"/>
    </row>
    <row r="84" spans="1:19" ht="12" thickBot="1">
      <c r="B84" s="2" t="s">
        <v>2485</v>
      </c>
      <c r="R84" s="126"/>
      <c r="S84" s="126"/>
    </row>
    <row r="85" spans="1:19">
      <c r="B85" s="1112" t="str">
        <f>"yr 0 "&amp;DataNameProd1Seg1</f>
        <v>yr 0 Vetera</v>
      </c>
      <c r="C85" s="1162">
        <v>749280000</v>
      </c>
      <c r="D85" s="1110">
        <f>$C85/SUM($C$85:$C$88)</f>
        <v>0.67741935483870963</v>
      </c>
      <c r="E85" s="398"/>
      <c r="F85" s="399"/>
      <c r="G85" s="10"/>
      <c r="H85" s="10"/>
      <c r="I85" s="12"/>
      <c r="J85" s="12"/>
      <c r="K85" s="12"/>
      <c r="L85" t="s">
        <v>909</v>
      </c>
      <c r="M85" s="398">
        <f>SUM(C85:C86)/5</f>
        <v>221216000</v>
      </c>
      <c r="R85" s="126"/>
      <c r="S85" s="126"/>
    </row>
    <row r="86" spans="1:19">
      <c r="B86" s="1113" t="str">
        <f>"yr 0 "&amp;DataNameProd1Seg2</f>
        <v>yr 0 Escendia</v>
      </c>
      <c r="C86" s="1163">
        <v>356800000</v>
      </c>
      <c r="D86" s="1115">
        <f>$C86/SUM($C$85:$C$88)</f>
        <v>0.32258064516129031</v>
      </c>
      <c r="E86" s="12"/>
      <c r="F86" s="12"/>
      <c r="G86" s="12"/>
      <c r="H86" s="12"/>
      <c r="I86" s="12"/>
      <c r="J86" s="12"/>
      <c r="K86" s="12"/>
      <c r="L86" t="s">
        <v>910</v>
      </c>
      <c r="M86" s="459">
        <f>M85/(cbal!$E$152*(xxProd1BaseUnits/SUM($C$60:$C$63)))</f>
        <v>531596.13319011813</v>
      </c>
      <c r="R86" s="126"/>
      <c r="S86" s="126"/>
    </row>
    <row r="87" spans="1:19">
      <c r="B87" s="1113" t="str">
        <f>"yr 0 "&amp;DataNameProd1Seg3</f>
        <v>yr 0 Segment 3</v>
      </c>
      <c r="C87" s="1163">
        <v>0</v>
      </c>
      <c r="D87" s="1115">
        <f>$C87/SUM($C$85:$C$88)</f>
        <v>0</v>
      </c>
      <c r="E87" s="12"/>
      <c r="F87" s="12"/>
      <c r="G87" s="12"/>
      <c r="H87" s="12"/>
      <c r="I87" s="12"/>
      <c r="J87" s="12"/>
      <c r="K87" s="12"/>
      <c r="L87" t="s">
        <v>911</v>
      </c>
      <c r="M87">
        <f>M86/300</f>
        <v>1771.9871106337271</v>
      </c>
      <c r="R87" s="126"/>
      <c r="S87" s="126"/>
    </row>
    <row r="88" spans="1:19" ht="12" thickBot="1">
      <c r="B88" s="1114" t="str">
        <f>"yr 0 "&amp;DataNameProd1Seg4</f>
        <v>yr 0 Segment 4</v>
      </c>
      <c r="C88" s="1164">
        <v>0</v>
      </c>
      <c r="D88" s="1111">
        <f>$C88/SUM($C$85:$C$88)</f>
        <v>0</v>
      </c>
      <c r="E88" s="12"/>
      <c r="F88" s="12"/>
      <c r="G88" s="12"/>
      <c r="H88" s="12"/>
      <c r="I88" s="12"/>
      <c r="J88" s="12"/>
      <c r="K88" s="12"/>
      <c r="L88" t="s">
        <v>913</v>
      </c>
      <c r="M88">
        <v>20</v>
      </c>
      <c r="R88" s="126"/>
      <c r="S88" s="126"/>
    </row>
    <row r="89" spans="1:19">
      <c r="L89" t="s">
        <v>912</v>
      </c>
      <c r="M89" s="397">
        <f>INDEX(paramProd1CycTimeDays,xxIndexTeam)*24</f>
        <v>2.0270181708216</v>
      </c>
    </row>
    <row r="90" spans="1:19">
      <c r="B90" s="2" t="s">
        <v>190</v>
      </c>
      <c r="C90" s="2">
        <v>-2</v>
      </c>
      <c r="D90" s="2">
        <v>-1</v>
      </c>
      <c r="E90" s="2">
        <v>0</v>
      </c>
      <c r="F90" s="2">
        <v>1</v>
      </c>
      <c r="G90" s="2">
        <v>2</v>
      </c>
      <c r="H90" s="2">
        <v>3</v>
      </c>
      <c r="I90" s="2">
        <v>4</v>
      </c>
      <c r="J90" s="2">
        <v>5</v>
      </c>
      <c r="L90" t="s">
        <v>915</v>
      </c>
      <c r="M90">
        <f>M88/M89</f>
        <v>9.866709774926937</v>
      </c>
      <c r="R90" s="126"/>
      <c r="S90" s="126"/>
    </row>
    <row r="91" spans="1:19">
      <c r="B91" s="3" t="str">
        <f>DataNameProd1 &amp; " Growth"</f>
        <v>CSD Growth</v>
      </c>
      <c r="C91" s="15">
        <f>SUMPRODUCT(C94:C97,$E$99:$E$102)/SUM($E$99:$E$102)</f>
        <v>1.0106451612903227</v>
      </c>
      <c r="D91" s="15">
        <f t="shared" ref="D91:I91" si="5">SUMPRODUCT(D94:D97,$E$99:$E$102)/SUM($E$99:$E$102)</f>
        <v>0.98741935483870968</v>
      </c>
      <c r="E91" s="15">
        <f t="shared" si="5"/>
        <v>1</v>
      </c>
      <c r="F91" s="15">
        <f t="shared" si="5"/>
        <v>1.0061290322580645</v>
      </c>
      <c r="G91" s="15">
        <f t="shared" si="5"/>
        <v>0.99870967741935479</v>
      </c>
      <c r="H91" s="15">
        <f t="shared" si="5"/>
        <v>1.004516129032258</v>
      </c>
      <c r="I91" s="15">
        <f t="shared" si="5"/>
        <v>0.98709677419354824</v>
      </c>
      <c r="J91" s="11"/>
      <c r="L91" t="s">
        <v>916</v>
      </c>
      <c r="M91">
        <f>M87/M90</f>
        <v>179.59250358581147</v>
      </c>
      <c r="R91" s="126"/>
      <c r="S91" s="126"/>
    </row>
    <row r="92" spans="1:19">
      <c r="B92" s="3"/>
      <c r="C92" s="15"/>
      <c r="D92" s="15"/>
      <c r="E92" s="15"/>
      <c r="F92" s="15"/>
      <c r="G92" s="15"/>
      <c r="H92" s="15"/>
      <c r="I92" s="15"/>
      <c r="J92" s="11"/>
      <c r="L92" t="s">
        <v>914</v>
      </c>
      <c r="M92">
        <f>M89/M91</f>
        <v>1.1286763814465486E-2</v>
      </c>
      <c r="R92" s="126"/>
      <c r="S92" s="126"/>
    </row>
    <row r="93" spans="1:19">
      <c r="C93" s="398"/>
      <c r="D93" s="398"/>
      <c r="E93" s="398"/>
      <c r="F93" s="398"/>
      <c r="G93" s="398"/>
      <c r="H93" s="398"/>
      <c r="I93" s="398"/>
      <c r="J93" s="12"/>
      <c r="R93" s="126"/>
      <c r="S93" s="126"/>
    </row>
    <row r="94" spans="1:19">
      <c r="B94" t="str">
        <f>DataNameProd1Seg1&amp;" Growth"</f>
        <v>Vetera Growth</v>
      </c>
      <c r="C94" s="12">
        <v>1.03</v>
      </c>
      <c r="D94" s="12">
        <v>1.01</v>
      </c>
      <c r="E94" s="12">
        <v>1</v>
      </c>
      <c r="F94" s="12">
        <v>0.99</v>
      </c>
      <c r="G94" s="12">
        <v>0.96</v>
      </c>
      <c r="H94" s="12">
        <v>0.94</v>
      </c>
      <c r="I94" s="12">
        <v>0.9</v>
      </c>
      <c r="J94" s="12"/>
      <c r="K94" s="399"/>
      <c r="R94" s="126"/>
      <c r="S94" s="126"/>
    </row>
    <row r="95" spans="1:19">
      <c r="B95" t="str">
        <f>DataNameProd1Seg2&amp;" Growth"</f>
        <v>Escendia Growth</v>
      </c>
      <c r="C95" s="12">
        <v>0.97</v>
      </c>
      <c r="D95" s="12">
        <v>0.94</v>
      </c>
      <c r="E95" s="12">
        <v>1</v>
      </c>
      <c r="F95" s="12">
        <v>1.04</v>
      </c>
      <c r="G95" s="12">
        <v>1.08</v>
      </c>
      <c r="H95" s="12">
        <v>1.1399999999999999</v>
      </c>
      <c r="I95" s="12">
        <v>1.17</v>
      </c>
      <c r="J95" s="12"/>
      <c r="R95" s="126"/>
      <c r="S95" s="126"/>
    </row>
    <row r="96" spans="1:19">
      <c r="B96" t="str">
        <f>DataNameProd1Seg3&amp;" Growth"</f>
        <v>Segment 3 Growth</v>
      </c>
      <c r="C96" s="12">
        <v>1</v>
      </c>
      <c r="D96" s="12">
        <v>1</v>
      </c>
      <c r="E96" s="12">
        <v>1</v>
      </c>
      <c r="F96" s="12">
        <v>1</v>
      </c>
      <c r="G96" s="12">
        <v>1</v>
      </c>
      <c r="H96" s="12">
        <v>1</v>
      </c>
      <c r="I96" s="12">
        <v>1</v>
      </c>
      <c r="J96" s="12"/>
      <c r="R96" s="126"/>
      <c r="S96" s="126"/>
    </row>
    <row r="97" spans="1:19">
      <c r="B97" t="str">
        <f>DataNameProd1Seg4&amp;" Growth"</f>
        <v>Segment 4 Growth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1</v>
      </c>
      <c r="J97" s="12"/>
      <c r="R97" s="126"/>
      <c r="S97" s="126"/>
    </row>
    <row r="98" spans="1:19">
      <c r="C98" s="398"/>
      <c r="D98" s="398"/>
      <c r="E98" s="398"/>
      <c r="F98" s="398"/>
      <c r="G98" s="398"/>
      <c r="H98" s="398"/>
      <c r="I98" s="398"/>
      <c r="J98" s="12"/>
      <c r="R98" s="126"/>
      <c r="S98" s="126"/>
    </row>
    <row r="99" spans="1:19">
      <c r="B99" t="str">
        <f>DataNameProd1Seg1&amp;" Volume"</f>
        <v>Vetera Volume</v>
      </c>
      <c r="C99" s="398">
        <f t="shared" ref="C99:D102" si="6">$E99*C94</f>
        <v>3858791999.9999995</v>
      </c>
      <c r="D99" s="398">
        <f t="shared" si="6"/>
        <v>3783863999.9999995</v>
      </c>
      <c r="E99" s="398">
        <f>E94*D85*xxProd1BaseUnits</f>
        <v>3746399999.9999995</v>
      </c>
      <c r="F99" s="398">
        <f t="shared" ref="F99:I102" si="7">$E99*F94</f>
        <v>3708935999.9999995</v>
      </c>
      <c r="G99" s="398">
        <f t="shared" si="7"/>
        <v>3596543999.9999995</v>
      </c>
      <c r="H99" s="398">
        <f t="shared" si="7"/>
        <v>3521615999.9999995</v>
      </c>
      <c r="I99" s="398">
        <f t="shared" si="7"/>
        <v>3371759999.9999995</v>
      </c>
      <c r="J99" s="12"/>
      <c r="K99" s="1429"/>
      <c r="R99" s="126"/>
      <c r="S99" s="126"/>
    </row>
    <row r="100" spans="1:19">
      <c r="B100" t="str">
        <f>DataNameProd1Seg2&amp;" Volume"</f>
        <v>Escendia Volume</v>
      </c>
      <c r="C100" s="398">
        <f t="shared" si="6"/>
        <v>1730480000</v>
      </c>
      <c r="D100" s="398">
        <f t="shared" si="6"/>
        <v>1676960000</v>
      </c>
      <c r="E100" s="398">
        <f>E95*D86*xxProd1BaseUnits</f>
        <v>1784000000</v>
      </c>
      <c r="F100" s="398">
        <f>$E100*F95</f>
        <v>1855360000</v>
      </c>
      <c r="G100" s="398">
        <f t="shared" si="7"/>
        <v>1926720000.0000002</v>
      </c>
      <c r="H100" s="398">
        <f t="shared" si="7"/>
        <v>2033759999.9999998</v>
      </c>
      <c r="I100" s="398">
        <f t="shared" si="7"/>
        <v>2087279999.9999998</v>
      </c>
      <c r="J100" s="12"/>
      <c r="R100" s="126"/>
      <c r="S100" s="126"/>
    </row>
    <row r="101" spans="1:19">
      <c r="B101" t="str">
        <f>DataNameProd1Seg3&amp;" Volume"</f>
        <v>Segment 3 Volume</v>
      </c>
      <c r="C101" s="398">
        <f t="shared" si="6"/>
        <v>0</v>
      </c>
      <c r="D101" s="398">
        <f t="shared" si="6"/>
        <v>0</v>
      </c>
      <c r="E101" s="398">
        <f>E96*D87*xxProd1BaseUnits</f>
        <v>0</v>
      </c>
      <c r="F101" s="398">
        <f>$E101*F96</f>
        <v>0</v>
      </c>
      <c r="G101" s="398">
        <f t="shared" si="7"/>
        <v>0</v>
      </c>
      <c r="H101" s="398">
        <f t="shared" si="7"/>
        <v>0</v>
      </c>
      <c r="I101" s="398">
        <f t="shared" si="7"/>
        <v>0</v>
      </c>
      <c r="J101" s="12"/>
      <c r="R101" s="126"/>
      <c r="S101" s="126"/>
    </row>
    <row r="102" spans="1:19">
      <c r="B102" t="str">
        <f>DataNameProd1Seg4&amp;" Volume"</f>
        <v>Segment 4 Volume</v>
      </c>
      <c r="C102" s="398">
        <f t="shared" si="6"/>
        <v>0</v>
      </c>
      <c r="D102" s="398">
        <f t="shared" si="6"/>
        <v>0</v>
      </c>
      <c r="E102" s="398">
        <f>E97*D88*xxProd1BaseUnits</f>
        <v>0</v>
      </c>
      <c r="F102" s="398">
        <f>$E102*F97</f>
        <v>0</v>
      </c>
      <c r="G102" s="398">
        <f t="shared" si="7"/>
        <v>0</v>
      </c>
      <c r="H102" s="398">
        <f t="shared" si="7"/>
        <v>0</v>
      </c>
      <c r="I102" s="398">
        <f t="shared" si="7"/>
        <v>0</v>
      </c>
      <c r="J102" s="12"/>
      <c r="R102" s="126"/>
      <c r="S102" s="126"/>
    </row>
    <row r="103" spans="1:19">
      <c r="R103" s="126"/>
      <c r="S103" s="126"/>
    </row>
    <row r="104" spans="1:19">
      <c r="A104" s="2"/>
      <c r="C104" s="2">
        <f>C71</f>
        <v>-2</v>
      </c>
      <c r="D104" s="2">
        <f t="shared" ref="D104:J104" si="8">D71</f>
        <v>-1</v>
      </c>
      <c r="E104" s="2">
        <f t="shared" si="8"/>
        <v>0</v>
      </c>
      <c r="F104" s="2">
        <f t="shared" si="8"/>
        <v>1</v>
      </c>
      <c r="G104" s="2">
        <f t="shared" si="8"/>
        <v>2</v>
      </c>
      <c r="H104" s="2">
        <f t="shared" si="8"/>
        <v>3</v>
      </c>
      <c r="I104" s="2">
        <f t="shared" si="8"/>
        <v>4</v>
      </c>
      <c r="J104" s="2">
        <f t="shared" si="8"/>
        <v>5</v>
      </c>
      <c r="R104" s="126"/>
      <c r="S104" s="126"/>
    </row>
    <row r="105" spans="1:19">
      <c r="B105" s="26" t="str">
        <f>DataNameProd1</f>
        <v>CSD</v>
      </c>
      <c r="C105" s="1143">
        <f>SUM(C99:C102)</f>
        <v>5589272000</v>
      </c>
      <c r="D105" s="1143">
        <f t="shared" ref="D105:J105" si="9">SUM(D99:D102)</f>
        <v>5460824000</v>
      </c>
      <c r="E105" s="1143">
        <f t="shared" si="9"/>
        <v>5530400000</v>
      </c>
      <c r="F105" s="1143">
        <f>SUM(F99:F102)</f>
        <v>5564296000</v>
      </c>
      <c r="G105" s="1143">
        <f t="shared" si="9"/>
        <v>5523264000</v>
      </c>
      <c r="H105" s="1143">
        <f t="shared" si="9"/>
        <v>5555375999.999999</v>
      </c>
      <c r="I105" s="1143">
        <f t="shared" si="9"/>
        <v>5459039999.999999</v>
      </c>
      <c r="J105" s="1143">
        <f t="shared" si="9"/>
        <v>0</v>
      </c>
      <c r="K105" t="s">
        <v>1163</v>
      </c>
      <c r="R105" s="126"/>
      <c r="S105" s="126"/>
    </row>
    <row r="106" spans="1:19">
      <c r="B106" t="str">
        <f>DataNameProd1 &amp; " " &amp; DataNameProd1Seg1 &amp; " Units"</f>
        <v>CSD Vetera Units</v>
      </c>
      <c r="C106" s="272">
        <f>C99</f>
        <v>3858791999.9999995</v>
      </c>
      <c r="D106" s="272">
        <f>D99</f>
        <v>3783863999.9999995</v>
      </c>
      <c r="E106" s="272">
        <f t="shared" ref="E106:J107" si="10">E99</f>
        <v>3746399999.9999995</v>
      </c>
      <c r="F106" s="272">
        <f t="shared" si="10"/>
        <v>3708935999.9999995</v>
      </c>
      <c r="G106" s="272">
        <f t="shared" si="10"/>
        <v>3596543999.9999995</v>
      </c>
      <c r="H106" s="272">
        <f t="shared" si="10"/>
        <v>3521615999.9999995</v>
      </c>
      <c r="I106" s="272">
        <f t="shared" si="10"/>
        <v>3371759999.9999995</v>
      </c>
      <c r="J106" s="272">
        <f t="shared" si="10"/>
        <v>0</v>
      </c>
      <c r="K106" t="s">
        <v>3742</v>
      </c>
      <c r="R106" s="126"/>
      <c r="S106" s="126"/>
    </row>
    <row r="107" spans="1:19">
      <c r="B107" t="str">
        <f>DataNameProd1 &amp; " " &amp; DataNameProd1Seg2 &amp; " Units"</f>
        <v>CSD Escendia Units</v>
      </c>
      <c r="C107" s="272">
        <f>C100</f>
        <v>1730480000</v>
      </c>
      <c r="D107" s="272">
        <f>D100</f>
        <v>1676960000</v>
      </c>
      <c r="E107" s="272">
        <f t="shared" si="10"/>
        <v>1784000000</v>
      </c>
      <c r="F107" s="272">
        <f>F100</f>
        <v>1855360000</v>
      </c>
      <c r="G107" s="272">
        <f t="shared" si="10"/>
        <v>1926720000.0000002</v>
      </c>
      <c r="H107" s="272">
        <f t="shared" si="10"/>
        <v>2033759999.9999998</v>
      </c>
      <c r="I107" s="272">
        <f t="shared" si="10"/>
        <v>2087279999.9999998</v>
      </c>
      <c r="J107" s="272">
        <f t="shared" si="10"/>
        <v>0</v>
      </c>
      <c r="K107" t="s">
        <v>3743</v>
      </c>
      <c r="R107" s="126"/>
      <c r="S107" s="126"/>
    </row>
    <row r="108" spans="1:19">
      <c r="B108" t="str">
        <f>DataNameProd1 &amp; " " &amp; DataNameProd1Seg3 &amp; " Units"</f>
        <v>CSD Segment 3 Units</v>
      </c>
      <c r="C108" s="272">
        <f t="shared" ref="C108:J109" si="11">C101</f>
        <v>0</v>
      </c>
      <c r="D108" s="272">
        <f t="shared" si="11"/>
        <v>0</v>
      </c>
      <c r="E108" s="272">
        <f t="shared" si="11"/>
        <v>0</v>
      </c>
      <c r="F108" s="272">
        <f t="shared" si="11"/>
        <v>0</v>
      </c>
      <c r="G108" s="272">
        <f t="shared" si="11"/>
        <v>0</v>
      </c>
      <c r="H108" s="272">
        <f t="shared" si="11"/>
        <v>0</v>
      </c>
      <c r="I108" s="272">
        <f t="shared" si="11"/>
        <v>0</v>
      </c>
      <c r="J108" s="272">
        <f t="shared" si="11"/>
        <v>0</v>
      </c>
      <c r="K108" t="s">
        <v>1920</v>
      </c>
      <c r="R108" s="126"/>
      <c r="S108" s="126"/>
    </row>
    <row r="109" spans="1:19">
      <c r="B109" t="str">
        <f>DataNameProd1 &amp; " " &amp; DataNameProd1Seg4 &amp; " Units"</f>
        <v>CSD Segment 4 Units</v>
      </c>
      <c r="C109" s="272">
        <f t="shared" si="11"/>
        <v>0</v>
      </c>
      <c r="D109" s="272">
        <f t="shared" si="11"/>
        <v>0</v>
      </c>
      <c r="E109" s="272">
        <f t="shared" si="11"/>
        <v>0</v>
      </c>
      <c r="F109" s="272">
        <f t="shared" si="11"/>
        <v>0</v>
      </c>
      <c r="G109" s="272">
        <f t="shared" si="11"/>
        <v>0</v>
      </c>
      <c r="H109" s="272">
        <f t="shared" si="11"/>
        <v>0</v>
      </c>
      <c r="I109" s="272">
        <f t="shared" si="11"/>
        <v>0</v>
      </c>
      <c r="J109" s="272">
        <f t="shared" si="11"/>
        <v>0</v>
      </c>
      <c r="K109" t="s">
        <v>1921</v>
      </c>
      <c r="R109" s="126"/>
      <c r="S109" s="126"/>
    </row>
    <row r="110" spans="1:19" hidden="1">
      <c r="B110" t="str">
        <f>DataNameProd1 &amp; " " &amp; DataNameProd1Seg5 &amp; " Units"</f>
        <v>CSD Segment 5 Units</v>
      </c>
      <c r="C110" s="272" t="s">
        <v>2486</v>
      </c>
      <c r="D110" s="272"/>
      <c r="E110" s="272"/>
      <c r="F110" s="272"/>
      <c r="G110" s="272"/>
      <c r="H110" s="272"/>
      <c r="I110" s="272"/>
      <c r="J110" s="272"/>
      <c r="K110" t="s">
        <v>1162</v>
      </c>
      <c r="R110" s="126"/>
      <c r="S110" s="126"/>
    </row>
    <row r="111" spans="1:19">
      <c r="C111" s="14"/>
      <c r="D111" s="14"/>
      <c r="E111" s="14"/>
      <c r="F111" s="14"/>
      <c r="G111" s="14"/>
      <c r="H111" s="14"/>
      <c r="I111" s="14"/>
      <c r="J111" s="14"/>
      <c r="R111" s="126"/>
      <c r="S111" s="126"/>
    </row>
    <row r="112" spans="1:19">
      <c r="B112" t="s">
        <v>260</v>
      </c>
      <c r="C112" s="10">
        <f>C105/xxNumOfTeams</f>
        <v>1117854400</v>
      </c>
      <c r="D112" s="10">
        <f t="shared" ref="D112:J112" si="12">D105/xxNumOfTeams</f>
        <v>1092164800</v>
      </c>
      <c r="E112" s="10">
        <f t="shared" si="12"/>
        <v>1106080000</v>
      </c>
      <c r="F112" s="10">
        <f t="shared" si="12"/>
        <v>1112859200</v>
      </c>
      <c r="G112" s="10">
        <f t="shared" si="12"/>
        <v>1104652800</v>
      </c>
      <c r="H112" s="10">
        <f t="shared" si="12"/>
        <v>1111075199.9999998</v>
      </c>
      <c r="I112" s="10">
        <f t="shared" si="12"/>
        <v>1091807999.9999998</v>
      </c>
      <c r="J112" s="10">
        <f t="shared" si="12"/>
        <v>0</v>
      </c>
      <c r="R112" s="126"/>
      <c r="S112" s="126"/>
    </row>
    <row r="113" spans="1:19" ht="12" thickBot="1">
      <c r="C113" s="10"/>
      <c r="D113" s="10"/>
      <c r="E113" s="10"/>
      <c r="F113" s="10"/>
      <c r="G113" s="10"/>
      <c r="H113" s="10"/>
      <c r="I113" s="10"/>
      <c r="J113" s="10"/>
      <c r="R113" s="126"/>
      <c r="S113" s="126"/>
    </row>
    <row r="114" spans="1:19">
      <c r="B114" s="268" t="str">
        <f>"Market Model "&amp;DataNameProd1&amp;" Drivers"</f>
        <v>Market Model CSD Drivers</v>
      </c>
      <c r="C114" s="194"/>
      <c r="D114" s="194"/>
      <c r="E114" s="1195"/>
      <c r="F114" s="1195"/>
      <c r="G114" s="194"/>
      <c r="H114" s="194"/>
      <c r="I114" s="194"/>
      <c r="J114" s="194"/>
      <c r="K114" s="195"/>
      <c r="R114" s="126"/>
      <c r="S114" s="126"/>
    </row>
    <row r="115" spans="1:19">
      <c r="B115" s="132"/>
      <c r="C115" s="62" t="s">
        <v>2349</v>
      </c>
      <c r="D115" s="62"/>
      <c r="E115" s="62" t="s">
        <v>129</v>
      </c>
      <c r="F115" s="62" t="s">
        <v>130</v>
      </c>
      <c r="G115" s="62" t="s">
        <v>131</v>
      </c>
      <c r="H115" s="62" t="s">
        <v>1133</v>
      </c>
      <c r="I115" s="62" t="s">
        <v>1134</v>
      </c>
      <c r="J115" s="21"/>
      <c r="K115" s="133"/>
      <c r="R115" s="126"/>
      <c r="S115" s="126"/>
    </row>
    <row r="116" spans="1:19">
      <c r="B116" s="132"/>
      <c r="C116" s="274" t="s">
        <v>1402</v>
      </c>
      <c r="D116" s="274"/>
      <c r="E116" s="274">
        <v>35</v>
      </c>
      <c r="F116" s="274">
        <v>54</v>
      </c>
      <c r="G116" s="274">
        <v>0</v>
      </c>
      <c r="H116" s="274">
        <v>0</v>
      </c>
      <c r="I116" s="274">
        <v>0</v>
      </c>
      <c r="J116" s="274" t="s">
        <v>476</v>
      </c>
      <c r="K116" s="133"/>
      <c r="R116" s="126"/>
      <c r="S116" s="126"/>
    </row>
    <row r="117" spans="1:19">
      <c r="B117" s="132"/>
      <c r="C117" s="274" t="s">
        <v>2745</v>
      </c>
      <c r="D117" s="274"/>
      <c r="E117" s="274">
        <v>7</v>
      </c>
      <c r="F117" s="274">
        <v>8</v>
      </c>
      <c r="G117" s="274">
        <v>0</v>
      </c>
      <c r="H117" s="274">
        <v>0</v>
      </c>
      <c r="I117" s="274">
        <v>0</v>
      </c>
      <c r="J117" s="274" t="s">
        <v>477</v>
      </c>
      <c r="K117" s="133"/>
      <c r="R117" s="126"/>
      <c r="S117" s="126"/>
    </row>
    <row r="118" spans="1:19">
      <c r="B118" s="132"/>
      <c r="C118" s="274" t="s">
        <v>3442</v>
      </c>
      <c r="D118" s="274"/>
      <c r="E118" s="274">
        <v>0</v>
      </c>
      <c r="F118" s="274">
        <v>0</v>
      </c>
      <c r="G118" s="274">
        <v>0</v>
      </c>
      <c r="H118" s="274">
        <v>0</v>
      </c>
      <c r="I118" s="274">
        <v>0</v>
      </c>
      <c r="J118" s="274" t="s">
        <v>478</v>
      </c>
      <c r="K118" s="133"/>
      <c r="R118" s="126"/>
      <c r="S118" s="126"/>
    </row>
    <row r="119" spans="1:19">
      <c r="B119" s="132"/>
      <c r="C119" s="274" t="s">
        <v>1404</v>
      </c>
      <c r="D119" s="274"/>
      <c r="E119" s="274">
        <v>9</v>
      </c>
      <c r="F119" s="274">
        <v>7</v>
      </c>
      <c r="G119" s="274">
        <v>0</v>
      </c>
      <c r="H119" s="274">
        <v>0</v>
      </c>
      <c r="I119" s="274">
        <v>0</v>
      </c>
      <c r="J119" s="274" t="s">
        <v>2043</v>
      </c>
      <c r="K119" s="133"/>
      <c r="R119" s="126"/>
      <c r="S119" s="126"/>
    </row>
    <row r="120" spans="1:19">
      <c r="B120" s="132"/>
      <c r="C120" s="274" t="s">
        <v>175</v>
      </c>
      <c r="D120" s="274"/>
      <c r="E120" s="274">
        <v>11</v>
      </c>
      <c r="F120" s="274">
        <v>9</v>
      </c>
      <c r="G120" s="274">
        <v>0</v>
      </c>
      <c r="H120" s="274">
        <v>0</v>
      </c>
      <c r="I120" s="274">
        <v>0</v>
      </c>
      <c r="J120" s="274" t="s">
        <v>2044</v>
      </c>
      <c r="K120" s="133"/>
      <c r="R120" s="126"/>
      <c r="S120" s="126"/>
    </row>
    <row r="121" spans="1:19">
      <c r="B121" s="132"/>
      <c r="C121" s="274" t="s">
        <v>2579</v>
      </c>
      <c r="D121" s="274"/>
      <c r="E121" s="274">
        <v>6</v>
      </c>
      <c r="F121" s="274">
        <v>10</v>
      </c>
      <c r="G121" s="274">
        <v>0</v>
      </c>
      <c r="H121" s="274">
        <v>0</v>
      </c>
      <c r="I121" s="274">
        <v>0</v>
      </c>
      <c r="J121" s="274" t="s">
        <v>2045</v>
      </c>
      <c r="K121" s="133"/>
      <c r="R121" s="126"/>
      <c r="S121" s="126"/>
    </row>
    <row r="122" spans="1:19">
      <c r="B122" s="132"/>
      <c r="C122" s="274" t="s">
        <v>1108</v>
      </c>
      <c r="D122" s="274"/>
      <c r="E122" s="274">
        <v>14</v>
      </c>
      <c r="F122" s="274">
        <v>14</v>
      </c>
      <c r="G122" s="274">
        <v>0</v>
      </c>
      <c r="H122" s="274">
        <v>0</v>
      </c>
      <c r="I122" s="274">
        <v>0</v>
      </c>
      <c r="J122" s="274" t="s">
        <v>2046</v>
      </c>
      <c r="K122" s="133"/>
      <c r="R122" s="126"/>
      <c r="S122" s="126"/>
    </row>
    <row r="123" spans="1:19">
      <c r="B123" s="132"/>
      <c r="C123" s="273" t="s">
        <v>1722</v>
      </c>
      <c r="D123" s="274"/>
      <c r="E123" s="274">
        <v>0</v>
      </c>
      <c r="F123" s="274">
        <v>17</v>
      </c>
      <c r="G123" s="274">
        <v>0</v>
      </c>
      <c r="H123" s="274">
        <v>0</v>
      </c>
      <c r="I123" s="274">
        <v>0</v>
      </c>
      <c r="J123" s="274" t="s">
        <v>2047</v>
      </c>
      <c r="K123" s="133"/>
      <c r="R123" s="126"/>
      <c r="S123" s="126"/>
    </row>
    <row r="124" spans="1:19">
      <c r="B124" s="132"/>
      <c r="C124" s="2464" t="s">
        <v>4734</v>
      </c>
      <c r="D124" s="274"/>
      <c r="E124" s="274">
        <v>10</v>
      </c>
      <c r="F124" s="274">
        <v>0</v>
      </c>
      <c r="G124" s="274">
        <v>0</v>
      </c>
      <c r="H124" s="274">
        <v>0</v>
      </c>
      <c r="I124" s="274">
        <v>0</v>
      </c>
      <c r="J124" s="274" t="s">
        <v>2048</v>
      </c>
      <c r="K124" s="133"/>
      <c r="R124" s="126"/>
      <c r="S124" s="126"/>
    </row>
    <row r="125" spans="1:19">
      <c r="B125" s="132"/>
      <c r="C125" s="273" t="s">
        <v>2956</v>
      </c>
      <c r="D125" s="274"/>
      <c r="E125" s="274">
        <v>0</v>
      </c>
      <c r="F125" s="274">
        <v>0</v>
      </c>
      <c r="G125" s="274">
        <v>0</v>
      </c>
      <c r="H125" s="274">
        <v>0</v>
      </c>
      <c r="I125" s="274">
        <v>0</v>
      </c>
      <c r="J125" s="274" t="s">
        <v>3741</v>
      </c>
      <c r="K125" s="133"/>
      <c r="R125" s="126"/>
      <c r="S125" s="126"/>
    </row>
    <row r="126" spans="1:19" ht="12" thickBot="1">
      <c r="B126" s="134"/>
      <c r="C126" s="135"/>
      <c r="D126" s="135"/>
      <c r="E126" s="135"/>
      <c r="F126" s="135"/>
      <c r="G126" s="135"/>
      <c r="H126" s="135"/>
      <c r="I126" s="135"/>
      <c r="J126" s="135"/>
      <c r="K126" s="136"/>
      <c r="R126" s="126"/>
      <c r="S126" s="126"/>
    </row>
    <row r="127" spans="1:19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R127" s="126"/>
      <c r="S127" s="126"/>
    </row>
    <row r="128" spans="1:19">
      <c r="A128" s="2" t="str">
        <f>DataNameProd2 &amp; " Data"</f>
        <v>Breakthrough Data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R128" s="126"/>
      <c r="S128" s="126"/>
    </row>
    <row r="129" spans="2:19">
      <c r="B129" s="2" t="s">
        <v>13</v>
      </c>
      <c r="R129" s="126"/>
      <c r="S129" s="126"/>
    </row>
    <row r="130" spans="2:19">
      <c r="B130" s="2" t="s">
        <v>190</v>
      </c>
      <c r="C130" s="2">
        <v>-2</v>
      </c>
      <c r="D130" s="2">
        <v>-1</v>
      </c>
      <c r="E130" s="2">
        <v>0</v>
      </c>
      <c r="F130" s="2">
        <v>1</v>
      </c>
      <c r="G130" s="2">
        <v>2</v>
      </c>
      <c r="H130" s="2">
        <v>3</v>
      </c>
      <c r="I130" s="2">
        <v>4</v>
      </c>
      <c r="J130" s="2">
        <v>5</v>
      </c>
      <c r="R130" s="126"/>
      <c r="S130" s="126"/>
    </row>
    <row r="131" spans="2:19">
      <c r="B131" s="3" t="str">
        <f>DataNameProd2 &amp; " Growth"</f>
        <v>Breakthrough Growth</v>
      </c>
      <c r="C131" s="11">
        <v>90</v>
      </c>
      <c r="D131" s="11">
        <v>95</v>
      </c>
      <c r="E131" s="11">
        <v>100</v>
      </c>
      <c r="F131" s="11">
        <v>110</v>
      </c>
      <c r="G131" s="11">
        <v>120</v>
      </c>
      <c r="H131" s="11">
        <v>130</v>
      </c>
      <c r="I131" s="11">
        <v>140</v>
      </c>
      <c r="J131" s="11">
        <v>150</v>
      </c>
      <c r="R131" s="126"/>
      <c r="S131" s="126"/>
    </row>
    <row r="133" spans="2:19" ht="12" thickBot="1">
      <c r="C133" s="73" t="s">
        <v>458</v>
      </c>
      <c r="D133" s="1092" t="s">
        <v>457</v>
      </c>
    </row>
    <row r="134" spans="2:19">
      <c r="B134" s="1099" t="str">
        <f>DataNameProd2Seg1</f>
        <v>*Holy Cow Cup</v>
      </c>
      <c r="C134" s="1207">
        <v>55000000</v>
      </c>
      <c r="D134" s="1210">
        <v>16</v>
      </c>
      <c r="E134" s="398"/>
      <c r="F134" s="398"/>
      <c r="G134" s="398"/>
      <c r="H134" s="398"/>
      <c r="I134" s="398"/>
      <c r="J134" s="12"/>
      <c r="R134" s="126"/>
      <c r="S134" s="126"/>
    </row>
    <row r="135" spans="2:19">
      <c r="B135" s="1121" t="str">
        <f>DataNameProd2Seg2</f>
        <v>*Nitro Nachos</v>
      </c>
      <c r="C135" s="1208">
        <v>85000000</v>
      </c>
      <c r="D135" s="1211">
        <v>15</v>
      </c>
      <c r="E135" s="398"/>
      <c r="F135" s="398"/>
      <c r="G135" s="398"/>
      <c r="H135" s="398"/>
      <c r="I135" s="398"/>
      <c r="J135" s="12"/>
      <c r="R135" s="126"/>
      <c r="S135" s="126"/>
    </row>
    <row r="136" spans="2:19">
      <c r="B136" s="1121" t="str">
        <f>DataNameProd2Seg3</f>
        <v>*Home Fountain</v>
      </c>
      <c r="C136" s="1208">
        <v>50000000</v>
      </c>
      <c r="D136" s="1211">
        <v>17.5</v>
      </c>
      <c r="E136" s="398"/>
      <c r="F136" s="398"/>
      <c r="G136" s="398"/>
      <c r="H136" s="398"/>
      <c r="I136" s="398"/>
      <c r="J136" s="12"/>
      <c r="R136" s="126"/>
      <c r="S136" s="126"/>
    </row>
    <row r="137" spans="2:19" ht="12" thickBot="1">
      <c r="B137" s="1100" t="str">
        <f>DataNameProd2Seg4</f>
        <v>*CentrePlate</v>
      </c>
      <c r="C137" s="1209">
        <v>47000000</v>
      </c>
      <c r="D137" s="1212">
        <v>15</v>
      </c>
      <c r="E137" s="398"/>
      <c r="F137" s="398"/>
      <c r="G137" s="398"/>
      <c r="H137" s="398"/>
      <c r="I137" s="398"/>
      <c r="J137" s="12"/>
      <c r="R137" s="126"/>
      <c r="S137" s="126"/>
    </row>
    <row r="138" spans="2:19">
      <c r="R138" s="126"/>
      <c r="S138" s="126"/>
    </row>
    <row r="139" spans="2:19">
      <c r="B139" t="str">
        <f>DataNameProd2Seg1&amp;" Growth"</f>
        <v>*Holy Cow Cup Growth</v>
      </c>
      <c r="C139" s="12">
        <v>0</v>
      </c>
      <c r="D139" s="12">
        <v>0</v>
      </c>
      <c r="E139" s="12">
        <v>0</v>
      </c>
      <c r="F139" s="12">
        <v>1</v>
      </c>
      <c r="G139" s="12">
        <v>1.08</v>
      </c>
      <c r="H139" s="12">
        <v>1.1499999999999999</v>
      </c>
      <c r="I139" s="12">
        <v>1.2</v>
      </c>
      <c r="J139" s="12">
        <v>1.2</v>
      </c>
      <c r="R139" s="126"/>
      <c r="S139" s="126"/>
    </row>
    <row r="140" spans="2:19">
      <c r="B140" t="str">
        <f>DataNameProd2Seg2&amp;" Growth"</f>
        <v>*Nitro Nachos Growth</v>
      </c>
      <c r="C140" s="12">
        <v>0</v>
      </c>
      <c r="D140" s="12">
        <v>0</v>
      </c>
      <c r="E140" s="12">
        <v>0</v>
      </c>
      <c r="F140" s="12">
        <v>1</v>
      </c>
      <c r="G140" s="12">
        <v>1.08</v>
      </c>
      <c r="H140" s="12">
        <v>1.1499999999999999</v>
      </c>
      <c r="I140" s="12">
        <v>1.2</v>
      </c>
      <c r="J140" s="12">
        <v>1.2</v>
      </c>
      <c r="R140" s="126"/>
      <c r="S140" s="126"/>
    </row>
    <row r="141" spans="2:19">
      <c r="B141" t="str">
        <f>DataNameProd2Seg3&amp;" Growth"</f>
        <v>*Home Fountain Growth</v>
      </c>
      <c r="C141" s="12">
        <v>0</v>
      </c>
      <c r="D141" s="12">
        <v>0</v>
      </c>
      <c r="E141" s="12">
        <v>0</v>
      </c>
      <c r="F141" s="12">
        <v>1</v>
      </c>
      <c r="G141" s="12">
        <v>1.08</v>
      </c>
      <c r="H141" s="12">
        <v>1.1499999999999999</v>
      </c>
      <c r="I141" s="12">
        <v>1.2</v>
      </c>
      <c r="J141" s="12">
        <v>1.2</v>
      </c>
      <c r="R141" s="126"/>
      <c r="S141" s="126"/>
    </row>
    <row r="142" spans="2:19">
      <c r="B142" t="str">
        <f>DataNameProd2Seg4&amp;" Growth"</f>
        <v>*CentrePlate Growth</v>
      </c>
      <c r="C142" s="12">
        <v>0</v>
      </c>
      <c r="D142" s="12">
        <v>0</v>
      </c>
      <c r="E142" s="12">
        <v>0</v>
      </c>
      <c r="F142" s="12">
        <v>1</v>
      </c>
      <c r="G142" s="12">
        <v>1.08</v>
      </c>
      <c r="H142" s="12">
        <v>1.1499999999999999</v>
      </c>
      <c r="I142" s="12">
        <v>1.2</v>
      </c>
      <c r="J142" s="12">
        <v>1.2</v>
      </c>
      <c r="R142" s="126"/>
      <c r="S142" s="126"/>
    </row>
    <row r="143" spans="2:19">
      <c r="C143" s="398"/>
      <c r="D143" s="398"/>
      <c r="E143" s="398"/>
      <c r="F143" s="398"/>
      <c r="G143" s="398"/>
      <c r="H143" s="398"/>
      <c r="I143" s="398"/>
      <c r="J143" s="12"/>
      <c r="R143" s="126"/>
      <c r="S143" s="126"/>
    </row>
    <row r="144" spans="2:19">
      <c r="C144" s="108" t="str">
        <f>DataNameProd2Seg1</f>
        <v>*Holy Cow Cup</v>
      </c>
      <c r="D144" s="89" t="str">
        <f>DataNameProd2Seg2</f>
        <v>*Nitro Nachos</v>
      </c>
      <c r="E144" s="89" t="str">
        <f>DataNameProd2Seg3</f>
        <v>*Home Fountain</v>
      </c>
      <c r="F144" s="90" t="str">
        <f>DataNameProd2Seg4</f>
        <v>*CentrePlate</v>
      </c>
      <c r="G144" s="709">
        <v>0</v>
      </c>
      <c r="H144" t="s">
        <v>1372</v>
      </c>
      <c r="R144" s="126"/>
      <c r="S144" s="126"/>
    </row>
    <row r="145" spans="1:19">
      <c r="B145" t="s">
        <v>1363</v>
      </c>
      <c r="C145" s="1045">
        <v>0.75</v>
      </c>
      <c r="D145" s="92">
        <v>0.4</v>
      </c>
      <c r="E145" s="92">
        <v>0.8</v>
      </c>
      <c r="F145" s="1046">
        <v>0.5</v>
      </c>
      <c r="G145" s="1057">
        <v>0</v>
      </c>
      <c r="R145" s="126"/>
      <c r="S145" s="126"/>
    </row>
    <row r="146" spans="1:19">
      <c r="B146" t="s">
        <v>1364</v>
      </c>
      <c r="C146" s="1047">
        <v>0.25</v>
      </c>
      <c r="D146" s="1048">
        <v>0.6</v>
      </c>
      <c r="E146" s="1048">
        <v>0.2</v>
      </c>
      <c r="F146" s="1049">
        <v>0.5</v>
      </c>
      <c r="G146" s="1058">
        <v>0</v>
      </c>
      <c r="H146" s="398"/>
      <c r="I146" s="398"/>
      <c r="J146" s="12"/>
      <c r="R146" s="126"/>
      <c r="S146" s="126"/>
    </row>
    <row r="147" spans="1:19">
      <c r="C147" s="12"/>
      <c r="D147" s="12"/>
      <c r="E147" s="398"/>
      <c r="F147" s="398"/>
      <c r="G147" s="398"/>
      <c r="H147" s="398"/>
      <c r="I147" s="398"/>
      <c r="J147" s="12"/>
      <c r="R147" s="126"/>
      <c r="S147" s="126"/>
    </row>
    <row r="148" spans="1:19">
      <c r="A148" s="2"/>
      <c r="C148" s="2">
        <v>-2</v>
      </c>
      <c r="D148" s="2">
        <v>-1</v>
      </c>
      <c r="E148" s="2">
        <v>0</v>
      </c>
      <c r="F148" s="2">
        <v>1</v>
      </c>
      <c r="G148" s="2">
        <v>2</v>
      </c>
      <c r="H148" s="2">
        <v>3</v>
      </c>
      <c r="I148" s="2">
        <v>4</v>
      </c>
      <c r="J148" s="2">
        <v>5</v>
      </c>
      <c r="R148" s="126"/>
      <c r="S148" s="126"/>
    </row>
    <row r="149" spans="1:19">
      <c r="B149" s="26" t="str">
        <f>DataNameProd2</f>
        <v>Breakthrough</v>
      </c>
      <c r="C149" s="1144"/>
      <c r="D149" s="1144"/>
      <c r="E149" s="1144"/>
      <c r="F149" s="1144"/>
      <c r="G149" s="1144"/>
      <c r="H149" s="1144"/>
      <c r="I149" s="1144"/>
      <c r="J149" s="1144"/>
      <c r="K149" t="s">
        <v>1629</v>
      </c>
      <c r="R149" s="126"/>
      <c r="S149" s="126"/>
    </row>
    <row r="150" spans="1:19">
      <c r="B150" t="str">
        <f>DataNameProd2Seg1&amp;" Volume"</f>
        <v>*Holy Cow Cup Volume</v>
      </c>
      <c r="C150" s="272">
        <f t="shared" ref="C150:E151" si="13">$F150*C139</f>
        <v>0</v>
      </c>
      <c r="D150" s="272">
        <f t="shared" si="13"/>
        <v>0</v>
      </c>
      <c r="E150" s="272">
        <f t="shared" si="13"/>
        <v>0</v>
      </c>
      <c r="F150" s="272">
        <f>F139*C134</f>
        <v>55000000</v>
      </c>
      <c r="G150" s="272">
        <f t="shared" ref="G150:J151" si="14">$F150*G139</f>
        <v>59400000.000000007</v>
      </c>
      <c r="H150" s="272">
        <f t="shared" si="14"/>
        <v>63249999.999999993</v>
      </c>
      <c r="I150" s="272">
        <f t="shared" si="14"/>
        <v>66000000</v>
      </c>
      <c r="J150" s="272">
        <f t="shared" si="14"/>
        <v>66000000</v>
      </c>
      <c r="K150" t="s">
        <v>1630</v>
      </c>
      <c r="R150" s="126"/>
      <c r="S150" s="126"/>
    </row>
    <row r="151" spans="1:19">
      <c r="B151" t="str">
        <f>DataNameProd2Seg2&amp;" Volume"</f>
        <v>*Nitro Nachos Volume</v>
      </c>
      <c r="C151" s="272">
        <f t="shared" si="13"/>
        <v>0</v>
      </c>
      <c r="D151" s="272">
        <f t="shared" si="13"/>
        <v>0</v>
      </c>
      <c r="E151" s="272">
        <f t="shared" si="13"/>
        <v>0</v>
      </c>
      <c r="F151" s="272">
        <f>F140*C135</f>
        <v>85000000</v>
      </c>
      <c r="G151" s="272">
        <f t="shared" si="14"/>
        <v>91800000</v>
      </c>
      <c r="H151" s="272">
        <f t="shared" si="14"/>
        <v>97749999.999999985</v>
      </c>
      <c r="I151" s="272">
        <f t="shared" si="14"/>
        <v>102000000</v>
      </c>
      <c r="J151" s="272">
        <f t="shared" si="14"/>
        <v>102000000</v>
      </c>
      <c r="K151" t="s">
        <v>1631</v>
      </c>
      <c r="R151" s="126"/>
      <c r="S151" s="126"/>
    </row>
    <row r="152" spans="1:19">
      <c r="B152" t="str">
        <f>DataNameProd2Seg3&amp;" Volume"</f>
        <v>*Home Fountain Volume</v>
      </c>
      <c r="C152" s="272">
        <f t="shared" ref="C152:E153" si="15">$F152*C141</f>
        <v>0</v>
      </c>
      <c r="D152" s="272">
        <f t="shared" si="15"/>
        <v>0</v>
      </c>
      <c r="E152" s="272">
        <f t="shared" si="15"/>
        <v>0</v>
      </c>
      <c r="F152" s="272">
        <f>F141*C136</f>
        <v>50000000</v>
      </c>
      <c r="G152" s="272">
        <f t="shared" ref="G152:J153" si="16">$F152*G141</f>
        <v>54000000</v>
      </c>
      <c r="H152" s="272">
        <f t="shared" si="16"/>
        <v>57499999.999999993</v>
      </c>
      <c r="I152" s="272">
        <f t="shared" si="16"/>
        <v>60000000</v>
      </c>
      <c r="J152" s="272">
        <f t="shared" si="16"/>
        <v>60000000</v>
      </c>
      <c r="K152" t="s">
        <v>1632</v>
      </c>
      <c r="R152" s="126"/>
      <c r="S152" s="126"/>
    </row>
    <row r="153" spans="1:19">
      <c r="B153" t="str">
        <f>DataNameProd2Seg4&amp;" Volume"</f>
        <v>*CentrePlate Volume</v>
      </c>
      <c r="C153" s="272">
        <f t="shared" si="15"/>
        <v>0</v>
      </c>
      <c r="D153" s="272">
        <f t="shared" si="15"/>
        <v>0</v>
      </c>
      <c r="E153" s="272">
        <f t="shared" si="15"/>
        <v>0</v>
      </c>
      <c r="F153" s="272">
        <f>F142*C137</f>
        <v>47000000</v>
      </c>
      <c r="G153" s="272">
        <f t="shared" si="16"/>
        <v>50760000</v>
      </c>
      <c r="H153" s="272">
        <f t="shared" si="16"/>
        <v>54049999.999999993</v>
      </c>
      <c r="I153" s="272">
        <f t="shared" si="16"/>
        <v>56400000</v>
      </c>
      <c r="J153" s="272">
        <f t="shared" si="16"/>
        <v>56400000</v>
      </c>
      <c r="K153" t="s">
        <v>1633</v>
      </c>
      <c r="R153" s="126"/>
      <c r="S153" s="126"/>
    </row>
    <row r="154" spans="1:19">
      <c r="B154" t="str">
        <f>DataNameProd2 &amp; " " &amp; DataNameProd2Seg5 &amp; " Units"</f>
        <v>Breakthrough Segment 5 Units</v>
      </c>
      <c r="C154" s="272"/>
      <c r="D154" s="272"/>
      <c r="E154" s="272"/>
      <c r="F154" s="272"/>
      <c r="G154" s="272"/>
      <c r="H154" s="272"/>
      <c r="I154" s="272"/>
      <c r="J154" s="272"/>
      <c r="K154" t="s">
        <v>1634</v>
      </c>
      <c r="R154" s="126"/>
      <c r="S154" s="126"/>
    </row>
    <row r="155" spans="1:19">
      <c r="C155" s="14"/>
      <c r="D155" s="14"/>
      <c r="E155" s="14"/>
      <c r="F155" s="14"/>
      <c r="G155" s="14"/>
      <c r="H155" s="14"/>
      <c r="I155" s="14"/>
      <c r="J155" s="14"/>
      <c r="R155" s="126"/>
      <c r="S155" s="126"/>
    </row>
    <row r="156" spans="1:19">
      <c r="B156" t="s">
        <v>260</v>
      </c>
      <c r="C156" s="11">
        <f>C149/xxNumOfTeams</f>
        <v>0</v>
      </c>
      <c r="D156" s="11">
        <f t="shared" ref="D156:J156" si="17">D149/xxNumOfTeams</f>
        <v>0</v>
      </c>
      <c r="E156" s="11">
        <f t="shared" si="17"/>
        <v>0</v>
      </c>
      <c r="F156" s="11">
        <f t="shared" si="17"/>
        <v>0</v>
      </c>
      <c r="G156" s="11">
        <f t="shared" si="17"/>
        <v>0</v>
      </c>
      <c r="H156" s="11">
        <f t="shared" si="17"/>
        <v>0</v>
      </c>
      <c r="I156" s="11">
        <f t="shared" si="17"/>
        <v>0</v>
      </c>
      <c r="J156" s="11">
        <f t="shared" si="17"/>
        <v>0</v>
      </c>
      <c r="R156" s="126"/>
      <c r="S156" s="126"/>
    </row>
    <row r="157" spans="1:19" ht="12" thickBot="1">
      <c r="C157" s="10"/>
      <c r="D157" s="10"/>
      <c r="E157" s="10"/>
      <c r="F157" s="10"/>
      <c r="G157" s="10"/>
      <c r="H157" s="10"/>
      <c r="I157" s="10"/>
      <c r="J157" s="10"/>
      <c r="R157" s="126"/>
      <c r="S157" s="126"/>
    </row>
    <row r="158" spans="1:19">
      <c r="B158" s="268" t="str">
        <f>"Market Model "&amp;DataNameProd2&amp;" Drivers"</f>
        <v>Market Model Breakthrough Drivers</v>
      </c>
      <c r="C158" s="194"/>
      <c r="D158" s="194"/>
      <c r="E158" s="194"/>
      <c r="F158" s="194"/>
      <c r="G158" s="194"/>
      <c r="H158" s="194"/>
      <c r="I158" s="194"/>
      <c r="J158" s="194"/>
      <c r="K158" s="195"/>
      <c r="R158" s="126"/>
      <c r="S158" s="126"/>
    </row>
    <row r="159" spans="1:19">
      <c r="B159" s="132"/>
      <c r="C159" s="62" t="str">
        <f>DataNameProd2</f>
        <v>Breakthrough</v>
      </c>
      <c r="D159" s="62"/>
      <c r="E159" s="62" t="s">
        <v>129</v>
      </c>
      <c r="F159" s="62" t="s">
        <v>130</v>
      </c>
      <c r="G159" s="62" t="s">
        <v>131</v>
      </c>
      <c r="H159" s="62" t="s">
        <v>1133</v>
      </c>
      <c r="I159" s="62" t="s">
        <v>1134</v>
      </c>
      <c r="J159" s="21"/>
      <c r="K159" s="133"/>
      <c r="R159" s="126"/>
      <c r="S159" s="126"/>
    </row>
    <row r="160" spans="1:19">
      <c r="B160" s="132"/>
      <c r="C160" s="274" t="s">
        <v>1402</v>
      </c>
      <c r="D160" s="274"/>
      <c r="E160" s="274">
        <v>15</v>
      </c>
      <c r="F160" s="274">
        <v>15</v>
      </c>
      <c r="G160" s="274">
        <v>15</v>
      </c>
      <c r="H160" s="274">
        <v>15</v>
      </c>
      <c r="I160" s="274">
        <v>0</v>
      </c>
      <c r="J160" s="274" t="s">
        <v>1190</v>
      </c>
      <c r="K160" s="133"/>
      <c r="R160" s="126"/>
      <c r="S160" s="126"/>
    </row>
    <row r="161" spans="1:19">
      <c r="B161" s="132"/>
      <c r="C161" s="274" t="s">
        <v>79</v>
      </c>
      <c r="D161" s="274"/>
      <c r="E161" s="274">
        <v>7</v>
      </c>
      <c r="F161" s="274">
        <v>9</v>
      </c>
      <c r="G161" s="274">
        <v>7</v>
      </c>
      <c r="H161" s="274">
        <v>9</v>
      </c>
      <c r="I161" s="274">
        <v>0</v>
      </c>
      <c r="J161" s="274" t="s">
        <v>1191</v>
      </c>
      <c r="K161" s="133"/>
      <c r="R161" s="126"/>
      <c r="S161" s="126"/>
    </row>
    <row r="162" spans="1:19">
      <c r="B162" s="132"/>
      <c r="C162" s="274" t="s">
        <v>3442</v>
      </c>
      <c r="D162" s="274"/>
      <c r="E162" s="274">
        <v>0</v>
      </c>
      <c r="F162" s="274">
        <v>0</v>
      </c>
      <c r="G162" s="274">
        <v>0</v>
      </c>
      <c r="H162" s="274">
        <v>0</v>
      </c>
      <c r="I162" s="274">
        <v>0</v>
      </c>
      <c r="J162" s="274" t="s">
        <v>1192</v>
      </c>
      <c r="K162" s="133"/>
      <c r="R162" s="126"/>
      <c r="S162" s="126"/>
    </row>
    <row r="163" spans="1:19">
      <c r="B163" s="132"/>
      <c r="C163" s="274" t="s">
        <v>1404</v>
      </c>
      <c r="D163" s="274"/>
      <c r="E163" s="274">
        <v>12</v>
      </c>
      <c r="F163" s="274">
        <v>10</v>
      </c>
      <c r="G163" s="274">
        <v>12</v>
      </c>
      <c r="H163" s="274">
        <v>12</v>
      </c>
      <c r="I163" s="274">
        <v>0</v>
      </c>
      <c r="J163" s="274" t="s">
        <v>1193</v>
      </c>
      <c r="K163" s="133"/>
      <c r="R163" s="126"/>
      <c r="S163" s="126"/>
    </row>
    <row r="164" spans="1:19">
      <c r="B164" s="132"/>
      <c r="C164" s="274" t="s">
        <v>175</v>
      </c>
      <c r="D164" s="274"/>
      <c r="E164" s="274">
        <v>10</v>
      </c>
      <c r="F164" s="274">
        <v>12</v>
      </c>
      <c r="G164" s="274">
        <v>10</v>
      </c>
      <c r="H164" s="274">
        <v>10</v>
      </c>
      <c r="I164" s="274">
        <v>0</v>
      </c>
      <c r="J164" s="274" t="s">
        <v>2855</v>
      </c>
      <c r="K164" s="133"/>
      <c r="R164" s="126"/>
      <c r="S164" s="126"/>
    </row>
    <row r="165" spans="1:19">
      <c r="B165" s="132"/>
      <c r="C165" s="274" t="s">
        <v>2579</v>
      </c>
      <c r="D165" s="274"/>
      <c r="E165" s="274">
        <v>11</v>
      </c>
      <c r="F165" s="274">
        <v>11</v>
      </c>
      <c r="G165" s="274">
        <v>11</v>
      </c>
      <c r="H165" s="274">
        <v>11</v>
      </c>
      <c r="I165" s="274">
        <v>0</v>
      </c>
      <c r="J165" s="274" t="s">
        <v>2495</v>
      </c>
      <c r="K165" s="133"/>
      <c r="R165" s="126"/>
      <c r="S165" s="126"/>
    </row>
    <row r="166" spans="1:19">
      <c r="B166" s="132"/>
      <c r="C166" s="274" t="s">
        <v>1139</v>
      </c>
      <c r="D166" s="274"/>
      <c r="E166" s="274">
        <v>0</v>
      </c>
      <c r="F166" s="274">
        <v>0</v>
      </c>
      <c r="G166" s="274">
        <v>0</v>
      </c>
      <c r="H166" s="274">
        <v>0</v>
      </c>
      <c r="I166" s="274">
        <v>0</v>
      </c>
      <c r="J166" s="274" t="s">
        <v>2496</v>
      </c>
      <c r="K166" s="133"/>
      <c r="R166" s="126"/>
      <c r="S166" s="126"/>
    </row>
    <row r="167" spans="1:19">
      <c r="B167" s="132"/>
      <c r="C167" s="273" t="s">
        <v>2384</v>
      </c>
      <c r="D167" s="274"/>
      <c r="E167" s="274">
        <v>0</v>
      </c>
      <c r="F167" s="274">
        <v>0</v>
      </c>
      <c r="G167" s="274">
        <v>0</v>
      </c>
      <c r="H167" s="274">
        <v>0</v>
      </c>
      <c r="I167" s="274">
        <v>0</v>
      </c>
      <c r="J167" s="274" t="s">
        <v>95</v>
      </c>
      <c r="K167" s="133"/>
      <c r="R167" s="126"/>
      <c r="S167" s="126"/>
    </row>
    <row r="168" spans="1:19">
      <c r="B168" s="132"/>
      <c r="C168" s="273" t="s">
        <v>2386</v>
      </c>
      <c r="D168" s="274"/>
      <c r="E168" s="274">
        <v>0</v>
      </c>
      <c r="F168" s="274">
        <v>0</v>
      </c>
      <c r="G168" s="274">
        <v>0</v>
      </c>
      <c r="H168" s="274">
        <v>0</v>
      </c>
      <c r="I168" s="274">
        <v>0</v>
      </c>
      <c r="J168" s="274" t="s">
        <v>96</v>
      </c>
      <c r="K168" s="133"/>
      <c r="R168" s="126"/>
      <c r="S168" s="126"/>
    </row>
    <row r="169" spans="1:19">
      <c r="B169" s="132"/>
      <c r="C169" s="273" t="s">
        <v>2956</v>
      </c>
      <c r="D169" s="274"/>
      <c r="E169" s="274">
        <v>0</v>
      </c>
      <c r="F169" s="274">
        <v>0</v>
      </c>
      <c r="G169" s="274">
        <v>0</v>
      </c>
      <c r="H169" s="274">
        <v>0</v>
      </c>
      <c r="I169" s="274">
        <v>0</v>
      </c>
      <c r="J169" s="274" t="s">
        <v>20</v>
      </c>
      <c r="K169" s="133"/>
      <c r="R169" s="126"/>
      <c r="S169" s="126"/>
    </row>
    <row r="170" spans="1:19" ht="12" thickBot="1">
      <c r="B170" s="134"/>
      <c r="C170" s="135"/>
      <c r="D170" s="135"/>
      <c r="E170" s="135"/>
      <c r="F170" s="135"/>
      <c r="G170" s="135"/>
      <c r="H170" s="135"/>
      <c r="I170" s="135"/>
      <c r="J170" s="135"/>
      <c r="K170" s="136"/>
      <c r="R170" s="126"/>
      <c r="S170" s="126"/>
    </row>
    <row r="171" spans="1:19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R171" s="126"/>
      <c r="S171" s="126"/>
    </row>
    <row r="172" spans="1:19">
      <c r="A172" s="2" t="str">
        <f>DataNameProd3 &amp; " Data"</f>
        <v>NCB Data</v>
      </c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R172" s="126"/>
      <c r="S172" s="126"/>
    </row>
    <row r="173" spans="1:19">
      <c r="A173" s="2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R173" s="126"/>
      <c r="S173" s="126"/>
    </row>
    <row r="174" spans="1:19" ht="12" thickBot="1">
      <c r="B174" s="2" t="s">
        <v>13</v>
      </c>
      <c r="R174" s="126"/>
      <c r="S174" s="126"/>
    </row>
    <row r="175" spans="1:19">
      <c r="B175" s="1112" t="s">
        <v>2892</v>
      </c>
      <c r="C175" s="1162">
        <v>356800000</v>
      </c>
      <c r="D175" s="1110">
        <f>$C175/SUM($C$175:$C$178)</f>
        <v>0.59288800265869057</v>
      </c>
      <c r="E175" s="15"/>
      <c r="F175" s="398"/>
      <c r="G175" s="398"/>
      <c r="H175" s="398"/>
      <c r="I175" s="398"/>
      <c r="J175" s="12"/>
      <c r="L175" t="s">
        <v>909</v>
      </c>
      <c r="M175" s="398">
        <f>SUM(C175:C176)/5</f>
        <v>120360000</v>
      </c>
      <c r="R175" s="126"/>
      <c r="S175" s="126"/>
    </row>
    <row r="176" spans="1:19">
      <c r="B176" s="1113" t="s">
        <v>2893</v>
      </c>
      <c r="C176" s="1163">
        <v>245000000</v>
      </c>
      <c r="D176" s="1115">
        <f>$C176/SUM($C$175:$C$178)</f>
        <v>0.40711199734130943</v>
      </c>
      <c r="E176" s="398"/>
      <c r="F176" s="398"/>
      <c r="G176" s="398"/>
      <c r="H176" s="398"/>
      <c r="I176" s="398"/>
      <c r="J176" s="12"/>
      <c r="L176" t="s">
        <v>910</v>
      </c>
      <c r="M176" s="459">
        <f>M175/(cbal!$E$152*(xxProd3BaseUnits/SUM($C$60:$C$63)))</f>
        <v>531596.13319011813</v>
      </c>
      <c r="R176" s="126"/>
      <c r="S176" s="126"/>
    </row>
    <row r="177" spans="1:19">
      <c r="B177" s="1113" t="str">
        <f>"yr 0 "&amp;DataNameProd3Seg3</f>
        <v>yr 0 Segment 3</v>
      </c>
      <c r="C177" s="1163">
        <v>0</v>
      </c>
      <c r="D177" s="1115">
        <f>$C177/SUM($C$175:$C$178)</f>
        <v>0</v>
      </c>
      <c r="E177" s="398"/>
      <c r="F177" s="1481"/>
      <c r="G177" s="398"/>
      <c r="H177" s="398"/>
      <c r="I177" s="398"/>
      <c r="J177" s="12"/>
      <c r="L177" t="s">
        <v>911</v>
      </c>
      <c r="M177">
        <f>M176/300</f>
        <v>1771.9871106337271</v>
      </c>
      <c r="R177" s="126"/>
      <c r="S177" s="126"/>
    </row>
    <row r="178" spans="1:19" ht="12" thickBot="1">
      <c r="B178" s="1114" t="str">
        <f>"yr 0 "&amp;DataNameProd3Seg4</f>
        <v>yr 0 Segment 4</v>
      </c>
      <c r="C178" s="1164">
        <v>0</v>
      </c>
      <c r="D178" s="1111">
        <f>$C178/SUM($C$175:$C$178)</f>
        <v>0</v>
      </c>
      <c r="E178" s="398"/>
      <c r="F178" s="398"/>
      <c r="G178" s="398"/>
      <c r="H178" s="398"/>
      <c r="I178" s="398"/>
      <c r="J178" s="12"/>
      <c r="L178" t="s">
        <v>913</v>
      </c>
      <c r="M178">
        <v>20</v>
      </c>
      <c r="R178" s="126"/>
      <c r="S178" s="126"/>
    </row>
    <row r="179" spans="1:19">
      <c r="A179" s="2"/>
      <c r="C179" s="2"/>
      <c r="D179" s="2"/>
      <c r="E179" s="2"/>
      <c r="F179" s="2"/>
      <c r="G179" s="2"/>
      <c r="H179" s="2"/>
      <c r="I179" s="2"/>
      <c r="J179" s="2"/>
      <c r="L179" t="s">
        <v>912</v>
      </c>
      <c r="M179" s="397">
        <f>INDEX(paramProd3CycTimeDays,xxIndexTeam)*24</f>
        <v>5.1956355840000006</v>
      </c>
      <c r="R179" s="126"/>
      <c r="S179" s="126"/>
    </row>
    <row r="180" spans="1:19">
      <c r="B180" s="2" t="s">
        <v>190</v>
      </c>
      <c r="C180" s="2">
        <v>-2</v>
      </c>
      <c r="D180" s="2">
        <v>-1</v>
      </c>
      <c r="E180" s="2">
        <v>0</v>
      </c>
      <c r="F180" s="2">
        <v>1</v>
      </c>
      <c r="G180" s="2">
        <v>2</v>
      </c>
      <c r="H180" s="2">
        <v>3</v>
      </c>
      <c r="I180" s="2">
        <v>4</v>
      </c>
      <c r="J180" s="2">
        <v>5</v>
      </c>
      <c r="L180" t="s">
        <v>915</v>
      </c>
      <c r="M180">
        <f>M178/M179</f>
        <v>3.8493846761674648</v>
      </c>
      <c r="R180" s="126"/>
      <c r="S180" s="126"/>
    </row>
    <row r="181" spans="1:19">
      <c r="B181" s="3" t="str">
        <f>DataNameProd3 &amp; " Growth"</f>
        <v>NCB Growth</v>
      </c>
      <c r="C181" s="15">
        <f>SUMPRODUCT(C183:C186,$E188:$E191)/SUM($E188:$E191)</f>
        <v>0.85893320039880361</v>
      </c>
      <c r="D181" s="15">
        <f t="shared" ref="D181:I181" si="18">SUMPRODUCT(D183:D186,$E$188:$E$191)/SUM($E$188:$E$191)</f>
        <v>0.92150216018610831</v>
      </c>
      <c r="E181" s="15">
        <f t="shared" si="18"/>
        <v>1</v>
      </c>
      <c r="F181" s="15">
        <f t="shared" si="18"/>
        <v>1.0703555998670655</v>
      </c>
      <c r="G181" s="15">
        <f t="shared" si="18"/>
        <v>1.144782319707544</v>
      </c>
      <c r="H181" s="15">
        <f t="shared" si="18"/>
        <v>1.2192090395480226</v>
      </c>
      <c r="I181" s="15">
        <f t="shared" si="18"/>
        <v>1.3017779993353273</v>
      </c>
      <c r="J181" s="11"/>
      <c r="L181" t="s">
        <v>916</v>
      </c>
      <c r="M181">
        <f>M177/M180</f>
        <v>460.32996431989693</v>
      </c>
      <c r="R181" s="126"/>
      <c r="S181" s="126"/>
    </row>
    <row r="182" spans="1:19">
      <c r="C182" s="398"/>
      <c r="D182" s="398"/>
      <c r="E182" s="398"/>
      <c r="F182" s="398"/>
      <c r="G182" s="398"/>
      <c r="H182" s="398"/>
      <c r="I182" s="398"/>
      <c r="J182" s="12"/>
      <c r="L182" t="s">
        <v>914</v>
      </c>
      <c r="M182">
        <f>M179/M181</f>
        <v>1.1286763814465485E-2</v>
      </c>
      <c r="R182" s="126"/>
      <c r="S182" s="126"/>
    </row>
    <row r="183" spans="1:19">
      <c r="B183" t="s">
        <v>581</v>
      </c>
      <c r="C183" s="12">
        <v>0.92</v>
      </c>
      <c r="D183" s="12">
        <v>0.95</v>
      </c>
      <c r="E183" s="12">
        <v>1</v>
      </c>
      <c r="F183" s="12">
        <v>1.05</v>
      </c>
      <c r="G183" s="12">
        <v>1.1000000000000001</v>
      </c>
      <c r="H183" s="12">
        <v>1.1499999999999999</v>
      </c>
      <c r="I183" s="12">
        <v>1.2</v>
      </c>
      <c r="J183" s="12"/>
      <c r="R183" s="126"/>
      <c r="S183" s="126"/>
    </row>
    <row r="184" spans="1:19">
      <c r="B184" t="s">
        <v>580</v>
      </c>
      <c r="C184" s="12">
        <v>0.77</v>
      </c>
      <c r="D184" s="12">
        <v>0.88</v>
      </c>
      <c r="E184" s="12">
        <v>1</v>
      </c>
      <c r="F184" s="12">
        <v>1.1000000000000001</v>
      </c>
      <c r="G184" s="12">
        <v>1.21</v>
      </c>
      <c r="H184" s="12">
        <v>1.32</v>
      </c>
      <c r="I184" s="12">
        <v>1.45</v>
      </c>
      <c r="J184" s="12"/>
      <c r="R184" s="126"/>
      <c r="S184" s="126"/>
    </row>
    <row r="185" spans="1:19">
      <c r="B185" t="str">
        <f>DataNameProd3Seg3&amp;" Growth"</f>
        <v>Segment 3 Growth</v>
      </c>
      <c r="C185" s="12">
        <v>1</v>
      </c>
      <c r="D185" s="12">
        <v>1</v>
      </c>
      <c r="E185" s="12">
        <v>1</v>
      </c>
      <c r="F185" s="12">
        <v>1</v>
      </c>
      <c r="G185" s="12">
        <v>1</v>
      </c>
      <c r="H185" s="12">
        <v>1</v>
      </c>
      <c r="I185" s="12">
        <v>1</v>
      </c>
      <c r="J185" s="12"/>
      <c r="R185" s="126"/>
      <c r="S185" s="126"/>
    </row>
    <row r="186" spans="1:19">
      <c r="B186" t="str">
        <f>DataNameProd3Seg4&amp;" Growth"</f>
        <v>Segment 4 Growth</v>
      </c>
      <c r="C186" s="12">
        <v>1</v>
      </c>
      <c r="D186" s="12">
        <v>1</v>
      </c>
      <c r="E186" s="12">
        <v>1</v>
      </c>
      <c r="F186" s="12">
        <v>1</v>
      </c>
      <c r="G186" s="12">
        <v>1</v>
      </c>
      <c r="H186" s="12">
        <v>1</v>
      </c>
      <c r="I186" s="12">
        <v>1</v>
      </c>
      <c r="J186" s="12"/>
      <c r="R186" s="126"/>
      <c r="S186" s="126"/>
    </row>
    <row r="187" spans="1:19">
      <c r="C187" s="398"/>
      <c r="D187" s="398"/>
      <c r="E187" s="398"/>
      <c r="F187" s="398"/>
      <c r="G187" s="398"/>
      <c r="H187" s="398"/>
      <c r="I187" s="398"/>
      <c r="J187" s="12"/>
      <c r="R187" s="126"/>
      <c r="S187" s="126"/>
    </row>
    <row r="188" spans="1:19">
      <c r="B188" t="str">
        <f>DataNameProd3Seg1&amp;" Volume"</f>
        <v>Vetera Volume</v>
      </c>
      <c r="C188" s="398">
        <f t="shared" ref="C188:D191" si="19">$E188*C183</f>
        <v>1641280000</v>
      </c>
      <c r="D188" s="398">
        <f t="shared" si="19"/>
        <v>1694800000</v>
      </c>
      <c r="E188" s="398">
        <f>E183*D175*xxProd3BaseUnits</f>
        <v>1784000000</v>
      </c>
      <c r="F188" s="398">
        <f t="shared" ref="F188:I191" si="20">$E188*F183</f>
        <v>1873200000</v>
      </c>
      <c r="G188" s="398">
        <f t="shared" si="20"/>
        <v>1962400000.0000002</v>
      </c>
      <c r="H188" s="398">
        <f t="shared" si="20"/>
        <v>2051599999.9999998</v>
      </c>
      <c r="I188" s="398">
        <f t="shared" si="20"/>
        <v>2140800000</v>
      </c>
      <c r="J188" s="12"/>
      <c r="R188" s="126"/>
      <c r="S188" s="126"/>
    </row>
    <row r="189" spans="1:19">
      <c r="B189" t="str">
        <f>DataNameProd3Seg2&amp;" Volume"</f>
        <v>Escendia Volume</v>
      </c>
      <c r="C189" s="398">
        <f t="shared" si="19"/>
        <v>943250000</v>
      </c>
      <c r="D189" s="398">
        <f t="shared" si="19"/>
        <v>1078000000</v>
      </c>
      <c r="E189" s="398">
        <f>E184*D176*xxProd3BaseUnits</f>
        <v>1225000000</v>
      </c>
      <c r="F189" s="398">
        <f t="shared" si="20"/>
        <v>1347500000</v>
      </c>
      <c r="G189" s="398">
        <f t="shared" si="20"/>
        <v>1482250000</v>
      </c>
      <c r="H189" s="398">
        <f t="shared" si="20"/>
        <v>1617000000</v>
      </c>
      <c r="I189" s="398">
        <f t="shared" si="20"/>
        <v>1776250000</v>
      </c>
      <c r="J189" s="12"/>
      <c r="R189" s="126"/>
      <c r="S189" s="126"/>
    </row>
    <row r="190" spans="1:19">
      <c r="B190" t="str">
        <f>DataNameProd3Seg3&amp;" Volume"</f>
        <v>Segment 3 Volume</v>
      </c>
      <c r="C190" s="398">
        <f t="shared" si="19"/>
        <v>0</v>
      </c>
      <c r="D190" s="398">
        <f t="shared" si="19"/>
        <v>0</v>
      </c>
      <c r="E190" s="398">
        <f>E185*D177*xxProd3BaseUnits</f>
        <v>0</v>
      </c>
      <c r="F190" s="398">
        <f t="shared" si="20"/>
        <v>0</v>
      </c>
      <c r="G190" s="398">
        <f t="shared" si="20"/>
        <v>0</v>
      </c>
      <c r="H190" s="398">
        <f t="shared" si="20"/>
        <v>0</v>
      </c>
      <c r="I190" s="398">
        <f t="shared" si="20"/>
        <v>0</v>
      </c>
      <c r="J190" s="12"/>
      <c r="R190" s="126"/>
      <c r="S190" s="126"/>
    </row>
    <row r="191" spans="1:19">
      <c r="B191" t="str">
        <f>DataNameProd3Seg4&amp;" Volume"</f>
        <v>Segment 4 Volume</v>
      </c>
      <c r="C191" s="398">
        <f t="shared" si="19"/>
        <v>0</v>
      </c>
      <c r="D191" s="398">
        <f t="shared" si="19"/>
        <v>0</v>
      </c>
      <c r="E191" s="398">
        <f>E186*D178*xxProd3BaseUnits</f>
        <v>0</v>
      </c>
      <c r="F191" s="398">
        <f t="shared" si="20"/>
        <v>0</v>
      </c>
      <c r="G191" s="398">
        <f t="shared" si="20"/>
        <v>0</v>
      </c>
      <c r="H191" s="398">
        <f t="shared" si="20"/>
        <v>0</v>
      </c>
      <c r="I191" s="398">
        <f t="shared" si="20"/>
        <v>0</v>
      </c>
      <c r="J191" s="12"/>
      <c r="R191" s="126"/>
      <c r="S191" s="126"/>
    </row>
    <row r="192" spans="1:19">
      <c r="C192" s="398"/>
      <c r="D192" s="398"/>
      <c r="E192" s="398"/>
      <c r="F192" s="398"/>
      <c r="G192" s="398"/>
      <c r="H192" s="398"/>
      <c r="I192" s="398"/>
      <c r="J192" s="12"/>
      <c r="R192" s="126"/>
      <c r="S192" s="126"/>
    </row>
    <row r="193" spans="1:19">
      <c r="A193" s="2"/>
      <c r="C193" s="2">
        <v>-2</v>
      </c>
      <c r="D193" s="2">
        <v>-1</v>
      </c>
      <c r="E193" s="2">
        <v>0</v>
      </c>
      <c r="F193" s="2">
        <v>1</v>
      </c>
      <c r="G193" s="2">
        <v>2</v>
      </c>
      <c r="H193" s="2">
        <v>3</v>
      </c>
      <c r="I193" s="2">
        <v>4</v>
      </c>
      <c r="J193" s="2">
        <v>5</v>
      </c>
      <c r="R193" s="126"/>
      <c r="S193" s="126"/>
    </row>
    <row r="194" spans="1:19">
      <c r="B194" s="26" t="str">
        <f>DataNameProd3</f>
        <v>NCB</v>
      </c>
      <c r="C194" s="1143">
        <f>SUM(C188:C191)</f>
        <v>2584530000</v>
      </c>
      <c r="D194" s="1143">
        <f t="shared" ref="D194:J194" si="21">SUM(D188:D191)</f>
        <v>2772800000</v>
      </c>
      <c r="E194" s="1143">
        <f t="shared" si="21"/>
        <v>3009000000</v>
      </c>
      <c r="F194" s="1143">
        <f t="shared" si="21"/>
        <v>3220700000</v>
      </c>
      <c r="G194" s="1143">
        <f t="shared" si="21"/>
        <v>3444650000</v>
      </c>
      <c r="H194" s="1143">
        <f t="shared" si="21"/>
        <v>3668600000</v>
      </c>
      <c r="I194" s="1143">
        <f t="shared" si="21"/>
        <v>3917050000</v>
      </c>
      <c r="J194" s="1143">
        <f t="shared" si="21"/>
        <v>0</v>
      </c>
      <c r="K194" t="s">
        <v>24</v>
      </c>
      <c r="R194" s="126"/>
      <c r="S194" s="126"/>
    </row>
    <row r="195" spans="1:19">
      <c r="B195" t="str">
        <f>DataNameProd3 &amp; " " &amp; DataNameProd3Seg1 &amp; " Units"</f>
        <v>NCB Vetera Units</v>
      </c>
      <c r="C195" s="272">
        <f>C188</f>
        <v>1641280000</v>
      </c>
      <c r="D195" s="272">
        <f>D188</f>
        <v>1694800000</v>
      </c>
      <c r="E195" s="272">
        <f t="shared" ref="E195:J195" si="22">E188</f>
        <v>1784000000</v>
      </c>
      <c r="F195" s="272">
        <f t="shared" si="22"/>
        <v>1873200000</v>
      </c>
      <c r="G195" s="272">
        <f t="shared" si="22"/>
        <v>1962400000.0000002</v>
      </c>
      <c r="H195" s="272">
        <f t="shared" si="22"/>
        <v>2051599999.9999998</v>
      </c>
      <c r="I195" s="272">
        <f t="shared" si="22"/>
        <v>2140800000</v>
      </c>
      <c r="J195" s="272">
        <f t="shared" si="22"/>
        <v>0</v>
      </c>
      <c r="K195" t="s">
        <v>2245</v>
      </c>
      <c r="R195" s="126"/>
      <c r="S195" s="126"/>
    </row>
    <row r="196" spans="1:19">
      <c r="B196" t="str">
        <f>DataNameProd3 &amp; " " &amp; DataNameProd3Seg2 &amp; " Units"</f>
        <v>NCB Escendia Units</v>
      </c>
      <c r="C196" s="272">
        <f>C189</f>
        <v>943250000</v>
      </c>
      <c r="D196" s="272">
        <f>D189</f>
        <v>1078000000</v>
      </c>
      <c r="E196" s="272">
        <f t="shared" ref="E196:J196" si="23">E189</f>
        <v>1225000000</v>
      </c>
      <c r="F196" s="272">
        <f t="shared" si="23"/>
        <v>1347500000</v>
      </c>
      <c r="G196" s="272">
        <f t="shared" si="23"/>
        <v>1482250000</v>
      </c>
      <c r="H196" s="272">
        <f t="shared" si="23"/>
        <v>1617000000</v>
      </c>
      <c r="I196" s="272">
        <f t="shared" si="23"/>
        <v>1776250000</v>
      </c>
      <c r="J196" s="272">
        <f t="shared" si="23"/>
        <v>0</v>
      </c>
      <c r="K196" t="s">
        <v>2246</v>
      </c>
      <c r="R196" s="126"/>
      <c r="S196" s="126"/>
    </row>
    <row r="197" spans="1:19">
      <c r="B197" t="str">
        <f>DataNameProd3 &amp; " " &amp; DataNameProd3Seg3 &amp; " Units"</f>
        <v>NCB Segment 3 Units</v>
      </c>
      <c r="C197" s="272">
        <f t="shared" ref="C197:J197" si="24">C190</f>
        <v>0</v>
      </c>
      <c r="D197" s="272">
        <f t="shared" si="24"/>
        <v>0</v>
      </c>
      <c r="E197" s="272">
        <f t="shared" si="24"/>
        <v>0</v>
      </c>
      <c r="F197" s="272">
        <f t="shared" si="24"/>
        <v>0</v>
      </c>
      <c r="G197" s="272">
        <f t="shared" si="24"/>
        <v>0</v>
      </c>
      <c r="H197" s="272">
        <f t="shared" si="24"/>
        <v>0</v>
      </c>
      <c r="I197" s="272">
        <f t="shared" si="24"/>
        <v>0</v>
      </c>
      <c r="J197" s="272">
        <f t="shared" si="24"/>
        <v>0</v>
      </c>
      <c r="K197" t="s">
        <v>2247</v>
      </c>
      <c r="R197" s="126"/>
      <c r="S197" s="126"/>
    </row>
    <row r="198" spans="1:19">
      <c r="B198" t="str">
        <f>DataNameProd3 &amp; " " &amp; DataNameProd3Seg4 &amp; " Units"</f>
        <v>NCB Segment 4 Units</v>
      </c>
      <c r="C198" s="272">
        <f t="shared" ref="C198:J198" si="25">C191</f>
        <v>0</v>
      </c>
      <c r="D198" s="272">
        <f t="shared" si="25"/>
        <v>0</v>
      </c>
      <c r="E198" s="272">
        <f t="shared" si="25"/>
        <v>0</v>
      </c>
      <c r="F198" s="272">
        <f t="shared" si="25"/>
        <v>0</v>
      </c>
      <c r="G198" s="272">
        <f t="shared" si="25"/>
        <v>0</v>
      </c>
      <c r="H198" s="272">
        <f t="shared" si="25"/>
        <v>0</v>
      </c>
      <c r="I198" s="272">
        <f t="shared" si="25"/>
        <v>0</v>
      </c>
      <c r="J198" s="272">
        <f t="shared" si="25"/>
        <v>0</v>
      </c>
      <c r="K198" t="s">
        <v>2248</v>
      </c>
      <c r="R198" s="126"/>
      <c r="S198" s="126"/>
    </row>
    <row r="199" spans="1:19">
      <c r="B199" t="str">
        <f>DataNameProd3 &amp; " " &amp; DataNameProd3Seg5 &amp; " Units"</f>
        <v>NCB Segment 5 Units</v>
      </c>
      <c r="C199" s="275"/>
      <c r="D199" s="275"/>
      <c r="E199" s="275"/>
      <c r="F199" s="275"/>
      <c r="G199" s="275"/>
      <c r="H199" s="275"/>
      <c r="I199" s="275"/>
      <c r="J199" s="275">
        <f>J$194/5</f>
        <v>0</v>
      </c>
      <c r="K199" t="s">
        <v>2249</v>
      </c>
      <c r="R199" s="126"/>
      <c r="S199" s="126"/>
    </row>
    <row r="200" spans="1:19">
      <c r="C200" s="14"/>
      <c r="D200" s="14"/>
      <c r="E200" s="14"/>
      <c r="F200" s="14"/>
      <c r="G200" s="14"/>
      <c r="H200" s="14"/>
      <c r="I200" s="14"/>
      <c r="J200" s="14"/>
      <c r="R200" s="126"/>
      <c r="S200" s="126"/>
    </row>
    <row r="201" spans="1:19">
      <c r="B201" t="s">
        <v>260</v>
      </c>
      <c r="C201" s="11">
        <f>C194/xxNumOfTeams</f>
        <v>516906000</v>
      </c>
      <c r="D201" s="11">
        <f t="shared" ref="D201:J201" si="26">D194/xxNumOfTeams</f>
        <v>554560000</v>
      </c>
      <c r="E201" s="11">
        <f t="shared" si="26"/>
        <v>601800000</v>
      </c>
      <c r="F201" s="11">
        <f t="shared" si="26"/>
        <v>644140000</v>
      </c>
      <c r="G201" s="11">
        <f t="shared" si="26"/>
        <v>688930000</v>
      </c>
      <c r="H201" s="11">
        <f t="shared" si="26"/>
        <v>733720000</v>
      </c>
      <c r="I201" s="11">
        <f t="shared" si="26"/>
        <v>783410000</v>
      </c>
      <c r="J201" s="11">
        <f t="shared" si="26"/>
        <v>0</v>
      </c>
      <c r="R201" s="126"/>
      <c r="S201" s="126"/>
    </row>
    <row r="202" spans="1:19" ht="12" thickBot="1">
      <c r="C202" s="10"/>
      <c r="D202" s="10"/>
      <c r="E202" s="10"/>
      <c r="F202" s="10"/>
      <c r="G202" s="10"/>
      <c r="H202" s="10"/>
      <c r="I202" s="10"/>
      <c r="J202" s="10"/>
      <c r="R202" s="126"/>
      <c r="S202" s="126"/>
    </row>
    <row r="203" spans="1:19">
      <c r="B203" s="268" t="str">
        <f>"Market Model "&amp;DataNameProd3&amp;" Drivers"</f>
        <v>Market Model NCB Drivers</v>
      </c>
      <c r="C203" s="194"/>
      <c r="D203" s="194"/>
      <c r="E203" s="1195"/>
      <c r="F203" s="194"/>
      <c r="G203" s="194"/>
      <c r="H203" s="194"/>
      <c r="I203" s="194"/>
      <c r="J203" s="194"/>
      <c r="K203" s="195"/>
      <c r="R203" s="126"/>
      <c r="S203" s="126"/>
    </row>
    <row r="204" spans="1:19">
      <c r="B204" s="132"/>
      <c r="C204" s="62" t="str">
        <f>DataNameProd3</f>
        <v>NCB</v>
      </c>
      <c r="D204" s="62"/>
      <c r="E204" s="62" t="s">
        <v>129</v>
      </c>
      <c r="F204" s="62" t="s">
        <v>130</v>
      </c>
      <c r="G204" s="62" t="s">
        <v>131</v>
      </c>
      <c r="H204" s="62" t="s">
        <v>1133</v>
      </c>
      <c r="I204" s="62" t="s">
        <v>1134</v>
      </c>
      <c r="J204" s="21"/>
      <c r="K204" s="133"/>
      <c r="R204" s="126"/>
      <c r="S204" s="126"/>
    </row>
    <row r="205" spans="1:19">
      <c r="B205" s="132"/>
      <c r="C205" s="274" t="s">
        <v>1402</v>
      </c>
      <c r="D205" s="274"/>
      <c r="E205" s="274">
        <v>30</v>
      </c>
      <c r="F205" s="274">
        <v>50</v>
      </c>
      <c r="G205" s="274">
        <v>0</v>
      </c>
      <c r="H205" s="274">
        <v>0</v>
      </c>
      <c r="I205" s="274">
        <v>0</v>
      </c>
      <c r="J205" s="274" t="s">
        <v>2250</v>
      </c>
      <c r="K205" s="133"/>
      <c r="R205" s="126"/>
      <c r="S205" s="126"/>
    </row>
    <row r="206" spans="1:19">
      <c r="B206" s="132"/>
      <c r="C206" s="274" t="s">
        <v>2745</v>
      </c>
      <c r="D206" s="274"/>
      <c r="E206" s="274">
        <v>7</v>
      </c>
      <c r="F206" s="274">
        <v>8</v>
      </c>
      <c r="G206" s="274">
        <v>0</v>
      </c>
      <c r="H206" s="274">
        <v>0</v>
      </c>
      <c r="I206" s="274">
        <v>0</v>
      </c>
      <c r="J206" s="274" t="s">
        <v>3388</v>
      </c>
      <c r="K206" s="133"/>
      <c r="R206" s="126"/>
      <c r="S206" s="126"/>
    </row>
    <row r="207" spans="1:19">
      <c r="B207" s="132"/>
      <c r="C207" s="274" t="s">
        <v>3442</v>
      </c>
      <c r="D207" s="274"/>
      <c r="E207" s="274">
        <v>0</v>
      </c>
      <c r="F207" s="274">
        <v>0</v>
      </c>
      <c r="G207" s="274">
        <v>0</v>
      </c>
      <c r="H207" s="274">
        <v>0</v>
      </c>
      <c r="I207" s="274">
        <v>0</v>
      </c>
      <c r="J207" s="274" t="s">
        <v>3389</v>
      </c>
      <c r="K207" s="133"/>
      <c r="R207" s="126"/>
      <c r="S207" s="126"/>
    </row>
    <row r="208" spans="1:19">
      <c r="B208" s="132"/>
      <c r="C208" s="274" t="s">
        <v>1404</v>
      </c>
      <c r="D208" s="274"/>
      <c r="E208" s="274">
        <v>11</v>
      </c>
      <c r="F208" s="274">
        <v>7</v>
      </c>
      <c r="G208" s="274">
        <v>0</v>
      </c>
      <c r="H208" s="274">
        <v>0</v>
      </c>
      <c r="I208" s="274">
        <v>0</v>
      </c>
      <c r="J208" s="274" t="s">
        <v>226</v>
      </c>
      <c r="K208" s="133"/>
      <c r="R208" s="126"/>
      <c r="S208" s="126"/>
    </row>
    <row r="209" spans="1:19">
      <c r="B209" s="132"/>
      <c r="C209" s="274" t="s">
        <v>175</v>
      </c>
      <c r="D209" s="274"/>
      <c r="E209" s="274">
        <v>13</v>
      </c>
      <c r="F209" s="274">
        <v>10</v>
      </c>
      <c r="G209" s="274">
        <v>0</v>
      </c>
      <c r="H209" s="274">
        <v>0</v>
      </c>
      <c r="I209" s="274">
        <v>0</v>
      </c>
      <c r="J209" s="274" t="s">
        <v>227</v>
      </c>
      <c r="K209" s="133"/>
      <c r="R209" s="126"/>
      <c r="S209" s="126"/>
    </row>
    <row r="210" spans="1:19">
      <c r="B210" s="132"/>
      <c r="C210" s="274" t="s">
        <v>2579</v>
      </c>
      <c r="D210" s="274"/>
      <c r="E210" s="274">
        <v>9</v>
      </c>
      <c r="F210" s="274">
        <v>13</v>
      </c>
      <c r="G210" s="274">
        <v>0</v>
      </c>
      <c r="H210" s="274">
        <v>0</v>
      </c>
      <c r="I210" s="274">
        <v>0</v>
      </c>
      <c r="J210" s="274" t="s">
        <v>228</v>
      </c>
      <c r="K210" s="133"/>
      <c r="R210" s="126"/>
      <c r="S210" s="126"/>
    </row>
    <row r="211" spans="1:19">
      <c r="B211" s="132"/>
      <c r="C211" s="274" t="s">
        <v>1108</v>
      </c>
      <c r="D211" s="274"/>
      <c r="E211" s="274">
        <v>16</v>
      </c>
      <c r="F211" s="274">
        <v>15</v>
      </c>
      <c r="G211" s="274">
        <v>0</v>
      </c>
      <c r="H211" s="274">
        <v>0</v>
      </c>
      <c r="I211" s="274">
        <v>0</v>
      </c>
      <c r="J211" s="274" t="s">
        <v>229</v>
      </c>
      <c r="K211" s="133"/>
      <c r="R211" s="126"/>
      <c r="S211" s="126"/>
    </row>
    <row r="212" spans="1:19">
      <c r="B212" s="132"/>
      <c r="C212" s="273" t="s">
        <v>1722</v>
      </c>
      <c r="D212" s="274"/>
      <c r="E212" s="274">
        <v>0</v>
      </c>
      <c r="F212" s="274">
        <v>18</v>
      </c>
      <c r="G212" s="274">
        <v>0</v>
      </c>
      <c r="H212" s="274">
        <v>0</v>
      </c>
      <c r="I212" s="274">
        <v>0</v>
      </c>
      <c r="J212" s="274" t="s">
        <v>230</v>
      </c>
      <c r="K212" s="133"/>
      <c r="R212" s="126"/>
      <c r="S212" s="126"/>
    </row>
    <row r="213" spans="1:19">
      <c r="B213" s="132"/>
      <c r="C213" s="2464" t="s">
        <v>4734</v>
      </c>
      <c r="D213" s="274"/>
      <c r="E213" s="274">
        <v>14</v>
      </c>
      <c r="F213" s="274">
        <v>0</v>
      </c>
      <c r="G213" s="274">
        <v>0</v>
      </c>
      <c r="H213" s="274">
        <v>0</v>
      </c>
      <c r="I213" s="274">
        <v>0</v>
      </c>
      <c r="J213" s="274" t="s">
        <v>2902</v>
      </c>
      <c r="K213" s="133"/>
      <c r="R213" s="126"/>
      <c r="S213" s="126"/>
    </row>
    <row r="214" spans="1:19">
      <c r="B214" s="132"/>
      <c r="C214" s="273" t="s">
        <v>2956</v>
      </c>
      <c r="D214" s="274"/>
      <c r="E214" s="274">
        <v>0</v>
      </c>
      <c r="F214" s="274">
        <v>0</v>
      </c>
      <c r="G214" s="274">
        <v>0</v>
      </c>
      <c r="H214" s="274">
        <v>0</v>
      </c>
      <c r="I214" s="274">
        <v>0</v>
      </c>
      <c r="J214" s="274" t="s">
        <v>1326</v>
      </c>
      <c r="K214" s="133"/>
      <c r="R214" s="126"/>
      <c r="S214" s="126"/>
    </row>
    <row r="215" spans="1:19" ht="12" thickBot="1">
      <c r="B215" s="134"/>
      <c r="C215" s="135"/>
      <c r="D215" s="135"/>
      <c r="E215" s="135"/>
      <c r="F215" s="135"/>
      <c r="G215" s="135"/>
      <c r="H215" s="135"/>
      <c r="I215" s="135"/>
      <c r="J215" s="135"/>
      <c r="K215" s="136"/>
      <c r="R215" s="126"/>
      <c r="S215" s="126"/>
    </row>
    <row r="216" spans="1:19"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R216" s="126"/>
      <c r="S216" s="126"/>
    </row>
    <row r="217" spans="1:19">
      <c r="A217" s="2" t="str">
        <f>DataNameProd4 &amp; " Data"</f>
        <v>F&amp;S Data</v>
      </c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R217" s="126"/>
      <c r="S217" s="126"/>
    </row>
    <row r="218" spans="1:19" ht="12" thickBot="1">
      <c r="C218" s="12"/>
      <c r="D218" s="12"/>
      <c r="E218" s="398"/>
      <c r="F218" s="398"/>
      <c r="G218" s="398"/>
      <c r="H218" s="398"/>
      <c r="I218" s="398"/>
      <c r="J218" s="12"/>
      <c r="R218" s="126"/>
      <c r="S218" s="126"/>
    </row>
    <row r="219" spans="1:19">
      <c r="B219" s="1112" t="s">
        <v>2892</v>
      </c>
      <c r="C219" s="1162">
        <f>541700000</f>
        <v>541700000</v>
      </c>
      <c r="D219" s="1110">
        <f>$C219/SUM($C$219:$C221)</f>
        <v>0.70653449850006522</v>
      </c>
      <c r="E219" s="398"/>
      <c r="F219" s="398"/>
      <c r="G219" s="398"/>
      <c r="H219" s="398"/>
      <c r="I219" s="398"/>
      <c r="J219" s="12"/>
      <c r="L219" t="s">
        <v>909</v>
      </c>
      <c r="M219" s="398">
        <f>SUM(C219:C220)/5</f>
        <v>153340000</v>
      </c>
      <c r="R219" s="126"/>
      <c r="S219" s="126"/>
    </row>
    <row r="220" spans="1:19">
      <c r="B220" s="1113" t="s">
        <v>2893</v>
      </c>
      <c r="C220" s="1163">
        <f>225000000</f>
        <v>225000000</v>
      </c>
      <c r="D220" s="1115">
        <f>$C220/SUM($C$219:$C222)</f>
        <v>0.29346550149993478</v>
      </c>
      <c r="E220" s="398"/>
      <c r="F220" s="398"/>
      <c r="G220" s="398"/>
      <c r="H220" s="398"/>
      <c r="I220" s="398"/>
      <c r="J220" s="12"/>
      <c r="L220" t="s">
        <v>910</v>
      </c>
      <c r="M220" s="459">
        <f>M219/(cbal!$E$152*(xxProd4BaseUnits/SUM($C$60:$C$63)))</f>
        <v>531596.13319011813</v>
      </c>
      <c r="R220" s="126"/>
      <c r="S220" s="126"/>
    </row>
    <row r="221" spans="1:19">
      <c r="B221" s="1113" t="str">
        <f>"yr 0 "&amp;DataNameProd4Seg3</f>
        <v>yr 0 Segment 3</v>
      </c>
      <c r="C221" s="1163">
        <v>0</v>
      </c>
      <c r="D221" s="1115">
        <f>$C221/SUM($C$219:$C223)</f>
        <v>0</v>
      </c>
      <c r="E221" s="398"/>
      <c r="F221" s="398"/>
      <c r="G221" s="398"/>
      <c r="H221" s="398"/>
      <c r="I221" s="398"/>
      <c r="J221" s="12"/>
      <c r="L221" t="s">
        <v>911</v>
      </c>
      <c r="M221">
        <f>M220/300</f>
        <v>1771.9871106337271</v>
      </c>
      <c r="R221" s="126"/>
      <c r="S221" s="126"/>
    </row>
    <row r="222" spans="1:19" ht="12" thickBot="1">
      <c r="B222" s="1114" t="str">
        <f>"yr 0 "&amp;DataNameProd4Seg4</f>
        <v>yr 0 Segment 4</v>
      </c>
      <c r="C222" s="1164">
        <v>0</v>
      </c>
      <c r="D222" s="1111">
        <f>$C222/SUM($C$219:$C224)</f>
        <v>0</v>
      </c>
      <c r="E222" s="398"/>
      <c r="F222" s="398"/>
      <c r="G222" s="398"/>
      <c r="H222" s="398"/>
      <c r="I222" s="398"/>
      <c r="J222" s="12"/>
      <c r="L222" t="s">
        <v>913</v>
      </c>
      <c r="M222">
        <v>20</v>
      </c>
      <c r="R222" s="126"/>
      <c r="S222" s="126"/>
    </row>
    <row r="223" spans="1:19">
      <c r="B223" s="2"/>
      <c r="L223" t="s">
        <v>912</v>
      </c>
      <c r="M223" s="397">
        <f>INDEX(paramProd4CycTimeDays,xxIndexTeam)*24</f>
        <v>10.391271168000001</v>
      </c>
      <c r="R223" s="126"/>
      <c r="S223" s="126"/>
    </row>
    <row r="224" spans="1:19">
      <c r="B224" s="2" t="s">
        <v>13</v>
      </c>
      <c r="L224" t="s">
        <v>915</v>
      </c>
      <c r="M224">
        <f>M222/M223</f>
        <v>1.9246923380837324</v>
      </c>
      <c r="R224" s="126"/>
      <c r="S224" s="126"/>
    </row>
    <row r="225" spans="1:19">
      <c r="B225" s="2" t="s">
        <v>190</v>
      </c>
      <c r="C225" s="2">
        <v>-2</v>
      </c>
      <c r="D225" s="2">
        <v>-1</v>
      </c>
      <c r="E225" s="2">
        <v>0</v>
      </c>
      <c r="F225" s="2">
        <v>1</v>
      </c>
      <c r="G225" s="2">
        <v>2</v>
      </c>
      <c r="H225" s="2">
        <v>3</v>
      </c>
      <c r="I225" s="2">
        <v>4</v>
      </c>
      <c r="J225" s="2">
        <v>5</v>
      </c>
      <c r="L225" t="s">
        <v>916</v>
      </c>
      <c r="M225">
        <f>M221/M224</f>
        <v>920.65992863979386</v>
      </c>
      <c r="R225" s="126"/>
      <c r="S225" s="126"/>
    </row>
    <row r="226" spans="1:19">
      <c r="B226" s="3" t="str">
        <f>DataNameProd4 &amp; " Growth"</f>
        <v>F&amp;S Growth</v>
      </c>
      <c r="C226" s="15">
        <f>SUMPRODUCT(C228:C231,$E233:$E236)/SUM($E233:$E236)</f>
        <v>0.94652275988000523</v>
      </c>
      <c r="D226" s="15">
        <f t="shared" ref="D226:I226" si="27">SUMPRODUCT(D228:D231,$E233:$E236)/SUM($E233:$E236)</f>
        <v>0.97239206991000393</v>
      </c>
      <c r="E226" s="15">
        <f t="shared" si="27"/>
        <v>1</v>
      </c>
      <c r="F226" s="15">
        <f t="shared" si="27"/>
        <v>1.0376079300899961</v>
      </c>
      <c r="G226" s="15">
        <f t="shared" si="27"/>
        <v>1.0781505151949915</v>
      </c>
      <c r="H226" s="15">
        <f t="shared" si="27"/>
        <v>1.1316277553149863</v>
      </c>
      <c r="I226" s="15">
        <f t="shared" si="27"/>
        <v>1.1609743054649797</v>
      </c>
      <c r="J226" s="11"/>
      <c r="L226" t="s">
        <v>914</v>
      </c>
      <c r="M226">
        <f>M223/M225</f>
        <v>1.1286763814465485E-2</v>
      </c>
      <c r="R226" s="126"/>
      <c r="S226" s="126"/>
    </row>
    <row r="227" spans="1:19">
      <c r="R227" s="126"/>
      <c r="S227" s="126"/>
    </row>
    <row r="228" spans="1:19">
      <c r="B228" t="s">
        <v>581</v>
      </c>
      <c r="C228" s="12">
        <v>0.97</v>
      </c>
      <c r="D228" s="12">
        <v>0.99</v>
      </c>
      <c r="E228" s="12">
        <v>1</v>
      </c>
      <c r="F228" s="12">
        <v>1.02</v>
      </c>
      <c r="G228" s="12">
        <v>1.04</v>
      </c>
      <c r="H228" s="12">
        <v>1.07</v>
      </c>
      <c r="I228" s="12">
        <v>1.07</v>
      </c>
      <c r="J228" s="12"/>
      <c r="R228" s="126"/>
      <c r="S228" s="126"/>
    </row>
    <row r="229" spans="1:19">
      <c r="B229" t="s">
        <v>580</v>
      </c>
      <c r="C229" s="12">
        <v>0.89</v>
      </c>
      <c r="D229" s="12">
        <v>0.93</v>
      </c>
      <c r="E229" s="12">
        <v>1</v>
      </c>
      <c r="F229" s="12">
        <v>1.08</v>
      </c>
      <c r="G229" s="12">
        <v>1.17</v>
      </c>
      <c r="H229" s="12">
        <v>1.28</v>
      </c>
      <c r="I229" s="12">
        <v>1.38</v>
      </c>
      <c r="J229" s="12"/>
      <c r="R229" s="126"/>
      <c r="S229" s="126"/>
    </row>
    <row r="230" spans="1:19">
      <c r="B230" t="str">
        <f>DataNameProd4Seg3&amp;" Growth"</f>
        <v>Segment 3 Growth</v>
      </c>
      <c r="C230" s="12">
        <v>1</v>
      </c>
      <c r="D230" s="12">
        <v>1</v>
      </c>
      <c r="E230" s="12">
        <v>1</v>
      </c>
      <c r="F230" s="12">
        <v>1</v>
      </c>
      <c r="G230" s="12">
        <v>1</v>
      </c>
      <c r="H230" s="12">
        <v>1</v>
      </c>
      <c r="I230" s="12">
        <v>1</v>
      </c>
      <c r="J230" s="12"/>
      <c r="R230" s="126"/>
      <c r="S230" s="126"/>
    </row>
    <row r="231" spans="1:19">
      <c r="B231" t="str">
        <f>DataNameProd4Seg4&amp;" Growth"</f>
        <v>Segment 4 Growth</v>
      </c>
      <c r="C231" s="12">
        <v>1</v>
      </c>
      <c r="D231" s="12">
        <v>1</v>
      </c>
      <c r="E231" s="12">
        <v>1</v>
      </c>
      <c r="F231" s="12">
        <v>1</v>
      </c>
      <c r="G231" s="12">
        <v>1</v>
      </c>
      <c r="H231" s="12">
        <v>1</v>
      </c>
      <c r="I231" s="12">
        <v>1</v>
      </c>
      <c r="J231" s="12"/>
      <c r="R231" s="126"/>
      <c r="S231" s="126"/>
    </row>
    <row r="232" spans="1:19">
      <c r="C232" s="398"/>
      <c r="D232" s="398"/>
      <c r="E232" s="398"/>
      <c r="F232" s="398"/>
      <c r="G232" s="398"/>
      <c r="H232" s="398"/>
      <c r="I232" s="398"/>
      <c r="J232" s="12"/>
      <c r="R232" s="126"/>
      <c r="S232" s="126"/>
    </row>
    <row r="233" spans="1:19">
      <c r="B233" t="str">
        <f>DataNameProd4Seg1&amp;" Volume"</f>
        <v>Vetera Volume</v>
      </c>
      <c r="C233" s="398">
        <f t="shared" ref="C233:D236" si="28">$E233*C228</f>
        <v>2627245000</v>
      </c>
      <c r="D233" s="398">
        <f t="shared" si="28"/>
        <v>2681415000</v>
      </c>
      <c r="E233" s="398">
        <f>E228*D219*xxProd4BaseUnits</f>
        <v>2708500000</v>
      </c>
      <c r="F233" s="398">
        <f t="shared" ref="F233:I236" si="29">$E233*F228</f>
        <v>2762670000</v>
      </c>
      <c r="G233" s="398">
        <f t="shared" si="29"/>
        <v>2816840000</v>
      </c>
      <c r="H233" s="398">
        <f t="shared" si="29"/>
        <v>2898095000</v>
      </c>
      <c r="I233" s="398">
        <f t="shared" si="29"/>
        <v>2898095000</v>
      </c>
      <c r="J233" s="12"/>
      <c r="R233" s="126"/>
      <c r="S233" s="126"/>
    </row>
    <row r="234" spans="1:19">
      <c r="B234" t="str">
        <f>DataNameProd4Seg2&amp;" Volume"</f>
        <v>Escendia Volume</v>
      </c>
      <c r="C234" s="398">
        <f t="shared" si="28"/>
        <v>1001250000</v>
      </c>
      <c r="D234" s="398">
        <f t="shared" si="28"/>
        <v>1046250000</v>
      </c>
      <c r="E234" s="398">
        <f>E229*D220*xxProd4BaseUnits</f>
        <v>1125000000</v>
      </c>
      <c r="F234" s="398">
        <f t="shared" si="29"/>
        <v>1215000000</v>
      </c>
      <c r="G234" s="398">
        <f t="shared" si="29"/>
        <v>1316250000</v>
      </c>
      <c r="H234" s="398">
        <f t="shared" si="29"/>
        <v>1440000000</v>
      </c>
      <c r="I234" s="398">
        <f t="shared" si="29"/>
        <v>1552499999.9999998</v>
      </c>
      <c r="J234" s="12"/>
      <c r="R234" s="126"/>
      <c r="S234" s="126"/>
    </row>
    <row r="235" spans="1:19">
      <c r="B235" t="str">
        <f>DataNameProd4Seg3&amp;" Volume"</f>
        <v>Segment 3 Volume</v>
      </c>
      <c r="C235" s="398">
        <f t="shared" si="28"/>
        <v>0</v>
      </c>
      <c r="D235" s="398">
        <f t="shared" si="28"/>
        <v>0</v>
      </c>
      <c r="E235" s="398">
        <f>E230*D221*xxProd4BaseUnits</f>
        <v>0</v>
      </c>
      <c r="F235" s="398">
        <f t="shared" si="29"/>
        <v>0</v>
      </c>
      <c r="G235" s="398">
        <f t="shared" si="29"/>
        <v>0</v>
      </c>
      <c r="H235" s="398">
        <f t="shared" si="29"/>
        <v>0</v>
      </c>
      <c r="I235" s="398">
        <f t="shared" si="29"/>
        <v>0</v>
      </c>
      <c r="J235" s="12"/>
      <c r="R235" s="126"/>
      <c r="S235" s="126"/>
    </row>
    <row r="236" spans="1:19">
      <c r="B236" t="str">
        <f>DataNameProd4Seg4&amp;" Volume"</f>
        <v>Segment 4 Volume</v>
      </c>
      <c r="C236" s="398">
        <f t="shared" si="28"/>
        <v>0</v>
      </c>
      <c r="D236" s="398">
        <f t="shared" si="28"/>
        <v>0</v>
      </c>
      <c r="E236" s="398">
        <f>E231*D222*xxProd4BaseUnits</f>
        <v>0</v>
      </c>
      <c r="F236" s="398">
        <f t="shared" si="29"/>
        <v>0</v>
      </c>
      <c r="G236" s="398">
        <f t="shared" si="29"/>
        <v>0</v>
      </c>
      <c r="H236" s="398">
        <f t="shared" si="29"/>
        <v>0</v>
      </c>
      <c r="I236" s="398">
        <f t="shared" si="29"/>
        <v>0</v>
      </c>
      <c r="J236" s="12"/>
      <c r="R236" s="126"/>
      <c r="S236" s="126"/>
    </row>
    <row r="237" spans="1:19">
      <c r="A237" s="2"/>
      <c r="C237" s="2"/>
      <c r="D237" s="2"/>
      <c r="E237" s="2"/>
      <c r="F237" s="2"/>
      <c r="G237" s="2"/>
      <c r="H237" s="2"/>
      <c r="I237" s="2"/>
      <c r="J237" s="2"/>
      <c r="R237" s="126"/>
      <c r="S237" s="126"/>
    </row>
    <row r="238" spans="1:19">
      <c r="A238" s="2"/>
      <c r="C238" s="2">
        <v>-2</v>
      </c>
      <c r="D238" s="2">
        <v>-1</v>
      </c>
      <c r="E238" s="2">
        <v>0</v>
      </c>
      <c r="F238" s="2">
        <v>1</v>
      </c>
      <c r="G238" s="2">
        <v>2</v>
      </c>
      <c r="H238" s="2">
        <v>3</v>
      </c>
      <c r="I238" s="2">
        <v>4</v>
      </c>
      <c r="J238" s="2">
        <v>5</v>
      </c>
      <c r="R238" s="126"/>
      <c r="S238" s="126"/>
    </row>
    <row r="239" spans="1:19">
      <c r="B239" s="26" t="str">
        <f>DataNameProd4</f>
        <v>F&amp;S</v>
      </c>
      <c r="C239" s="1143">
        <f>SUM(C233:C236)</f>
        <v>3628495000</v>
      </c>
      <c r="D239" s="1143">
        <f t="shared" ref="D239:J239" si="30">SUM(D233:D236)</f>
        <v>3727665000</v>
      </c>
      <c r="E239" s="1143">
        <f t="shared" si="30"/>
        <v>3833500000</v>
      </c>
      <c r="F239" s="1143">
        <f t="shared" si="30"/>
        <v>3977670000</v>
      </c>
      <c r="G239" s="1143">
        <f t="shared" si="30"/>
        <v>4133090000</v>
      </c>
      <c r="H239" s="1143">
        <f t="shared" si="30"/>
        <v>4338095000</v>
      </c>
      <c r="I239" s="1143">
        <f t="shared" si="30"/>
        <v>4450595000</v>
      </c>
      <c r="J239" s="1143">
        <f t="shared" si="30"/>
        <v>0</v>
      </c>
      <c r="K239" t="s">
        <v>1327</v>
      </c>
      <c r="R239" s="126"/>
      <c r="S239" s="126"/>
    </row>
    <row r="240" spans="1:19">
      <c r="B240" t="str">
        <f>DataNameProd4 &amp; " " &amp; DataNameProd4Seg1 &amp; " Units"</f>
        <v>F&amp;S Vetera Units</v>
      </c>
      <c r="C240" s="272">
        <f>C233</f>
        <v>2627245000</v>
      </c>
      <c r="D240" s="272">
        <f>D233</f>
        <v>2681415000</v>
      </c>
      <c r="E240" s="272">
        <f t="shared" ref="E240:J240" si="31">E233</f>
        <v>2708500000</v>
      </c>
      <c r="F240" s="272">
        <f t="shared" si="31"/>
        <v>2762670000</v>
      </c>
      <c r="G240" s="272">
        <f t="shared" si="31"/>
        <v>2816840000</v>
      </c>
      <c r="H240" s="272">
        <f t="shared" si="31"/>
        <v>2898095000</v>
      </c>
      <c r="I240" s="272">
        <f t="shared" si="31"/>
        <v>2898095000</v>
      </c>
      <c r="J240" s="272">
        <f t="shared" si="31"/>
        <v>0</v>
      </c>
      <c r="K240" t="s">
        <v>1328</v>
      </c>
      <c r="R240" s="126"/>
      <c r="S240" s="126"/>
    </row>
    <row r="241" spans="2:19">
      <c r="B241" t="str">
        <f>DataNameProd4 &amp; " " &amp; DataNameProd4Seg2 &amp; " Units"</f>
        <v>F&amp;S Escendia Units</v>
      </c>
      <c r="C241" s="272">
        <f>C234</f>
        <v>1001250000</v>
      </c>
      <c r="D241" s="272">
        <f>D234</f>
        <v>1046250000</v>
      </c>
      <c r="E241" s="272">
        <f t="shared" ref="E241:J241" si="32">E234</f>
        <v>1125000000</v>
      </c>
      <c r="F241" s="272">
        <f t="shared" si="32"/>
        <v>1215000000</v>
      </c>
      <c r="G241" s="272">
        <f t="shared" si="32"/>
        <v>1316250000</v>
      </c>
      <c r="H241" s="272">
        <f t="shared" si="32"/>
        <v>1440000000</v>
      </c>
      <c r="I241" s="272">
        <f t="shared" si="32"/>
        <v>1552499999.9999998</v>
      </c>
      <c r="J241" s="272">
        <f t="shared" si="32"/>
        <v>0</v>
      </c>
      <c r="K241" t="s">
        <v>1329</v>
      </c>
      <c r="R241" s="126"/>
      <c r="S241" s="126"/>
    </row>
    <row r="242" spans="2:19">
      <c r="B242" t="str">
        <f>DataNameProd4 &amp; " " &amp; DataNameProd4Seg3 &amp; " Units"</f>
        <v>F&amp;S Segment 3 Units</v>
      </c>
      <c r="C242" s="272">
        <f t="shared" ref="C242:J242" si="33">C235</f>
        <v>0</v>
      </c>
      <c r="D242" s="272">
        <f t="shared" si="33"/>
        <v>0</v>
      </c>
      <c r="E242" s="272">
        <f t="shared" si="33"/>
        <v>0</v>
      </c>
      <c r="F242" s="272">
        <f t="shared" si="33"/>
        <v>0</v>
      </c>
      <c r="G242" s="272">
        <f t="shared" si="33"/>
        <v>0</v>
      </c>
      <c r="H242" s="272">
        <f t="shared" si="33"/>
        <v>0</v>
      </c>
      <c r="I242" s="272">
        <f t="shared" si="33"/>
        <v>0</v>
      </c>
      <c r="J242" s="272">
        <f t="shared" si="33"/>
        <v>0</v>
      </c>
      <c r="K242" t="s">
        <v>1330</v>
      </c>
      <c r="R242" s="126"/>
      <c r="S242" s="126"/>
    </row>
    <row r="243" spans="2:19">
      <c r="B243" t="str">
        <f>DataNameProd4 &amp; " " &amp; DataNameProd4Seg4 &amp; " Units"</f>
        <v>F&amp;S Segment 4 Units</v>
      </c>
      <c r="C243" s="272">
        <f t="shared" ref="C243:J243" si="34">C236</f>
        <v>0</v>
      </c>
      <c r="D243" s="272">
        <f t="shared" si="34"/>
        <v>0</v>
      </c>
      <c r="E243" s="272">
        <f t="shared" si="34"/>
        <v>0</v>
      </c>
      <c r="F243" s="272">
        <f t="shared" si="34"/>
        <v>0</v>
      </c>
      <c r="G243" s="272">
        <f t="shared" si="34"/>
        <v>0</v>
      </c>
      <c r="H243" s="272">
        <f t="shared" si="34"/>
        <v>0</v>
      </c>
      <c r="I243" s="272">
        <f t="shared" si="34"/>
        <v>0</v>
      </c>
      <c r="J243" s="272">
        <f t="shared" si="34"/>
        <v>0</v>
      </c>
      <c r="K243" t="s">
        <v>3506</v>
      </c>
      <c r="R243" s="126"/>
      <c r="S243" s="126"/>
    </row>
    <row r="244" spans="2:19">
      <c r="B244" t="str">
        <f>DataNameProd4 &amp; " " &amp; DataNameProd4Seg5 &amp; " Units"</f>
        <v>F&amp;S Segment 5 Units</v>
      </c>
      <c r="C244" s="275"/>
      <c r="D244" s="275"/>
      <c r="E244" s="275"/>
      <c r="F244" s="275"/>
      <c r="G244" s="275"/>
      <c r="H244" s="275"/>
      <c r="I244" s="275"/>
      <c r="J244" s="275">
        <f>J$194/5</f>
        <v>0</v>
      </c>
      <c r="K244" t="s">
        <v>3507</v>
      </c>
      <c r="R244" s="126"/>
      <c r="S244" s="126"/>
    </row>
    <row r="245" spans="2:19">
      <c r="C245" s="14"/>
      <c r="D245" s="14"/>
      <c r="E245" s="14"/>
      <c r="F245" s="14"/>
      <c r="G245" s="14"/>
      <c r="H245" s="14"/>
      <c r="I245" s="14"/>
      <c r="J245" s="14"/>
      <c r="R245" s="126"/>
      <c r="S245" s="126"/>
    </row>
    <row r="246" spans="2:19">
      <c r="B246" t="s">
        <v>260</v>
      </c>
      <c r="C246" s="11">
        <f>C239/xxNumOfTeams</f>
        <v>725699000</v>
      </c>
      <c r="D246" s="11">
        <f t="shared" ref="D246:J246" si="35">D239/xxNumOfTeams</f>
        <v>745533000</v>
      </c>
      <c r="E246" s="11">
        <f t="shared" si="35"/>
        <v>766700000</v>
      </c>
      <c r="F246" s="11">
        <f t="shared" si="35"/>
        <v>795534000</v>
      </c>
      <c r="G246" s="11">
        <f t="shared" si="35"/>
        <v>826618000</v>
      </c>
      <c r="H246" s="11">
        <f t="shared" si="35"/>
        <v>867619000</v>
      </c>
      <c r="I246" s="11">
        <f t="shared" si="35"/>
        <v>890119000</v>
      </c>
      <c r="J246" s="11">
        <f t="shared" si="35"/>
        <v>0</v>
      </c>
      <c r="R246" s="126"/>
      <c r="S246" s="126"/>
    </row>
    <row r="247" spans="2:19" ht="12" thickBot="1">
      <c r="C247" s="10"/>
      <c r="D247" s="10"/>
      <c r="E247" s="10"/>
      <c r="F247" s="10"/>
      <c r="G247" s="10"/>
      <c r="H247" s="10"/>
      <c r="I247" s="10"/>
      <c r="J247" s="10"/>
      <c r="R247" s="126"/>
      <c r="S247" s="126"/>
    </row>
    <row r="248" spans="2:19">
      <c r="B248" s="268" t="str">
        <f>"Market Model "&amp;DataNameProd4&amp;" Drivers"</f>
        <v>Market Model F&amp;S Drivers</v>
      </c>
      <c r="C248" s="194"/>
      <c r="D248" s="194"/>
      <c r="E248" s="194"/>
      <c r="F248" s="194"/>
      <c r="G248" s="194"/>
      <c r="H248" s="194"/>
      <c r="I248" s="194"/>
      <c r="J248" s="194"/>
      <c r="K248" s="195"/>
      <c r="R248" s="126"/>
      <c r="S248" s="126"/>
    </row>
    <row r="249" spans="2:19">
      <c r="B249" s="132"/>
      <c r="C249" s="62" t="str">
        <f>DataNameProd4</f>
        <v>F&amp;S</v>
      </c>
      <c r="D249" s="62"/>
      <c r="E249" s="62" t="s">
        <v>129</v>
      </c>
      <c r="F249" s="62" t="s">
        <v>130</v>
      </c>
      <c r="G249" s="62" t="s">
        <v>131</v>
      </c>
      <c r="H249" s="62" t="s">
        <v>1133</v>
      </c>
      <c r="I249" s="62" t="s">
        <v>1134</v>
      </c>
      <c r="J249" s="21"/>
      <c r="K249" s="133"/>
      <c r="R249" s="126"/>
      <c r="S249" s="126"/>
    </row>
    <row r="250" spans="2:19">
      <c r="B250" s="132"/>
      <c r="C250" s="274" t="s">
        <v>1402</v>
      </c>
      <c r="D250" s="274"/>
      <c r="E250" s="274">
        <v>29</v>
      </c>
      <c r="F250" s="274">
        <v>40</v>
      </c>
      <c r="G250" s="274">
        <v>0</v>
      </c>
      <c r="H250" s="274">
        <v>0</v>
      </c>
      <c r="I250" s="274">
        <v>0</v>
      </c>
      <c r="J250" s="274" t="s">
        <v>2407</v>
      </c>
      <c r="K250" s="133"/>
      <c r="R250" s="126"/>
      <c r="S250" s="126"/>
    </row>
    <row r="251" spans="2:19">
      <c r="B251" s="132"/>
      <c r="C251" s="274" t="s">
        <v>2745</v>
      </c>
      <c r="D251" s="274"/>
      <c r="E251" s="274">
        <v>8</v>
      </c>
      <c r="F251" s="274">
        <v>9</v>
      </c>
      <c r="G251" s="274">
        <v>0</v>
      </c>
      <c r="H251" s="274">
        <v>0</v>
      </c>
      <c r="I251" s="274">
        <v>0</v>
      </c>
      <c r="J251" s="274" t="s">
        <v>2408</v>
      </c>
      <c r="K251" s="133"/>
      <c r="R251" s="126"/>
      <c r="S251" s="126"/>
    </row>
    <row r="252" spans="2:19">
      <c r="B252" s="132"/>
      <c r="C252" s="274" t="s">
        <v>3442</v>
      </c>
      <c r="D252" s="274"/>
      <c r="E252" s="274">
        <v>0</v>
      </c>
      <c r="F252" s="274">
        <v>0</v>
      </c>
      <c r="G252" s="274">
        <v>0</v>
      </c>
      <c r="H252" s="274">
        <v>0</v>
      </c>
      <c r="I252" s="274">
        <v>0</v>
      </c>
      <c r="J252" s="274" t="s">
        <v>2409</v>
      </c>
      <c r="K252" s="133"/>
      <c r="R252" s="126"/>
      <c r="S252" s="126"/>
    </row>
    <row r="253" spans="2:19">
      <c r="B253" s="132"/>
      <c r="C253" s="274" t="s">
        <v>1404</v>
      </c>
      <c r="D253" s="274"/>
      <c r="E253" s="274">
        <v>10</v>
      </c>
      <c r="F253" s="274">
        <v>8</v>
      </c>
      <c r="G253" s="274">
        <v>0</v>
      </c>
      <c r="H253" s="274">
        <v>0</v>
      </c>
      <c r="I253" s="274">
        <v>0</v>
      </c>
      <c r="J253" s="274" t="s">
        <v>3707</v>
      </c>
      <c r="K253" s="133"/>
      <c r="R253" s="126"/>
      <c r="S253" s="126"/>
    </row>
    <row r="254" spans="2:19">
      <c r="B254" s="132"/>
      <c r="C254" s="274" t="s">
        <v>175</v>
      </c>
      <c r="D254" s="274"/>
      <c r="E254" s="274">
        <v>8</v>
      </c>
      <c r="F254" s="274">
        <v>10</v>
      </c>
      <c r="G254" s="274">
        <v>0</v>
      </c>
      <c r="H254" s="274">
        <v>0</v>
      </c>
      <c r="I254" s="274">
        <v>0</v>
      </c>
      <c r="J254" s="274" t="s">
        <v>3708</v>
      </c>
      <c r="K254" s="133"/>
      <c r="R254" s="126"/>
      <c r="S254" s="126"/>
    </row>
    <row r="255" spans="2:19">
      <c r="B255" s="132"/>
      <c r="C255" s="274" t="s">
        <v>2579</v>
      </c>
      <c r="D255" s="274"/>
      <c r="E255" s="274">
        <v>6</v>
      </c>
      <c r="F255" s="274">
        <v>15</v>
      </c>
      <c r="G255" s="274">
        <v>0</v>
      </c>
      <c r="H255" s="274">
        <v>0</v>
      </c>
      <c r="I255" s="274">
        <v>0</v>
      </c>
      <c r="J255" s="274" t="s">
        <v>3709</v>
      </c>
      <c r="K255" s="133"/>
      <c r="R255" s="126"/>
      <c r="S255" s="126"/>
    </row>
    <row r="256" spans="2:19">
      <c r="B256" s="132"/>
      <c r="C256" s="274" t="s">
        <v>1108</v>
      </c>
      <c r="D256" s="274"/>
      <c r="E256" s="274">
        <v>9</v>
      </c>
      <c r="F256" s="274">
        <v>7</v>
      </c>
      <c r="G256" s="274">
        <v>0</v>
      </c>
      <c r="H256" s="274">
        <v>0</v>
      </c>
      <c r="I256" s="274">
        <v>0</v>
      </c>
      <c r="J256" s="274" t="s">
        <v>3710</v>
      </c>
      <c r="K256" s="133"/>
      <c r="R256" s="126"/>
      <c r="S256" s="126"/>
    </row>
    <row r="257" spans="1:19">
      <c r="B257" s="132"/>
      <c r="C257" s="273" t="s">
        <v>1722</v>
      </c>
      <c r="D257" s="274"/>
      <c r="E257" s="274">
        <v>0</v>
      </c>
      <c r="F257" s="274">
        <v>16</v>
      </c>
      <c r="G257" s="274">
        <v>0</v>
      </c>
      <c r="H257" s="274">
        <v>0</v>
      </c>
      <c r="I257" s="274">
        <v>0</v>
      </c>
      <c r="J257" s="274" t="s">
        <v>3711</v>
      </c>
      <c r="K257" s="133"/>
      <c r="R257" s="126"/>
      <c r="S257" s="126"/>
    </row>
    <row r="258" spans="1:19">
      <c r="B258" s="132"/>
      <c r="C258" s="2464" t="s">
        <v>4734</v>
      </c>
      <c r="D258" s="274"/>
      <c r="E258" s="274">
        <v>16</v>
      </c>
      <c r="F258" s="274">
        <v>0</v>
      </c>
      <c r="G258" s="274">
        <v>0</v>
      </c>
      <c r="H258" s="274">
        <v>0</v>
      </c>
      <c r="I258" s="274">
        <v>0</v>
      </c>
      <c r="J258" s="274" t="s">
        <v>3712</v>
      </c>
      <c r="K258" s="133"/>
      <c r="R258" s="126"/>
      <c r="S258" s="126"/>
    </row>
    <row r="259" spans="1:19">
      <c r="B259" s="132"/>
      <c r="C259" s="273" t="s">
        <v>2956</v>
      </c>
      <c r="D259" s="274"/>
      <c r="E259" s="274">
        <v>0</v>
      </c>
      <c r="F259" s="274">
        <v>0</v>
      </c>
      <c r="G259" s="274">
        <v>0</v>
      </c>
      <c r="H259" s="274">
        <v>0</v>
      </c>
      <c r="I259" s="274">
        <v>0</v>
      </c>
      <c r="J259" s="274" t="s">
        <v>3713</v>
      </c>
      <c r="K259" s="133"/>
      <c r="R259" s="126"/>
      <c r="S259" s="126"/>
    </row>
    <row r="260" spans="1:19" ht="12" thickBot="1">
      <c r="B260" s="134"/>
      <c r="C260" s="135"/>
      <c r="D260" s="135"/>
      <c r="E260" s="135"/>
      <c r="F260" s="135"/>
      <c r="G260" s="135"/>
      <c r="H260" s="135"/>
      <c r="I260" s="135"/>
      <c r="J260" s="135"/>
      <c r="K260" s="136"/>
      <c r="R260" s="126"/>
      <c r="S260" s="126"/>
    </row>
    <row r="261" spans="1:19"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R261" s="126"/>
      <c r="S261" s="126"/>
    </row>
    <row r="262" spans="1:19" hidden="1">
      <c r="A262" s="2" t="str">
        <f>DataNameProd5 &amp; " Data"</f>
        <v>Product Five Data</v>
      </c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R262" s="126"/>
      <c r="S262" s="126"/>
    </row>
    <row r="263" spans="1:19" hidden="1">
      <c r="A263" s="2"/>
      <c r="C263" s="2">
        <v>-2</v>
      </c>
      <c r="D263" s="2">
        <v>-1</v>
      </c>
      <c r="E263" s="2">
        <v>0</v>
      </c>
      <c r="F263" s="2">
        <v>1</v>
      </c>
      <c r="G263" s="2">
        <v>2</v>
      </c>
      <c r="H263" s="2">
        <v>3</v>
      </c>
      <c r="I263" s="2">
        <v>4</v>
      </c>
      <c r="J263" s="2">
        <v>5</v>
      </c>
      <c r="R263" s="126"/>
      <c r="S263" s="126"/>
    </row>
    <row r="264" spans="1:19" hidden="1">
      <c r="B264" t="str">
        <f>DataNameProd5</f>
        <v>Product Five</v>
      </c>
      <c r="C264" s="275">
        <f>D264*0.95</f>
        <v>0</v>
      </c>
      <c r="D264" s="275">
        <f>E264*0.95</f>
        <v>0</v>
      </c>
      <c r="E264" s="275">
        <f>xxProd5BaseUnits</f>
        <v>0</v>
      </c>
      <c r="F264" s="275">
        <f>E264*1.05</f>
        <v>0</v>
      </c>
      <c r="G264" s="275">
        <f>F264*1.05</f>
        <v>0</v>
      </c>
      <c r="H264" s="275">
        <f>G264*1.05</f>
        <v>0</v>
      </c>
      <c r="I264" s="275">
        <f>H264*1.05</f>
        <v>0</v>
      </c>
      <c r="J264" s="275">
        <f>I264*1.05</f>
        <v>0</v>
      </c>
      <c r="K264" t="s">
        <v>3714</v>
      </c>
      <c r="R264" s="126"/>
      <c r="S264" s="126"/>
    </row>
    <row r="265" spans="1:19" hidden="1">
      <c r="B265" t="str">
        <f>DataNameProd5 &amp; " " &amp; DataNameProd5Seg1 &amp; " Units"</f>
        <v>Product Five Product 5 Segment 1 Units</v>
      </c>
      <c r="C265" s="272">
        <f t="shared" ref="C265:J265" si="36">C264</f>
        <v>0</v>
      </c>
      <c r="D265" s="272">
        <f t="shared" si="36"/>
        <v>0</v>
      </c>
      <c r="E265" s="272">
        <f t="shared" si="36"/>
        <v>0</v>
      </c>
      <c r="F265" s="272">
        <f t="shared" si="36"/>
        <v>0</v>
      </c>
      <c r="G265" s="272">
        <f t="shared" si="36"/>
        <v>0</v>
      </c>
      <c r="H265" s="272">
        <f t="shared" si="36"/>
        <v>0</v>
      </c>
      <c r="I265" s="272">
        <f t="shared" si="36"/>
        <v>0</v>
      </c>
      <c r="J265" s="272">
        <f t="shared" si="36"/>
        <v>0</v>
      </c>
      <c r="K265" t="s">
        <v>3715</v>
      </c>
      <c r="R265" s="126"/>
      <c r="S265" s="126"/>
    </row>
    <row r="266" spans="1:19" hidden="1">
      <c r="B266" t="str">
        <f>DataNameProd5 &amp; " " &amp; DataNameProd5Seg2 &amp; " Units"</f>
        <v>Product Five Product 5 Segment 2 Units</v>
      </c>
      <c r="C266" s="272"/>
      <c r="D266" s="272"/>
      <c r="E266" s="272"/>
      <c r="F266" s="272"/>
      <c r="G266" s="272"/>
      <c r="H266" s="272"/>
      <c r="I266" s="272"/>
      <c r="J266" s="272"/>
      <c r="K266" t="s">
        <v>3716</v>
      </c>
      <c r="R266" s="126"/>
      <c r="S266" s="126"/>
    </row>
    <row r="267" spans="1:19" hidden="1">
      <c r="B267" t="str">
        <f>DataNameProd5 &amp; " " &amp; DataNameProd5Seg3 &amp; " Units"</f>
        <v>Product Five Product 5 Segment 3 Units</v>
      </c>
      <c r="C267" s="272"/>
      <c r="D267" s="272"/>
      <c r="E267" s="272"/>
      <c r="F267" s="272"/>
      <c r="G267" s="272"/>
      <c r="H267" s="272"/>
      <c r="I267" s="272"/>
      <c r="J267" s="272"/>
      <c r="K267" t="s">
        <v>3717</v>
      </c>
      <c r="R267" s="126"/>
      <c r="S267" s="126"/>
    </row>
    <row r="268" spans="1:19" hidden="1">
      <c r="B268" t="str">
        <f>DataNameProd5 &amp; " " &amp; DataNameProd5Seg4 &amp; " Units"</f>
        <v>Product Five Product 5 Segment 4 Units</v>
      </c>
      <c r="C268" s="272"/>
      <c r="D268" s="272"/>
      <c r="E268" s="272"/>
      <c r="F268" s="272"/>
      <c r="G268" s="272"/>
      <c r="H268" s="272"/>
      <c r="I268" s="272"/>
      <c r="J268" s="272"/>
      <c r="K268" t="s">
        <v>1395</v>
      </c>
      <c r="R268" s="126"/>
      <c r="S268" s="126"/>
    </row>
    <row r="269" spans="1:19" hidden="1">
      <c r="B269" t="str">
        <f>DataNameProd5 &amp; " " &amp; DataNameProd5Seg5 &amp; " Units"</f>
        <v>Product Five Product 5 Segment 5 Units</v>
      </c>
      <c r="C269" s="272"/>
      <c r="D269" s="272"/>
      <c r="E269" s="272"/>
      <c r="F269" s="272"/>
      <c r="G269" s="272"/>
      <c r="H269" s="272"/>
      <c r="I269" s="272"/>
      <c r="J269" s="272"/>
      <c r="K269" t="s">
        <v>2701</v>
      </c>
      <c r="R269" s="126"/>
      <c r="S269" s="126"/>
    </row>
    <row r="270" spans="1:19" hidden="1">
      <c r="C270" s="14"/>
      <c r="D270" s="14"/>
      <c r="E270" s="14"/>
      <c r="F270" s="14"/>
      <c r="G270" s="14"/>
      <c r="H270" s="14"/>
      <c r="I270" s="14"/>
      <c r="J270" s="14"/>
      <c r="R270" s="126"/>
      <c r="S270" s="126"/>
    </row>
    <row r="271" spans="1:19" hidden="1">
      <c r="B271" t="s">
        <v>260</v>
      </c>
      <c r="C271" s="11">
        <f>C264/xxNumOfTeams</f>
        <v>0</v>
      </c>
      <c r="D271" s="11">
        <f t="shared" ref="D271:J271" si="37">D264/xxNumOfTeams</f>
        <v>0</v>
      </c>
      <c r="E271" s="11">
        <f t="shared" si="37"/>
        <v>0</v>
      </c>
      <c r="F271" s="11">
        <f t="shared" si="37"/>
        <v>0</v>
      </c>
      <c r="G271" s="11">
        <f t="shared" si="37"/>
        <v>0</v>
      </c>
      <c r="H271" s="11">
        <f t="shared" si="37"/>
        <v>0</v>
      </c>
      <c r="I271" s="11">
        <f t="shared" si="37"/>
        <v>0</v>
      </c>
      <c r="J271" s="11">
        <f t="shared" si="37"/>
        <v>0</v>
      </c>
      <c r="R271" s="126"/>
      <c r="S271" s="126"/>
    </row>
    <row r="272" spans="1:19" ht="12" hidden="1" thickBot="1">
      <c r="C272" s="10"/>
      <c r="D272" s="10"/>
      <c r="E272" s="10"/>
      <c r="F272" s="10"/>
      <c r="G272" s="10"/>
      <c r="H272" s="10"/>
      <c r="I272" s="10"/>
      <c r="J272" s="10"/>
      <c r="R272" s="126"/>
      <c r="S272" s="126"/>
    </row>
    <row r="273" spans="1:19" hidden="1">
      <c r="B273" s="268" t="s">
        <v>2702</v>
      </c>
      <c r="C273" s="194"/>
      <c r="D273" s="194"/>
      <c r="E273" s="194"/>
      <c r="F273" s="194"/>
      <c r="G273" s="194"/>
      <c r="H273" s="194"/>
      <c r="I273" s="194"/>
      <c r="J273" s="194"/>
      <c r="K273" s="195"/>
      <c r="R273" s="126"/>
      <c r="S273" s="126"/>
    </row>
    <row r="274" spans="1:19" hidden="1">
      <c r="B274" s="132"/>
      <c r="C274" s="62" t="str">
        <f>DataNameProd5</f>
        <v>Product Five</v>
      </c>
      <c r="D274" s="62"/>
      <c r="E274" s="62" t="s">
        <v>129</v>
      </c>
      <c r="F274" s="62" t="s">
        <v>130</v>
      </c>
      <c r="G274" s="62" t="s">
        <v>131</v>
      </c>
      <c r="H274" s="62" t="s">
        <v>1133</v>
      </c>
      <c r="I274" s="62" t="s">
        <v>1134</v>
      </c>
      <c r="J274" s="21"/>
      <c r="K274" s="133"/>
      <c r="R274" s="126"/>
      <c r="S274" s="126"/>
    </row>
    <row r="275" spans="1:19" hidden="1">
      <c r="B275" s="132"/>
      <c r="C275" s="273" t="s">
        <v>1402</v>
      </c>
      <c r="D275" s="274"/>
      <c r="E275" s="274">
        <v>10</v>
      </c>
      <c r="F275" s="274">
        <v>8</v>
      </c>
      <c r="G275" s="274">
        <v>9</v>
      </c>
      <c r="H275" s="274">
        <v>9</v>
      </c>
      <c r="I275" s="274">
        <v>10</v>
      </c>
      <c r="J275" s="274" t="s">
        <v>2703</v>
      </c>
      <c r="K275" s="133"/>
      <c r="R275" s="126"/>
      <c r="S275" s="126"/>
    </row>
    <row r="276" spans="1:19" hidden="1">
      <c r="B276" s="132"/>
      <c r="C276" s="273" t="s">
        <v>1404</v>
      </c>
      <c r="D276" s="274"/>
      <c r="E276" s="274">
        <v>8</v>
      </c>
      <c r="F276" s="274">
        <v>7</v>
      </c>
      <c r="G276" s="274">
        <v>7</v>
      </c>
      <c r="H276" s="274">
        <v>7</v>
      </c>
      <c r="I276" s="274">
        <v>5</v>
      </c>
      <c r="J276" s="274" t="s">
        <v>2704</v>
      </c>
      <c r="K276" s="133"/>
      <c r="R276" s="126"/>
      <c r="S276" s="126"/>
    </row>
    <row r="277" spans="1:19" hidden="1">
      <c r="B277" s="132"/>
      <c r="C277" s="273" t="s">
        <v>21</v>
      </c>
      <c r="D277" s="274"/>
      <c r="E277" s="274">
        <v>5</v>
      </c>
      <c r="F277" s="274">
        <v>8</v>
      </c>
      <c r="G277" s="274">
        <v>7</v>
      </c>
      <c r="H277" s="274">
        <v>8</v>
      </c>
      <c r="I277" s="274">
        <v>8</v>
      </c>
      <c r="J277" s="274" t="s">
        <v>2705</v>
      </c>
      <c r="K277" s="133"/>
      <c r="R277" s="126"/>
      <c r="S277" s="126"/>
    </row>
    <row r="278" spans="1:19" hidden="1">
      <c r="B278" s="132"/>
      <c r="C278" s="273" t="s">
        <v>126</v>
      </c>
      <c r="D278" s="274"/>
      <c r="E278" s="274">
        <v>1</v>
      </c>
      <c r="F278" s="274">
        <v>1</v>
      </c>
      <c r="G278" s="274">
        <v>1</v>
      </c>
      <c r="H278" s="274">
        <v>1</v>
      </c>
      <c r="I278" s="274">
        <v>1</v>
      </c>
      <c r="J278" s="274" t="s">
        <v>387</v>
      </c>
      <c r="K278" s="133"/>
      <c r="R278" s="126"/>
      <c r="S278" s="126"/>
    </row>
    <row r="279" spans="1:19" hidden="1">
      <c r="B279" s="132"/>
      <c r="C279" s="273" t="s">
        <v>127</v>
      </c>
      <c r="D279" s="274"/>
      <c r="E279" s="274">
        <v>1</v>
      </c>
      <c r="F279" s="274">
        <v>1</v>
      </c>
      <c r="G279" s="274">
        <v>1</v>
      </c>
      <c r="H279" s="274">
        <v>1</v>
      </c>
      <c r="I279" s="274">
        <v>1</v>
      </c>
      <c r="J279" s="274" t="s">
        <v>388</v>
      </c>
      <c r="K279" s="133"/>
      <c r="R279" s="126"/>
      <c r="S279" s="126"/>
    </row>
    <row r="280" spans="1:19" hidden="1">
      <c r="B280" s="132"/>
      <c r="C280" s="273" t="s">
        <v>128</v>
      </c>
      <c r="D280" s="274"/>
      <c r="E280" s="274">
        <v>1</v>
      </c>
      <c r="F280" s="274">
        <v>1</v>
      </c>
      <c r="G280" s="274">
        <v>1</v>
      </c>
      <c r="H280" s="274">
        <v>1</v>
      </c>
      <c r="I280" s="274">
        <v>1</v>
      </c>
      <c r="J280" s="274" t="s">
        <v>389</v>
      </c>
      <c r="K280" s="133"/>
      <c r="R280" s="126"/>
      <c r="S280" s="126"/>
    </row>
    <row r="281" spans="1:19" hidden="1">
      <c r="B281" s="132"/>
      <c r="C281" s="273" t="s">
        <v>1139</v>
      </c>
      <c r="D281" s="274"/>
      <c r="E281" s="274">
        <v>1</v>
      </c>
      <c r="F281" s="274">
        <v>1</v>
      </c>
      <c r="G281" s="274">
        <v>1</v>
      </c>
      <c r="H281" s="274">
        <v>1</v>
      </c>
      <c r="I281" s="274">
        <v>1</v>
      </c>
      <c r="J281" s="274" t="s">
        <v>390</v>
      </c>
      <c r="K281" s="133"/>
      <c r="R281" s="126"/>
      <c r="S281" s="126"/>
    </row>
    <row r="282" spans="1:19" hidden="1">
      <c r="B282" s="132"/>
      <c r="C282" s="273" t="s">
        <v>2384</v>
      </c>
      <c r="D282" s="274"/>
      <c r="E282" s="274">
        <v>1</v>
      </c>
      <c r="F282" s="274">
        <v>1</v>
      </c>
      <c r="G282" s="274">
        <v>1</v>
      </c>
      <c r="H282" s="274">
        <v>1</v>
      </c>
      <c r="I282" s="274">
        <v>1</v>
      </c>
      <c r="J282" s="274" t="s">
        <v>391</v>
      </c>
      <c r="K282" s="133"/>
      <c r="R282" s="126"/>
      <c r="S282" s="126"/>
    </row>
    <row r="283" spans="1:19" hidden="1">
      <c r="B283" s="132"/>
      <c r="C283" s="273" t="s">
        <v>2386</v>
      </c>
      <c r="D283" s="274"/>
      <c r="E283" s="274">
        <v>1</v>
      </c>
      <c r="F283" s="274">
        <v>1</v>
      </c>
      <c r="G283" s="274">
        <v>1</v>
      </c>
      <c r="H283" s="274">
        <v>1</v>
      </c>
      <c r="I283" s="274">
        <v>1</v>
      </c>
      <c r="J283" s="274" t="s">
        <v>392</v>
      </c>
      <c r="K283" s="133"/>
      <c r="R283" s="126"/>
      <c r="S283" s="126"/>
    </row>
    <row r="284" spans="1:19" hidden="1">
      <c r="B284" s="132"/>
      <c r="C284" s="273" t="s">
        <v>2956</v>
      </c>
      <c r="D284" s="274"/>
      <c r="E284" s="274">
        <v>1</v>
      </c>
      <c r="F284" s="274">
        <v>1</v>
      </c>
      <c r="G284" s="274">
        <v>1</v>
      </c>
      <c r="H284" s="274">
        <v>1</v>
      </c>
      <c r="I284" s="274">
        <v>1</v>
      </c>
      <c r="J284" s="274" t="s">
        <v>393</v>
      </c>
      <c r="K284" s="133"/>
      <c r="R284" s="126"/>
      <c r="S284" s="126"/>
    </row>
    <row r="285" spans="1:19" ht="12" hidden="1" thickBot="1">
      <c r="B285" s="134"/>
      <c r="C285" s="135"/>
      <c r="D285" s="135"/>
      <c r="E285" s="135"/>
      <c r="F285" s="135"/>
      <c r="G285" s="135"/>
      <c r="H285" s="135"/>
      <c r="I285" s="135"/>
      <c r="J285" s="135"/>
      <c r="K285" s="136"/>
      <c r="R285" s="126"/>
      <c r="S285" s="126"/>
    </row>
    <row r="286" spans="1:19" hidden="1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R286" s="126"/>
      <c r="S286" s="126"/>
    </row>
    <row r="287" spans="1:19" hidden="1">
      <c r="A287" s="2" t="str">
        <f>DataNameProd6 &amp; " Data"</f>
        <v>Product Six Data</v>
      </c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R287" s="126"/>
      <c r="S287" s="126"/>
    </row>
    <row r="288" spans="1:19" hidden="1">
      <c r="A288" s="2"/>
      <c r="C288" s="2">
        <v>-2</v>
      </c>
      <c r="D288" s="2">
        <v>-1</v>
      </c>
      <c r="E288" s="2">
        <v>0</v>
      </c>
      <c r="F288" s="2">
        <v>1</v>
      </c>
      <c r="G288" s="2">
        <v>2</v>
      </c>
      <c r="H288" s="2">
        <v>3</v>
      </c>
      <c r="I288" s="2">
        <v>4</v>
      </c>
      <c r="J288" s="2">
        <v>5</v>
      </c>
      <c r="R288" s="126"/>
      <c r="S288" s="126"/>
    </row>
    <row r="289" spans="2:19" hidden="1">
      <c r="B289" t="str">
        <f>DataNameProd6</f>
        <v>Product Six</v>
      </c>
      <c r="C289" s="275">
        <f>D289*0.95</f>
        <v>0</v>
      </c>
      <c r="D289" s="275">
        <f>E289*0.95</f>
        <v>0</v>
      </c>
      <c r="E289" s="275">
        <f>xxProd6BaseUnits</f>
        <v>0</v>
      </c>
      <c r="F289" s="275">
        <f>E289*1.05</f>
        <v>0</v>
      </c>
      <c r="G289" s="275">
        <f>F289*1.05</f>
        <v>0</v>
      </c>
      <c r="H289" s="275">
        <f>G289*1.05</f>
        <v>0</v>
      </c>
      <c r="I289" s="275">
        <f>H289*1.05</f>
        <v>0</v>
      </c>
      <c r="J289" s="275">
        <f>I289*1.05</f>
        <v>0</v>
      </c>
      <c r="K289" t="s">
        <v>3780</v>
      </c>
      <c r="R289" s="126"/>
      <c r="S289" s="126"/>
    </row>
    <row r="290" spans="2:19" hidden="1">
      <c r="B290" t="str">
        <f>DataNameProd6 &amp; " " &amp; DataNameProd6Seg1 &amp; " Units"</f>
        <v>Product Six Product 6 Segment 1 Units</v>
      </c>
      <c r="C290" s="272">
        <f t="shared" ref="C290:J290" si="38">C289</f>
        <v>0</v>
      </c>
      <c r="D290" s="272">
        <f t="shared" si="38"/>
        <v>0</v>
      </c>
      <c r="E290" s="272">
        <f t="shared" si="38"/>
        <v>0</v>
      </c>
      <c r="F290" s="272">
        <f t="shared" si="38"/>
        <v>0</v>
      </c>
      <c r="G290" s="272">
        <f t="shared" si="38"/>
        <v>0</v>
      </c>
      <c r="H290" s="272">
        <f t="shared" si="38"/>
        <v>0</v>
      </c>
      <c r="I290" s="272">
        <f t="shared" si="38"/>
        <v>0</v>
      </c>
      <c r="J290" s="272">
        <f t="shared" si="38"/>
        <v>0</v>
      </c>
      <c r="K290" t="s">
        <v>3781</v>
      </c>
      <c r="R290" s="126"/>
      <c r="S290" s="126"/>
    </row>
    <row r="291" spans="2:19" hidden="1">
      <c r="B291" t="str">
        <f>DataNameProd6 &amp; " " &amp; DataNameProd6Seg2 &amp; " Units"</f>
        <v>Product Six Product 6 Segment 2 Units</v>
      </c>
      <c r="C291" s="272"/>
      <c r="D291" s="272"/>
      <c r="E291" s="272"/>
      <c r="F291" s="272"/>
      <c r="G291" s="272"/>
      <c r="H291" s="272"/>
      <c r="I291" s="272"/>
      <c r="J291" s="272"/>
      <c r="K291" t="s">
        <v>586</v>
      </c>
      <c r="R291" s="126"/>
      <c r="S291" s="126"/>
    </row>
    <row r="292" spans="2:19" hidden="1">
      <c r="B292" t="str">
        <f>DataNameProd6 &amp; " " &amp; DataNameProd6Seg3 &amp; " Units"</f>
        <v>Product Six Product 6 Segment 3 Units</v>
      </c>
      <c r="C292" s="272"/>
      <c r="D292" s="272"/>
      <c r="E292" s="272"/>
      <c r="F292" s="272"/>
      <c r="G292" s="272"/>
      <c r="H292" s="272"/>
      <c r="I292" s="272"/>
      <c r="J292" s="272"/>
      <c r="K292" t="s">
        <v>587</v>
      </c>
      <c r="R292" s="126"/>
      <c r="S292" s="126"/>
    </row>
    <row r="293" spans="2:19" hidden="1">
      <c r="B293" t="str">
        <f>DataNameProd6 &amp; " " &amp; DataNameProd6Seg4 &amp; " Units"</f>
        <v>Product Six Product 6 Segment 4 Units</v>
      </c>
      <c r="C293" s="272"/>
      <c r="D293" s="272"/>
      <c r="E293" s="272"/>
      <c r="F293" s="272"/>
      <c r="G293" s="272"/>
      <c r="H293" s="272"/>
      <c r="I293" s="272"/>
      <c r="J293" s="272"/>
      <c r="K293" t="s">
        <v>588</v>
      </c>
      <c r="R293" s="126"/>
      <c r="S293" s="126"/>
    </row>
    <row r="294" spans="2:19" hidden="1">
      <c r="B294" t="str">
        <f>DataNameProd6 &amp; " " &amp; DataNameProd6Seg5 &amp; " Units"</f>
        <v>Product Six Product 6 Segment 5 Units</v>
      </c>
      <c r="C294" s="272"/>
      <c r="D294" s="272"/>
      <c r="E294" s="272"/>
      <c r="F294" s="272"/>
      <c r="G294" s="272"/>
      <c r="H294" s="272"/>
      <c r="I294" s="272"/>
      <c r="J294" s="272"/>
      <c r="K294" t="s">
        <v>589</v>
      </c>
      <c r="R294" s="126"/>
      <c r="S294" s="126"/>
    </row>
    <row r="295" spans="2:19" hidden="1">
      <c r="C295" s="14"/>
      <c r="D295" s="14"/>
      <c r="E295" s="14"/>
      <c r="F295" s="14"/>
      <c r="G295" s="14"/>
      <c r="H295" s="14"/>
      <c r="I295" s="14"/>
      <c r="J295" s="14"/>
      <c r="R295" s="126"/>
      <c r="S295" s="126"/>
    </row>
    <row r="296" spans="2:19" hidden="1">
      <c r="B296" t="s">
        <v>260</v>
      </c>
      <c r="C296" s="11">
        <f>C289/xxNumOfTeams</f>
        <v>0</v>
      </c>
      <c r="D296" s="11">
        <f t="shared" ref="D296:J296" si="39">D289/xxNumOfTeams</f>
        <v>0</v>
      </c>
      <c r="E296" s="11">
        <f t="shared" si="39"/>
        <v>0</v>
      </c>
      <c r="F296" s="11">
        <f t="shared" si="39"/>
        <v>0</v>
      </c>
      <c r="G296" s="11">
        <f t="shared" si="39"/>
        <v>0</v>
      </c>
      <c r="H296" s="11">
        <f t="shared" si="39"/>
        <v>0</v>
      </c>
      <c r="I296" s="11">
        <f t="shared" si="39"/>
        <v>0</v>
      </c>
      <c r="J296" s="11">
        <f t="shared" si="39"/>
        <v>0</v>
      </c>
      <c r="R296" s="126"/>
      <c r="S296" s="126"/>
    </row>
    <row r="297" spans="2:19" ht="12" hidden="1" thickBot="1">
      <c r="C297" s="10"/>
      <c r="D297" s="10"/>
      <c r="E297" s="10"/>
      <c r="F297" s="10"/>
      <c r="G297" s="10"/>
      <c r="H297" s="10"/>
      <c r="I297" s="10"/>
      <c r="J297" s="10"/>
      <c r="R297" s="126"/>
      <c r="S297" s="126"/>
    </row>
    <row r="298" spans="2:19" hidden="1">
      <c r="B298" s="268" t="s">
        <v>2114</v>
      </c>
      <c r="C298" s="194"/>
      <c r="D298" s="194"/>
      <c r="E298" s="194"/>
      <c r="F298" s="194"/>
      <c r="G298" s="194"/>
      <c r="H298" s="194"/>
      <c r="I298" s="194"/>
      <c r="J298" s="194"/>
      <c r="K298" s="195"/>
      <c r="R298" s="126"/>
      <c r="S298" s="126"/>
    </row>
    <row r="299" spans="2:19" hidden="1">
      <c r="B299" s="132"/>
      <c r="C299" s="62" t="str">
        <f>DataNameProd6</f>
        <v>Product Six</v>
      </c>
      <c r="D299" s="62"/>
      <c r="E299" s="62" t="s">
        <v>129</v>
      </c>
      <c r="F299" s="62" t="s">
        <v>130</v>
      </c>
      <c r="G299" s="62" t="s">
        <v>131</v>
      </c>
      <c r="H299" s="62" t="s">
        <v>1133</v>
      </c>
      <c r="I299" s="62" t="s">
        <v>1134</v>
      </c>
      <c r="J299" s="21"/>
      <c r="K299" s="133"/>
      <c r="R299" s="126"/>
      <c r="S299" s="126"/>
    </row>
    <row r="300" spans="2:19" hidden="1">
      <c r="B300" s="132"/>
      <c r="C300" s="273" t="s">
        <v>1402</v>
      </c>
      <c r="D300" s="274"/>
      <c r="E300" s="274">
        <v>10</v>
      </c>
      <c r="F300" s="274">
        <v>8</v>
      </c>
      <c r="G300" s="274">
        <v>9</v>
      </c>
      <c r="H300" s="274">
        <v>9</v>
      </c>
      <c r="I300" s="274">
        <v>10</v>
      </c>
      <c r="J300" s="274" t="s">
        <v>2115</v>
      </c>
      <c r="K300" s="133"/>
      <c r="R300" s="126"/>
      <c r="S300" s="126"/>
    </row>
    <row r="301" spans="2:19" hidden="1">
      <c r="B301" s="132"/>
      <c r="C301" s="273" t="s">
        <v>1404</v>
      </c>
      <c r="D301" s="274"/>
      <c r="E301" s="274">
        <v>8</v>
      </c>
      <c r="F301" s="274">
        <v>7</v>
      </c>
      <c r="G301" s="274">
        <v>7</v>
      </c>
      <c r="H301" s="274">
        <v>7</v>
      </c>
      <c r="I301" s="274">
        <v>5</v>
      </c>
      <c r="J301" s="274" t="s">
        <v>2116</v>
      </c>
      <c r="K301" s="133"/>
      <c r="R301" s="126"/>
      <c r="S301" s="126"/>
    </row>
    <row r="302" spans="2:19" hidden="1">
      <c r="B302" s="132"/>
      <c r="C302" s="273" t="s">
        <v>21</v>
      </c>
      <c r="D302" s="274"/>
      <c r="E302" s="274">
        <v>5</v>
      </c>
      <c r="F302" s="274">
        <v>8</v>
      </c>
      <c r="G302" s="274">
        <v>7</v>
      </c>
      <c r="H302" s="274">
        <v>8</v>
      </c>
      <c r="I302" s="274">
        <v>8</v>
      </c>
      <c r="J302" s="274" t="s">
        <v>1922</v>
      </c>
      <c r="K302" s="133"/>
      <c r="R302" s="126"/>
      <c r="S302" s="126"/>
    </row>
    <row r="303" spans="2:19" hidden="1">
      <c r="B303" s="132"/>
      <c r="C303" s="273" t="s">
        <v>126</v>
      </c>
      <c r="D303" s="274"/>
      <c r="E303" s="274">
        <v>1</v>
      </c>
      <c r="F303" s="274">
        <v>1</v>
      </c>
      <c r="G303" s="274">
        <v>1</v>
      </c>
      <c r="H303" s="274">
        <v>1</v>
      </c>
      <c r="I303" s="274">
        <v>1</v>
      </c>
      <c r="J303" s="274" t="s">
        <v>1923</v>
      </c>
      <c r="K303" s="133"/>
      <c r="R303" s="126"/>
      <c r="S303" s="126"/>
    </row>
    <row r="304" spans="2:19" hidden="1">
      <c r="B304" s="132"/>
      <c r="C304" s="273" t="s">
        <v>127</v>
      </c>
      <c r="D304" s="274"/>
      <c r="E304" s="274">
        <v>1</v>
      </c>
      <c r="F304" s="274">
        <v>1</v>
      </c>
      <c r="G304" s="274">
        <v>1</v>
      </c>
      <c r="H304" s="274">
        <v>1</v>
      </c>
      <c r="I304" s="274">
        <v>1</v>
      </c>
      <c r="J304" s="274" t="s">
        <v>1924</v>
      </c>
      <c r="K304" s="133"/>
      <c r="R304" s="126"/>
      <c r="S304" s="126"/>
    </row>
    <row r="305" spans="1:19" hidden="1">
      <c r="B305" s="132"/>
      <c r="C305" s="273" t="s">
        <v>128</v>
      </c>
      <c r="D305" s="274"/>
      <c r="E305" s="274">
        <v>1</v>
      </c>
      <c r="F305" s="274">
        <v>1</v>
      </c>
      <c r="G305" s="274">
        <v>1</v>
      </c>
      <c r="H305" s="274">
        <v>1</v>
      </c>
      <c r="I305" s="274">
        <v>1</v>
      </c>
      <c r="J305" s="274" t="s">
        <v>1925</v>
      </c>
      <c r="K305" s="133"/>
      <c r="R305" s="126"/>
      <c r="S305" s="126"/>
    </row>
    <row r="306" spans="1:19" hidden="1">
      <c r="B306" s="132"/>
      <c r="C306" s="273" t="s">
        <v>1139</v>
      </c>
      <c r="D306" s="274"/>
      <c r="E306" s="274">
        <v>1</v>
      </c>
      <c r="F306" s="274">
        <v>1</v>
      </c>
      <c r="G306" s="274">
        <v>1</v>
      </c>
      <c r="H306" s="274">
        <v>1</v>
      </c>
      <c r="I306" s="274">
        <v>1</v>
      </c>
      <c r="J306" s="274" t="s">
        <v>1926</v>
      </c>
      <c r="K306" s="133"/>
      <c r="R306" s="126"/>
      <c r="S306" s="126"/>
    </row>
    <row r="307" spans="1:19" hidden="1">
      <c r="B307" s="132"/>
      <c r="C307" s="273" t="s">
        <v>2384</v>
      </c>
      <c r="D307" s="274"/>
      <c r="E307" s="274">
        <v>1</v>
      </c>
      <c r="F307" s="274">
        <v>1</v>
      </c>
      <c r="G307" s="274">
        <v>1</v>
      </c>
      <c r="H307" s="274">
        <v>1</v>
      </c>
      <c r="I307" s="274">
        <v>1</v>
      </c>
      <c r="J307" s="274" t="s">
        <v>1927</v>
      </c>
      <c r="K307" s="133"/>
      <c r="R307" s="126"/>
      <c r="S307" s="126"/>
    </row>
    <row r="308" spans="1:19" hidden="1">
      <c r="B308" s="132"/>
      <c r="C308" s="273" t="s">
        <v>2386</v>
      </c>
      <c r="D308" s="274"/>
      <c r="E308" s="274">
        <v>1</v>
      </c>
      <c r="F308" s="274">
        <v>1</v>
      </c>
      <c r="G308" s="274">
        <v>1</v>
      </c>
      <c r="H308" s="274">
        <v>1</v>
      </c>
      <c r="I308" s="274">
        <v>1</v>
      </c>
      <c r="J308" s="274" t="s">
        <v>313</v>
      </c>
      <c r="K308" s="133"/>
      <c r="R308" s="126"/>
      <c r="S308" s="126"/>
    </row>
    <row r="309" spans="1:19" hidden="1">
      <c r="B309" s="132"/>
      <c r="C309" s="273" t="s">
        <v>2956</v>
      </c>
      <c r="D309" s="274"/>
      <c r="E309" s="274">
        <v>1</v>
      </c>
      <c r="F309" s="274">
        <v>1</v>
      </c>
      <c r="G309" s="274">
        <v>1</v>
      </c>
      <c r="H309" s="274">
        <v>1</v>
      </c>
      <c r="I309" s="274">
        <v>1</v>
      </c>
      <c r="J309" s="274" t="s">
        <v>314</v>
      </c>
      <c r="K309" s="133"/>
      <c r="R309" s="126"/>
      <c r="S309" s="126"/>
    </row>
    <row r="310" spans="1:19" ht="12" hidden="1" thickBot="1">
      <c r="B310" s="134"/>
      <c r="C310" s="135"/>
      <c r="D310" s="135"/>
      <c r="E310" s="135"/>
      <c r="F310" s="135"/>
      <c r="G310" s="135"/>
      <c r="H310" s="135"/>
      <c r="I310" s="135"/>
      <c r="J310" s="135"/>
      <c r="K310" s="136"/>
      <c r="R310" s="126"/>
      <c r="S310" s="126"/>
    </row>
    <row r="311" spans="1:19" hidden="1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R311" s="126"/>
      <c r="S311" s="126"/>
    </row>
    <row r="312" spans="1:19" hidden="1">
      <c r="A312" s="2" t="s">
        <v>693</v>
      </c>
      <c r="C312" s="2">
        <f t="shared" ref="C312:J312" si="40">C90</f>
        <v>-2</v>
      </c>
      <c r="D312" s="2">
        <f t="shared" si="40"/>
        <v>-1</v>
      </c>
      <c r="E312" s="2">
        <f t="shared" si="40"/>
        <v>0</v>
      </c>
      <c r="F312" s="2">
        <f t="shared" si="40"/>
        <v>1</v>
      </c>
      <c r="G312" s="2">
        <f t="shared" si="40"/>
        <v>2</v>
      </c>
      <c r="H312" s="2">
        <f t="shared" si="40"/>
        <v>3</v>
      </c>
      <c r="I312" s="2">
        <f t="shared" si="40"/>
        <v>4</v>
      </c>
      <c r="J312" s="2">
        <f t="shared" si="40"/>
        <v>5</v>
      </c>
      <c r="R312" s="126"/>
      <c r="S312" s="126"/>
    </row>
    <row r="313" spans="1:19" hidden="1">
      <c r="B313" t="s">
        <v>694</v>
      </c>
      <c r="C313" s="11">
        <f t="shared" ref="C313:J313" si="41">IF(xxYear&gt;=C$312,C$80,HLOOKUP(C$312,$E$71:$J$76,xxYear+2,TRUE))</f>
        <v>90</v>
      </c>
      <c r="D313" s="11">
        <f t="shared" si="41"/>
        <v>95</v>
      </c>
      <c r="E313" s="11">
        <f t="shared" si="41"/>
        <v>100</v>
      </c>
      <c r="F313" s="11">
        <f t="shared" si="41"/>
        <v>110</v>
      </c>
      <c r="G313" s="11">
        <f t="shared" si="41"/>
        <v>102</v>
      </c>
      <c r="H313" s="11">
        <f t="shared" si="41"/>
        <v>102</v>
      </c>
      <c r="I313" s="11">
        <f t="shared" si="41"/>
        <v>102</v>
      </c>
      <c r="J313" s="11">
        <f t="shared" si="41"/>
        <v>102</v>
      </c>
      <c r="R313" s="126"/>
      <c r="S313" s="126"/>
    </row>
    <row r="314" spans="1:19" hidden="1">
      <c r="B314" t="s">
        <v>2349</v>
      </c>
      <c r="C314" s="11"/>
      <c r="D314" s="11"/>
      <c r="E314" s="11"/>
      <c r="F314" s="11"/>
      <c r="G314" s="11"/>
      <c r="H314" s="11"/>
      <c r="I314" s="11"/>
      <c r="J314" s="11"/>
      <c r="R314" s="126"/>
      <c r="S314" s="126"/>
    </row>
    <row r="315" spans="1:19" ht="12" thickBot="1">
      <c r="R315" s="126"/>
      <c r="S315" s="126"/>
    </row>
    <row r="316" spans="1:19">
      <c r="B316" s="1145" t="s">
        <v>1263</v>
      </c>
      <c r="C316" s="1146" t="str">
        <f>DataNameProd1</f>
        <v>CSD</v>
      </c>
      <c r="D316" s="1146" t="str">
        <f>DataNameProd3</f>
        <v>NCB</v>
      </c>
      <c r="E316" s="1147" t="str">
        <f>DataNameProd4</f>
        <v>F&amp;S</v>
      </c>
      <c r="G316" s="1028" t="s">
        <v>714</v>
      </c>
      <c r="H316" s="1024" t="s">
        <v>195</v>
      </c>
      <c r="I316" s="1024" t="s">
        <v>1936</v>
      </c>
      <c r="J316" s="1024" t="s">
        <v>711</v>
      </c>
      <c r="K316" s="1024" t="s">
        <v>712</v>
      </c>
      <c r="L316" s="1024" t="s">
        <v>713</v>
      </c>
      <c r="M316" s="1024" t="s">
        <v>2780</v>
      </c>
      <c r="N316" s="1025" t="s">
        <v>2487</v>
      </c>
      <c r="R316" s="126"/>
      <c r="S316" s="126"/>
    </row>
    <row r="317" spans="1:19" ht="5.0999999999999996" customHeight="1">
      <c r="B317" s="1148"/>
      <c r="C317" s="1149"/>
      <c r="D317" s="1149"/>
      <c r="E317" s="1150"/>
      <c r="G317" s="554"/>
      <c r="H317" s="149"/>
      <c r="I317" s="149"/>
      <c r="J317" s="149"/>
      <c r="K317" s="149"/>
      <c r="L317" s="149"/>
      <c r="M317" s="21"/>
      <c r="N317" s="133"/>
      <c r="R317" s="126"/>
      <c r="S317" s="126"/>
    </row>
    <row r="318" spans="1:19" ht="11.25" customHeight="1">
      <c r="B318" s="1148" t="s">
        <v>2748</v>
      </c>
      <c r="C318" s="1151">
        <v>-0.15</v>
      </c>
      <c r="D318" s="1151">
        <v>-0.15</v>
      </c>
      <c r="E318" s="1152">
        <v>-0.15</v>
      </c>
      <c r="F318" s="4" t="s">
        <v>3452</v>
      </c>
      <c r="G318" s="554" t="s">
        <v>3889</v>
      </c>
      <c r="H318" s="728"/>
      <c r="I318" s="728">
        <v>0</v>
      </c>
      <c r="J318" s="728">
        <v>0</v>
      </c>
      <c r="K318" s="728">
        <v>0</v>
      </c>
      <c r="L318" s="728">
        <v>0</v>
      </c>
      <c r="M318" s="21"/>
      <c r="N318" s="133"/>
      <c r="R318" s="126"/>
      <c r="S318" s="126"/>
    </row>
    <row r="319" spans="1:19" ht="11.25" customHeight="1">
      <c r="B319" s="1153" t="s">
        <v>1006</v>
      </c>
      <c r="C319" s="1151">
        <v>0.02</v>
      </c>
      <c r="D319" s="1151">
        <v>0</v>
      </c>
      <c r="E319" s="1152">
        <v>0</v>
      </c>
      <c r="F319" s="4" t="s">
        <v>3452</v>
      </c>
      <c r="G319" s="1615" t="s">
        <v>4743</v>
      </c>
      <c r="H319" s="1616" t="s">
        <v>3519</v>
      </c>
      <c r="I319" s="728" t="s">
        <v>847</v>
      </c>
      <c r="J319" s="728">
        <v>12000000</v>
      </c>
      <c r="K319" s="728">
        <v>6</v>
      </c>
      <c r="L319" s="1117">
        <v>0.5</v>
      </c>
      <c r="M319" s="21"/>
      <c r="N319" s="133"/>
      <c r="R319" s="126"/>
      <c r="S319" s="126"/>
    </row>
    <row r="320" spans="1:19">
      <c r="B320" s="1153" t="s">
        <v>1905</v>
      </c>
      <c r="C320" s="1151">
        <v>0.02</v>
      </c>
      <c r="D320" s="1151">
        <v>0</v>
      </c>
      <c r="E320" s="1152">
        <v>0</v>
      </c>
      <c r="F320" s="4" t="s">
        <v>3452</v>
      </c>
      <c r="G320" s="1615" t="s">
        <v>4744</v>
      </c>
      <c r="H320" s="728" t="str">
        <f>DataNameProd1</f>
        <v>CSD</v>
      </c>
      <c r="I320" s="728" t="s">
        <v>848</v>
      </c>
      <c r="J320" s="728">
        <v>10000000</v>
      </c>
      <c r="K320" s="728">
        <v>4</v>
      </c>
      <c r="L320" s="1117">
        <v>0.25</v>
      </c>
      <c r="M320" s="21"/>
      <c r="N320" s="133"/>
      <c r="R320" s="126"/>
      <c r="S320" s="126"/>
    </row>
    <row r="321" spans="2:24">
      <c r="B321" s="1153" t="s">
        <v>1465</v>
      </c>
      <c r="C321" s="1151">
        <v>0.02</v>
      </c>
      <c r="D321" s="1151">
        <v>0</v>
      </c>
      <c r="E321" s="1152">
        <v>0</v>
      </c>
      <c r="F321" s="4" t="s">
        <v>3452</v>
      </c>
      <c r="G321" s="1615" t="s">
        <v>4159</v>
      </c>
      <c r="H321" s="1616" t="s">
        <v>3519</v>
      </c>
      <c r="I321" s="728" t="s">
        <v>849</v>
      </c>
      <c r="J321" s="728">
        <v>8000000</v>
      </c>
      <c r="K321" s="728">
        <v>4</v>
      </c>
      <c r="L321" s="1117">
        <v>0.25</v>
      </c>
      <c r="M321" s="21"/>
      <c r="N321" s="133"/>
      <c r="O321" s="728"/>
      <c r="R321" s="126"/>
      <c r="S321" s="126"/>
    </row>
    <row r="322" spans="2:24">
      <c r="B322" s="1153" t="s">
        <v>2504</v>
      </c>
      <c r="C322" s="1151">
        <v>0.02</v>
      </c>
      <c r="D322" s="1151">
        <v>0</v>
      </c>
      <c r="E322" s="1152">
        <v>0</v>
      </c>
      <c r="F322" s="4" t="s">
        <v>3452</v>
      </c>
      <c r="G322" s="1026" t="s">
        <v>2501</v>
      </c>
      <c r="H322" s="728" t="str">
        <f>DataNameProd1</f>
        <v>CSD</v>
      </c>
      <c r="I322" s="728" t="s">
        <v>850</v>
      </c>
      <c r="J322" s="728">
        <v>20000000</v>
      </c>
      <c r="K322" s="728">
        <v>8</v>
      </c>
      <c r="L322" s="1117">
        <v>0.5</v>
      </c>
      <c r="M322" s="21"/>
      <c r="N322" s="133"/>
      <c r="O322" s="728"/>
      <c r="P322" s="728"/>
      <c r="R322" s="126"/>
      <c r="S322" s="126"/>
    </row>
    <row r="323" spans="2:24">
      <c r="B323" s="1153" t="s">
        <v>1007</v>
      </c>
      <c r="C323" s="1151">
        <v>0.05</v>
      </c>
      <c r="D323" s="1151">
        <v>0</v>
      </c>
      <c r="E323" s="1152">
        <v>0</v>
      </c>
      <c r="F323" s="4" t="s">
        <v>3452</v>
      </c>
      <c r="G323" s="1026" t="s">
        <v>1381</v>
      </c>
      <c r="H323" s="728" t="str">
        <f>DataNameProd3</f>
        <v>NCB</v>
      </c>
      <c r="I323" s="728" t="s">
        <v>655</v>
      </c>
      <c r="J323" s="728">
        <v>10000000</v>
      </c>
      <c r="K323" s="728">
        <v>4</v>
      </c>
      <c r="L323" s="1117">
        <v>0.5</v>
      </c>
      <c r="M323" s="21"/>
      <c r="N323" s="133"/>
      <c r="P323" s="728"/>
      <c r="R323" s="126"/>
      <c r="S323" s="126"/>
    </row>
    <row r="324" spans="2:24">
      <c r="B324" s="1153" t="s">
        <v>1008</v>
      </c>
      <c r="C324" s="1151">
        <v>0</v>
      </c>
      <c r="D324" s="1151">
        <v>0</v>
      </c>
      <c r="E324" s="1152">
        <v>0</v>
      </c>
      <c r="F324" s="4" t="s">
        <v>3452</v>
      </c>
      <c r="G324" s="1615" t="s">
        <v>4805</v>
      </c>
      <c r="H324" s="728" t="str">
        <f>DataNameProd3</f>
        <v>NCB</v>
      </c>
      <c r="I324" s="728" t="s">
        <v>656</v>
      </c>
      <c r="J324" s="728">
        <v>8000000</v>
      </c>
      <c r="K324" s="728">
        <v>4</v>
      </c>
      <c r="L324" s="1117">
        <v>0.25</v>
      </c>
      <c r="M324" s="21"/>
      <c r="N324" s="133"/>
      <c r="P324" s="728"/>
      <c r="R324" s="126"/>
      <c r="S324" s="126"/>
    </row>
    <row r="325" spans="2:24">
      <c r="B325" s="1153" t="s">
        <v>1009</v>
      </c>
      <c r="C325" s="1151">
        <v>0</v>
      </c>
      <c r="D325" s="1151">
        <v>0</v>
      </c>
      <c r="E325" s="1152">
        <v>0</v>
      </c>
      <c r="F325" s="4" t="s">
        <v>3452</v>
      </c>
      <c r="G325" s="1026" t="s">
        <v>1382</v>
      </c>
      <c r="H325" s="728" t="str">
        <f>DataNameProd3</f>
        <v>NCB</v>
      </c>
      <c r="I325" s="728" t="s">
        <v>657</v>
      </c>
      <c r="J325" s="728">
        <v>24000000</v>
      </c>
      <c r="K325" s="728">
        <v>8</v>
      </c>
      <c r="L325" s="1117">
        <v>0.25</v>
      </c>
      <c r="M325" s="21"/>
      <c r="N325" s="133"/>
      <c r="O325" s="728"/>
      <c r="P325" s="728"/>
      <c r="R325" s="126"/>
      <c r="S325" s="126"/>
    </row>
    <row r="326" spans="2:24">
      <c r="B326" s="1153" t="s">
        <v>1010</v>
      </c>
      <c r="C326" s="1151">
        <v>0</v>
      </c>
      <c r="D326" s="1151">
        <v>0.02</v>
      </c>
      <c r="E326" s="1152">
        <v>0</v>
      </c>
      <c r="F326" s="4" t="s">
        <v>3452</v>
      </c>
      <c r="G326" s="1026" t="s">
        <v>2502</v>
      </c>
      <c r="H326" s="728" t="str">
        <f>DataNameProd3</f>
        <v>NCB</v>
      </c>
      <c r="I326" s="728" t="s">
        <v>658</v>
      </c>
      <c r="J326" s="728">
        <v>15000000</v>
      </c>
      <c r="K326" s="728">
        <v>8</v>
      </c>
      <c r="L326" s="1117">
        <v>0.5</v>
      </c>
      <c r="M326" s="21"/>
      <c r="N326" s="133"/>
      <c r="O326" s="728"/>
      <c r="P326" s="728"/>
      <c r="R326" s="126"/>
      <c r="S326" s="126"/>
    </row>
    <row r="327" spans="2:24">
      <c r="B327" s="1153" t="s">
        <v>1011</v>
      </c>
      <c r="C327" s="1151">
        <v>0</v>
      </c>
      <c r="D327" s="1151">
        <v>0.02</v>
      </c>
      <c r="E327" s="1152">
        <v>0</v>
      </c>
      <c r="F327" s="4" t="s">
        <v>3452</v>
      </c>
      <c r="G327" s="1026" t="s">
        <v>585</v>
      </c>
      <c r="H327" s="728" t="str">
        <f>DataNameProd4</f>
        <v>F&amp;S</v>
      </c>
      <c r="I327" s="728" t="s">
        <v>851</v>
      </c>
      <c r="J327" s="728">
        <v>6500000</v>
      </c>
      <c r="K327" s="728">
        <v>4</v>
      </c>
      <c r="L327" s="1117">
        <v>0.25</v>
      </c>
      <c r="M327" s="21"/>
      <c r="N327" s="133"/>
      <c r="R327" s="126"/>
      <c r="S327" s="126"/>
    </row>
    <row r="328" spans="2:24">
      <c r="B328" s="1153" t="s">
        <v>1012</v>
      </c>
      <c r="C328" s="1151">
        <v>0</v>
      </c>
      <c r="D328" s="1151">
        <v>0.02</v>
      </c>
      <c r="E328" s="1152">
        <v>0</v>
      </c>
      <c r="F328" s="4" t="s">
        <v>3452</v>
      </c>
      <c r="G328" s="1615" t="s">
        <v>4158</v>
      </c>
      <c r="H328" s="728" t="str">
        <f>DataNameProd4</f>
        <v>F&amp;S</v>
      </c>
      <c r="I328" s="728" t="s">
        <v>852</v>
      </c>
      <c r="J328" s="728">
        <v>12000000</v>
      </c>
      <c r="K328" s="728">
        <v>6</v>
      </c>
      <c r="L328" s="1117">
        <v>0.25</v>
      </c>
      <c r="N328" s="133"/>
    </row>
    <row r="329" spans="2:24">
      <c r="B329" s="1153" t="s">
        <v>860</v>
      </c>
      <c r="C329" s="1151">
        <v>0</v>
      </c>
      <c r="D329" s="1151">
        <v>0</v>
      </c>
      <c r="E329" s="1152">
        <v>0.02</v>
      </c>
      <c r="F329" s="4" t="s">
        <v>3452</v>
      </c>
      <c r="G329" s="1026" t="s">
        <v>2503</v>
      </c>
      <c r="H329" s="728" t="str">
        <f>DataNameProd4</f>
        <v>F&amp;S</v>
      </c>
      <c r="I329" s="728" t="s">
        <v>853</v>
      </c>
      <c r="J329" s="728">
        <v>16500000</v>
      </c>
      <c r="K329" s="728">
        <v>8</v>
      </c>
      <c r="L329" s="1117">
        <v>0.5</v>
      </c>
      <c r="N329" s="133"/>
    </row>
    <row r="330" spans="2:24">
      <c r="B330" s="1153" t="s">
        <v>3278</v>
      </c>
      <c r="C330" s="1151">
        <v>0</v>
      </c>
      <c r="D330" s="1151">
        <v>0</v>
      </c>
      <c r="E330" s="1152">
        <v>0.05</v>
      </c>
      <c r="F330" s="4" t="s">
        <v>3452</v>
      </c>
      <c r="G330" s="1615" t="s">
        <v>4157</v>
      </c>
      <c r="H330" s="728" t="str">
        <f>DataNameProd4</f>
        <v>F&amp;S</v>
      </c>
      <c r="I330" s="728" t="s">
        <v>854</v>
      </c>
      <c r="J330" s="728">
        <v>12000000</v>
      </c>
      <c r="K330" s="728">
        <v>4</v>
      </c>
      <c r="L330" s="1117">
        <v>0.5</v>
      </c>
      <c r="M330" s="21"/>
      <c r="N330" s="133"/>
      <c r="R330" s="126"/>
      <c r="S330" s="126"/>
    </row>
    <row r="331" spans="2:24" ht="11.25" customHeight="1">
      <c r="B331" s="1153" t="s">
        <v>3326</v>
      </c>
      <c r="C331" s="1151">
        <v>0</v>
      </c>
      <c r="D331" s="1151">
        <v>0</v>
      </c>
      <c r="E331" s="1152">
        <v>0.05</v>
      </c>
      <c r="F331" s="4" t="s">
        <v>3452</v>
      </c>
      <c r="G331" s="1026" t="s">
        <v>510</v>
      </c>
      <c r="H331" s="728" t="s">
        <v>3173</v>
      </c>
      <c r="I331" s="728" t="s">
        <v>1153</v>
      </c>
      <c r="J331" s="728">
        <v>8000000</v>
      </c>
      <c r="K331" s="728">
        <v>4</v>
      </c>
      <c r="L331" s="1117">
        <v>0.25</v>
      </c>
      <c r="M331" s="21"/>
      <c r="N331" s="133"/>
      <c r="R331" s="126"/>
      <c r="S331" s="126"/>
    </row>
    <row r="332" spans="2:24" ht="12" thickBot="1">
      <c r="B332" s="1153" t="s">
        <v>3327</v>
      </c>
      <c r="C332" s="1151">
        <v>0</v>
      </c>
      <c r="D332" s="1151">
        <v>0</v>
      </c>
      <c r="E332" s="1152">
        <v>0.02</v>
      </c>
      <c r="F332" s="4" t="s">
        <v>3452</v>
      </c>
      <c r="G332" s="1615" t="s">
        <v>4160</v>
      </c>
      <c r="H332" s="1616" t="s">
        <v>3173</v>
      </c>
      <c r="I332" s="1616" t="s">
        <v>1154</v>
      </c>
      <c r="J332" s="728">
        <v>10000000</v>
      </c>
      <c r="K332" s="728">
        <v>4</v>
      </c>
      <c r="L332" s="1117">
        <v>0.5</v>
      </c>
      <c r="M332" s="21"/>
      <c r="N332" s="133"/>
      <c r="O332" s="1464"/>
      <c r="P332" s="1199"/>
      <c r="Q332" s="126"/>
      <c r="R332" s="126"/>
    </row>
    <row r="333" spans="2:24" ht="11.25" customHeight="1" thickBot="1">
      <c r="B333" s="1153" t="s">
        <v>3328</v>
      </c>
      <c r="C333" s="1151">
        <v>0</v>
      </c>
      <c r="D333" s="1151">
        <v>0</v>
      </c>
      <c r="E333" s="1152">
        <v>-0.03</v>
      </c>
      <c r="F333" s="4" t="s">
        <v>3452</v>
      </c>
      <c r="G333" s="1027" t="s">
        <v>512</v>
      </c>
      <c r="H333" s="1035" t="s">
        <v>3173</v>
      </c>
      <c r="I333" s="1617" t="s">
        <v>3459</v>
      </c>
      <c r="J333" s="1035">
        <v>300000000</v>
      </c>
      <c r="K333" s="1035">
        <v>10</v>
      </c>
      <c r="L333" s="1118">
        <v>0.5</v>
      </c>
      <c r="M333" s="135"/>
      <c r="N333" s="136"/>
      <c r="O333" s="1037" t="s">
        <v>2204</v>
      </c>
      <c r="P333" s="1038" t="s">
        <v>2205</v>
      </c>
      <c r="Q333" s="1599" t="s">
        <v>3053</v>
      </c>
      <c r="R333" s="2629" t="s">
        <v>3774</v>
      </c>
      <c r="S333" s="2630"/>
    </row>
    <row r="334" spans="2:24">
      <c r="B334" s="1153" t="s">
        <v>3329</v>
      </c>
      <c r="C334" s="1151">
        <v>0</v>
      </c>
      <c r="D334" s="1151">
        <v>0.02</v>
      </c>
      <c r="E334" s="1152">
        <v>-0.03</v>
      </c>
      <c r="F334" s="4">
        <f>IF(AND(O334,P334),"unlocked",0)</f>
        <v>0</v>
      </c>
      <c r="G334" s="1026" t="str">
        <f>DataNameProd2Seg1</f>
        <v>*Holy Cow Cup</v>
      </c>
      <c r="H334" s="728" t="str">
        <f>DataNameProd2</f>
        <v>Breakthrough</v>
      </c>
      <c r="I334" s="1616" t="s">
        <v>3460</v>
      </c>
      <c r="J334" s="728">
        <v>32000000</v>
      </c>
      <c r="K334" s="728">
        <v>14</v>
      </c>
      <c r="L334" s="1117">
        <v>0.6</v>
      </c>
      <c r="M334" s="194">
        <v>5</v>
      </c>
      <c r="N334" s="195">
        <v>4</v>
      </c>
      <c r="O334" s="728" t="b">
        <f>INDEX(obalProd2Unlock1,xxIndexTeam)</f>
        <v>0</v>
      </c>
      <c r="P334" s="1034" t="b">
        <v>1</v>
      </c>
      <c r="Q334" s="1600">
        <v>3</v>
      </c>
      <c r="R334" s="2631" t="s">
        <v>3773</v>
      </c>
      <c r="S334" s="1618" t="s">
        <v>4082</v>
      </c>
      <c r="T334" s="728" t="str">
        <f>VLOOKUP(S334,$G$342:$H$412,2,0)</f>
        <v>Local Global Innovation</v>
      </c>
      <c r="U334" s="2467" t="s">
        <v>3206</v>
      </c>
      <c r="V334" t="str">
        <f>VLOOKUP(U334,$G$342:$H$412,2,0)</f>
        <v>Nutrition Start-up Partnerships</v>
      </c>
      <c r="W334" s="1571"/>
      <c r="X334" s="21"/>
    </row>
    <row r="335" spans="2:24" ht="11.25" customHeight="1">
      <c r="B335" s="1153" t="s">
        <v>856</v>
      </c>
      <c r="C335" s="1151">
        <v>0</v>
      </c>
      <c r="D335" s="1151">
        <v>0.02</v>
      </c>
      <c r="E335" s="1152">
        <v>-0.03</v>
      </c>
      <c r="F335" s="4">
        <f t="shared" ref="F335:F337" si="42">IF(AND(O335,P335),"unlocked",0)</f>
        <v>0</v>
      </c>
      <c r="G335" s="1026" t="str">
        <f>DataNameProd2Seg2</f>
        <v>*Nitro Nachos</v>
      </c>
      <c r="H335" s="728" t="str">
        <f>DataNameProd2</f>
        <v>Breakthrough</v>
      </c>
      <c r="I335" s="1616" t="s">
        <v>3461</v>
      </c>
      <c r="J335" s="728">
        <v>30000000</v>
      </c>
      <c r="K335" s="728">
        <v>12</v>
      </c>
      <c r="L335" s="1117">
        <v>0.6</v>
      </c>
      <c r="M335" s="1160">
        <v>5</v>
      </c>
      <c r="N335" s="133">
        <v>2</v>
      </c>
      <c r="O335" s="728" t="b">
        <f>INDEX(obalProd2Unlock1,xxIndexTeam)</f>
        <v>0</v>
      </c>
      <c r="P335" s="1034" t="b">
        <v>1</v>
      </c>
      <c r="Q335" s="1600">
        <v>3</v>
      </c>
      <c r="R335" s="2632"/>
      <c r="S335" s="1628" t="s">
        <v>3205</v>
      </c>
      <c r="T335" s="728" t="str">
        <f>VLOOKUP(S335,$G$342:$H$412,2,0)</f>
        <v>Market Research Study</v>
      </c>
      <c r="U335" s="2466" t="s">
        <v>3203</v>
      </c>
      <c r="V335" t="str">
        <f>VLOOKUP(U335,$G$342:$H$412,2,0)</f>
        <v>Parnership With University R&amp;D Lab</v>
      </c>
      <c r="W335" s="21"/>
      <c r="X335" s="21"/>
    </row>
    <row r="336" spans="2:24">
      <c r="B336" s="1153" t="s">
        <v>857</v>
      </c>
      <c r="C336" s="1151">
        <v>0.02</v>
      </c>
      <c r="D336" s="1151">
        <v>0</v>
      </c>
      <c r="E336" s="1152">
        <v>0.05</v>
      </c>
      <c r="F336" s="4">
        <f t="shared" si="42"/>
        <v>0</v>
      </c>
      <c r="G336" s="1026" t="str">
        <f>DataNameProd2Seg3</f>
        <v>*Home Fountain</v>
      </c>
      <c r="H336" s="728" t="str">
        <f>DataNameProd2</f>
        <v>Breakthrough</v>
      </c>
      <c r="I336" s="1616" t="s">
        <v>3462</v>
      </c>
      <c r="J336" s="728">
        <v>38000000</v>
      </c>
      <c r="K336" s="728">
        <v>14</v>
      </c>
      <c r="L336" s="1117">
        <v>0.6</v>
      </c>
      <c r="M336" s="1161">
        <v>7</v>
      </c>
      <c r="N336" s="133">
        <v>6</v>
      </c>
      <c r="O336" s="728" t="b">
        <f>INDEX(obalProd2Unlock1,xxIndexTeam)</f>
        <v>0</v>
      </c>
      <c r="P336" s="1034" t="b">
        <f>INDEX(obalProd2Unlock2,xxIndexTeam)</f>
        <v>0</v>
      </c>
      <c r="Q336" s="1600">
        <v>6</v>
      </c>
      <c r="R336" s="2631" t="s">
        <v>3775</v>
      </c>
      <c r="S336" s="1596" t="s">
        <v>4082</v>
      </c>
      <c r="T336" s="728" t="str">
        <f>VLOOKUP(S336,$G$342:$H$412,2,0)</f>
        <v>Local Global Innovation</v>
      </c>
      <c r="U336" s="2466" t="s">
        <v>4727</v>
      </c>
      <c r="V336" t="str">
        <f>VLOOKUP(U336,$G$342:$H$412,2,0)</f>
        <v>Executive Sponsorship for Breakthrough Innovation</v>
      </c>
    </row>
    <row r="337" spans="2:22" ht="12" thickBot="1">
      <c r="B337" s="1153" t="s">
        <v>858</v>
      </c>
      <c r="C337" s="1151">
        <v>0.02</v>
      </c>
      <c r="D337" s="1151">
        <v>0</v>
      </c>
      <c r="E337" s="1152">
        <v>0.05</v>
      </c>
      <c r="F337" s="4">
        <f t="shared" si="42"/>
        <v>0</v>
      </c>
      <c r="G337" s="1027" t="str">
        <f>DataNameProd2Seg4</f>
        <v>*CentrePlate</v>
      </c>
      <c r="H337" s="1035" t="str">
        <f>DataNameProd2</f>
        <v>Breakthrough</v>
      </c>
      <c r="I337" s="1617" t="s">
        <v>4161</v>
      </c>
      <c r="J337" s="1035">
        <v>39500000</v>
      </c>
      <c r="K337" s="1035">
        <v>14</v>
      </c>
      <c r="L337" s="1118">
        <v>0.6</v>
      </c>
      <c r="M337" s="135">
        <v>7</v>
      </c>
      <c r="N337" s="136">
        <v>4</v>
      </c>
      <c r="O337" s="1035" t="b">
        <f>INDEX(obalProd2Unlock1,xxIndexTeam)</f>
        <v>0</v>
      </c>
      <c r="P337" s="1036" t="b">
        <f>INDEX(obalProd2Unlock2,xxIndexTeam)</f>
        <v>0</v>
      </c>
      <c r="Q337" s="1601">
        <v>6</v>
      </c>
      <c r="R337" s="2633"/>
      <c r="S337" s="2469" t="s">
        <v>4084</v>
      </c>
      <c r="T337" s="728" t="str">
        <f>VLOOKUP(S337,$G$342:$H$412,2,0)</f>
        <v>Innovation Stage Gates</v>
      </c>
      <c r="U337" s="2468" t="s">
        <v>4081</v>
      </c>
      <c r="V337" t="str">
        <f>VLOOKUP(U337,$G$342:$H$412,2,0)</f>
        <v>Cherry Picking Innovations</v>
      </c>
    </row>
    <row r="338" spans="2:22" ht="12" thickBot="1">
      <c r="B338" s="1154" t="s">
        <v>859</v>
      </c>
      <c r="C338" s="1155">
        <v>0.02</v>
      </c>
      <c r="D338" s="1155">
        <v>0</v>
      </c>
      <c r="E338" s="1156">
        <v>0.02</v>
      </c>
    </row>
    <row r="340" spans="2:22" ht="12" thickBot="1"/>
    <row r="341" spans="2:22" ht="12" thickBot="1">
      <c r="B341" s="1469" t="s">
        <v>861</v>
      </c>
      <c r="C341" s="1470">
        <v>0.3</v>
      </c>
      <c r="D341" s="1471" t="s">
        <v>3907</v>
      </c>
      <c r="G341" s="2" t="s">
        <v>3821</v>
      </c>
      <c r="H341" s="1069" t="s">
        <v>3822</v>
      </c>
      <c r="I341" s="2" t="s">
        <v>3808</v>
      </c>
      <c r="J341" s="2" t="s">
        <v>3807</v>
      </c>
      <c r="K341" s="2" t="s">
        <v>1259</v>
      </c>
      <c r="L341" s="2" t="s">
        <v>195</v>
      </c>
      <c r="M341" s="2" t="s">
        <v>2744</v>
      </c>
    </row>
    <row r="342" spans="2:22">
      <c r="B342" s="1148" t="s">
        <v>862</v>
      </c>
      <c r="C342" s="1152">
        <v>0.6</v>
      </c>
      <c r="D342" s="1471" t="s">
        <v>3437</v>
      </c>
      <c r="F342" t="s">
        <v>3823</v>
      </c>
      <c r="G342" s="2501">
        <v>0</v>
      </c>
      <c r="H342" s="2502">
        <v>0</v>
      </c>
      <c r="I342" s="2502">
        <v>0</v>
      </c>
      <c r="J342" s="2502">
        <v>0</v>
      </c>
      <c r="K342" s="2502">
        <v>0</v>
      </c>
      <c r="L342" s="2503">
        <v>0</v>
      </c>
      <c r="M342" s="2504">
        <v>0</v>
      </c>
    </row>
    <row r="343" spans="2:22">
      <c r="B343" s="1148" t="s">
        <v>863</v>
      </c>
      <c r="C343" s="1152">
        <v>0.3</v>
      </c>
      <c r="D343" s="1471" t="s">
        <v>3438</v>
      </c>
      <c r="G343" s="132" t="s">
        <v>4014</v>
      </c>
      <c r="H343" s="21" t="s">
        <v>249</v>
      </c>
      <c r="I343" s="180">
        <f>SUMIF(adj!$B$322:$B$1120,$G343,adj!R$322:R$1120)</f>
        <v>2000000</v>
      </c>
      <c r="J343" s="180">
        <f>SUMIF(adj!$B$322:$B$1120,$G343,adj!S$322:S$1120)</f>
        <v>0</v>
      </c>
      <c r="K343" s="21">
        <f>SUMIF(adj!$B$322:$B$1120,$G343,adj!T$322:T$1120)</f>
        <v>5</v>
      </c>
      <c r="L343" s="1576" t="s">
        <v>4162</v>
      </c>
      <c r="M343" s="446">
        <f t="shared" ref="M343:M387" si="43">(I343+J343/(1.1^1)+J343/(1.1^2)+J343/(1.1^3)+J343/(1.1^4))*K343</f>
        <v>10000000</v>
      </c>
    </row>
    <row r="344" spans="2:22">
      <c r="B344" s="1148" t="s">
        <v>3904</v>
      </c>
      <c r="C344" s="1152">
        <v>0.3</v>
      </c>
      <c r="D344" s="1471" t="s">
        <v>3440</v>
      </c>
      <c r="G344" s="132" t="s">
        <v>4015</v>
      </c>
      <c r="H344" s="21" t="s">
        <v>3107</v>
      </c>
      <c r="I344" s="180">
        <f>SUMIF(adj!$B$322:$B$1120,$G344,adj!R$322:R$1120)</f>
        <v>2500000</v>
      </c>
      <c r="J344" s="180">
        <f>SUMIF(adj!$B$322:$B$1120,$G344,adj!S$322:S$1120)</f>
        <v>0</v>
      </c>
      <c r="K344" s="21">
        <f>SUMIF(adj!$B$322:$B$1120,$G344,adj!T$322:T$1120)</f>
        <v>5</v>
      </c>
      <c r="L344" s="1576" t="s">
        <v>1720</v>
      </c>
      <c r="M344" s="446">
        <f t="shared" si="43"/>
        <v>12500000</v>
      </c>
    </row>
    <row r="345" spans="2:22">
      <c r="B345" s="1148" t="s">
        <v>3905</v>
      </c>
      <c r="C345" s="1152">
        <v>0.7</v>
      </c>
      <c r="D345" s="1471" t="s">
        <v>3439</v>
      </c>
      <c r="G345" s="132" t="s">
        <v>4016</v>
      </c>
      <c r="H345" s="21" t="s">
        <v>2025</v>
      </c>
      <c r="I345" s="180">
        <f>SUMIF(adj!$B$322:$B$1120,$G345,adj!R$322:R$1120)</f>
        <v>2500000</v>
      </c>
      <c r="J345" s="180">
        <f>SUMIF(adj!$B$322:$B$1120,$G345,adj!S$322:S$1120)</f>
        <v>0</v>
      </c>
      <c r="K345" s="21">
        <f>SUMIF(adj!$B$322:$B$1120,$G345,adj!T$322:T$1120)</f>
        <v>5</v>
      </c>
      <c r="L345" s="1576" t="s">
        <v>1720</v>
      </c>
      <c r="M345" s="446">
        <f t="shared" si="43"/>
        <v>12500000</v>
      </c>
      <c r="N345" s="438"/>
    </row>
    <row r="346" spans="2:22" ht="12" thickBot="1">
      <c r="B346" s="1472" t="s">
        <v>3906</v>
      </c>
      <c r="C346" s="1156">
        <v>0.8</v>
      </c>
      <c r="D346" s="1471" t="s">
        <v>3441</v>
      </c>
      <c r="G346" s="132" t="s">
        <v>4017</v>
      </c>
      <c r="H346" s="21" t="s">
        <v>2030</v>
      </c>
      <c r="I346" s="180">
        <f>SUMIF(adj!$B$322:$B$1120,$G346,adj!R$322:R$1120)</f>
        <v>2000000</v>
      </c>
      <c r="J346" s="180">
        <f>SUMIF(adj!$B$322:$B$1120,$G346,adj!S$322:S$1120)</f>
        <v>1000000</v>
      </c>
      <c r="K346" s="21">
        <f>SUMIF(adj!$B$322:$B$1120,$G346,adj!T$322:T$1120)</f>
        <v>10</v>
      </c>
      <c r="L346" s="1576" t="s">
        <v>4004</v>
      </c>
      <c r="M346" s="446">
        <f t="shared" si="43"/>
        <v>51698654.463492922</v>
      </c>
    </row>
    <row r="347" spans="2:22">
      <c r="G347" s="132" t="s">
        <v>4018</v>
      </c>
      <c r="H347" s="21" t="s">
        <v>2031</v>
      </c>
      <c r="I347" s="180">
        <f>SUMIF(adj!$B$322:$B$1120,$G347,adj!R$322:R$1120)</f>
        <v>2000000</v>
      </c>
      <c r="J347" s="180">
        <f>SUMIF(adj!$B$322:$B$1120,$G347,adj!S$322:S$1120)</f>
        <v>1000000</v>
      </c>
      <c r="K347" s="21">
        <f>SUMIF(adj!$B$322:$B$1120,$G347,adj!T$322:T$1120)</f>
        <v>10</v>
      </c>
      <c r="L347" s="1576" t="s">
        <v>4004</v>
      </c>
      <c r="M347" s="446">
        <f t="shared" si="43"/>
        <v>51698654.463492922</v>
      </c>
    </row>
    <row r="348" spans="2:22">
      <c r="G348" s="132" t="s">
        <v>4019</v>
      </c>
      <c r="H348" s="21" t="s">
        <v>1110</v>
      </c>
      <c r="I348" s="180">
        <f>SUMIF(adj!$B$322:$B$1120,$G348,adj!R$322:R$1120)</f>
        <v>3000000</v>
      </c>
      <c r="J348" s="180">
        <f>SUMIF(adj!$B$322:$B$1120,$G348,adj!S$322:S$1120)</f>
        <v>0</v>
      </c>
      <c r="K348" s="21">
        <f>SUMIF(adj!$B$322:$B$1120,$G348,adj!T$322:T$1120)</f>
        <v>10</v>
      </c>
      <c r="L348" s="1576" t="s">
        <v>4162</v>
      </c>
      <c r="M348" s="446">
        <f t="shared" si="43"/>
        <v>30000000</v>
      </c>
    </row>
    <row r="349" spans="2:22" ht="12" thickBot="1">
      <c r="G349" s="132" t="s">
        <v>4020</v>
      </c>
      <c r="H349" s="1571" t="s">
        <v>4874</v>
      </c>
      <c r="I349" s="180">
        <f>SUMIF(adj!$B$322:$B$1120,$G349,adj!R$322:R$1120)</f>
        <v>1000000</v>
      </c>
      <c r="J349" s="180">
        <f>SUMIF(adj!$B$322:$B$1120,$G349,adj!S$322:S$1120)</f>
        <v>500000</v>
      </c>
      <c r="K349" s="21">
        <f>SUMIF(adj!$B$322:$B$1120,$G349,adj!T$322:T$1120)</f>
        <v>5</v>
      </c>
      <c r="L349" s="1576" t="s">
        <v>1720</v>
      </c>
      <c r="M349" s="446">
        <f t="shared" si="43"/>
        <v>12924663.615873231</v>
      </c>
    </row>
    <row r="350" spans="2:22">
      <c r="B350" s="1020" t="s">
        <v>765</v>
      </c>
      <c r="D350" s="1023" t="s">
        <v>1705</v>
      </c>
      <c r="E350" s="168" t="s">
        <v>1711</v>
      </c>
      <c r="G350" s="132" t="s">
        <v>4021</v>
      </c>
      <c r="H350" s="1571" t="s">
        <v>4729</v>
      </c>
      <c r="I350" s="180">
        <f>SUMIF(adj!$B$322:$B$1120,$G350,adj!R$322:R$1120)</f>
        <v>750000</v>
      </c>
      <c r="J350" s="180">
        <f>SUMIF(adj!$B$322:$B$1120,$G350,adj!S$322:S$1120)</f>
        <v>750000</v>
      </c>
      <c r="K350" s="21">
        <f>SUMIF(adj!$B$322:$B$1120,$G350,adj!T$322:T$1120)</f>
        <v>8</v>
      </c>
      <c r="L350" s="1576" t="s">
        <v>1720</v>
      </c>
      <c r="M350" s="446">
        <f t="shared" si="43"/>
        <v>25019192.678095754</v>
      </c>
    </row>
    <row r="351" spans="2:22">
      <c r="B351" s="446">
        <v>1</v>
      </c>
      <c r="D351" s="1021" t="s">
        <v>1706</v>
      </c>
      <c r="E351" s="133">
        <v>2</v>
      </c>
      <c r="F351" s="149" t="s">
        <v>1712</v>
      </c>
      <c r="G351" s="132" t="s">
        <v>4022</v>
      </c>
      <c r="H351" s="1571" t="s">
        <v>4730</v>
      </c>
      <c r="I351" s="180">
        <f>SUMIF(adj!$B$322:$B$1120,$G351,adj!R$322:R$1120)</f>
        <v>750000</v>
      </c>
      <c r="J351" s="180">
        <f>SUMIF(adj!$B$322:$B$1120,$G351,adj!S$322:S$1120)</f>
        <v>750000</v>
      </c>
      <c r="K351" s="21">
        <f>SUMIF(adj!$B$322:$B$1120,$G351,adj!T$322:T$1120)</f>
        <v>8</v>
      </c>
      <c r="L351" s="1576" t="s">
        <v>1720</v>
      </c>
      <c r="M351" s="446">
        <f t="shared" si="43"/>
        <v>25019192.678095754</v>
      </c>
    </row>
    <row r="352" spans="2:22">
      <c r="B352" s="446">
        <v>2</v>
      </c>
      <c r="D352" s="1021" t="s">
        <v>1707</v>
      </c>
      <c r="E352" s="133">
        <v>4</v>
      </c>
      <c r="G352" s="132" t="s">
        <v>4023</v>
      </c>
      <c r="H352" s="21" t="s">
        <v>2032</v>
      </c>
      <c r="I352" s="180">
        <f>SUMIF(adj!$B$322:$B$1120,$G352,adj!R$322:R$1120)</f>
        <v>1500000</v>
      </c>
      <c r="J352" s="180">
        <f>SUMIF(adj!$B$322:$B$1120,$G352,adj!S$322:S$1120)</f>
        <v>0</v>
      </c>
      <c r="K352" s="21">
        <f>SUMIF(adj!$B$322:$B$1120,$G352,adj!T$322:T$1120)</f>
        <v>10</v>
      </c>
      <c r="L352" s="1576" t="s">
        <v>4004</v>
      </c>
      <c r="M352" s="446">
        <f t="shared" si="43"/>
        <v>15000000</v>
      </c>
    </row>
    <row r="353" spans="2:13">
      <c r="B353" s="446">
        <v>3</v>
      </c>
      <c r="D353" s="1021" t="s">
        <v>1708</v>
      </c>
      <c r="E353" s="133">
        <v>6</v>
      </c>
      <c r="G353" s="132" t="s">
        <v>4024</v>
      </c>
      <c r="H353" s="21" t="s">
        <v>1466</v>
      </c>
      <c r="I353" s="180">
        <f>SUMIF(adj!$B$322:$B$1120,$G353,adj!R$322:R$1120)</f>
        <v>1500000</v>
      </c>
      <c r="J353" s="180">
        <f>SUMIF(adj!$B$322:$B$1120,$G353,adj!S$322:S$1120)</f>
        <v>0</v>
      </c>
      <c r="K353" s="21">
        <f>SUMIF(adj!$B$322:$B$1120,$G353,adj!T$322:T$1120)</f>
        <v>10</v>
      </c>
      <c r="L353" s="1576" t="s">
        <v>4004</v>
      </c>
      <c r="M353" s="446">
        <f t="shared" si="43"/>
        <v>15000000</v>
      </c>
    </row>
    <row r="354" spans="2:13">
      <c r="B354" s="446">
        <v>4</v>
      </c>
      <c r="D354" s="1021" t="s">
        <v>1709</v>
      </c>
      <c r="E354" s="133">
        <v>8</v>
      </c>
      <c r="G354" s="132" t="s">
        <v>4025</v>
      </c>
      <c r="H354" s="21" t="s">
        <v>3202</v>
      </c>
      <c r="I354" s="180">
        <f>SUMIF(adj!$B$322:$B$1120,$G354,adj!R$322:R$1120)</f>
        <v>2000000</v>
      </c>
      <c r="J354" s="180">
        <f>SUMIF(adj!$B$322:$B$1120,$G354,adj!S$322:S$1120)</f>
        <v>500000</v>
      </c>
      <c r="K354" s="21">
        <f>SUMIF(adj!$B$322:$B$1120,$G354,adj!T$322:T$1120)</f>
        <v>5</v>
      </c>
      <c r="L354" s="1576" t="s">
        <v>4162</v>
      </c>
      <c r="M354" s="446">
        <f t="shared" si="43"/>
        <v>17924663.615873232</v>
      </c>
    </row>
    <row r="355" spans="2:13" ht="12" thickBot="1">
      <c r="B355" s="446">
        <v>5</v>
      </c>
      <c r="D355" s="1022" t="s">
        <v>1710</v>
      </c>
      <c r="E355" s="136">
        <v>10</v>
      </c>
      <c r="G355" s="132" t="s">
        <v>4026</v>
      </c>
      <c r="H355" s="21" t="s">
        <v>2913</v>
      </c>
      <c r="I355" s="180">
        <f>SUMIF(adj!$B$322:$B$1120,$G355,adj!R$322:R$1120)</f>
        <v>10000000</v>
      </c>
      <c r="J355" s="180">
        <f>SUMIF(adj!$B$322:$B$1120,$G355,adj!S$322:S$1120)</f>
        <v>0</v>
      </c>
      <c r="K355" s="21">
        <f>SUMIF(adj!$B$322:$B$1120,$G355,adj!T$322:T$1120)</f>
        <v>5</v>
      </c>
      <c r="L355" s="1576" t="s">
        <v>4004</v>
      </c>
      <c r="M355" s="446">
        <f t="shared" si="43"/>
        <v>50000000</v>
      </c>
    </row>
    <row r="356" spans="2:13">
      <c r="B356" s="446">
        <v>6</v>
      </c>
      <c r="G356" s="132" t="s">
        <v>4027</v>
      </c>
      <c r="H356" s="21" t="s">
        <v>2914</v>
      </c>
      <c r="I356" s="180">
        <f>SUMIF(adj!$B$322:$B$1120,$G356,adj!R$322:R$1120)</f>
        <v>5000000</v>
      </c>
      <c r="J356" s="180">
        <f>SUMIF(adj!$B$322:$B$1120,$G356,adj!S$322:S$1120)</f>
        <v>2000000</v>
      </c>
      <c r="K356" s="21">
        <f>SUMIF(adj!$B$322:$B$1120,$G356,adj!T$322:T$1120)</f>
        <v>10</v>
      </c>
      <c r="L356" s="1576" t="s">
        <v>4004</v>
      </c>
      <c r="M356" s="446">
        <f t="shared" si="43"/>
        <v>113397308.92698586</v>
      </c>
    </row>
    <row r="357" spans="2:13">
      <c r="B357" s="446">
        <v>7</v>
      </c>
      <c r="G357" s="132" t="s">
        <v>4028</v>
      </c>
      <c r="H357" s="21" t="s">
        <v>2915</v>
      </c>
      <c r="I357" s="180">
        <f>SUMIF(adj!$B$322:$B$1120,$G357,adj!R$322:R$1120)</f>
        <v>3333333.3333333335</v>
      </c>
      <c r="J357" s="180">
        <f>SUMIF(adj!$B$322:$B$1120,$G357,adj!S$322:S$1120)</f>
        <v>1333333.3333333333</v>
      </c>
      <c r="K357" s="21">
        <f>SUMIF(adj!$B$322:$B$1120,$G357,adj!T$322:T$1120)</f>
        <v>5</v>
      </c>
      <c r="L357" s="1576" t="s">
        <v>1720</v>
      </c>
      <c r="M357" s="446">
        <f t="shared" si="43"/>
        <v>37799102.975661948</v>
      </c>
    </row>
    <row r="358" spans="2:13">
      <c r="B358" s="446">
        <v>8</v>
      </c>
      <c r="G358" s="132" t="s">
        <v>4029</v>
      </c>
      <c r="H358" s="1571" t="s">
        <v>4725</v>
      </c>
      <c r="I358" s="180">
        <f>SUMIF(adj!$B$322:$B$1120,$G358,adj!R$322:R$1120)</f>
        <v>3000000</v>
      </c>
      <c r="J358" s="180">
        <f>SUMIF(adj!$B$322:$B$1120,$G358,adj!S$322:S$1120)</f>
        <v>500000</v>
      </c>
      <c r="K358" s="21">
        <f>SUMIF(adj!$B$322:$B$1120,$G358,adj!T$322:T$1120)</f>
        <v>5</v>
      </c>
      <c r="L358" s="1576" t="s">
        <v>4162</v>
      </c>
      <c r="M358" s="446">
        <f t="shared" si="43"/>
        <v>22924663.615873232</v>
      </c>
    </row>
    <row r="359" spans="2:13">
      <c r="B359" s="446">
        <v>9</v>
      </c>
      <c r="G359" s="132" t="s">
        <v>4030</v>
      </c>
      <c r="H359" s="21" t="s">
        <v>3620</v>
      </c>
      <c r="I359" s="180">
        <f>SUMIF(adj!$B$322:$B$1120,$G359,adj!R$322:R$1120)</f>
        <v>18000000</v>
      </c>
      <c r="J359" s="180">
        <f>SUMIF(adj!$B$322:$B$1120,$G359,adj!S$322:S$1120)</f>
        <v>0</v>
      </c>
      <c r="K359" s="21">
        <f>SUMIF(adj!$B$322:$B$1120,$G359,adj!T$322:T$1120)</f>
        <v>10</v>
      </c>
      <c r="L359" s="1576" t="s">
        <v>4004</v>
      </c>
      <c r="M359" s="446">
        <f t="shared" si="43"/>
        <v>180000000</v>
      </c>
    </row>
    <row r="360" spans="2:13" ht="12" thickBot="1">
      <c r="B360" s="1019">
        <v>10</v>
      </c>
      <c r="G360" s="132" t="s">
        <v>4031</v>
      </c>
      <c r="H360" s="21" t="s">
        <v>3619</v>
      </c>
      <c r="I360" s="180">
        <f>SUMIF(adj!$B$322:$B$1120,$G360,adj!R$322:R$1120)</f>
        <v>8000000</v>
      </c>
      <c r="J360" s="180">
        <f>SUMIF(adj!$B$322:$B$1120,$G360,adj!S$322:S$1120)</f>
        <v>0</v>
      </c>
      <c r="K360" s="21">
        <f>SUMIF(adj!$B$322:$B$1120,$G360,adj!T$322:T$1120)</f>
        <v>10</v>
      </c>
      <c r="L360" s="1576" t="s">
        <v>4162</v>
      </c>
      <c r="M360" s="446">
        <f t="shared" si="43"/>
        <v>80000000</v>
      </c>
    </row>
    <row r="361" spans="2:13">
      <c r="G361" s="132" t="s">
        <v>4032</v>
      </c>
      <c r="H361" s="21" t="s">
        <v>3621</v>
      </c>
      <c r="I361" s="180">
        <f>SUMIF(adj!$B$322:$B$1120,$G361,adj!R$322:R$1120)</f>
        <v>3000000</v>
      </c>
      <c r="J361" s="180">
        <f>SUMIF(adj!$B$322:$B$1120,$G361,adj!S$322:S$1120)</f>
        <v>0</v>
      </c>
      <c r="K361" s="21">
        <f>SUMIF(adj!$B$322:$B$1120,$G361,adj!T$322:T$1120)</f>
        <v>5</v>
      </c>
      <c r="L361" s="1576" t="s">
        <v>1108</v>
      </c>
      <c r="M361" s="446">
        <f t="shared" si="43"/>
        <v>15000000</v>
      </c>
    </row>
    <row r="362" spans="2:13" ht="12" thickBot="1">
      <c r="G362" s="132" t="s">
        <v>4033</v>
      </c>
      <c r="H362" s="21" t="s">
        <v>3622</v>
      </c>
      <c r="I362" s="180">
        <f>SUMIF(adj!$B$322:$B$1120,$G362,adj!R$322:R$1120)</f>
        <v>3000000</v>
      </c>
      <c r="J362" s="180">
        <f>SUMIF(adj!$B$322:$B$1120,$G362,adj!S$322:S$1120)</f>
        <v>0</v>
      </c>
      <c r="K362" s="21">
        <f>SUMIF(adj!$B$322:$B$1120,$G362,adj!T$322:T$1120)</f>
        <v>10</v>
      </c>
      <c r="L362" s="1576" t="s">
        <v>4162</v>
      </c>
      <c r="M362" s="446">
        <f t="shared" si="43"/>
        <v>30000000</v>
      </c>
    </row>
    <row r="363" spans="2:13">
      <c r="B363" s="2472" t="s">
        <v>4773</v>
      </c>
      <c r="D363" s="2472" t="s">
        <v>4774</v>
      </c>
      <c r="G363" s="132" t="s">
        <v>4034</v>
      </c>
      <c r="H363" s="21" t="s">
        <v>2203</v>
      </c>
      <c r="I363" s="180">
        <f>SUMIF(adj!$B$322:$B$1120,$G363,adj!R$322:R$1120)</f>
        <v>10000000</v>
      </c>
      <c r="J363" s="180">
        <f>SUMIF(adj!$B$322:$B$1120,$G363,adj!S$322:S$1120)</f>
        <v>0</v>
      </c>
      <c r="K363" s="21">
        <f>SUMIF(adj!$B$322:$B$1120,$G363,adj!T$322:T$1120)</f>
        <v>5</v>
      </c>
      <c r="L363" s="133">
        <v>0</v>
      </c>
      <c r="M363" s="446">
        <f t="shared" si="43"/>
        <v>50000000</v>
      </c>
    </row>
    <row r="364" spans="2:13">
      <c r="B364" s="446">
        <v>0</v>
      </c>
      <c r="D364" s="446">
        <v>0</v>
      </c>
      <c r="G364" s="132" t="s">
        <v>4035</v>
      </c>
      <c r="H364" s="21" t="s">
        <v>3628</v>
      </c>
      <c r="I364" s="180">
        <f>SUMIF(adj!$B$322:$B$1120,$G364,adj!R$322:R$1120)</f>
        <v>350000</v>
      </c>
      <c r="J364" s="180">
        <f>SUMIF(adj!$B$322:$B$1120,$G364,adj!S$322:S$1120)</f>
        <v>0</v>
      </c>
      <c r="K364" s="21">
        <f>SUMIF(adj!$B$322:$B$1120,$G364,adj!T$322:T$1120)</f>
        <v>5</v>
      </c>
      <c r="L364" s="1576" t="s">
        <v>4004</v>
      </c>
      <c r="M364" s="446">
        <f t="shared" si="43"/>
        <v>1750000</v>
      </c>
    </row>
    <row r="365" spans="2:13">
      <c r="B365" s="446">
        <v>1</v>
      </c>
      <c r="D365" s="446">
        <v>1</v>
      </c>
      <c r="G365" s="132" t="s">
        <v>4036</v>
      </c>
      <c r="H365" s="21" t="s">
        <v>3629</v>
      </c>
      <c r="I365" s="180">
        <f>SUMIF(adj!$B$322:$B$1120,$G365,adj!R$322:R$1120)</f>
        <v>750000</v>
      </c>
      <c r="J365" s="180">
        <f>SUMIF(adj!$B$322:$B$1120,$G365,adj!S$322:S$1120)</f>
        <v>500000</v>
      </c>
      <c r="K365" s="21">
        <f>SUMIF(adj!$B$322:$B$1120,$G365,adj!T$322:T$1120)</f>
        <v>5</v>
      </c>
      <c r="L365" s="1576" t="s">
        <v>4162</v>
      </c>
      <c r="M365" s="446">
        <f t="shared" si="43"/>
        <v>11674663.615873231</v>
      </c>
    </row>
    <row r="366" spans="2:13">
      <c r="B366" s="446">
        <v>2</v>
      </c>
      <c r="D366" s="446">
        <v>2</v>
      </c>
      <c r="G366" s="132" t="s">
        <v>4037</v>
      </c>
      <c r="H366" s="21" t="s">
        <v>3630</v>
      </c>
      <c r="I366" s="180">
        <f>SUMIF(adj!$B$322:$B$1120,$G366,adj!R$322:R$1120)</f>
        <v>1000000</v>
      </c>
      <c r="J366" s="180">
        <f>SUMIF(adj!$B$322:$B$1120,$G366,adj!S$322:S$1120)</f>
        <v>500000</v>
      </c>
      <c r="K366" s="21">
        <f>SUMIF(adj!$B$322:$B$1120,$G366,adj!T$322:T$1120)</f>
        <v>5</v>
      </c>
      <c r="L366" s="1576" t="s">
        <v>4004</v>
      </c>
      <c r="M366" s="446">
        <f t="shared" si="43"/>
        <v>12924663.615873231</v>
      </c>
    </row>
    <row r="367" spans="2:13">
      <c r="B367" s="446">
        <v>3</v>
      </c>
      <c r="D367" s="446">
        <v>3</v>
      </c>
      <c r="G367" s="132" t="s">
        <v>4038</v>
      </c>
      <c r="H367" s="21" t="s">
        <v>3638</v>
      </c>
      <c r="I367" s="180">
        <f>SUMIF(adj!$B$322:$B$1120,$G367,adj!R$322:R$1120)</f>
        <v>1500000</v>
      </c>
      <c r="J367" s="180">
        <f>SUMIF(adj!$B$322:$B$1120,$G367,adj!S$322:S$1120)</f>
        <v>0</v>
      </c>
      <c r="K367" s="21">
        <f>SUMIF(adj!$B$322:$B$1120,$G367,adj!T$322:T$1120)</f>
        <v>5</v>
      </c>
      <c r="L367" s="1576" t="s">
        <v>4004</v>
      </c>
      <c r="M367" s="446">
        <f t="shared" si="43"/>
        <v>7500000</v>
      </c>
    </row>
    <row r="368" spans="2:13" ht="12" thickBot="1">
      <c r="B368" s="446">
        <v>4</v>
      </c>
      <c r="D368" s="1019">
        <v>4</v>
      </c>
      <c r="G368" s="132" t="s">
        <v>4039</v>
      </c>
      <c r="H368" s="21" t="s">
        <v>3931</v>
      </c>
      <c r="I368" s="180">
        <f>SUMIF(adj!$B$322:$B$1120,$G368,adj!R$322:R$1120)</f>
        <v>2500000</v>
      </c>
      <c r="J368" s="180">
        <f>SUMIF(adj!$B$322:$B$1120,$G368,adj!S$322:S$1120)</f>
        <v>750000</v>
      </c>
      <c r="K368" s="21">
        <f>SUMIF(adj!$B$322:$B$1120,$G368,adj!T$322:T$1120)</f>
        <v>5</v>
      </c>
      <c r="L368" s="1576" t="s">
        <v>4004</v>
      </c>
      <c r="M368" s="446">
        <f t="shared" si="43"/>
        <v>24386995.423809845</v>
      </c>
    </row>
    <row r="369" spans="2:13" ht="12" thickBot="1">
      <c r="B369" s="2473">
        <v>5</v>
      </c>
      <c r="G369" s="132" t="s">
        <v>4040</v>
      </c>
      <c r="H369" s="21" t="s">
        <v>1467</v>
      </c>
      <c r="I369" s="180">
        <f>SUMIF(adj!$B$322:$B$1120,$G369,adj!R$322:R$1120)</f>
        <v>5000000</v>
      </c>
      <c r="J369" s="180">
        <f>SUMIF(adj!$B$322:$B$1120,$G369,adj!S$322:S$1120)</f>
        <v>0</v>
      </c>
      <c r="K369" s="21">
        <f>SUMIF(adj!$B$322:$B$1120,$G369,adj!T$322:T$1120)</f>
        <v>10</v>
      </c>
      <c r="L369" s="1576" t="s">
        <v>4004</v>
      </c>
      <c r="M369" s="446">
        <f t="shared" si="43"/>
        <v>50000000</v>
      </c>
    </row>
    <row r="370" spans="2:13">
      <c r="G370" s="132" t="s">
        <v>4041</v>
      </c>
      <c r="H370" s="21" t="s">
        <v>1468</v>
      </c>
      <c r="I370" s="180">
        <f>SUMIF(adj!$B$322:$B$1120,$G370,adj!R$322:R$1120)</f>
        <v>5000000</v>
      </c>
      <c r="J370" s="180">
        <f>SUMIF(adj!$B$322:$B$1120,$G370,adj!S$322:S$1120)</f>
        <v>0</v>
      </c>
      <c r="K370" s="21">
        <f>SUMIF(adj!$B$322:$B$1120,$G370,adj!T$322:T$1120)</f>
        <v>10</v>
      </c>
      <c r="L370" s="1576" t="s">
        <v>4004</v>
      </c>
      <c r="M370" s="446">
        <f t="shared" si="43"/>
        <v>50000000</v>
      </c>
    </row>
    <row r="371" spans="2:13">
      <c r="G371" s="132" t="s">
        <v>4042</v>
      </c>
      <c r="H371" s="21" t="s">
        <v>3636</v>
      </c>
      <c r="I371" s="180">
        <f>SUMIF(adj!$B$322:$B$1120,$G371,adj!R$322:R$1120)</f>
        <v>1500000</v>
      </c>
      <c r="J371" s="180">
        <f>SUMIF(adj!$B$322:$B$1120,$G371,adj!S$322:S$1120)</f>
        <v>0</v>
      </c>
      <c r="K371" s="21">
        <f>SUMIF(adj!$B$322:$B$1120,$G371,adj!T$322:T$1120)</f>
        <v>5</v>
      </c>
      <c r="L371" s="1576" t="s">
        <v>4004</v>
      </c>
      <c r="M371" s="446">
        <f t="shared" si="43"/>
        <v>7500000</v>
      </c>
    </row>
    <row r="372" spans="2:13">
      <c r="G372" s="132" t="s">
        <v>4043</v>
      </c>
      <c r="H372" s="21" t="s">
        <v>3236</v>
      </c>
      <c r="I372" s="180">
        <f>SUMIF(adj!$B$322:$B$1120,$G372,adj!R$322:R$1120)</f>
        <v>675000</v>
      </c>
      <c r="J372" s="180">
        <f>SUMIF(adj!$B$322:$B$1120,$G372,adj!S$322:S$1120)</f>
        <v>0</v>
      </c>
      <c r="K372" s="21">
        <f>SUMIF(adj!$B$322:$B$1120,$G372,adj!T$322:T$1120)</f>
        <v>5</v>
      </c>
      <c r="L372" s="1576" t="s">
        <v>4004</v>
      </c>
      <c r="M372" s="446">
        <f t="shared" si="43"/>
        <v>3375000</v>
      </c>
    </row>
    <row r="373" spans="2:13">
      <c r="G373" s="132" t="s">
        <v>3203</v>
      </c>
      <c r="H373" s="21" t="s">
        <v>3631</v>
      </c>
      <c r="I373" s="180">
        <f>SUMIF(adj!$B$322:$B$1120,$G373,adj!R$322:R$1120)</f>
        <v>3000000</v>
      </c>
      <c r="J373" s="180">
        <f>SUMIF(adj!$B$322:$B$1120,$G373,adj!S$322:S$1120)</f>
        <v>750000</v>
      </c>
      <c r="K373" s="21">
        <f>SUMIF(adj!$B$322:$B$1120,$G373,adj!T$322:T$1120)</f>
        <v>5</v>
      </c>
      <c r="L373" s="133" t="s">
        <v>1108</v>
      </c>
      <c r="M373" s="446">
        <f t="shared" si="43"/>
        <v>26886995.423809845</v>
      </c>
    </row>
    <row r="374" spans="2:13">
      <c r="G374" s="132" t="s">
        <v>3204</v>
      </c>
      <c r="H374" s="21" t="s">
        <v>2923</v>
      </c>
      <c r="I374" s="180">
        <f>SUMIF(adj!$B$322:$B$1120,$G374,adj!R$322:R$1120)</f>
        <v>2300000</v>
      </c>
      <c r="J374" s="180">
        <f>SUMIF(adj!$B$322:$B$1120,$G374,adj!S$322:S$1120)</f>
        <v>600000</v>
      </c>
      <c r="K374" s="21">
        <f>SUMIF(adj!$B$322:$B$1120,$G374,adj!T$322:T$1120)</f>
        <v>5</v>
      </c>
      <c r="L374" s="133" t="s">
        <v>1108</v>
      </c>
      <c r="M374" s="446">
        <f t="shared" si="43"/>
        <v>21009596.339047879</v>
      </c>
    </row>
    <row r="375" spans="2:13">
      <c r="G375" s="132" t="s">
        <v>3205</v>
      </c>
      <c r="H375" s="21" t="s">
        <v>3632</v>
      </c>
      <c r="I375" s="180">
        <f>SUMIF(adj!$B$322:$B$1120,$G375,adj!R$322:R$1120)</f>
        <v>1200000</v>
      </c>
      <c r="J375" s="180">
        <f>SUMIF(adj!$B$322:$B$1120,$G375,adj!S$322:S$1120)</f>
        <v>0</v>
      </c>
      <c r="K375" s="21">
        <f>SUMIF(adj!$B$322:$B$1120,$G375,adj!T$322:T$1120)</f>
        <v>10</v>
      </c>
      <c r="L375" s="133" t="s">
        <v>1108</v>
      </c>
      <c r="M375" s="446">
        <f t="shared" si="43"/>
        <v>12000000</v>
      </c>
    </row>
    <row r="376" spans="2:13">
      <c r="G376" s="132" t="s">
        <v>3206</v>
      </c>
      <c r="H376" s="1571" t="s">
        <v>4726</v>
      </c>
      <c r="I376" s="180">
        <f>SUMIF(adj!$B$322:$B$1120,$G376,adj!R$322:R$1120)</f>
        <v>2000000</v>
      </c>
      <c r="J376" s="180">
        <f>SUMIF(adj!$B$322:$B$1120,$G376,adj!S$322:S$1120)</f>
        <v>2000000</v>
      </c>
      <c r="K376" s="21">
        <f>SUMIF(adj!$B$322:$B$1120,$G376,adj!T$322:T$1120)</f>
        <v>10</v>
      </c>
      <c r="L376" s="133" t="s">
        <v>1108</v>
      </c>
      <c r="M376" s="446">
        <f t="shared" si="43"/>
        <v>83397308.926985845</v>
      </c>
    </row>
    <row r="377" spans="2:13">
      <c r="G377" s="132" t="s">
        <v>4044</v>
      </c>
      <c r="H377" s="21" t="s">
        <v>1115</v>
      </c>
      <c r="I377" s="180">
        <f>SUMIF(adj!$B$322:$B$1120,$G377,adj!R$322:R$1120)</f>
        <v>2500000</v>
      </c>
      <c r="J377" s="180">
        <f>SUMIF(adj!$B$322:$B$1120,$G377,adj!S$322:S$1120)</f>
        <v>350000</v>
      </c>
      <c r="K377" s="21">
        <f>SUMIF(adj!$B$322:$B$1120,$G377,adj!T$322:T$1120)</f>
        <v>5</v>
      </c>
      <c r="L377" s="1576" t="s">
        <v>4004</v>
      </c>
      <c r="M377" s="446">
        <f t="shared" si="43"/>
        <v>18047264.531111263</v>
      </c>
    </row>
    <row r="378" spans="2:13">
      <c r="G378" s="132" t="s">
        <v>4045</v>
      </c>
      <c r="H378" s="21" t="s">
        <v>3637</v>
      </c>
      <c r="I378" s="180">
        <f>SUMIF(adj!$B$322:$B$1120,$G378,adj!R$322:R$1120)</f>
        <v>2000000</v>
      </c>
      <c r="J378" s="180">
        <f>SUMIF(adj!$B$322:$B$1120,$G378,adj!S$322:S$1120)</f>
        <v>500000</v>
      </c>
      <c r="K378" s="21">
        <f>SUMIF(adj!$B$322:$B$1120,$G378,adj!T$322:T$1120)</f>
        <v>10</v>
      </c>
      <c r="L378" s="1576" t="s">
        <v>4004</v>
      </c>
      <c r="M378" s="446">
        <f t="shared" si="43"/>
        <v>35849327.231746465</v>
      </c>
    </row>
    <row r="379" spans="2:13">
      <c r="G379" s="132" t="s">
        <v>4046</v>
      </c>
      <c r="H379" s="21" t="s">
        <v>2278</v>
      </c>
      <c r="I379" s="180">
        <f>SUMIF(adj!$B$322:$B$1120,$G379,adj!R$322:R$1120)</f>
        <v>3350000</v>
      </c>
      <c r="J379" s="180">
        <f>SUMIF(adj!$B$322:$B$1120,$G379,adj!S$322:S$1120)</f>
        <v>3350000</v>
      </c>
      <c r="K379" s="21">
        <f>SUMIF(adj!$B$322:$B$1120,$G379,adj!T$322:T$1120)</f>
        <v>10</v>
      </c>
      <c r="L379" s="1576" t="s">
        <v>1720</v>
      </c>
      <c r="M379" s="446">
        <f t="shared" si="43"/>
        <v>139690492.4527013</v>
      </c>
    </row>
    <row r="380" spans="2:13">
      <c r="G380" s="132" t="s">
        <v>4047</v>
      </c>
      <c r="H380" s="21" t="s">
        <v>2279</v>
      </c>
      <c r="I380" s="180">
        <f>SUMIF(adj!$B$322:$B$1120,$G380,adj!R$322:R$1120)</f>
        <v>3350000</v>
      </c>
      <c r="J380" s="180">
        <f>SUMIF(adj!$B$322:$B$1120,$G380,adj!S$322:S$1120)</f>
        <v>3350000</v>
      </c>
      <c r="K380" s="21">
        <f>SUMIF(adj!$B$322:$B$1120,$G380,adj!T$322:T$1120)</f>
        <v>10</v>
      </c>
      <c r="L380" s="1576" t="s">
        <v>1720</v>
      </c>
      <c r="M380" s="446">
        <f t="shared" si="43"/>
        <v>139690492.4527013</v>
      </c>
    </row>
    <row r="381" spans="2:13">
      <c r="G381" s="132" t="s">
        <v>4048</v>
      </c>
      <c r="H381" s="21" t="s">
        <v>3627</v>
      </c>
      <c r="I381" s="180">
        <f>SUMIF(adj!$B$322:$B$1120,$G381,adj!R$322:R$1120)</f>
        <v>2250000</v>
      </c>
      <c r="J381" s="180">
        <f>SUMIF(adj!$B$322:$B$1120,$G381,adj!S$322:S$1120)</f>
        <v>600000</v>
      </c>
      <c r="K381" s="21">
        <f>SUMIF(adj!$B$322:$B$1120,$G381,adj!T$322:T$1120)</f>
        <v>10</v>
      </c>
      <c r="L381" s="1576" t="s">
        <v>1720</v>
      </c>
      <c r="M381" s="446">
        <f t="shared" si="43"/>
        <v>41519192.678095758</v>
      </c>
    </row>
    <row r="382" spans="2:13">
      <c r="G382" s="132" t="s">
        <v>4049</v>
      </c>
      <c r="H382" s="21" t="s">
        <v>2280</v>
      </c>
      <c r="I382" s="180">
        <f>SUMIF(adj!$B$322:$B$1120,$G382,adj!R$322:R$1120)</f>
        <v>1800000</v>
      </c>
      <c r="J382" s="180">
        <f>SUMIF(adj!$B$322:$B$1120,$G382,adj!S$322:S$1120)</f>
        <v>0</v>
      </c>
      <c r="K382" s="21">
        <f>SUMIF(adj!$B$322:$B$1120,$G382,adj!T$322:T$1120)</f>
        <v>10</v>
      </c>
      <c r="L382" s="1576" t="s">
        <v>1720</v>
      </c>
      <c r="M382" s="446">
        <f t="shared" si="43"/>
        <v>18000000</v>
      </c>
    </row>
    <row r="383" spans="2:13">
      <c r="G383" s="132" t="s">
        <v>4050</v>
      </c>
      <c r="H383" s="21" t="s">
        <v>2281</v>
      </c>
      <c r="I383" s="180">
        <f>SUMIF(adj!$B$322:$B$1120,$G383,adj!R$322:R$1120)</f>
        <v>1800000</v>
      </c>
      <c r="J383" s="180">
        <f>SUMIF(adj!$B$322:$B$1120,$G383,adj!S$322:S$1120)</f>
        <v>0</v>
      </c>
      <c r="K383" s="21">
        <f>SUMIF(adj!$B$322:$B$1120,$G383,adj!T$322:T$1120)</f>
        <v>10</v>
      </c>
      <c r="L383" s="1576" t="s">
        <v>1720</v>
      </c>
      <c r="M383" s="446">
        <f t="shared" si="43"/>
        <v>18000000</v>
      </c>
    </row>
    <row r="384" spans="2:13">
      <c r="G384" s="132" t="s">
        <v>4051</v>
      </c>
      <c r="H384" s="21" t="s">
        <v>154</v>
      </c>
      <c r="I384" s="180">
        <f>SUMIF(adj!$B$322:$B$1120,$G384,adj!R$322:R$1120)</f>
        <v>2300000</v>
      </c>
      <c r="J384" s="180">
        <f>SUMIF(adj!$B$322:$B$1120,$G384,adj!S$322:S$1120)</f>
        <v>0</v>
      </c>
      <c r="K384" s="21">
        <f>SUMIF(adj!$B$322:$B$1120,$G384,adj!T$322:T$1120)</f>
        <v>10</v>
      </c>
      <c r="L384" s="1576" t="s">
        <v>4004</v>
      </c>
      <c r="M384" s="446">
        <f t="shared" si="43"/>
        <v>23000000</v>
      </c>
    </row>
    <row r="385" spans="7:13">
      <c r="G385" s="132" t="s">
        <v>4052</v>
      </c>
      <c r="H385" s="21" t="s">
        <v>1112</v>
      </c>
      <c r="I385" s="180">
        <f>SUMIF(adj!$B$322:$B$1120,$G385,adj!R$322:R$1120)</f>
        <v>1500000</v>
      </c>
      <c r="J385" s="180">
        <f>SUMIF(adj!$B$322:$B$1120,$G385,adj!S$322:S$1120)</f>
        <v>0</v>
      </c>
      <c r="K385" s="21">
        <f>SUMIF(adj!$B$322:$B$1120,$G385,adj!T$322:T$1120)</f>
        <v>5</v>
      </c>
      <c r="L385" s="1576" t="s">
        <v>4004</v>
      </c>
      <c r="M385" s="446">
        <f t="shared" si="43"/>
        <v>7500000</v>
      </c>
    </row>
    <row r="386" spans="7:13">
      <c r="G386" s="132" t="s">
        <v>4053</v>
      </c>
      <c r="H386" s="21" t="s">
        <v>2282</v>
      </c>
      <c r="I386" s="180">
        <f>SUMIF(adj!$B$322:$B$1120,$G386,adj!R$322:R$1120)</f>
        <v>5000000</v>
      </c>
      <c r="J386" s="180">
        <f>SUMIF(adj!$B$322:$B$1120,$G386,adj!S$322:S$1120)</f>
        <v>0</v>
      </c>
      <c r="K386" s="21">
        <f>SUMIF(adj!$B$322:$B$1120,$G386,adj!T$322:T$1120)</f>
        <v>10</v>
      </c>
      <c r="L386" s="1576" t="s">
        <v>1720</v>
      </c>
      <c r="M386" s="446">
        <f t="shared" si="43"/>
        <v>50000000</v>
      </c>
    </row>
    <row r="387" spans="7:13">
      <c r="G387" s="132" t="s">
        <v>4054</v>
      </c>
      <c r="H387" s="21" t="s">
        <v>2283</v>
      </c>
      <c r="I387" s="180">
        <f>SUMIF(adj!$B$322:$B$1120,$G387,adj!R$322:R$1120)</f>
        <v>5000000</v>
      </c>
      <c r="J387" s="180">
        <f>SUMIF(adj!$B$322:$B$1120,$G387,adj!S$322:S$1120)</f>
        <v>0</v>
      </c>
      <c r="K387" s="21">
        <f>SUMIF(adj!$B$322:$B$1120,$G387,adj!T$322:T$1120)</f>
        <v>10</v>
      </c>
      <c r="L387" s="1576" t="s">
        <v>1720</v>
      </c>
      <c r="M387" s="446">
        <f t="shared" si="43"/>
        <v>50000000</v>
      </c>
    </row>
    <row r="388" spans="7:13">
      <c r="G388" s="132" t="s">
        <v>4055</v>
      </c>
      <c r="H388" s="1571" t="s">
        <v>4733</v>
      </c>
      <c r="I388" s="180">
        <f>SUMIF(adj!$B$322:$B$1120,$G388,adj!R$322:R$1120)</f>
        <v>5000000</v>
      </c>
      <c r="J388" s="180">
        <f>SUMIF(adj!$B$322:$B$1120,$G388,adj!S$322:S$1120)</f>
        <v>500000</v>
      </c>
      <c r="K388" s="21">
        <f>SUMIF(adj!$B$322:$B$1120,$G388,adj!T$322:T$1120)</f>
        <v>5</v>
      </c>
      <c r="L388" s="1576" t="s">
        <v>4004</v>
      </c>
      <c r="M388" s="446">
        <f>(I388+J388/(1.1^1)+J388/(1.1^2)+J388/(1.1^3)+J388/(1.1^4))*K388</f>
        <v>32924663.615873229</v>
      </c>
    </row>
    <row r="389" spans="7:13">
      <c r="G389" s="1574" t="s">
        <v>4059</v>
      </c>
      <c r="H389" s="1594" t="s">
        <v>4063</v>
      </c>
      <c r="I389" s="180">
        <f>SUMIF(adj!$B$322:$B$1120,$G389,adj!R$322:R$1120)</f>
        <v>10000000</v>
      </c>
      <c r="J389" s="180">
        <f>SUMIF(adj!$B$322:$B$1120,$G389,adj!S$322:S$1120)</f>
        <v>0</v>
      </c>
      <c r="K389" s="21">
        <f>SUMIF(adj!$B$322:$B$1120,$G389,adj!T$322:T$1120)</f>
        <v>8</v>
      </c>
      <c r="L389" s="1576" t="s">
        <v>1720</v>
      </c>
      <c r="M389" s="446">
        <f>(I389+J389/(1.1^1)+J389/(1.1^2)+J389/(1.1^3)+J389/(1.1^4))*K389</f>
        <v>80000000</v>
      </c>
    </row>
    <row r="390" spans="7:13">
      <c r="G390" s="1574" t="s">
        <v>4060</v>
      </c>
      <c r="H390" s="1594" t="s">
        <v>4149</v>
      </c>
      <c r="I390" s="180">
        <f>SUMIF(adj!$B$322:$B$1120,$G390,adj!R$322:R$1120)</f>
        <v>1000000</v>
      </c>
      <c r="J390" s="180">
        <f>SUMIF(adj!$B$322:$B$1120,$G390,adj!S$322:S$1120)</f>
        <v>0</v>
      </c>
      <c r="K390" s="21">
        <f>SUMIF(adj!$B$322:$B$1120,$G390,adj!T$322:T$1120)</f>
        <v>7</v>
      </c>
      <c r="L390" s="1576" t="s">
        <v>1720</v>
      </c>
      <c r="M390" s="446">
        <f>(I390+J390/(1.1^1)+J390/(1.1^2)+J390/(1.1^3)+J390/(1.1^4))*K390</f>
        <v>7000000</v>
      </c>
    </row>
    <row r="391" spans="7:13">
      <c r="G391" s="1574" t="s">
        <v>4061</v>
      </c>
      <c r="H391" s="1594" t="s">
        <v>4150</v>
      </c>
      <c r="I391" s="180">
        <f>SUMIF(adj!$B$322:$B$1120,$G391,adj!R$322:R$1120)</f>
        <v>1500000</v>
      </c>
      <c r="J391" s="180">
        <f>SUMIF(adj!$B$322:$B$1120,$G391,adj!S$322:S$1120)</f>
        <v>0</v>
      </c>
      <c r="K391" s="21">
        <f>SUMIF(adj!$B$322:$B$1120,$G391,adj!T$322:T$1120)</f>
        <v>10</v>
      </c>
      <c r="L391" s="1576" t="s">
        <v>1720</v>
      </c>
      <c r="M391" s="446">
        <f>(I391+J391/(1.1^1)+J391/(1.1^2)+J391/(1.1^3)+J391/(1.1^4))*K391</f>
        <v>15000000</v>
      </c>
    </row>
    <row r="392" spans="7:13">
      <c r="G392" s="1574" t="s">
        <v>4062</v>
      </c>
      <c r="H392" s="1594" t="s">
        <v>4151</v>
      </c>
      <c r="I392" s="180">
        <f>SUMIF(adj!$B$322:$B$1120,$G392,adj!R$322:R$1120)</f>
        <v>1500000</v>
      </c>
      <c r="J392" s="180">
        <f>SUMIF(adj!$B$322:$B$1120,$G392,adj!S$322:S$1120)</f>
        <v>0</v>
      </c>
      <c r="K392" s="21">
        <f>SUMIF(adj!$B$322:$B$1120,$G392,adj!T$322:T$1120)</f>
        <v>10</v>
      </c>
      <c r="L392" s="1576" t="s">
        <v>1720</v>
      </c>
      <c r="M392" s="446">
        <f>(I392+J392/(1.1^1)+J392/(1.1^2)+J392/(1.1^3)+J392/(1.1^4))*K392</f>
        <v>15000000</v>
      </c>
    </row>
    <row r="393" spans="7:13">
      <c r="G393" s="1574" t="s">
        <v>4731</v>
      </c>
      <c r="H393" s="1571" t="s">
        <v>4732</v>
      </c>
      <c r="I393" s="180">
        <f>SUMIF(adj!$B$322:$B$1120,$G393,adj!R$322:R$1120)</f>
        <v>10000000</v>
      </c>
      <c r="J393" s="180">
        <f>SUMIF(adj!$B$322:$B$1120,$G393,adj!S$322:S$1120)</f>
        <v>0</v>
      </c>
      <c r="K393" s="21">
        <f>SUMIF(adj!$B$322:$B$1120,$G393,adj!T$322:T$1120)</f>
        <v>10</v>
      </c>
      <c r="L393" s="1576" t="s">
        <v>4004</v>
      </c>
      <c r="M393" s="446">
        <f t="shared" ref="M393:M411" si="44">(I393+J393/(1.1^1)+J393/(1.1^2)+J393/(1.1^3)+J393/(1.1^4))*K393</f>
        <v>100000000</v>
      </c>
    </row>
    <row r="394" spans="7:13">
      <c r="G394" s="1574" t="s">
        <v>4064</v>
      </c>
      <c r="H394" s="21" t="s">
        <v>4071</v>
      </c>
      <c r="I394" s="180">
        <f>SUMIF(adj!$B$322:$B$1120,$G394,adj!R$322:R$1120)</f>
        <v>500000</v>
      </c>
      <c r="J394" s="180">
        <f>SUMIF(adj!$B$322:$B$1120,$G394,adj!S$322:S$1120)</f>
        <v>0</v>
      </c>
      <c r="K394" s="21">
        <f>SUMIF(adj!$B$322:$B$1120,$G394,adj!T$322:T$1120)</f>
        <v>5</v>
      </c>
      <c r="L394" s="1576" t="s">
        <v>4162</v>
      </c>
      <c r="M394" s="446">
        <f t="shared" si="44"/>
        <v>2500000</v>
      </c>
    </row>
    <row r="395" spans="7:13">
      <c r="G395" s="1574" t="s">
        <v>4065</v>
      </c>
      <c r="H395" s="21" t="s">
        <v>4072</v>
      </c>
      <c r="I395" s="180">
        <f>SUMIF(adj!$B$322:$B$1120,$G395,adj!R$322:R$1120)</f>
        <v>1500000</v>
      </c>
      <c r="J395" s="180">
        <f>SUMIF(adj!$B$322:$B$1120,$G395,adj!S$322:S$1120)</f>
        <v>500000</v>
      </c>
      <c r="K395" s="21">
        <f>SUMIF(adj!$B$322:$B$1120,$G395,adj!T$322:T$1120)</f>
        <v>5</v>
      </c>
      <c r="L395" s="1576" t="s">
        <v>4162</v>
      </c>
      <c r="M395" s="446">
        <f t="shared" si="44"/>
        <v>15424663.615873232</v>
      </c>
    </row>
    <row r="396" spans="7:13">
      <c r="G396" s="1574" t="s">
        <v>4066</v>
      </c>
      <c r="H396" s="1571" t="s">
        <v>4152</v>
      </c>
      <c r="I396" s="180">
        <f>SUMIF(adj!$B$322:$B$1120,$G396,adj!R$322:R$1120)</f>
        <v>3000000</v>
      </c>
      <c r="J396" s="180">
        <f>SUMIF(adj!$B$322:$B$1120,$G396,adj!S$322:S$1120)</f>
        <v>0</v>
      </c>
      <c r="K396" s="21">
        <f>SUMIF(adj!$B$322:$B$1120,$G396,adj!T$322:T$1120)</f>
        <v>10</v>
      </c>
      <c r="L396" s="1576" t="s">
        <v>4162</v>
      </c>
      <c r="M396" s="446">
        <f t="shared" si="44"/>
        <v>30000000</v>
      </c>
    </row>
    <row r="397" spans="7:13">
      <c r="G397" s="1574" t="s">
        <v>4067</v>
      </c>
      <c r="H397" s="21" t="s">
        <v>4073</v>
      </c>
      <c r="I397" s="180">
        <f>SUMIF(adj!$B$322:$B$1120,$G397,adj!R$322:R$1120)</f>
        <v>2000000</v>
      </c>
      <c r="J397" s="180">
        <f>SUMIF(adj!$B$322:$B$1120,$G397,adj!S$322:S$1120)</f>
        <v>750000</v>
      </c>
      <c r="K397" s="21">
        <f>SUMIF(adj!$B$322:$B$1120,$G397,adj!T$322:T$1120)</f>
        <v>5</v>
      </c>
      <c r="L397" s="1576" t="s">
        <v>4162</v>
      </c>
      <c r="M397" s="446">
        <f t="shared" si="44"/>
        <v>21886995.423809849</v>
      </c>
    </row>
    <row r="398" spans="7:13">
      <c r="G398" s="1574" t="s">
        <v>4068</v>
      </c>
      <c r="H398" s="21" t="s">
        <v>4074</v>
      </c>
      <c r="I398" s="180">
        <f>SUMIF(adj!$B$322:$B$1120,$G398,adj!R$322:R$1120)</f>
        <v>500000</v>
      </c>
      <c r="J398" s="180">
        <f>SUMIF(adj!$B$322:$B$1120,$G398,adj!S$322:S$1120)</f>
        <v>0</v>
      </c>
      <c r="K398" s="21">
        <f>SUMIF(adj!$B$322:$B$1120,$G398,adj!T$322:T$1120)</f>
        <v>5</v>
      </c>
      <c r="L398" s="1576" t="s">
        <v>4162</v>
      </c>
      <c r="M398" s="446">
        <f t="shared" si="44"/>
        <v>2500000</v>
      </c>
    </row>
    <row r="399" spans="7:13">
      <c r="G399" s="1574" t="s">
        <v>4069</v>
      </c>
      <c r="H399" s="21" t="s">
        <v>4075</v>
      </c>
      <c r="I399" s="180">
        <f>SUMIF(adj!$B$322:$B$1120,$G399,adj!R$322:R$1120)</f>
        <v>5000000</v>
      </c>
      <c r="J399" s="180">
        <f>SUMIF(adj!$B$322:$B$1120,$G399,adj!S$322:S$1120)</f>
        <v>500000</v>
      </c>
      <c r="K399" s="21">
        <f>SUMIF(adj!$B$322:$B$1120,$G399,adj!T$322:T$1120)</f>
        <v>5</v>
      </c>
      <c r="L399" s="1576" t="s">
        <v>4162</v>
      </c>
      <c r="M399" s="446">
        <f t="shared" si="44"/>
        <v>32924663.615873229</v>
      </c>
    </row>
    <row r="400" spans="7:13">
      <c r="G400" s="1574" t="s">
        <v>4070</v>
      </c>
      <c r="H400" s="1571" t="s">
        <v>4153</v>
      </c>
      <c r="I400" s="180">
        <f>SUMIF(adj!$B$322:$B$1120,$G400,adj!R$322:R$1120)</f>
        <v>6000000</v>
      </c>
      <c r="J400" s="180">
        <f>SUMIF(adj!$B$322:$B$1120,$G400,adj!S$322:S$1120)</f>
        <v>1000000</v>
      </c>
      <c r="K400" s="21">
        <f>SUMIF(adj!$B$322:$B$1120,$G400,adj!T$322:T$1120)</f>
        <v>5</v>
      </c>
      <c r="L400" s="1576" t="s">
        <v>4162</v>
      </c>
      <c r="M400" s="446">
        <f t="shared" si="44"/>
        <v>45849327.231746465</v>
      </c>
    </row>
    <row r="401" spans="7:13">
      <c r="G401" s="132" t="s">
        <v>4076</v>
      </c>
      <c r="H401" s="149" t="s">
        <v>4078</v>
      </c>
      <c r="I401" s="180">
        <f>SUMIF(adj!$B$322:$B$1120,$G401,adj!R$322:R$1120)</f>
        <v>750000</v>
      </c>
      <c r="J401" s="180">
        <f>SUMIF(adj!$B$322:$B$1120,$G401,adj!S$322:S$1120)</f>
        <v>0</v>
      </c>
      <c r="K401" s="21">
        <f>SUMIF(adj!$B$322:$B$1120,$G401,adj!T$322:T$1120)</f>
        <v>5</v>
      </c>
      <c r="L401" s="1576" t="s">
        <v>4162</v>
      </c>
      <c r="M401" s="446">
        <f t="shared" si="44"/>
        <v>3750000</v>
      </c>
    </row>
    <row r="402" spans="7:13">
      <c r="G402" s="132" t="s">
        <v>4077</v>
      </c>
      <c r="H402" s="149" t="s">
        <v>4079</v>
      </c>
      <c r="I402" s="180">
        <f>SUMIF(adj!$B$322:$B$1120,$G402,adj!R$322:R$1120)</f>
        <v>750000</v>
      </c>
      <c r="J402" s="180">
        <f>SUMIF(adj!$B$322:$B$1120,$G402,adj!S$322:S$1120)</f>
        <v>0</v>
      </c>
      <c r="K402" s="21">
        <f>SUMIF(adj!$B$322:$B$1120,$G402,adj!T$322:T$1120)</f>
        <v>5</v>
      </c>
      <c r="L402" s="1576" t="s">
        <v>4162</v>
      </c>
      <c r="M402" s="446">
        <f t="shared" si="44"/>
        <v>3750000</v>
      </c>
    </row>
    <row r="403" spans="7:13">
      <c r="G403" s="132" t="s">
        <v>4080</v>
      </c>
      <c r="H403" s="21" t="s">
        <v>4089</v>
      </c>
      <c r="I403" s="180">
        <f>SUMIF(adj!$B$322:$B$1120,$G403,adj!R$322:R$1120)</f>
        <v>2500000</v>
      </c>
      <c r="J403" s="180">
        <f>SUMIF(adj!$B$322:$B$1120,$G403,adj!S$322:S$1120)</f>
        <v>750000</v>
      </c>
      <c r="K403" s="21">
        <f>SUMIF(adj!$B$322:$B$1120,$G403,adj!T$322:T$1120)</f>
        <v>10</v>
      </c>
      <c r="L403" s="1576" t="s">
        <v>1108</v>
      </c>
      <c r="M403" s="446">
        <f t="shared" si="44"/>
        <v>48773990.84761969</v>
      </c>
    </row>
    <row r="404" spans="7:13">
      <c r="G404" s="132" t="s">
        <v>4081</v>
      </c>
      <c r="H404" s="1571" t="s">
        <v>4154</v>
      </c>
      <c r="I404" s="180">
        <f>SUMIF(adj!$B$322:$B$1120,$G404,adj!R$322:R$1120)</f>
        <v>2000000</v>
      </c>
      <c r="J404" s="180">
        <f>SUMIF(adj!$B$322:$B$1120,$G404,adj!S$322:S$1120)</f>
        <v>2000000</v>
      </c>
      <c r="K404" s="21">
        <f>SUMIF(adj!$B$322:$B$1120,$G404,adj!T$322:T$1120)</f>
        <v>8</v>
      </c>
      <c r="L404" s="1576" t="s">
        <v>1108</v>
      </c>
      <c r="M404" s="446">
        <f t="shared" si="44"/>
        <v>66717847.14158868</v>
      </c>
    </row>
    <row r="405" spans="7:13">
      <c r="G405" s="132" t="s">
        <v>4082</v>
      </c>
      <c r="H405" s="1571" t="s">
        <v>4155</v>
      </c>
      <c r="I405" s="180">
        <f>SUMIF(adj!$B$322:$B$1120,$G405,adj!R$322:R$1120)</f>
        <v>750000</v>
      </c>
      <c r="J405" s="180">
        <f>SUMIF(adj!$B$322:$B$1120,$G405,adj!S$322:S$1120)</f>
        <v>750000</v>
      </c>
      <c r="K405" s="21">
        <f>SUMIF(adj!$B$322:$B$1120,$G405,adj!T$322:T$1120)</f>
        <v>5</v>
      </c>
      <c r="L405" s="1576" t="s">
        <v>1108</v>
      </c>
      <c r="M405" s="446">
        <f t="shared" si="44"/>
        <v>15636995.423809847</v>
      </c>
    </row>
    <row r="406" spans="7:13">
      <c r="G406" s="132" t="s">
        <v>4083</v>
      </c>
      <c r="H406" s="1571" t="s">
        <v>4156</v>
      </c>
      <c r="I406" s="180">
        <f>SUMIF(adj!$B$322:$B$1120,$G406,adj!R$322:R$1120)</f>
        <v>1200000</v>
      </c>
      <c r="J406" s="180">
        <f>SUMIF(adj!$B$322:$B$1120,$G406,adj!S$322:S$1120)</f>
        <v>0</v>
      </c>
      <c r="K406" s="21">
        <f>SUMIF(adj!$B$322:$B$1120,$G406,adj!T$322:T$1120)</f>
        <v>10</v>
      </c>
      <c r="L406" s="1576" t="s">
        <v>1108</v>
      </c>
      <c r="M406" s="446">
        <f t="shared" si="44"/>
        <v>12000000</v>
      </c>
    </row>
    <row r="407" spans="7:13">
      <c r="G407" s="132" t="s">
        <v>4084</v>
      </c>
      <c r="H407" s="21" t="s">
        <v>4090</v>
      </c>
      <c r="I407" s="180">
        <f>SUMIF(adj!$B$322:$B$1120,$G407,adj!R$322:R$1120)</f>
        <v>1000000</v>
      </c>
      <c r="J407" s="180">
        <f>SUMIF(adj!$B$322:$B$1120,$G407,adj!S$322:S$1120)</f>
        <v>0</v>
      </c>
      <c r="K407" s="21">
        <f>SUMIF(adj!$B$322:$B$1120,$G407,adj!T$322:T$1120)</f>
        <v>10</v>
      </c>
      <c r="L407" s="1576" t="s">
        <v>1108</v>
      </c>
      <c r="M407" s="446">
        <f t="shared" si="44"/>
        <v>10000000</v>
      </c>
    </row>
    <row r="408" spans="7:13">
      <c r="G408" s="132" t="s">
        <v>4087</v>
      </c>
      <c r="H408" s="21" t="s">
        <v>4091</v>
      </c>
      <c r="I408" s="180">
        <f>SUMIF(adj!$B$322:$B$1120,$G408,adj!R$322:R$1120)</f>
        <v>800000</v>
      </c>
      <c r="J408" s="180">
        <f>SUMIF(adj!$B$322:$B$1120,$G408,adj!S$322:S$1120)</f>
        <v>400000</v>
      </c>
      <c r="K408" s="21">
        <f>SUMIF(adj!$B$322:$B$1120,$G408,adj!T$322:T$1120)</f>
        <v>10</v>
      </c>
      <c r="L408" s="1576" t="s">
        <v>1108</v>
      </c>
      <c r="M408" s="446">
        <f t="shared" si="44"/>
        <v>20679461.785397172</v>
      </c>
    </row>
    <row r="409" spans="7:13">
      <c r="G409" s="132" t="s">
        <v>4088</v>
      </c>
      <c r="H409" s="21" t="s">
        <v>4092</v>
      </c>
      <c r="I409" s="180">
        <f>SUMIF(adj!$B$322:$B$1120,$G409,adj!R$322:R$1120)</f>
        <v>800000</v>
      </c>
      <c r="J409" s="180">
        <f>SUMIF(adj!$B$322:$B$1120,$G409,adj!S$322:S$1120)</f>
        <v>400000</v>
      </c>
      <c r="K409" s="21">
        <f>SUMIF(adj!$B$322:$B$1120,$G409,adj!T$322:T$1120)</f>
        <v>10</v>
      </c>
      <c r="L409" s="1576" t="s">
        <v>1108</v>
      </c>
      <c r="M409" s="446">
        <f t="shared" si="44"/>
        <v>20679461.785397172</v>
      </c>
    </row>
    <row r="410" spans="7:13">
      <c r="G410" s="132" t="s">
        <v>4085</v>
      </c>
      <c r="H410" s="1571" t="s">
        <v>4148</v>
      </c>
      <c r="I410" s="180">
        <f>SUMIF(adj!$B$322:$B$1120,$G410,adj!R$322:R$1120)</f>
        <v>350000</v>
      </c>
      <c r="J410" s="180">
        <f>SUMIF(adj!$B$322:$B$1120,$G410,adj!S$322:S$1120)</f>
        <v>350000</v>
      </c>
      <c r="K410" s="21">
        <f>SUMIF(adj!$B$322:$B$1120,$G410,adj!T$322:T$1120)</f>
        <v>4</v>
      </c>
      <c r="L410" s="1576" t="s">
        <v>1108</v>
      </c>
      <c r="M410" s="446">
        <f t="shared" si="44"/>
        <v>5837811.6248890096</v>
      </c>
    </row>
    <row r="411" spans="7:13">
      <c r="G411" s="132" t="s">
        <v>4086</v>
      </c>
      <c r="H411" s="1571" t="s">
        <v>4147</v>
      </c>
      <c r="I411" s="180">
        <f>SUMIF(adj!$B$322:$B$1120,$G411,adj!R$322:R$1120)</f>
        <v>3000000</v>
      </c>
      <c r="J411" s="180">
        <f>SUMIF(adj!$B$322:$B$1120,$G411,adj!S$322:S$1120)</f>
        <v>0</v>
      </c>
      <c r="K411" s="21">
        <f>SUMIF(adj!$B$322:$B$1120,$G411,adj!T$322:T$1120)</f>
        <v>8</v>
      </c>
      <c r="L411" s="1576" t="s">
        <v>1108</v>
      </c>
      <c r="M411" s="446">
        <f t="shared" si="44"/>
        <v>24000000</v>
      </c>
    </row>
    <row r="412" spans="7:13" ht="12" thickBot="1">
      <c r="G412" s="1623" t="s">
        <v>4727</v>
      </c>
      <c r="H412" s="135" t="s">
        <v>4728</v>
      </c>
      <c r="I412" s="763">
        <f>SUMIF(adj!$B$322:$B$1120,$G412,adj!R$322:R$1120)</f>
        <v>1000000</v>
      </c>
      <c r="J412" s="763">
        <f>SUMIF(adj!$B$322:$B$1120,$G412,adj!S$322:S$1120)</f>
        <v>1000000</v>
      </c>
      <c r="K412" s="135">
        <f>SUMIF(adj!$B$322:$B$1120,$G412,adj!T$322:T$1120)</f>
        <v>10</v>
      </c>
      <c r="L412" s="136" t="s">
        <v>1108</v>
      </c>
      <c r="M412" s="1019">
        <f t="shared" ref="M412" si="45">(I412+J412/(1.1^1)+J412/(1.1^2)+J412/(1.1^3)+J412/(1.1^4))*K412</f>
        <v>41698654.463492922</v>
      </c>
    </row>
  </sheetData>
  <mergeCells count="3">
    <mergeCell ref="R333:S333"/>
    <mergeCell ref="R334:R335"/>
    <mergeCell ref="R336:R337"/>
  </mergeCells>
  <phoneticPr fontId="0" type="noConversion"/>
  <pageMargins left="0.5" right="0.5" top="0.5" bottom="0.5" header="0.5" footer="0.5"/>
  <pageSetup scale="96" orientation="portrait" r:id="rId1"/>
  <headerFooter alignWithMargins="0"/>
  <ignoredErrors>
    <ignoredError sqref="E99:E102" formula="1"/>
  </ignoredError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MProd1">
    <tabColor indexed="10"/>
  </sheetPr>
  <dimension ref="A1:M329"/>
  <sheetViews>
    <sheetView showGridLines="0" zoomScaleNormal="100" zoomScaleSheetLayoutView="100" workbookViewId="0">
      <pane ySplit="1" topLeftCell="A172" activePane="bottomLeft" state="frozen"/>
      <selection activeCell="C269" sqref="C269:K287"/>
      <selection pane="bottomLeft" activeCell="C271" sqref="C271:K289"/>
    </sheetView>
  </sheetViews>
  <sheetFormatPr defaultRowHeight="11.25"/>
  <cols>
    <col min="1" max="1" width="1.83203125" customWidth="1"/>
    <col min="2" max="2" width="18.5" customWidth="1"/>
    <col min="3" max="3" width="15.5" customWidth="1"/>
    <col min="4" max="4" width="18.5" customWidth="1"/>
    <col min="5" max="9" width="17.1640625" customWidth="1"/>
    <col min="10" max="10" width="17.5" bestFit="1" customWidth="1"/>
    <col min="11" max="11" width="11.5" customWidth="1"/>
    <col min="12" max="12" width="18.33203125" customWidth="1"/>
    <col min="13" max="13" width="11.5" customWidth="1"/>
  </cols>
  <sheetData>
    <row r="1" spans="1:11" s="145" customFormat="1" ht="15.75">
      <c r="A1" s="148" t="str">
        <f>"Market Model "&amp; DataNameProd1</f>
        <v>Market Model CSD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1">
      <c r="A2" s="968"/>
      <c r="B2" s="968"/>
      <c r="C2" s="3"/>
      <c r="D2" s="3"/>
      <c r="E2" s="3"/>
      <c r="F2" s="3"/>
      <c r="G2" s="3"/>
      <c r="H2" s="3"/>
      <c r="I2" s="3"/>
      <c r="J2" s="3"/>
      <c r="K2" s="3"/>
    </row>
    <row r="3" spans="1:11">
      <c r="A3" s="968"/>
      <c r="B3" s="968"/>
      <c r="C3" s="137" t="s">
        <v>1132</v>
      </c>
      <c r="D3" s="2">
        <v>-1</v>
      </c>
      <c r="E3" s="2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3"/>
    </row>
    <row r="4" spans="1:11">
      <c r="A4" s="968"/>
      <c r="B4" s="968"/>
      <c r="C4" s="25" t="str">
        <f>DataNameProd1Seg1</f>
        <v>Vetera</v>
      </c>
      <c r="D4" s="216">
        <f>xxMMProd1Seg1Units</f>
        <v>3783863999.9999995</v>
      </c>
      <c r="E4" s="216">
        <f t="shared" ref="E4:J4" si="0">xxMMProd1Seg1Units</f>
        <v>3746399999.9999995</v>
      </c>
      <c r="F4" s="216">
        <f t="shared" si="0"/>
        <v>3708935999.9999995</v>
      </c>
      <c r="G4" s="216">
        <f t="shared" si="0"/>
        <v>3596543999.9999995</v>
      </c>
      <c r="H4" s="216">
        <f t="shared" si="0"/>
        <v>3521615999.9999995</v>
      </c>
      <c r="I4" s="216">
        <f t="shared" si="0"/>
        <v>3371759999.9999995</v>
      </c>
      <c r="J4" s="216">
        <f t="shared" si="0"/>
        <v>0</v>
      </c>
      <c r="K4" s="3"/>
    </row>
    <row r="5" spans="1:11">
      <c r="A5" s="968"/>
      <c r="B5" s="968"/>
      <c r="C5" s="25" t="str">
        <f>DataNameProd1Seg2</f>
        <v>Escendia</v>
      </c>
      <c r="D5" s="216">
        <f>xxMMProd1Seg2Units</f>
        <v>1676960000</v>
      </c>
      <c r="E5" s="216">
        <f t="shared" ref="E5:J5" si="1">xxMMProd1Seg2Units</f>
        <v>1784000000</v>
      </c>
      <c r="F5" s="216">
        <f t="shared" si="1"/>
        <v>1855360000</v>
      </c>
      <c r="G5" s="216">
        <f t="shared" si="1"/>
        <v>1926720000.0000002</v>
      </c>
      <c r="H5" s="216">
        <f t="shared" si="1"/>
        <v>2033759999.9999998</v>
      </c>
      <c r="I5" s="216">
        <f t="shared" si="1"/>
        <v>2087279999.9999998</v>
      </c>
      <c r="J5" s="216">
        <f t="shared" si="1"/>
        <v>0</v>
      </c>
      <c r="K5" s="3"/>
    </row>
    <row r="6" spans="1:11">
      <c r="A6" s="968"/>
      <c r="B6" s="968"/>
      <c r="C6" s="25" t="str">
        <f>DataNameProd1Seg3</f>
        <v>Segment 3</v>
      </c>
      <c r="D6" s="216">
        <f>xxMMProd1Seg3Units</f>
        <v>0</v>
      </c>
      <c r="E6" s="216">
        <f t="shared" ref="E6:J6" si="2">xxMMProd1Seg3Units</f>
        <v>0</v>
      </c>
      <c r="F6" s="216">
        <f t="shared" si="2"/>
        <v>0</v>
      </c>
      <c r="G6" s="216">
        <f t="shared" si="2"/>
        <v>0</v>
      </c>
      <c r="H6" s="216">
        <f t="shared" si="2"/>
        <v>0</v>
      </c>
      <c r="I6" s="216">
        <f t="shared" si="2"/>
        <v>0</v>
      </c>
      <c r="J6" s="216">
        <f t="shared" si="2"/>
        <v>0</v>
      </c>
      <c r="K6" s="3"/>
    </row>
    <row r="7" spans="1:11">
      <c r="A7" s="968"/>
      <c r="B7" s="968"/>
      <c r="C7" s="25" t="str">
        <f>DataNameProd1Seg4</f>
        <v>Segment 4</v>
      </c>
      <c r="D7" s="216">
        <f>xxMMProd1Seg4Units</f>
        <v>0</v>
      </c>
      <c r="E7" s="216">
        <f t="shared" ref="E7:J7" si="3">xxMMProd1Seg4Units</f>
        <v>0</v>
      </c>
      <c r="F7" s="216">
        <f t="shared" si="3"/>
        <v>0</v>
      </c>
      <c r="G7" s="216">
        <f t="shared" si="3"/>
        <v>0</v>
      </c>
      <c r="H7" s="216">
        <f t="shared" si="3"/>
        <v>0</v>
      </c>
      <c r="I7" s="216">
        <f t="shared" si="3"/>
        <v>0</v>
      </c>
      <c r="J7" s="216">
        <f t="shared" si="3"/>
        <v>0</v>
      </c>
      <c r="K7" s="3"/>
    </row>
    <row r="8" spans="1:11">
      <c r="A8" s="968"/>
      <c r="B8" s="968"/>
      <c r="C8" s="25" t="str">
        <f>DataNameProd1Seg5</f>
        <v>Segment 5</v>
      </c>
      <c r="D8" s="216">
        <f>xxMMProd1Seg5Units</f>
        <v>0</v>
      </c>
      <c r="E8" s="216">
        <f t="shared" ref="E8:J8" si="4">xxMMProd1Seg5Units</f>
        <v>0</v>
      </c>
      <c r="F8" s="216">
        <f t="shared" si="4"/>
        <v>0</v>
      </c>
      <c r="G8" s="216">
        <f t="shared" si="4"/>
        <v>0</v>
      </c>
      <c r="H8" s="216">
        <f t="shared" si="4"/>
        <v>0</v>
      </c>
      <c r="I8" s="216">
        <f t="shared" si="4"/>
        <v>0</v>
      </c>
      <c r="J8" s="216">
        <f t="shared" si="4"/>
        <v>0</v>
      </c>
      <c r="K8" s="3"/>
    </row>
    <row r="9" spans="1:11">
      <c r="A9" s="968"/>
      <c r="B9" s="968"/>
      <c r="C9" s="3"/>
      <c r="D9" s="85"/>
      <c r="E9" s="85"/>
      <c r="F9" s="85"/>
      <c r="G9" s="85"/>
      <c r="H9" s="85"/>
      <c r="I9" s="85"/>
      <c r="J9" s="85"/>
      <c r="K9" s="3"/>
    </row>
    <row r="10" spans="1:11">
      <c r="A10" s="968"/>
      <c r="B10" s="968"/>
      <c r="C10" s="2" t="s">
        <v>2671</v>
      </c>
      <c r="D10" s="279">
        <v>2</v>
      </c>
      <c r="E10" s="280" t="s">
        <v>2325</v>
      </c>
      <c r="F10" s="3"/>
      <c r="G10" s="3"/>
      <c r="H10" s="3"/>
      <c r="I10" s="3"/>
      <c r="J10" s="3"/>
      <c r="K10" s="3"/>
    </row>
    <row r="11" spans="1:11">
      <c r="A11" s="968"/>
      <c r="B11" s="968"/>
      <c r="C11" s="2"/>
      <c r="D11" s="88"/>
      <c r="E11" s="3"/>
      <c r="F11" s="3"/>
      <c r="G11" s="3"/>
      <c r="H11" s="3"/>
      <c r="I11" s="3"/>
      <c r="J11" s="3"/>
      <c r="K11" s="3"/>
    </row>
    <row r="12" spans="1:11" ht="12" thickBot="1">
      <c r="A12" s="968"/>
      <c r="B12" s="968"/>
      <c r="C12" s="2" t="s">
        <v>3788</v>
      </c>
      <c r="D12" s="3"/>
      <c r="E12" s="3"/>
      <c r="F12" s="3"/>
      <c r="G12" s="3"/>
      <c r="H12" s="3"/>
      <c r="I12" s="3"/>
      <c r="J12" s="3"/>
      <c r="K12" s="3"/>
    </row>
    <row r="13" spans="1:11" ht="12" thickBot="1">
      <c r="A13" s="968"/>
      <c r="B13" s="968"/>
      <c r="C13" s="276" t="str">
        <f>C4</f>
        <v>Vetera</v>
      </c>
      <c r="D13" s="270">
        <f>INDEX($D4:$J4,xxYear+2)</f>
        <v>3708935999.9999995</v>
      </c>
      <c r="E13" s="3"/>
      <c r="F13" s="3"/>
      <c r="G13" s="3"/>
      <c r="H13" s="3"/>
      <c r="I13" s="3"/>
      <c r="J13" s="3"/>
      <c r="K13" s="3"/>
    </row>
    <row r="14" spans="1:11" ht="12" thickBot="1">
      <c r="A14" s="968"/>
      <c r="B14" s="968"/>
      <c r="C14" s="276" t="str">
        <f>C5</f>
        <v>Escendia</v>
      </c>
      <c r="D14" s="270">
        <f>INDEX($D5:$J5,xxYear+2)</f>
        <v>1855360000</v>
      </c>
      <c r="E14" s="3"/>
      <c r="F14" s="3"/>
      <c r="G14" s="3"/>
      <c r="H14" s="3"/>
      <c r="I14" s="3"/>
      <c r="J14" s="3"/>
      <c r="K14" s="3"/>
    </row>
    <row r="15" spans="1:11" ht="12" thickBot="1">
      <c r="A15" s="968"/>
      <c r="B15" s="968"/>
      <c r="C15" s="276" t="str">
        <f>C6</f>
        <v>Segment 3</v>
      </c>
      <c r="D15" s="270">
        <f>INDEX($D6:$J6,xxYear+2)</f>
        <v>0</v>
      </c>
      <c r="E15" s="3"/>
      <c r="F15" s="3"/>
      <c r="G15" s="3"/>
      <c r="H15" s="3"/>
      <c r="I15" s="3"/>
      <c r="J15" s="3"/>
      <c r="K15" s="3"/>
    </row>
    <row r="16" spans="1:11" ht="12" thickBot="1">
      <c r="A16" s="968"/>
      <c r="B16" s="968"/>
      <c r="C16" s="276" t="str">
        <f>C7</f>
        <v>Segment 4</v>
      </c>
      <c r="D16" s="270">
        <f>INDEX($D7:$J7,xxYear+2)</f>
        <v>0</v>
      </c>
      <c r="E16" s="3"/>
      <c r="F16" s="3"/>
      <c r="G16" s="3"/>
      <c r="H16" s="3"/>
      <c r="I16" s="3"/>
      <c r="J16" s="3"/>
      <c r="K16" s="3"/>
    </row>
    <row r="17" spans="1:13" ht="12" thickBot="1">
      <c r="A17" s="968"/>
      <c r="B17" s="968"/>
      <c r="C17" s="276" t="str">
        <f>C8</f>
        <v>Segment 5</v>
      </c>
      <c r="D17" s="270">
        <f>INDEX($D8:$J8,xxYear+2)</f>
        <v>0</v>
      </c>
      <c r="E17" s="3"/>
      <c r="F17" s="3"/>
      <c r="G17" s="3"/>
      <c r="H17" s="3"/>
      <c r="I17" s="3"/>
      <c r="J17" s="3"/>
    </row>
    <row r="18" spans="1:13" ht="12" thickBot="1">
      <c r="A18" s="968"/>
      <c r="B18" s="968"/>
      <c r="C18" s="269"/>
      <c r="D18" s="271"/>
      <c r="E18" s="3"/>
      <c r="F18" s="3"/>
      <c r="G18" s="3"/>
      <c r="H18" s="3"/>
      <c r="I18" s="3"/>
      <c r="J18" s="3"/>
    </row>
    <row r="19" spans="1:13" ht="12" thickBot="1">
      <c r="A19" s="968"/>
      <c r="B19" s="968"/>
      <c r="C19" s="2" t="s">
        <v>1135</v>
      </c>
      <c r="D19" s="270">
        <f>SUM(D13:D17)</f>
        <v>5564296000</v>
      </c>
      <c r="E19" s="3"/>
      <c r="F19" s="3"/>
      <c r="G19" s="3"/>
      <c r="H19" s="3"/>
      <c r="I19" s="3"/>
      <c r="J19" s="3"/>
    </row>
    <row r="20" spans="1:13" ht="12" thickBot="1">
      <c r="A20" s="968"/>
      <c r="B20" s="968"/>
      <c r="C20" s="2"/>
      <c r="D20" s="2"/>
      <c r="E20" s="2"/>
      <c r="F20" s="3"/>
      <c r="G20" s="3"/>
      <c r="H20" s="3"/>
      <c r="I20" s="3"/>
      <c r="J20" s="3"/>
      <c r="K20" s="3"/>
    </row>
    <row r="21" spans="1:13" ht="12.75" customHeight="1" thickBot="1">
      <c r="A21" s="968"/>
      <c r="B21" s="968"/>
      <c r="C21" s="2" t="s">
        <v>3753</v>
      </c>
      <c r="D21" s="278">
        <v>2</v>
      </c>
      <c r="E21" s="281" t="s">
        <v>2326</v>
      </c>
      <c r="F21" s="85"/>
      <c r="G21" s="85"/>
      <c r="H21" s="85"/>
      <c r="I21" s="85"/>
      <c r="J21" s="85"/>
    </row>
    <row r="22" spans="1:13" ht="12.75" customHeight="1" thickBot="1">
      <c r="A22" s="968"/>
      <c r="B22" s="968"/>
      <c r="C22" s="2" t="s">
        <v>23</v>
      </c>
      <c r="D22" s="278" t="str">
        <f>INDEX(C13:C18,MMSegCurrent)</f>
        <v>Escendia</v>
      </c>
      <c r="E22" s="281" t="s">
        <v>22</v>
      </c>
      <c r="F22" s="85"/>
      <c r="G22" s="85"/>
      <c r="H22" s="85"/>
      <c r="I22" s="85"/>
      <c r="J22" s="85"/>
    </row>
    <row r="23" spans="1:13">
      <c r="A23" s="968"/>
      <c r="B23" s="968"/>
      <c r="C23" s="2"/>
      <c r="D23" s="151"/>
      <c r="E23" s="85"/>
      <c r="F23" s="85"/>
      <c r="G23" s="85"/>
      <c r="H23" s="85"/>
      <c r="I23" s="85"/>
      <c r="J23" s="85"/>
    </row>
    <row r="24" spans="1:13">
      <c r="A24" s="968"/>
      <c r="B24" s="968"/>
      <c r="C24" s="34" t="s">
        <v>61</v>
      </c>
      <c r="D24" s="35"/>
      <c r="E24" s="277" t="b">
        <v>1</v>
      </c>
      <c r="F24" s="277" t="b">
        <v>1</v>
      </c>
      <c r="G24" s="277" t="b">
        <v>1</v>
      </c>
      <c r="H24" s="277" t="b">
        <v>1</v>
      </c>
      <c r="I24" s="277" t="b">
        <v>1</v>
      </c>
      <c r="J24" s="36">
        <f>COUNTIF(E24:I24,TRUE)</f>
        <v>5</v>
      </c>
      <c r="K24" s="3" t="s">
        <v>2331</v>
      </c>
    </row>
    <row r="25" spans="1:13">
      <c r="A25" s="968"/>
      <c r="B25" s="968"/>
      <c r="C25" s="2"/>
      <c r="D25" s="151"/>
      <c r="E25" s="85"/>
      <c r="F25" s="85"/>
      <c r="G25" s="85"/>
      <c r="H25" s="85"/>
      <c r="I25" s="85"/>
      <c r="J25" s="85"/>
    </row>
    <row r="26" spans="1:13">
      <c r="A26" s="968"/>
      <c r="B26" s="969" t="s">
        <v>2380</v>
      </c>
      <c r="C26" s="230" t="str">
        <f>xxMMProd1Driver1&amp;" - "&amp;DataNameProd1Seg1</f>
        <v>Price - Vetera</v>
      </c>
      <c r="D26" s="231"/>
      <c r="E26" s="217">
        <f>capProd1Reg1Price</f>
        <v>9.5</v>
      </c>
      <c r="F26" s="217">
        <f>capProd1Reg1Price</f>
        <v>9.5</v>
      </c>
      <c r="G26" s="217">
        <f>capProd1Reg1Price</f>
        <v>9.5</v>
      </c>
      <c r="H26" s="217">
        <f>capProd1Reg1Price</f>
        <v>9.5</v>
      </c>
      <c r="I26" s="217">
        <f>capProd1Reg1Price</f>
        <v>9.5</v>
      </c>
      <c r="J26" s="154"/>
      <c r="L26" s="240" t="s">
        <v>3209</v>
      </c>
      <c r="M26" s="240" t="s">
        <v>3210</v>
      </c>
    </row>
    <row r="27" spans="1:13">
      <c r="A27" s="969" t="s">
        <v>166</v>
      </c>
      <c r="B27" s="970">
        <f>E161</f>
        <v>35</v>
      </c>
      <c r="C27" s="349" t="str">
        <f>xxMMProd1Driver1&amp;" - "&amp;DataNameProd1Seg2</f>
        <v>Price - Escendia</v>
      </c>
      <c r="D27" s="177"/>
      <c r="E27" s="228">
        <f>capProd1Reg2Price</f>
        <v>7</v>
      </c>
      <c r="F27" s="228">
        <f>capProd1Reg2Price</f>
        <v>7</v>
      </c>
      <c r="G27" s="228">
        <f>capProd1Reg2Price</f>
        <v>7</v>
      </c>
      <c r="H27" s="228">
        <f>capProd1Reg2Price</f>
        <v>7</v>
      </c>
      <c r="I27" s="228">
        <f>capProd1Reg2Price</f>
        <v>7</v>
      </c>
      <c r="J27" s="333"/>
      <c r="K27" s="10">
        <v>0</v>
      </c>
      <c r="L27" s="14">
        <f t="shared" ref="L27:L33" si="5">K27*$J$32</f>
        <v>0</v>
      </c>
      <c r="M27" s="15">
        <f>1-NORMDIST(L27,$J$32,$D$32,TRUE)</f>
        <v>0.99999999999872013</v>
      </c>
    </row>
    <row r="28" spans="1:13">
      <c r="A28" s="969" t="s">
        <v>167</v>
      </c>
      <c r="B28" s="970">
        <f>F161</f>
        <v>54</v>
      </c>
      <c r="C28" s="349"/>
      <c r="D28" s="177"/>
      <c r="E28" s="228"/>
      <c r="F28" s="228"/>
      <c r="G28" s="228"/>
      <c r="H28" s="228"/>
      <c r="I28" s="228"/>
      <c r="J28" s="333"/>
      <c r="K28" s="10">
        <v>0.33</v>
      </c>
      <c r="L28" s="14">
        <f t="shared" si="5"/>
        <v>2.31</v>
      </c>
      <c r="M28" s="15">
        <f t="shared" ref="M28:M33" si="6">1-NORMDIST(L28,$J$32,$D$32,TRUE)</f>
        <v>0.99999863397475541</v>
      </c>
    </row>
    <row r="29" spans="1:13">
      <c r="A29" s="968"/>
      <c r="B29" s="968"/>
      <c r="C29" s="37" t="s">
        <v>62</v>
      </c>
      <c r="D29" s="41"/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0"/>
      <c r="K29" s="10">
        <v>0.66</v>
      </c>
      <c r="L29" s="14">
        <f t="shared" si="5"/>
        <v>4.62</v>
      </c>
      <c r="M29" s="15">
        <f t="shared" si="6"/>
        <v>0.99134368097448344</v>
      </c>
    </row>
    <row r="30" spans="1:13">
      <c r="A30" s="968"/>
      <c r="B30" s="968"/>
      <c r="C30" s="37" t="s">
        <v>63</v>
      </c>
      <c r="D30" s="41">
        <v>0.1</v>
      </c>
      <c r="E30" s="42">
        <f>INDEX(E26:E27,MMSegCurrent)</f>
        <v>7</v>
      </c>
      <c r="F30" s="42">
        <f>INDEX(F26:F27,MMSegCurrent)</f>
        <v>7</v>
      </c>
      <c r="G30" s="42">
        <f>INDEX(G26:G27,MMSegCurrent)</f>
        <v>7</v>
      </c>
      <c r="H30" s="42">
        <f>INDEX(H26:H27,MMSegCurrent)</f>
        <v>7</v>
      </c>
      <c r="I30" s="42">
        <f>INDEX(I26:I27,MMSegCurrent)</f>
        <v>7</v>
      </c>
      <c r="J30" s="40"/>
      <c r="K30" s="10">
        <v>1</v>
      </c>
      <c r="L30" s="14">
        <f t="shared" si="5"/>
        <v>7</v>
      </c>
      <c r="M30" s="15">
        <f t="shared" si="6"/>
        <v>0.5</v>
      </c>
    </row>
    <row r="31" spans="1:13">
      <c r="A31" s="968"/>
      <c r="B31" s="968"/>
      <c r="C31" s="37" t="s">
        <v>965</v>
      </c>
      <c r="D31" s="48">
        <v>2</v>
      </c>
      <c r="E31" s="39">
        <f>IF(MMInMarket=TRUE,E30,0)</f>
        <v>7</v>
      </c>
      <c r="F31" s="39">
        <f>IF(MMInMarket=TRUE,F30,0)</f>
        <v>7</v>
      </c>
      <c r="G31" s="39">
        <f>IF(MMInMarket=TRUE,G30,0)</f>
        <v>7</v>
      </c>
      <c r="H31" s="39">
        <f>IF(MMInMarket=TRUE,H30,0)</f>
        <v>7</v>
      </c>
      <c r="I31" s="39">
        <f>IF(MMInMarket=TRUE,I30,0)</f>
        <v>7</v>
      </c>
      <c r="J31" s="40"/>
      <c r="K31" s="10">
        <v>1.33</v>
      </c>
      <c r="L31" s="14">
        <f t="shared" si="5"/>
        <v>9.31</v>
      </c>
      <c r="M31" s="15">
        <f t="shared" si="6"/>
        <v>1.0444077061951051E-2</v>
      </c>
    </row>
    <row r="32" spans="1:13">
      <c r="A32" s="968"/>
      <c r="B32" s="968"/>
      <c r="C32" s="43" t="s">
        <v>966</v>
      </c>
      <c r="D32" s="42">
        <f>STDEVP(E31:I31)*D31+(STDEVP(E31:I31)=0)</f>
        <v>1</v>
      </c>
      <c r="E32" s="71">
        <f>IF(E31=0,0,(1-NORMDIST(E31,$J32,$D32,TRUE)))*(MMInMarket=TRUE)</f>
        <v>0.5</v>
      </c>
      <c r="F32" s="71">
        <f>IF(F31=0,0,(1-NORMDIST(F31,$J32,$D32,TRUE)))*(MMInMarket=TRUE)</f>
        <v>0.5</v>
      </c>
      <c r="G32" s="71">
        <f>IF(G31=0,0,(1-NORMDIST(G31,$J32,$D32,TRUE)))*(MMInMarket=TRUE)</f>
        <v>0.5</v>
      </c>
      <c r="H32" s="71">
        <f>IF(H31=0,0,(1-NORMDIST(H31,$J32,$D32,TRUE)))*(MMInMarket=TRUE)</f>
        <v>0.5</v>
      </c>
      <c r="I32" s="71">
        <f>IF(I31=0,0,(1-NORMDIST(I31,$J32,$D32,TRUE)))*(MMInMarket=TRUE)</f>
        <v>0.5</v>
      </c>
      <c r="J32" s="201">
        <f>IF($J$24=0,0,SUM(E31:I31)/$J$24)</f>
        <v>7</v>
      </c>
      <c r="K32" s="10">
        <v>1.66</v>
      </c>
      <c r="L32" s="14">
        <f t="shared" si="5"/>
        <v>11.62</v>
      </c>
      <c r="M32" s="15">
        <f t="shared" si="6"/>
        <v>1.9187002199272385E-6</v>
      </c>
    </row>
    <row r="33" spans="1:13">
      <c r="A33" s="968"/>
      <c r="B33" s="968"/>
      <c r="C33" s="2"/>
      <c r="D33" s="39"/>
      <c r="E33" s="3"/>
      <c r="F33" s="3"/>
      <c r="G33" s="3"/>
      <c r="H33" s="3"/>
      <c r="I33" s="3"/>
      <c r="J33" s="3"/>
      <c r="K33" s="10">
        <v>2</v>
      </c>
      <c r="L33" s="14">
        <f t="shared" si="5"/>
        <v>14</v>
      </c>
      <c r="M33" s="15">
        <f t="shared" si="6"/>
        <v>1.2798651027878805E-12</v>
      </c>
    </row>
    <row r="34" spans="1:13">
      <c r="A34" s="968"/>
      <c r="B34" s="968"/>
      <c r="C34" s="2"/>
      <c r="D34" s="39"/>
      <c r="E34" s="3"/>
      <c r="F34" s="3"/>
      <c r="G34" s="3"/>
      <c r="H34" s="3"/>
      <c r="I34" s="3"/>
      <c r="J34" s="3"/>
      <c r="L34" s="14"/>
      <c r="M34" s="10"/>
    </row>
    <row r="35" spans="1:13">
      <c r="A35" s="968"/>
      <c r="B35" s="968"/>
      <c r="C35" s="2"/>
      <c r="D35" s="39"/>
      <c r="E35" s="3"/>
      <c r="F35" s="3"/>
      <c r="G35" s="3"/>
      <c r="H35" s="3"/>
      <c r="I35" s="3"/>
      <c r="J35" s="3"/>
    </row>
    <row r="36" spans="1:13">
      <c r="A36" s="968"/>
      <c r="B36" s="968"/>
      <c r="C36" s="2"/>
      <c r="D36" s="39"/>
      <c r="E36" s="3"/>
      <c r="F36" s="3"/>
      <c r="G36" s="3"/>
      <c r="H36" s="3"/>
      <c r="I36" s="3"/>
      <c r="J36" s="3"/>
    </row>
    <row r="37" spans="1:13">
      <c r="A37" s="968"/>
      <c r="B37" s="968"/>
      <c r="C37" s="2"/>
      <c r="D37" s="39"/>
      <c r="E37" s="3"/>
      <c r="F37" s="3"/>
      <c r="G37" s="3"/>
      <c r="H37" s="3"/>
      <c r="I37" s="3"/>
      <c r="J37" s="3"/>
    </row>
    <row r="38" spans="1:13">
      <c r="A38" s="968"/>
      <c r="B38" s="968"/>
      <c r="C38" s="2"/>
      <c r="D38" s="39"/>
      <c r="E38" s="38"/>
      <c r="F38" s="38"/>
      <c r="G38" s="38"/>
      <c r="H38" s="38"/>
      <c r="I38" s="38"/>
      <c r="J38" s="38"/>
      <c r="L38" s="240" t="s">
        <v>3209</v>
      </c>
      <c r="M38" s="240" t="s">
        <v>3210</v>
      </c>
    </row>
    <row r="39" spans="1:13">
      <c r="A39" s="968"/>
      <c r="B39" s="968"/>
      <c r="C39" s="2"/>
      <c r="D39" s="39"/>
      <c r="E39" s="38"/>
      <c r="F39" s="38"/>
      <c r="G39" s="38"/>
      <c r="H39" s="38"/>
      <c r="I39" s="38"/>
      <c r="J39" s="38"/>
      <c r="K39" s="10">
        <v>0</v>
      </c>
      <c r="L39" s="14">
        <f t="shared" ref="L39:L45" si="7">K39*$J$44</f>
        <v>0</v>
      </c>
      <c r="M39" s="15">
        <f>NORMDIST(L39,$J$44,$D$44,TRUE)</f>
        <v>9.8658764503769437E-10</v>
      </c>
    </row>
    <row r="40" spans="1:13">
      <c r="A40" s="971"/>
      <c r="B40" s="969" t="s">
        <v>2381</v>
      </c>
      <c r="C40" s="230" t="str">
        <f>xxMMProd1Driver2</f>
        <v>Range Of Products</v>
      </c>
      <c r="D40" s="231"/>
      <c r="E40" s="218">
        <f>capProd1Ftr4Level</f>
        <v>6</v>
      </c>
      <c r="F40" s="218">
        <f>capProd1Ftr4Level</f>
        <v>6</v>
      </c>
      <c r="G40" s="218">
        <f>capProd1Ftr4Level</f>
        <v>6</v>
      </c>
      <c r="H40" s="218">
        <f>capProd1Ftr4Level</f>
        <v>6</v>
      </c>
      <c r="I40" s="218">
        <f>capProd1Ftr4Level</f>
        <v>6</v>
      </c>
      <c r="J40" s="154"/>
      <c r="K40" s="10">
        <v>0.33</v>
      </c>
      <c r="L40" s="14">
        <f t="shared" si="7"/>
        <v>1.98</v>
      </c>
      <c r="M40" s="15">
        <f t="shared" ref="M40:M45" si="8">NORMDIST(L40,$J$44,$D$44,TRUE)</f>
        <v>2.9099070711930998E-5</v>
      </c>
    </row>
    <row r="41" spans="1:13">
      <c r="A41" s="969" t="s">
        <v>166</v>
      </c>
      <c r="B41" s="970">
        <f>E162</f>
        <v>7</v>
      </c>
      <c r="C41" s="37"/>
      <c r="D41" s="38"/>
      <c r="E41" s="39"/>
      <c r="F41" s="39"/>
      <c r="G41" s="39"/>
      <c r="H41" s="39"/>
      <c r="I41" s="39"/>
      <c r="J41" s="40"/>
      <c r="K41" s="10">
        <v>0.66</v>
      </c>
      <c r="L41" s="14">
        <f t="shared" si="7"/>
        <v>3.96</v>
      </c>
      <c r="M41" s="15">
        <f t="shared" si="8"/>
        <v>2.0675162866070039E-2</v>
      </c>
    </row>
    <row r="42" spans="1:13">
      <c r="A42" s="969" t="s">
        <v>167</v>
      </c>
      <c r="B42" s="970">
        <f>F162</f>
        <v>8</v>
      </c>
      <c r="C42" s="37" t="s">
        <v>1137</v>
      </c>
      <c r="D42" s="38"/>
      <c r="E42" s="87">
        <f>E40</f>
        <v>6</v>
      </c>
      <c r="F42" s="87">
        <f>F40</f>
        <v>6</v>
      </c>
      <c r="G42" s="87">
        <f>G40</f>
        <v>6</v>
      </c>
      <c r="H42" s="87">
        <f>H40</f>
        <v>6</v>
      </c>
      <c r="I42" s="87">
        <f>I40</f>
        <v>6</v>
      </c>
      <c r="J42" s="40"/>
      <c r="K42" s="10">
        <v>1</v>
      </c>
      <c r="L42" s="14">
        <f t="shared" si="7"/>
        <v>6</v>
      </c>
      <c r="M42" s="15">
        <f t="shared" si="8"/>
        <v>0.5</v>
      </c>
    </row>
    <row r="43" spans="1:13">
      <c r="A43" s="971"/>
      <c r="B43" s="971"/>
      <c r="C43" s="37" t="s">
        <v>965</v>
      </c>
      <c r="D43" s="48">
        <v>1</v>
      </c>
      <c r="E43" s="39">
        <f>IF(MMInMarket=TRUE,E42,0)</f>
        <v>6</v>
      </c>
      <c r="F43" s="39">
        <f>IF(MMInMarket=TRUE,F42,0)</f>
        <v>6</v>
      </c>
      <c r="G43" s="39">
        <f>IF(MMInMarket=TRUE,G42,0)</f>
        <v>6</v>
      </c>
      <c r="H43" s="39">
        <f>IF(MMInMarket=TRUE,H42,0)</f>
        <v>6</v>
      </c>
      <c r="I43" s="39">
        <f>IF(MMInMarket=TRUE,I42,0)</f>
        <v>6</v>
      </c>
      <c r="J43" s="40"/>
      <c r="K43" s="10">
        <v>1.33</v>
      </c>
      <c r="L43" s="14">
        <f t="shared" si="7"/>
        <v>7.98</v>
      </c>
      <c r="M43" s="15">
        <f t="shared" si="8"/>
        <v>0.97614823565849151</v>
      </c>
    </row>
    <row r="44" spans="1:13">
      <c r="A44" s="971"/>
      <c r="B44" s="971"/>
      <c r="C44" s="43" t="s">
        <v>967</v>
      </c>
      <c r="D44" s="42">
        <f>STDEVP(E43:I43)*D43+(STDEVP(E43:I43)=0)</f>
        <v>1</v>
      </c>
      <c r="E44" s="71">
        <f>IF(E43=0,0,NORMDIST(E43,$J44,$D44,TRUE))*(MMInMarket=TRUE)</f>
        <v>0.5</v>
      </c>
      <c r="F44" s="71">
        <f>IF(F43=0,0,NORMDIST(F43,$J44,$D44,TRUE))*(MMInMarket=TRUE)</f>
        <v>0.5</v>
      </c>
      <c r="G44" s="71">
        <f>IF(G43=0,0,NORMDIST(G43,$J44,$D44,TRUE))*(MMInMarket=TRUE)</f>
        <v>0.5</v>
      </c>
      <c r="H44" s="71">
        <f>IF(H43=0,0,NORMDIST(H43,$J44,$D44,TRUE))*(MMInMarket=TRUE)</f>
        <v>0.5</v>
      </c>
      <c r="I44" s="71">
        <f>IF(I43=0,0,NORMDIST(I43,$J44,$D44,TRUE))*(MMInMarket=TRUE)</f>
        <v>0.5</v>
      </c>
      <c r="J44" s="201">
        <f>IF($J$24=0,0,SUM(E43:I43)/$J$24)</f>
        <v>6</v>
      </c>
      <c r="K44" s="10">
        <v>1.66</v>
      </c>
      <c r="L44" s="14">
        <f t="shared" si="7"/>
        <v>9.9599999999999991</v>
      </c>
      <c r="M44" s="15">
        <f t="shared" si="8"/>
        <v>0.99996252511830896</v>
      </c>
    </row>
    <row r="45" spans="1:13">
      <c r="A45" s="968"/>
      <c r="B45" s="971"/>
      <c r="C45" s="2"/>
      <c r="D45" s="39"/>
      <c r="E45" s="3"/>
      <c r="F45" s="3"/>
      <c r="G45" s="3"/>
      <c r="H45" s="3"/>
      <c r="I45" s="3"/>
      <c r="J45" s="3"/>
      <c r="K45" s="10">
        <v>2</v>
      </c>
      <c r="L45" s="14">
        <f t="shared" si="7"/>
        <v>12</v>
      </c>
      <c r="M45" s="15">
        <f t="shared" si="8"/>
        <v>0.9999999990134123</v>
      </c>
    </row>
    <row r="46" spans="1:13">
      <c r="A46" s="968"/>
      <c r="B46" s="971"/>
      <c r="C46" s="2"/>
      <c r="D46" s="39"/>
      <c r="E46" s="3"/>
      <c r="F46" s="3"/>
      <c r="G46" s="3"/>
      <c r="H46" s="3"/>
      <c r="I46" s="3"/>
      <c r="J46" s="3"/>
      <c r="L46" s="14"/>
      <c r="M46" s="10"/>
    </row>
    <row r="47" spans="1:13">
      <c r="A47" s="968"/>
      <c r="B47" s="971"/>
      <c r="C47" s="2"/>
      <c r="D47" s="39"/>
      <c r="E47" s="3"/>
      <c r="F47" s="3"/>
      <c r="G47" s="3"/>
      <c r="H47" s="3"/>
      <c r="I47" s="3"/>
      <c r="J47" s="3"/>
    </row>
    <row r="48" spans="1:13">
      <c r="A48" s="968"/>
      <c r="B48" s="971"/>
      <c r="C48" s="2"/>
      <c r="D48" s="39"/>
      <c r="E48" s="3"/>
      <c r="F48" s="3"/>
      <c r="G48" s="3"/>
      <c r="H48" s="3"/>
      <c r="I48" s="3"/>
      <c r="J48" s="3"/>
    </row>
    <row r="49" spans="1:13">
      <c r="A49" s="968"/>
      <c r="B49" s="968"/>
      <c r="C49" s="2"/>
      <c r="D49" s="39"/>
      <c r="E49" s="3"/>
      <c r="F49" s="3"/>
      <c r="G49" s="3"/>
      <c r="H49" s="3"/>
      <c r="I49" s="3"/>
      <c r="J49" s="3"/>
    </row>
    <row r="50" spans="1:13">
      <c r="A50" s="968"/>
      <c r="B50" s="968"/>
      <c r="C50" s="2"/>
      <c r="D50" s="39"/>
      <c r="E50" s="3"/>
      <c r="F50" s="3"/>
      <c r="G50" s="3"/>
      <c r="H50" s="3"/>
      <c r="I50" s="3"/>
      <c r="J50" s="3"/>
    </row>
    <row r="51" spans="1:13">
      <c r="A51" s="968"/>
      <c r="B51" s="968"/>
      <c r="C51" s="2"/>
      <c r="D51" s="39"/>
      <c r="E51" s="3"/>
      <c r="F51" s="3"/>
      <c r="G51" s="3"/>
      <c r="H51" s="3"/>
      <c r="I51" s="3"/>
      <c r="J51" s="3"/>
    </row>
    <row r="52" spans="1:13">
      <c r="A52" s="971"/>
      <c r="B52" s="969" t="s">
        <v>2315</v>
      </c>
      <c r="C52" s="230" t="str">
        <f>xxMMProd1Driver3</f>
        <v>Brands</v>
      </c>
      <c r="D52" s="231"/>
      <c r="E52" s="218"/>
      <c r="F52" s="218"/>
      <c r="G52" s="218"/>
      <c r="H52" s="218"/>
      <c r="I52" s="218"/>
      <c r="J52" s="594" t="s">
        <v>2227</v>
      </c>
    </row>
    <row r="53" spans="1:13">
      <c r="A53" s="969" t="s">
        <v>166</v>
      </c>
      <c r="B53" s="970">
        <f>E163</f>
        <v>0</v>
      </c>
      <c r="C53" s="349" t="s">
        <v>2226</v>
      </c>
      <c r="D53" s="177"/>
      <c r="E53" s="596">
        <f>decProd1Ftr1Level*$J$53</f>
        <v>0</v>
      </c>
      <c r="F53" s="596">
        <f>decProd1Ftr1Level*$J$53</f>
        <v>0</v>
      </c>
      <c r="G53" s="596">
        <f>decProd1Ftr1Level*$J$53</f>
        <v>0</v>
      </c>
      <c r="H53" s="596">
        <f>decProd1Ftr1Level*$J$53</f>
        <v>0</v>
      </c>
      <c r="I53" s="596">
        <f>decProd1Ftr1Level*$J$53</f>
        <v>0</v>
      </c>
      <c r="J53" s="595">
        <v>1</v>
      </c>
      <c r="L53" s="240" t="s">
        <v>3209</v>
      </c>
      <c r="M53" s="240" t="s">
        <v>3210</v>
      </c>
    </row>
    <row r="54" spans="1:13">
      <c r="A54" s="969" t="s">
        <v>167</v>
      </c>
      <c r="B54" s="970">
        <f>F163</f>
        <v>0</v>
      </c>
      <c r="C54" s="349" t="s">
        <v>1055</v>
      </c>
      <c r="D54" s="177"/>
      <c r="E54" s="596">
        <f>decProd1Ftr2Level*$J$54</f>
        <v>0</v>
      </c>
      <c r="F54" s="596">
        <f>decProd1Ftr2Level*$J$54</f>
        <v>0</v>
      </c>
      <c r="G54" s="596">
        <f>decProd1Ftr2Level*$J$54</f>
        <v>0</v>
      </c>
      <c r="H54" s="596">
        <f>decProd1Ftr2Level*$J$54</f>
        <v>0</v>
      </c>
      <c r="I54" s="596">
        <f>decProd1Ftr2Level*$J$54</f>
        <v>0</v>
      </c>
      <c r="J54" s="595">
        <v>1.25</v>
      </c>
      <c r="K54" s="10">
        <v>0</v>
      </c>
      <c r="L54" s="14">
        <f t="shared" ref="L54:L60" si="9">K54*$J$59</f>
        <v>0</v>
      </c>
      <c r="M54" s="15">
        <f>NORMDIST(L54,$J$59,$D$59,TRUE)</f>
        <v>2.2750131948179191E-2</v>
      </c>
    </row>
    <row r="55" spans="1:13">
      <c r="A55" s="971"/>
      <c r="B55" s="971"/>
      <c r="C55" s="597" t="s">
        <v>2228</v>
      </c>
      <c r="D55" s="598"/>
      <c r="E55" s="599">
        <v>2</v>
      </c>
      <c r="F55" s="599">
        <v>2</v>
      </c>
      <c r="G55" s="599">
        <v>2</v>
      </c>
      <c r="H55" s="599">
        <v>2</v>
      </c>
      <c r="I55" s="599">
        <v>2</v>
      </c>
      <c r="J55" s="595">
        <v>2</v>
      </c>
      <c r="K55" s="10">
        <v>0.33</v>
      </c>
      <c r="L55" s="14">
        <f t="shared" si="9"/>
        <v>0.66</v>
      </c>
      <c r="M55" s="15">
        <f t="shared" ref="M55:M60" si="10">NORMDIST(L55,$J$59,$D$59,TRUE)</f>
        <v>9.0122672464452477E-2</v>
      </c>
    </row>
    <row r="56" spans="1:13">
      <c r="A56" s="971"/>
      <c r="B56" s="971"/>
      <c r="C56" s="37"/>
      <c r="D56" s="38"/>
      <c r="E56" s="39"/>
      <c r="F56" s="39"/>
      <c r="G56" s="39"/>
      <c r="H56" s="39"/>
      <c r="I56" s="39"/>
      <c r="J56" s="40"/>
      <c r="K56" s="10">
        <v>0.66</v>
      </c>
      <c r="L56" s="14">
        <f t="shared" si="9"/>
        <v>1.32</v>
      </c>
      <c r="M56" s="15">
        <f t="shared" si="10"/>
        <v>0.24825223045357048</v>
      </c>
    </row>
    <row r="57" spans="1:13">
      <c r="A57" s="971"/>
      <c r="B57" s="971"/>
      <c r="C57" s="37" t="s">
        <v>1138</v>
      </c>
      <c r="D57" s="38"/>
      <c r="E57" s="87">
        <f>SUM(E53:E55)</f>
        <v>2</v>
      </c>
      <c r="F57" s="87">
        <f>SUM(F53:F55)</f>
        <v>2</v>
      </c>
      <c r="G57" s="87">
        <f>SUM(G53:G55)</f>
        <v>2</v>
      </c>
      <c r="H57" s="87">
        <f>SUM(H53:H55)</f>
        <v>2</v>
      </c>
      <c r="I57" s="87">
        <f>SUM(I53:I55)</f>
        <v>2</v>
      </c>
      <c r="J57" s="40"/>
      <c r="K57" s="10">
        <v>1</v>
      </c>
      <c r="L57" s="14">
        <f t="shared" si="9"/>
        <v>2</v>
      </c>
      <c r="M57" s="15">
        <f t="shared" si="10"/>
        <v>0.5</v>
      </c>
    </row>
    <row r="58" spans="1:13">
      <c r="A58" s="971"/>
      <c r="B58" s="971"/>
      <c r="C58" s="37" t="s">
        <v>965</v>
      </c>
      <c r="D58" s="48">
        <v>1</v>
      </c>
      <c r="E58" s="87">
        <f>IF(MMInMarket=TRUE,E57,0)</f>
        <v>2</v>
      </c>
      <c r="F58" s="87">
        <f>IF(MMInMarket=TRUE,F57,0)</f>
        <v>2</v>
      </c>
      <c r="G58" s="87">
        <f>IF(MMInMarket=TRUE,G57,0)</f>
        <v>2</v>
      </c>
      <c r="H58" s="87">
        <f>IF(MMInMarket=TRUE,H57,0)</f>
        <v>2</v>
      </c>
      <c r="I58" s="87">
        <f>IF(MMInMarket=TRUE,I57,0)</f>
        <v>2</v>
      </c>
      <c r="J58" s="40"/>
      <c r="K58" s="10">
        <v>1.33</v>
      </c>
      <c r="L58" s="14">
        <f t="shared" si="9"/>
        <v>2.66</v>
      </c>
      <c r="M58" s="15">
        <f t="shared" si="10"/>
        <v>0.74537308532866398</v>
      </c>
    </row>
    <row r="59" spans="1:13">
      <c r="A59" s="971"/>
      <c r="B59" s="971"/>
      <c r="C59" s="43" t="s">
        <v>968</v>
      </c>
      <c r="D59" s="42">
        <f>STDEVP(E58:I58)*D58+(STDEVP(E58:I58)=0)</f>
        <v>1</v>
      </c>
      <c r="E59" s="71">
        <f>IF(E58=0,0,NORMDIST(E58,$J59,$D59,TRUE))*(MMInMarket=TRUE)</f>
        <v>0.5</v>
      </c>
      <c r="F59" s="71">
        <f>IF(F58=0,0,NORMDIST(F58,$J59,$D59,TRUE))*(MMInMarket=TRUE)</f>
        <v>0.5</v>
      </c>
      <c r="G59" s="71">
        <f>IF(G58=0,0,NORMDIST(G58,$J59,$D59,TRUE))*(MMInMarket=TRUE)</f>
        <v>0.5</v>
      </c>
      <c r="H59" s="71">
        <f>IF(H58=0,0,NORMDIST(H58,$J59,$D59,TRUE))*(MMInMarket=TRUE)</f>
        <v>0.5</v>
      </c>
      <c r="I59" s="71">
        <f>IF(I58=0,0,NORMDIST(I58,$J59,$D59,TRUE))*(MMInMarket=TRUE)</f>
        <v>0.5</v>
      </c>
      <c r="J59" s="603">
        <f>IF($J$24=0,0,SUM(E58:I58)/$J$24)</f>
        <v>2</v>
      </c>
      <c r="K59" s="10">
        <v>1.66</v>
      </c>
      <c r="L59" s="14">
        <f t="shared" si="9"/>
        <v>3.32</v>
      </c>
      <c r="M59" s="15">
        <f t="shared" si="10"/>
        <v>0.90658249100652821</v>
      </c>
    </row>
    <row r="60" spans="1:13">
      <c r="A60" s="968"/>
      <c r="B60" s="971"/>
      <c r="C60" s="2"/>
      <c r="D60" s="39"/>
      <c r="E60" s="3"/>
      <c r="F60" s="3"/>
      <c r="G60" s="3"/>
      <c r="H60" s="3"/>
      <c r="I60" s="3"/>
      <c r="J60" s="3"/>
      <c r="K60" s="10">
        <v>2</v>
      </c>
      <c r="L60" s="14">
        <f t="shared" si="9"/>
        <v>4</v>
      </c>
      <c r="M60" s="15">
        <f t="shared" si="10"/>
        <v>0.97724986805182079</v>
      </c>
    </row>
    <row r="61" spans="1:13">
      <c r="A61" s="968"/>
      <c r="B61" s="971"/>
      <c r="C61" s="2"/>
      <c r="D61" s="39"/>
      <c r="E61" s="3"/>
      <c r="F61" s="3"/>
      <c r="G61" s="3"/>
      <c r="H61" s="3"/>
      <c r="I61" s="3"/>
      <c r="J61" s="3"/>
      <c r="K61" s="3"/>
    </row>
    <row r="62" spans="1:13">
      <c r="A62" s="968"/>
      <c r="B62" s="971"/>
      <c r="C62" s="2"/>
      <c r="D62" s="39"/>
      <c r="E62" s="3"/>
      <c r="F62" s="3"/>
      <c r="G62" s="3"/>
      <c r="H62" s="3"/>
      <c r="I62" s="3"/>
      <c r="J62" s="604" t="s">
        <v>1848</v>
      </c>
      <c r="K62" s="3"/>
    </row>
    <row r="63" spans="1:13">
      <c r="A63" s="968"/>
      <c r="B63" s="968"/>
      <c r="C63" s="2"/>
      <c r="D63" s="39"/>
      <c r="E63" s="3"/>
      <c r="F63" s="3"/>
      <c r="G63" s="3"/>
      <c r="H63" s="3"/>
      <c r="I63" s="3"/>
      <c r="J63" s="3"/>
    </row>
    <row r="64" spans="1:13">
      <c r="A64" s="968"/>
      <c r="B64" s="968"/>
      <c r="C64" s="2"/>
      <c r="D64" s="39"/>
      <c r="E64" s="3"/>
      <c r="F64" s="3"/>
      <c r="G64" s="3"/>
      <c r="H64" s="3"/>
      <c r="I64" s="3"/>
      <c r="J64" s="3"/>
    </row>
    <row r="65" spans="1:13">
      <c r="A65" s="968"/>
      <c r="B65" s="972"/>
      <c r="C65" s="62"/>
      <c r="D65" s="39"/>
      <c r="E65" s="38"/>
      <c r="F65" s="38"/>
      <c r="G65" s="38"/>
      <c r="H65" s="38"/>
      <c r="I65" s="38"/>
      <c r="J65" s="38"/>
    </row>
    <row r="66" spans="1:13" ht="14.25" customHeight="1">
      <c r="A66" s="969"/>
      <c r="B66" s="969" t="s">
        <v>2316</v>
      </c>
      <c r="C66" s="230" t="str">
        <f>xxMMProd1Driver4&amp;" - "&amp;DataNameProd1Seg1</f>
        <v>Advertising - Vetera</v>
      </c>
      <c r="D66" s="829"/>
      <c r="E66" s="830">
        <f>capProd1Adv</f>
        <v>410000000</v>
      </c>
      <c r="F66" s="830">
        <f>capProd1Adv</f>
        <v>410000000</v>
      </c>
      <c r="G66" s="830">
        <f>capProd1Adv</f>
        <v>410000000</v>
      </c>
      <c r="H66" s="830">
        <f>capProd1Adv</f>
        <v>410000000</v>
      </c>
      <c r="I66" s="830">
        <f>capProd1Adv</f>
        <v>410000000</v>
      </c>
      <c r="J66" s="828"/>
      <c r="L66" s="240" t="s">
        <v>3209</v>
      </c>
      <c r="M66" s="240" t="s">
        <v>3210</v>
      </c>
    </row>
    <row r="67" spans="1:13" ht="14.25" customHeight="1">
      <c r="A67" s="969"/>
      <c r="B67" s="969"/>
      <c r="C67" s="349" t="str">
        <f>xxMMProd1Driver4&amp;" - "&amp;DataNameProd1Seg2</f>
        <v>Advertising - Escendia</v>
      </c>
      <c r="D67" s="974"/>
      <c r="E67" s="975">
        <f>capProd1AdvR2</f>
        <v>80000000</v>
      </c>
      <c r="F67" s="975">
        <f>capProd1AdvR2</f>
        <v>80000000</v>
      </c>
      <c r="G67" s="975">
        <f>capProd1AdvR2</f>
        <v>80000000</v>
      </c>
      <c r="H67" s="975">
        <f>capProd1AdvR2</f>
        <v>80000000</v>
      </c>
      <c r="I67" s="975">
        <f>capProd1AdvR2</f>
        <v>80000000</v>
      </c>
      <c r="J67" s="779"/>
      <c r="K67" s="10">
        <v>0</v>
      </c>
      <c r="L67" s="14">
        <f t="shared" ref="L67:L73" si="11">K67*$J$72</f>
        <v>0</v>
      </c>
      <c r="M67" s="15">
        <f>NORMDIST(L67,$J$72,$D$72,TRUE)</f>
        <v>0</v>
      </c>
    </row>
    <row r="68" spans="1:13">
      <c r="A68" s="969" t="s">
        <v>166</v>
      </c>
      <c r="B68" s="970">
        <f>E164</f>
        <v>9</v>
      </c>
      <c r="C68" s="833" t="s">
        <v>164</v>
      </c>
      <c r="D68" s="177"/>
      <c r="E68" s="219">
        <f>IF(MMSegCurrent=1,capProd1Adv*paramReg1Prod1CommSpendEffect,capProd1AdvR2*paramReg2Prod1CommSpendEffect)</f>
        <v>80000000</v>
      </c>
      <c r="F68" s="219">
        <f>IF(MMSegCurrent=1,capProd1Adv*paramReg1Prod1CommSpendEffect,capProd1AdvR2*paramReg2Prod1CommSpendEffect)</f>
        <v>80000000</v>
      </c>
      <c r="G68" s="219">
        <f>IF(MMSegCurrent=1,capProd1Adv*paramReg1Prod1CommSpendEffect,capProd1AdvR2*paramReg2Prod1CommSpendEffect)</f>
        <v>80000000</v>
      </c>
      <c r="H68" s="219">
        <f>IF(MMSegCurrent=1,capProd1Adv*paramReg1Prod1CommSpendEffect,capProd1AdvR2*paramReg2Prod1CommSpendEffect)</f>
        <v>80000000</v>
      </c>
      <c r="I68" s="219">
        <f>IF(MMSegCurrent=1,capProd1Adv*paramReg1Prod1CommSpendEffect,capProd1AdvR2*paramReg2Prod1CommSpendEffect)</f>
        <v>80000000</v>
      </c>
      <c r="J68" s="333"/>
      <c r="K68" s="10">
        <v>0.33</v>
      </c>
      <c r="L68" s="14">
        <f t="shared" si="11"/>
        <v>26400000</v>
      </c>
      <c r="M68" s="15">
        <f t="shared" ref="M68:M73" si="12">NORMDIST(L68,$J$72,$D$72,TRUE)</f>
        <v>0</v>
      </c>
    </row>
    <row r="69" spans="1:13">
      <c r="A69" s="969" t="s">
        <v>167</v>
      </c>
      <c r="B69" s="970">
        <f>F164</f>
        <v>7</v>
      </c>
      <c r="C69" s="37"/>
      <c r="D69" s="38"/>
      <c r="E69" s="39"/>
      <c r="F69" s="39"/>
      <c r="G69" s="39"/>
      <c r="H69" s="39"/>
      <c r="I69" s="39"/>
      <c r="J69" s="40"/>
      <c r="K69" s="10">
        <v>0.66</v>
      </c>
      <c r="L69" s="14">
        <f t="shared" si="11"/>
        <v>52800000</v>
      </c>
      <c r="M69" s="15">
        <f t="shared" si="12"/>
        <v>0</v>
      </c>
    </row>
    <row r="70" spans="1:13">
      <c r="A70" s="971"/>
      <c r="B70" s="971"/>
      <c r="C70" s="37" t="s">
        <v>2382</v>
      </c>
      <c r="D70" s="38"/>
      <c r="E70" s="87">
        <f>E68</f>
        <v>80000000</v>
      </c>
      <c r="F70" s="87">
        <f>F68</f>
        <v>80000000</v>
      </c>
      <c r="G70" s="87">
        <f>G68</f>
        <v>80000000</v>
      </c>
      <c r="H70" s="87">
        <f>H68</f>
        <v>80000000</v>
      </c>
      <c r="I70" s="87">
        <f>I68</f>
        <v>80000000</v>
      </c>
      <c r="J70" s="40"/>
      <c r="K70" s="10">
        <v>1</v>
      </c>
      <c r="L70" s="14">
        <f t="shared" si="11"/>
        <v>80000000</v>
      </c>
      <c r="M70" s="15">
        <f t="shared" si="12"/>
        <v>0.5</v>
      </c>
    </row>
    <row r="71" spans="1:13">
      <c r="A71" s="971"/>
      <c r="B71" s="971"/>
      <c r="C71" s="37" t="s">
        <v>965</v>
      </c>
      <c r="D71" s="48">
        <v>1</v>
      </c>
      <c r="E71" s="87">
        <f>IF(MMInMarket=TRUE,E70,0)</f>
        <v>80000000</v>
      </c>
      <c r="F71" s="87">
        <f>IF(MMInMarket=TRUE,F70,0)</f>
        <v>80000000</v>
      </c>
      <c r="G71" s="87">
        <f>IF(MMInMarket=TRUE,G70,0)</f>
        <v>80000000</v>
      </c>
      <c r="H71" s="87">
        <f>IF(MMInMarket=TRUE,H70,0)</f>
        <v>80000000</v>
      </c>
      <c r="I71" s="87">
        <f>IF(MMInMarket=TRUE,I70,0)</f>
        <v>80000000</v>
      </c>
      <c r="J71" s="40"/>
      <c r="K71" s="10">
        <v>1.33</v>
      </c>
      <c r="L71" s="14">
        <f t="shared" si="11"/>
        <v>106400000</v>
      </c>
      <c r="M71" s="15">
        <f t="shared" si="12"/>
        <v>1</v>
      </c>
    </row>
    <row r="72" spans="1:13">
      <c r="A72" s="971"/>
      <c r="B72" s="971"/>
      <c r="C72" s="43" t="s">
        <v>969</v>
      </c>
      <c r="D72" s="716">
        <f>STDEVP(E71:I71)*D71+(STDEVP(E71:I71)=0)</f>
        <v>1</v>
      </c>
      <c r="E72" s="71">
        <f>IF(E71=0,0,NORMDIST(E71,$J72,$D72,TRUE))*(MMInMarket=TRUE)</f>
        <v>0.5</v>
      </c>
      <c r="F72" s="71">
        <f>IF(F71=0,0,NORMDIST(F71,$J72,$D72,TRUE))*(MMInMarket=TRUE)</f>
        <v>0.5</v>
      </c>
      <c r="G72" s="71">
        <f>IF(G71=0,0,NORMDIST(G71,$J72,$D72,TRUE))*(MMInMarket=TRUE)</f>
        <v>0.5</v>
      </c>
      <c r="H72" s="71">
        <f>IF(H71=0,0,NORMDIST(H71,$J72,$D72,TRUE))*(MMInMarket=TRUE)</f>
        <v>0.5</v>
      </c>
      <c r="I72" s="71">
        <f>IF(I71=0,0,NORMDIST(I71,$J72,$D72,TRUE))*(MMInMarket=TRUE)</f>
        <v>0.5</v>
      </c>
      <c r="J72" s="44">
        <f>IF($J$24=0,0,SUM(E71:I71)/$J$24)</f>
        <v>80000000</v>
      </c>
      <c r="K72" s="10">
        <v>1.66</v>
      </c>
      <c r="L72" s="14">
        <f t="shared" si="11"/>
        <v>132800000</v>
      </c>
      <c r="M72" s="15">
        <f t="shared" si="12"/>
        <v>1</v>
      </c>
    </row>
    <row r="73" spans="1:13">
      <c r="A73" s="968"/>
      <c r="B73" s="971"/>
      <c r="C73" s="2"/>
      <c r="D73" s="39"/>
      <c r="E73" s="3"/>
      <c r="F73" s="3"/>
      <c r="G73" s="3"/>
      <c r="H73" s="3"/>
      <c r="I73" s="3"/>
      <c r="J73" s="3"/>
      <c r="K73" s="10">
        <v>2</v>
      </c>
      <c r="L73" s="14">
        <f t="shared" si="11"/>
        <v>160000000</v>
      </c>
      <c r="M73" s="15">
        <f t="shared" si="12"/>
        <v>1</v>
      </c>
    </row>
    <row r="74" spans="1:13">
      <c r="A74" s="968"/>
      <c r="B74" s="971"/>
      <c r="C74" s="2"/>
      <c r="D74" s="39"/>
      <c r="E74" s="3"/>
      <c r="F74" s="3"/>
      <c r="G74" s="3"/>
      <c r="H74" s="3"/>
      <c r="I74" s="3"/>
      <c r="J74" s="3"/>
      <c r="K74" s="3"/>
    </row>
    <row r="75" spans="1:13">
      <c r="A75" s="968"/>
      <c r="B75" s="968"/>
      <c r="C75" s="2"/>
      <c r="D75" s="39"/>
      <c r="E75" s="3"/>
      <c r="F75" s="3"/>
      <c r="G75" s="3"/>
      <c r="H75" s="3"/>
      <c r="I75" s="3"/>
      <c r="J75" s="3"/>
      <c r="K75" s="3"/>
    </row>
    <row r="76" spans="1:13">
      <c r="A76" s="968"/>
      <c r="B76" s="968"/>
      <c r="C76" s="2"/>
      <c r="D76" s="39"/>
      <c r="E76" s="3"/>
      <c r="F76" s="3"/>
      <c r="G76" s="3"/>
      <c r="H76" s="3"/>
      <c r="I76" s="3"/>
      <c r="J76" s="3"/>
    </row>
    <row r="77" spans="1:13">
      <c r="A77" s="968"/>
      <c r="B77" s="968"/>
      <c r="C77" s="2"/>
      <c r="D77" s="39"/>
      <c r="E77" s="3"/>
      <c r="F77" s="3"/>
      <c r="G77" s="3"/>
      <c r="H77" s="3"/>
      <c r="I77" s="3"/>
      <c r="J77" s="3"/>
    </row>
    <row r="78" spans="1:13">
      <c r="A78" s="968"/>
      <c r="B78" s="968"/>
      <c r="C78" s="2"/>
      <c r="D78" s="39"/>
      <c r="E78" s="3"/>
      <c r="F78" s="3"/>
      <c r="G78" s="3"/>
      <c r="H78" s="3"/>
      <c r="I78" s="3"/>
      <c r="J78" s="3"/>
    </row>
    <row r="79" spans="1:13">
      <c r="A79" s="969"/>
      <c r="B79" s="969" t="s">
        <v>2317</v>
      </c>
      <c r="C79" s="230" t="str">
        <f>xxMMProd1Driver5&amp;" - "&amp;DataNameProd1Seg1</f>
        <v>Promotion - Vetera</v>
      </c>
      <c r="D79" s="832"/>
      <c r="E79" s="830">
        <f>capProd1Promo</f>
        <v>1450000000</v>
      </c>
      <c r="F79" s="830">
        <f>capProd1Promo</f>
        <v>1450000000</v>
      </c>
      <c r="G79" s="830">
        <f>capProd1Promo</f>
        <v>1450000000</v>
      </c>
      <c r="H79" s="830">
        <f>capProd1Promo</f>
        <v>1450000000</v>
      </c>
      <c r="I79" s="830">
        <f>capProd1Promo</f>
        <v>1450000000</v>
      </c>
      <c r="J79" s="831"/>
      <c r="L79" s="240" t="s">
        <v>3209</v>
      </c>
      <c r="M79" s="240" t="s">
        <v>3210</v>
      </c>
    </row>
    <row r="80" spans="1:13">
      <c r="A80" s="969"/>
      <c r="B80" s="969"/>
      <c r="C80" s="349" t="str">
        <f>xxMMProd1Driver5&amp;" - "&amp;DataNameProd1Seg2</f>
        <v>Promotion - Escendia</v>
      </c>
      <c r="D80" s="976"/>
      <c r="E80" s="975">
        <f>capProd1PromoR2</f>
        <v>195000000</v>
      </c>
      <c r="F80" s="975">
        <f>capProd1PromoR2</f>
        <v>195000000</v>
      </c>
      <c r="G80" s="975">
        <f>capProd1PromoR2</f>
        <v>195000000</v>
      </c>
      <c r="H80" s="975">
        <f>capProd1PromoR2</f>
        <v>195000000</v>
      </c>
      <c r="I80" s="975">
        <f>capProd1PromoR2</f>
        <v>195000000</v>
      </c>
      <c r="J80" s="977"/>
      <c r="K80" s="10">
        <v>0</v>
      </c>
      <c r="L80" s="14">
        <f t="shared" ref="L80:L86" si="13">K80*$J$85</f>
        <v>0</v>
      </c>
      <c r="M80" s="15">
        <f>NORMDIST(L80,$J$85,$D$85,TRUE)</f>
        <v>0</v>
      </c>
    </row>
    <row r="81" spans="1:13">
      <c r="A81" s="969" t="s">
        <v>166</v>
      </c>
      <c r="B81" s="970">
        <f>E165</f>
        <v>11</v>
      </c>
      <c r="C81" s="833" t="s">
        <v>165</v>
      </c>
      <c r="D81" s="177"/>
      <c r="E81" s="219">
        <f>IF(MMSegCurrent=1,capProd1Promo*paramReg1Prod1CommSpendEffect,capProd1PromoR2*paramReg2Prod1CommSpendEffect)</f>
        <v>195000000</v>
      </c>
      <c r="F81" s="219">
        <f>IF(MMSegCurrent=1,capProd1Promo*paramReg1Prod1CommSpendEffect,capProd1PromoR2*paramReg2Prod1CommSpendEffect)</f>
        <v>195000000</v>
      </c>
      <c r="G81" s="219">
        <f>IF(MMSegCurrent=1,capProd1Promo*paramReg1Prod1CommSpendEffect,capProd1PromoR2*paramReg2Prod1CommSpendEffect)</f>
        <v>195000000</v>
      </c>
      <c r="H81" s="219">
        <f>IF(MMSegCurrent=1,capProd1Promo*paramReg1Prod1CommSpendEffect,capProd1PromoR2*paramReg2Prod1CommSpendEffect)</f>
        <v>195000000</v>
      </c>
      <c r="I81" s="219">
        <f>IF(MMSegCurrent=1,capProd1Promo*paramReg1Prod1CommSpendEffect,capProd1PromoR2*paramReg2Prod1CommSpendEffect)</f>
        <v>195000000</v>
      </c>
      <c r="J81" s="333"/>
      <c r="K81" s="10">
        <v>0.33</v>
      </c>
      <c r="L81" s="14">
        <f t="shared" si="13"/>
        <v>64350000</v>
      </c>
      <c r="M81" s="15">
        <f t="shared" ref="M81:M86" si="14">NORMDIST(L81,$J$85,$D$85,TRUE)</f>
        <v>0</v>
      </c>
    </row>
    <row r="82" spans="1:13">
      <c r="A82" s="969" t="s">
        <v>167</v>
      </c>
      <c r="B82" s="970">
        <f>F165</f>
        <v>9</v>
      </c>
      <c r="C82" s="37"/>
      <c r="D82" s="38"/>
      <c r="E82" s="39"/>
      <c r="F82" s="39"/>
      <c r="G82" s="39"/>
      <c r="H82" s="39"/>
      <c r="I82" s="39"/>
      <c r="J82" s="40"/>
      <c r="K82" s="10">
        <v>0.66</v>
      </c>
      <c r="L82" s="14">
        <f t="shared" si="13"/>
        <v>128700000</v>
      </c>
      <c r="M82" s="15">
        <f t="shared" si="14"/>
        <v>0</v>
      </c>
    </row>
    <row r="83" spans="1:13">
      <c r="A83" s="971"/>
      <c r="B83" s="971"/>
      <c r="C83" s="37" t="s">
        <v>2382</v>
      </c>
      <c r="D83" s="38"/>
      <c r="E83" s="87">
        <f>E81</f>
        <v>195000000</v>
      </c>
      <c r="F83" s="87">
        <f>F81</f>
        <v>195000000</v>
      </c>
      <c r="G83" s="87">
        <f>G81</f>
        <v>195000000</v>
      </c>
      <c r="H83" s="87">
        <f>H81</f>
        <v>195000000</v>
      </c>
      <c r="I83" s="87">
        <f>I81</f>
        <v>195000000</v>
      </c>
      <c r="J83" s="40"/>
      <c r="K83" s="10">
        <v>1</v>
      </c>
      <c r="L83" s="14">
        <f t="shared" si="13"/>
        <v>195000000</v>
      </c>
      <c r="M83" s="15">
        <f t="shared" si="14"/>
        <v>0.5</v>
      </c>
    </row>
    <row r="84" spans="1:13">
      <c r="A84" s="971"/>
      <c r="B84" s="971"/>
      <c r="C84" s="37" t="s">
        <v>965</v>
      </c>
      <c r="D84" s="48">
        <v>1</v>
      </c>
      <c r="E84" s="87">
        <f>IF(MMInMarket=TRUE,E83,0)</f>
        <v>195000000</v>
      </c>
      <c r="F84" s="87">
        <f>IF(MMInMarket=TRUE,F83,0)</f>
        <v>195000000</v>
      </c>
      <c r="G84" s="87">
        <f>IF(MMInMarket=TRUE,G83,0)</f>
        <v>195000000</v>
      </c>
      <c r="H84" s="87">
        <f>IF(MMInMarket=TRUE,H83,0)</f>
        <v>195000000</v>
      </c>
      <c r="I84" s="87">
        <f>IF(MMInMarket=TRUE,I83,0)</f>
        <v>195000000</v>
      </c>
      <c r="J84" s="40"/>
      <c r="K84" s="10">
        <v>1.33</v>
      </c>
      <c r="L84" s="14">
        <f t="shared" si="13"/>
        <v>259350000</v>
      </c>
      <c r="M84" s="15">
        <f t="shared" si="14"/>
        <v>1</v>
      </c>
    </row>
    <row r="85" spans="1:13">
      <c r="A85" s="971"/>
      <c r="B85" s="971"/>
      <c r="C85" s="43" t="s">
        <v>970</v>
      </c>
      <c r="D85" s="716">
        <f>STDEVP(E84:I84)*D84+(STDEVP(E84:I84)=0)</f>
        <v>1</v>
      </c>
      <c r="E85" s="71">
        <f>IF(E84=0,0,NORMDIST(E84,$J85,$D85,TRUE))*(MMInMarket=TRUE)</f>
        <v>0.5</v>
      </c>
      <c r="F85" s="71">
        <f>IF(F84=0,0,NORMDIST(F84,$J85,$D85,TRUE))*(MMInMarket=TRUE)</f>
        <v>0.5</v>
      </c>
      <c r="G85" s="71">
        <f>IF(G84=0,0,NORMDIST(G84,$J85,$D85,TRUE))*(MMInMarket=TRUE)</f>
        <v>0.5</v>
      </c>
      <c r="H85" s="71">
        <f>IF(H84=0,0,NORMDIST(H84,$J85,$D85,TRUE))*(MMInMarket=TRUE)</f>
        <v>0.5</v>
      </c>
      <c r="I85" s="71">
        <f>IF(I84=0,0,NORMDIST(I84,$J85,$D85,TRUE))*(MMInMarket=TRUE)</f>
        <v>0.5</v>
      </c>
      <c r="J85" s="44">
        <f>IF($J$24=0,0,SUM(E84:I84)/$J$24)</f>
        <v>195000000</v>
      </c>
      <c r="K85" s="10">
        <v>1.66</v>
      </c>
      <c r="L85" s="14">
        <f t="shared" si="13"/>
        <v>323700000</v>
      </c>
      <c r="M85" s="15">
        <f t="shared" si="14"/>
        <v>1</v>
      </c>
    </row>
    <row r="86" spans="1:13">
      <c r="A86" s="968"/>
      <c r="B86" s="971"/>
      <c r="C86" s="2"/>
      <c r="D86" s="39"/>
      <c r="E86" s="3"/>
      <c r="F86" s="3"/>
      <c r="G86" s="3"/>
      <c r="H86" s="3"/>
      <c r="I86" s="3"/>
      <c r="J86" s="3"/>
      <c r="K86" s="10">
        <v>2</v>
      </c>
      <c r="L86" s="14">
        <f t="shared" si="13"/>
        <v>390000000</v>
      </c>
      <c r="M86" s="15">
        <f t="shared" si="14"/>
        <v>1</v>
      </c>
    </row>
    <row r="87" spans="1:13">
      <c r="A87" s="968"/>
      <c r="B87" s="968"/>
      <c r="C87" s="2"/>
      <c r="D87" s="39"/>
      <c r="E87" s="3"/>
      <c r="F87" s="3"/>
      <c r="G87" s="3"/>
      <c r="H87" s="3"/>
      <c r="I87" s="3"/>
      <c r="J87" s="3"/>
      <c r="K87" s="3"/>
    </row>
    <row r="88" spans="1:13">
      <c r="A88" s="968"/>
      <c r="B88" s="968"/>
      <c r="C88" s="2"/>
      <c r="D88" s="39"/>
      <c r="E88" s="3"/>
      <c r="F88" s="3"/>
      <c r="G88" s="3"/>
      <c r="H88" s="3"/>
      <c r="I88" s="3"/>
      <c r="J88" s="3"/>
    </row>
    <row r="89" spans="1:13">
      <c r="A89" s="968"/>
      <c r="B89" s="968"/>
      <c r="C89" s="2"/>
      <c r="D89" s="39"/>
      <c r="E89" s="3"/>
      <c r="F89" s="3"/>
      <c r="G89" s="3"/>
      <c r="H89" s="3"/>
      <c r="I89" s="3"/>
      <c r="J89" s="3"/>
    </row>
    <row r="90" spans="1:13">
      <c r="A90" s="968"/>
      <c r="B90" s="968"/>
      <c r="C90" s="2"/>
      <c r="D90" s="39"/>
      <c r="E90" s="3"/>
      <c r="F90" s="3"/>
      <c r="G90" s="3"/>
      <c r="H90" s="3"/>
      <c r="I90" s="3"/>
      <c r="J90" s="3"/>
    </row>
    <row r="91" spans="1:13">
      <c r="A91" s="968"/>
      <c r="B91" s="968"/>
      <c r="C91" s="2"/>
      <c r="D91" s="39"/>
      <c r="E91" s="3"/>
      <c r="F91" s="3"/>
      <c r="G91" s="3"/>
      <c r="H91" s="3"/>
      <c r="I91" s="3"/>
      <c r="J91" s="3"/>
      <c r="L91" s="240" t="s">
        <v>3209</v>
      </c>
      <c r="M91" s="240" t="s">
        <v>3210</v>
      </c>
    </row>
    <row r="92" spans="1:13">
      <c r="A92" s="969"/>
      <c r="B92" s="969" t="s">
        <v>2318</v>
      </c>
      <c r="C92" s="230" t="str">
        <f>xxMMProd1Driver6&amp;" - "&amp;DataNameProd1Seg1</f>
        <v>Sales Force - Vetera</v>
      </c>
      <c r="D92" s="832"/>
      <c r="E92" s="231">
        <f>cbalEmp1</f>
        <v>4000</v>
      </c>
      <c r="F92" s="231">
        <f>cbalEmp1</f>
        <v>4000</v>
      </c>
      <c r="G92" s="231">
        <f>cbalEmp1</f>
        <v>4000</v>
      </c>
      <c r="H92" s="231">
        <f>cbalEmp1</f>
        <v>4000</v>
      </c>
      <c r="I92" s="231">
        <f>cbalEmp1</f>
        <v>4000</v>
      </c>
      <c r="J92" s="831"/>
      <c r="K92" s="10">
        <v>0</v>
      </c>
      <c r="L92" s="14">
        <f t="shared" ref="L92:L98" si="15">K92*$J$97</f>
        <v>0</v>
      </c>
      <c r="M92" s="15">
        <f>NORMDIST(L92,$J$97,$D$97,TRUE)</f>
        <v>0</v>
      </c>
    </row>
    <row r="93" spans="1:13">
      <c r="A93" s="969" t="s">
        <v>166</v>
      </c>
      <c r="B93" s="970">
        <f>E166</f>
        <v>6</v>
      </c>
      <c r="C93" s="349" t="str">
        <f>xxMMProd1Driver6&amp;" - "&amp;DataNameProd1Seg2</f>
        <v>Sales Force - Escendia</v>
      </c>
      <c r="D93" s="177"/>
      <c r="E93" s="834">
        <f>cbalEmp2</f>
        <v>2100</v>
      </c>
      <c r="F93" s="834">
        <f>cbalEmp2</f>
        <v>2100</v>
      </c>
      <c r="G93" s="834">
        <f>cbalEmp2</f>
        <v>2100</v>
      </c>
      <c r="H93" s="834">
        <f>cbalEmp2</f>
        <v>2100</v>
      </c>
      <c r="I93" s="834">
        <f>cbalEmp2</f>
        <v>2100</v>
      </c>
      <c r="J93" s="333"/>
      <c r="K93" s="10">
        <v>0.33</v>
      </c>
      <c r="L93" s="14">
        <f t="shared" si="15"/>
        <v>731.94879116080006</v>
      </c>
      <c r="M93" s="15">
        <f t="shared" ref="M93:M98" si="16">NORMDIST(L93,$J$97,$D$97,TRUE)</f>
        <v>0</v>
      </c>
    </row>
    <row r="94" spans="1:13">
      <c r="A94" s="969" t="s">
        <v>167</v>
      </c>
      <c r="B94" s="970">
        <f>F166</f>
        <v>10</v>
      </c>
      <c r="C94" s="37"/>
      <c r="D94" s="38"/>
      <c r="E94" s="39"/>
      <c r="F94" s="39"/>
      <c r="G94" s="39"/>
      <c r="H94" s="39"/>
      <c r="I94" s="39"/>
      <c r="J94" s="40"/>
      <c r="K94" s="10">
        <v>0.66</v>
      </c>
      <c r="L94" s="14">
        <f t="shared" si="15"/>
        <v>1463.8975823216001</v>
      </c>
      <c r="M94" s="15">
        <f t="shared" si="16"/>
        <v>0</v>
      </c>
    </row>
    <row r="95" spans="1:13">
      <c r="A95" s="971"/>
      <c r="B95" s="971"/>
      <c r="C95" s="37" t="s">
        <v>2383</v>
      </c>
      <c r="D95" s="38"/>
      <c r="E95" s="835">
        <f>IF(MMSegCurrent=1,cbalEmp1*paramEmp1Effect,cbalEmp2*paramEmp2Effect)</f>
        <v>2218.0266398812123</v>
      </c>
      <c r="F95" s="835">
        <f>IF(MMSegCurrent=1,cbalEmp1*paramEmp1Effect,cbalEmp2*paramEmp2Effect)</f>
        <v>2218.0266398812123</v>
      </c>
      <c r="G95" s="835">
        <f>IF(MMSegCurrent=1,cbalEmp1*paramEmp1Effect,cbalEmp2*paramEmp2Effect)</f>
        <v>2218.0266398812123</v>
      </c>
      <c r="H95" s="835">
        <f>IF(MMSegCurrent=1,cbalEmp1*paramEmp1Effect,cbalEmp2*paramEmp2Effect)</f>
        <v>2218.0266398812123</v>
      </c>
      <c r="I95" s="835">
        <f>IF(MMSegCurrent=1,cbalEmp1*paramEmp1Effect,cbalEmp2*paramEmp2Effect)</f>
        <v>2218.0266398812123</v>
      </c>
      <c r="J95" s="40"/>
      <c r="K95" s="10">
        <v>1</v>
      </c>
      <c r="L95" s="14">
        <f t="shared" si="15"/>
        <v>2218.0266398812123</v>
      </c>
      <c r="M95" s="15">
        <f t="shared" si="16"/>
        <v>0.5</v>
      </c>
    </row>
    <row r="96" spans="1:13">
      <c r="A96" s="971"/>
      <c r="B96" s="971"/>
      <c r="C96" s="37" t="s">
        <v>965</v>
      </c>
      <c r="D96" s="48">
        <v>1</v>
      </c>
      <c r="E96" s="87">
        <f>IF(MMInMarket=TRUE,E95,0)</f>
        <v>2218.0266398812123</v>
      </c>
      <c r="F96" s="87">
        <f>IF(MMInMarket=TRUE,F95,0)</f>
        <v>2218.0266398812123</v>
      </c>
      <c r="G96" s="87">
        <f>IF(MMInMarket=TRUE,G95,0)</f>
        <v>2218.0266398812123</v>
      </c>
      <c r="H96" s="87">
        <f>IF(MMInMarket=TRUE,H95,0)</f>
        <v>2218.0266398812123</v>
      </c>
      <c r="I96" s="87">
        <f>IF(MMInMarket=TRUE,I95,0)</f>
        <v>2218.0266398812123</v>
      </c>
      <c r="J96" s="40"/>
      <c r="K96" s="10">
        <v>1.33</v>
      </c>
      <c r="L96" s="14">
        <f t="shared" si="15"/>
        <v>2949.9754310420126</v>
      </c>
      <c r="M96" s="15">
        <f t="shared" si="16"/>
        <v>1</v>
      </c>
    </row>
    <row r="97" spans="1:13">
      <c r="A97" s="971"/>
      <c r="B97" s="971"/>
      <c r="C97" s="43" t="s">
        <v>971</v>
      </c>
      <c r="D97" s="42">
        <f>STDEVP(E96:I96)*D96+(STDEVP(E96:I96)=0)</f>
        <v>1</v>
      </c>
      <c r="E97" s="71">
        <f>IF(E96=0,0,NORMDIST(E96,$J97,$D97,TRUE))*(MMInMarket=TRUE)</f>
        <v>0.5</v>
      </c>
      <c r="F97" s="71">
        <f>IF(F96=0,0,NORMDIST(F96,$J97,$D97,TRUE))*(MMInMarket=TRUE)</f>
        <v>0.5</v>
      </c>
      <c r="G97" s="71">
        <f>IF(G96=0,0,NORMDIST(G96,$J97,$D97,TRUE))*(MMInMarket=TRUE)</f>
        <v>0.5</v>
      </c>
      <c r="H97" s="71">
        <f>IF(H96=0,0,NORMDIST(H96,$J97,$D97,TRUE))*(MMInMarket=TRUE)</f>
        <v>0.5</v>
      </c>
      <c r="I97" s="71">
        <f>IF(I96=0,0,NORMDIST(I96,$J97,$D97,TRUE))*(MMInMarket=TRUE)</f>
        <v>0.5</v>
      </c>
      <c r="J97" s="44">
        <f>IF($J$24=0,0,SUM(E96:I96)/$J$24)</f>
        <v>2218.0266398812123</v>
      </c>
      <c r="K97" s="10">
        <v>1.66</v>
      </c>
      <c r="L97" s="14">
        <f t="shared" si="15"/>
        <v>3681.9242222028124</v>
      </c>
      <c r="M97" s="15">
        <f t="shared" si="16"/>
        <v>1</v>
      </c>
    </row>
    <row r="98" spans="1:13">
      <c r="A98" s="968"/>
      <c r="B98" s="968"/>
      <c r="C98" s="2"/>
      <c r="D98" s="39"/>
      <c r="E98" s="3"/>
      <c r="F98" s="3"/>
      <c r="G98" s="3"/>
      <c r="H98" s="3"/>
      <c r="I98" s="3"/>
      <c r="J98" s="3"/>
      <c r="K98" s="10">
        <v>2</v>
      </c>
      <c r="L98" s="14">
        <f t="shared" si="15"/>
        <v>4436.0532797624246</v>
      </c>
      <c r="M98" s="15">
        <f t="shared" si="16"/>
        <v>1</v>
      </c>
    </row>
    <row r="99" spans="1:13">
      <c r="A99" s="968"/>
      <c r="B99" s="968"/>
      <c r="C99" s="2"/>
      <c r="D99" s="39"/>
      <c r="E99" s="3"/>
      <c r="F99" s="3"/>
      <c r="G99" s="3"/>
      <c r="H99" s="3"/>
      <c r="I99" s="3"/>
      <c r="J99" s="3"/>
      <c r="L99" s="14"/>
      <c r="M99" s="10"/>
    </row>
    <row r="100" spans="1:13">
      <c r="A100" s="968"/>
      <c r="B100" s="968"/>
      <c r="C100" s="2"/>
      <c r="D100" s="39"/>
      <c r="E100" s="3"/>
      <c r="F100" s="3"/>
      <c r="G100" s="3"/>
      <c r="H100" s="3"/>
      <c r="I100" s="3"/>
      <c r="J100" s="3"/>
    </row>
    <row r="101" spans="1:13">
      <c r="A101" s="968"/>
      <c r="B101" s="968"/>
      <c r="C101" s="2"/>
      <c r="D101" s="39"/>
      <c r="E101" s="3"/>
      <c r="F101" s="3"/>
      <c r="G101" s="3"/>
      <c r="H101" s="3"/>
      <c r="I101" s="3"/>
      <c r="J101" s="3"/>
    </row>
    <row r="102" spans="1:13">
      <c r="A102" s="968"/>
      <c r="B102" s="968"/>
      <c r="C102" s="2"/>
      <c r="D102" s="39"/>
      <c r="E102" s="3"/>
      <c r="F102" s="3"/>
      <c r="G102" s="3"/>
      <c r="H102" s="3"/>
      <c r="I102" s="3"/>
      <c r="J102" s="3"/>
    </row>
    <row r="103" spans="1:13">
      <c r="A103" s="968"/>
      <c r="B103" s="968"/>
      <c r="C103" s="2"/>
      <c r="D103" s="39"/>
      <c r="E103" s="3"/>
      <c r="F103" s="3"/>
      <c r="G103" s="3"/>
      <c r="H103" s="3"/>
      <c r="I103" s="3"/>
      <c r="J103" s="3"/>
      <c r="L103" s="240" t="s">
        <v>3209</v>
      </c>
      <c r="M103" s="240" t="s">
        <v>3210</v>
      </c>
    </row>
    <row r="104" spans="1:13">
      <c r="A104" s="968"/>
      <c r="B104" s="968"/>
      <c r="C104" s="2"/>
      <c r="D104" s="39"/>
      <c r="E104" s="3"/>
      <c r="F104" s="3"/>
      <c r="G104" s="3"/>
      <c r="H104" s="3"/>
      <c r="I104" s="3"/>
      <c r="J104" s="683"/>
      <c r="K104" s="10">
        <v>0</v>
      </c>
      <c r="L104" s="14">
        <f t="shared" ref="L104:L110" si="17">K104*$J$109</f>
        <v>0</v>
      </c>
      <c r="M104" s="15">
        <f>NORMDIST(L104,$J$109,$D$109,TRUE)</f>
        <v>0.5</v>
      </c>
    </row>
    <row r="105" spans="1:13">
      <c r="A105" s="971"/>
      <c r="B105" s="969" t="s">
        <v>2319</v>
      </c>
      <c r="C105" s="230" t="str">
        <f>xxMMProd1Driver7</f>
        <v>Innovation</v>
      </c>
      <c r="D105" s="231"/>
      <c r="E105" s="1016">
        <f>IF(MMSegCurrent=1,paramProd1InnovReg1,paramProd1InnovReg2)</f>
        <v>0</v>
      </c>
      <c r="F105" s="1016">
        <f>IF(MMSegCurrent=1,paramProd1InnovReg1,paramProd1InnovReg2)</f>
        <v>0</v>
      </c>
      <c r="G105" s="1016">
        <f>IF(MMSegCurrent=1,paramProd1InnovReg1,paramProd1InnovReg2)</f>
        <v>0</v>
      </c>
      <c r="H105" s="1016">
        <f>IF(MMSegCurrent=1,paramProd1InnovReg1,paramProd1InnovReg2)</f>
        <v>0</v>
      </c>
      <c r="I105" s="1016">
        <f>IF(MMSegCurrent=1,paramProd1InnovReg1,paramProd1InnovReg2)</f>
        <v>0</v>
      </c>
      <c r="J105" s="1016"/>
      <c r="K105" s="10">
        <v>0.33</v>
      </c>
      <c r="L105" s="14">
        <f t="shared" si="17"/>
        <v>0</v>
      </c>
      <c r="M105" s="15">
        <f t="shared" ref="M105:M110" si="18">NORMDIST(L105,$J$109,$D$109,TRUE)</f>
        <v>0.5</v>
      </c>
    </row>
    <row r="106" spans="1:13">
      <c r="A106" s="971"/>
      <c r="B106" s="969"/>
      <c r="C106" s="477"/>
      <c r="D106" s="176"/>
      <c r="E106" s="478"/>
      <c r="F106" s="478"/>
      <c r="G106" s="478"/>
      <c r="H106" s="478"/>
      <c r="I106" s="478"/>
      <c r="J106" s="333"/>
      <c r="K106" s="10">
        <v>0.66</v>
      </c>
      <c r="L106" s="14">
        <f t="shared" si="17"/>
        <v>0</v>
      </c>
      <c r="M106" s="15">
        <f t="shared" si="18"/>
        <v>0.5</v>
      </c>
    </row>
    <row r="107" spans="1:13">
      <c r="A107" s="971"/>
      <c r="B107" s="971"/>
      <c r="C107" s="37" t="s">
        <v>2383</v>
      </c>
      <c r="D107" s="38"/>
      <c r="E107" s="1015">
        <f>E105/paramRnDttmCoeff</f>
        <v>0</v>
      </c>
      <c r="F107" s="1015">
        <f>F105/paramRnDttmCoeff</f>
        <v>0</v>
      </c>
      <c r="G107" s="1015">
        <f>G105/paramRnDttmCoeff</f>
        <v>0</v>
      </c>
      <c r="H107" s="1015">
        <f>H105/paramRnDttmCoeff</f>
        <v>0</v>
      </c>
      <c r="I107" s="1015">
        <f>I105/paramRnDttmCoeff</f>
        <v>0</v>
      </c>
      <c r="J107" s="40"/>
      <c r="K107" s="10">
        <v>1</v>
      </c>
      <c r="L107" s="14">
        <f t="shared" si="17"/>
        <v>0</v>
      </c>
      <c r="M107" s="15">
        <f t="shared" si="18"/>
        <v>0.5</v>
      </c>
    </row>
    <row r="108" spans="1:13">
      <c r="A108" s="971"/>
      <c r="B108" s="971"/>
      <c r="C108" s="37" t="s">
        <v>965</v>
      </c>
      <c r="D108" s="48">
        <v>1</v>
      </c>
      <c r="E108" s="1015">
        <f>IF(MMInMarket=TRUE,E107,0)</f>
        <v>0</v>
      </c>
      <c r="F108" s="1015">
        <f>IF(MMInMarket=TRUE,F107,0)</f>
        <v>0</v>
      </c>
      <c r="G108" s="1015">
        <f>IF(MMInMarket=TRUE,G107,0)</f>
        <v>0</v>
      </c>
      <c r="H108" s="1015">
        <f>IF(MMInMarket=TRUE,H107,0)</f>
        <v>0</v>
      </c>
      <c r="I108" s="1015">
        <f>IF(MMInMarket=TRUE,I107,0)</f>
        <v>0</v>
      </c>
      <c r="J108" s="40"/>
      <c r="K108" s="10">
        <v>1.33</v>
      </c>
      <c r="L108" s="14">
        <f t="shared" si="17"/>
        <v>0</v>
      </c>
      <c r="M108" s="15">
        <f t="shared" si="18"/>
        <v>0.5</v>
      </c>
    </row>
    <row r="109" spans="1:13">
      <c r="A109" s="971"/>
      <c r="B109" s="971"/>
      <c r="C109" s="43" t="s">
        <v>972</v>
      </c>
      <c r="D109" s="42">
        <f>STDEVP(E108:I108)*D108+(STDEVP(E108:I108)=0)</f>
        <v>1</v>
      </c>
      <c r="E109" s="71">
        <f>IF(E108=0,0,NORMDIST(E108,$J109,$D109,TRUE))*(MMInMarket=TRUE)</f>
        <v>0</v>
      </c>
      <c r="F109" s="71">
        <f>IF(F108=0,0,NORMDIST(F108,$J109,$D109,TRUE))*(MMInMarket=TRUE)</f>
        <v>0</v>
      </c>
      <c r="G109" s="71">
        <f>IF(G108=0,0,NORMDIST(G108,$J109,$D109,TRUE))*(MMInMarket=TRUE)</f>
        <v>0</v>
      </c>
      <c r="H109" s="71">
        <f>IF(H108=0,0,NORMDIST(H108,$J109,$D109,TRUE))*(MMInMarket=TRUE)</f>
        <v>0</v>
      </c>
      <c r="I109" s="71">
        <f>IF(I108=0,0,NORMDIST(I108,$J109,$D109,TRUE))*(MMInMarket=TRUE)</f>
        <v>0</v>
      </c>
      <c r="J109" s="44">
        <f>IF($J$24=0,0,SUM(E108:I108)/$J$24)</f>
        <v>0</v>
      </c>
      <c r="K109" s="10">
        <v>1.66</v>
      </c>
      <c r="L109" s="14">
        <f t="shared" si="17"/>
        <v>0</v>
      </c>
      <c r="M109" s="15">
        <f t="shared" si="18"/>
        <v>0.5</v>
      </c>
    </row>
    <row r="110" spans="1:13">
      <c r="A110" s="968"/>
      <c r="B110" s="968"/>
      <c r="C110" s="2"/>
      <c r="D110" s="39"/>
      <c r="E110" s="3"/>
      <c r="F110" s="3"/>
      <c r="G110" s="3"/>
      <c r="H110" s="3"/>
      <c r="I110" s="3"/>
      <c r="J110" s="3"/>
      <c r="K110" s="10">
        <v>2</v>
      </c>
      <c r="L110" s="14">
        <f t="shared" si="17"/>
        <v>0</v>
      </c>
      <c r="M110" s="15">
        <f t="shared" si="18"/>
        <v>0.5</v>
      </c>
    </row>
    <row r="111" spans="1:13">
      <c r="A111" s="968"/>
      <c r="B111" s="968"/>
      <c r="C111" s="2"/>
      <c r="D111" s="39"/>
      <c r="E111" s="3"/>
      <c r="F111" s="3"/>
      <c r="G111" s="3"/>
      <c r="H111" s="3"/>
      <c r="I111" s="3"/>
      <c r="J111" s="3"/>
      <c r="K111" s="3"/>
    </row>
    <row r="112" spans="1:13">
      <c r="A112" s="968"/>
      <c r="B112" s="968"/>
      <c r="C112" s="2"/>
      <c r="D112" s="39"/>
      <c r="E112" s="3"/>
      <c r="F112" s="3"/>
      <c r="G112" s="3"/>
      <c r="H112" s="3"/>
      <c r="I112" s="3"/>
      <c r="J112" s="3"/>
    </row>
    <row r="113" spans="1:13">
      <c r="A113" s="968"/>
      <c r="B113" s="968"/>
      <c r="C113" s="2"/>
      <c r="D113" s="39"/>
      <c r="E113" s="3"/>
      <c r="F113" s="3"/>
      <c r="G113" s="3"/>
      <c r="H113" s="3"/>
      <c r="I113" s="3"/>
      <c r="J113" s="3"/>
    </row>
    <row r="114" spans="1:13">
      <c r="A114" s="968"/>
      <c r="B114" s="968"/>
      <c r="C114" s="2"/>
      <c r="D114" s="39"/>
      <c r="E114" s="3"/>
      <c r="F114" s="3"/>
      <c r="G114" s="3"/>
      <c r="H114" s="3"/>
      <c r="I114" s="3"/>
      <c r="J114" s="3"/>
    </row>
    <row r="115" spans="1:13">
      <c r="A115" s="968"/>
      <c r="B115" s="968"/>
      <c r="C115" s="2"/>
      <c r="D115" s="39"/>
      <c r="E115" s="3"/>
      <c r="F115" s="3"/>
      <c r="G115" s="3"/>
      <c r="H115" s="3"/>
      <c r="I115" s="3"/>
      <c r="J115" s="3"/>
      <c r="L115" s="240" t="s">
        <v>3209</v>
      </c>
      <c r="M115" s="240" t="s">
        <v>3210</v>
      </c>
    </row>
    <row r="116" spans="1:13">
      <c r="A116" s="968"/>
      <c r="B116" s="968"/>
      <c r="C116" s="2"/>
      <c r="D116" s="39"/>
      <c r="E116" s="3"/>
      <c r="F116" s="3"/>
      <c r="G116" s="3"/>
      <c r="H116" s="3"/>
      <c r="I116" s="3"/>
      <c r="J116" s="3"/>
      <c r="K116" s="10">
        <v>0</v>
      </c>
      <c r="L116" s="14">
        <f t="shared" ref="L116:L122" si="19">K116*$J$121</f>
        <v>0</v>
      </c>
      <c r="M116" s="15">
        <f>NORMDIST(L116,$J$121,$D$121,TRUE)</f>
        <v>1.3498980316300933E-3</v>
      </c>
    </row>
    <row r="117" spans="1:13">
      <c r="A117" s="971"/>
      <c r="B117" s="969" t="s">
        <v>2320</v>
      </c>
      <c r="C117" s="230" t="str">
        <f>xxMMProd1Driver8</f>
        <v>Channel Penetration</v>
      </c>
      <c r="D117" s="231"/>
      <c r="E117" s="218">
        <f>IF(MMSegCurrent=2,capReg2ChanLevel,0)</f>
        <v>3</v>
      </c>
      <c r="F117" s="218">
        <f>IF(MMSegCurrent=2,capReg2ChanLevel,0)</f>
        <v>3</v>
      </c>
      <c r="G117" s="218">
        <f>IF(MMSegCurrent=2,capReg2ChanLevel,0)</f>
        <v>3</v>
      </c>
      <c r="H117" s="218">
        <f>IF(MMSegCurrent=2,capReg2ChanLevel,0)</f>
        <v>3</v>
      </c>
      <c r="I117" s="218">
        <f>IF(MMSegCurrent=2,capReg2ChanLevel,0)</f>
        <v>3</v>
      </c>
      <c r="J117" s="154"/>
      <c r="K117" s="10">
        <v>0.33</v>
      </c>
      <c r="L117" s="14">
        <f t="shared" si="19"/>
        <v>0.99</v>
      </c>
      <c r="M117" s="15">
        <f t="shared" ref="M117:M122" si="20">NORMDIST(L117,$J$121,$D$121,TRUE)</f>
        <v>2.2215594429431475E-2</v>
      </c>
    </row>
    <row r="118" spans="1:13">
      <c r="A118" s="971"/>
      <c r="B118" s="971"/>
      <c r="C118" s="37"/>
      <c r="D118" s="38"/>
      <c r="E118" s="39"/>
      <c r="F118" s="39"/>
      <c r="G118" s="39"/>
      <c r="H118" s="39"/>
      <c r="I118" s="39"/>
      <c r="J118" s="40"/>
      <c r="K118" s="10">
        <v>0.66</v>
      </c>
      <c r="L118" s="14">
        <f t="shared" si="19"/>
        <v>1.98</v>
      </c>
      <c r="M118" s="15">
        <f t="shared" si="20"/>
        <v>0.15386423037273483</v>
      </c>
    </row>
    <row r="119" spans="1:13">
      <c r="A119" s="971"/>
      <c r="B119" s="971"/>
      <c r="C119" s="37" t="s">
        <v>2383</v>
      </c>
      <c r="D119" s="38"/>
      <c r="E119" s="87">
        <f>E117</f>
        <v>3</v>
      </c>
      <c r="F119" s="87">
        <f>F117</f>
        <v>3</v>
      </c>
      <c r="G119" s="87">
        <f>G117</f>
        <v>3</v>
      </c>
      <c r="H119" s="87">
        <f>H117</f>
        <v>3</v>
      </c>
      <c r="I119" s="87">
        <f>I117</f>
        <v>3</v>
      </c>
      <c r="J119" s="40"/>
      <c r="K119" s="10">
        <v>1</v>
      </c>
      <c r="L119" s="14">
        <f t="shared" si="19"/>
        <v>3</v>
      </c>
      <c r="M119" s="15">
        <f t="shared" si="20"/>
        <v>0.5</v>
      </c>
    </row>
    <row r="120" spans="1:13">
      <c r="A120" s="971"/>
      <c r="B120" s="971"/>
      <c r="C120" s="37" t="s">
        <v>965</v>
      </c>
      <c r="D120" s="48">
        <v>1</v>
      </c>
      <c r="E120" s="87">
        <f>IF(MMInMarket=TRUE,E119,0)</f>
        <v>3</v>
      </c>
      <c r="F120" s="87">
        <f>IF(MMInMarket=TRUE,F119,0)</f>
        <v>3</v>
      </c>
      <c r="G120" s="87">
        <f>IF(MMInMarket=TRUE,G119,0)</f>
        <v>3</v>
      </c>
      <c r="H120" s="87">
        <f>IF(MMInMarket=TRUE,H119,0)</f>
        <v>3</v>
      </c>
      <c r="I120" s="87">
        <f>IF(MMInMarket=TRUE,I119,0)</f>
        <v>3</v>
      </c>
      <c r="J120" s="40"/>
      <c r="K120" s="10">
        <v>1.33</v>
      </c>
      <c r="L120" s="14">
        <f t="shared" si="19"/>
        <v>3.99</v>
      </c>
      <c r="M120" s="15">
        <f t="shared" si="20"/>
        <v>0.8389129404891692</v>
      </c>
    </row>
    <row r="121" spans="1:13">
      <c r="A121" s="971"/>
      <c r="B121" s="971"/>
      <c r="C121" s="43" t="s">
        <v>2385</v>
      </c>
      <c r="D121" s="42">
        <f>STDEVP(E120:I120)*D120+(STDEVP(E120:I120)=0)</f>
        <v>1</v>
      </c>
      <c r="E121" s="71">
        <f>IF(E120=0,0,NORMDIST(E120,$J121,$D121,TRUE))*(MMInMarket=TRUE)</f>
        <v>0.5</v>
      </c>
      <c r="F121" s="71">
        <f>IF(F120=0,0,NORMDIST(F120,$J121,$D121,TRUE))*(MMInMarket=TRUE)</f>
        <v>0.5</v>
      </c>
      <c r="G121" s="71">
        <f>IF(G120=0,0,NORMDIST(G120,$J121,$D121,TRUE))*(MMInMarket=TRUE)</f>
        <v>0.5</v>
      </c>
      <c r="H121" s="71">
        <f>IF(H120=0,0,NORMDIST(H120,$J121,$D121,TRUE))*(MMInMarket=TRUE)</f>
        <v>0.5</v>
      </c>
      <c r="I121" s="71">
        <f>IF(I120=0,0,NORMDIST(I120,$J121,$D121,TRUE))*(MMInMarket=TRUE)</f>
        <v>0.5</v>
      </c>
      <c r="J121" s="44">
        <f>IF($J$24=0,0,SUM(E120:I120)/$J$24)</f>
        <v>3</v>
      </c>
      <c r="K121" s="10">
        <v>1.66</v>
      </c>
      <c r="L121" s="14">
        <f t="shared" si="19"/>
        <v>4.9799999999999995</v>
      </c>
      <c r="M121" s="15">
        <f t="shared" si="20"/>
        <v>0.97614823565849151</v>
      </c>
    </row>
    <row r="122" spans="1:13">
      <c r="A122" s="968"/>
      <c r="B122" s="968"/>
      <c r="C122" s="2"/>
      <c r="D122" s="39"/>
      <c r="E122" s="3"/>
      <c r="F122" s="3"/>
      <c r="G122" s="3"/>
      <c r="H122" s="3"/>
      <c r="I122" s="3"/>
      <c r="J122" s="3"/>
      <c r="K122" s="10">
        <v>2</v>
      </c>
      <c r="L122" s="14">
        <f t="shared" si="19"/>
        <v>6</v>
      </c>
      <c r="M122" s="15">
        <f t="shared" si="20"/>
        <v>0.9986501019683699</v>
      </c>
    </row>
    <row r="123" spans="1:13">
      <c r="A123" s="968"/>
      <c r="B123" s="968"/>
      <c r="C123" s="2"/>
      <c r="D123" s="39"/>
      <c r="E123" s="3"/>
      <c r="F123" s="3"/>
      <c r="G123" s="3"/>
      <c r="H123" s="3"/>
      <c r="I123" s="3"/>
      <c r="J123" s="3"/>
      <c r="L123" s="14"/>
      <c r="M123" s="10"/>
    </row>
    <row r="124" spans="1:13">
      <c r="A124" s="968"/>
      <c r="B124" s="968"/>
      <c r="C124" s="2"/>
      <c r="D124" s="39"/>
      <c r="E124" s="3"/>
      <c r="F124" s="3"/>
      <c r="G124" s="3"/>
      <c r="H124" s="3"/>
      <c r="I124" s="3"/>
      <c r="J124" s="3"/>
    </row>
    <row r="125" spans="1:13">
      <c r="A125" s="968"/>
      <c r="B125" s="968"/>
      <c r="C125" s="2"/>
      <c r="D125" s="39"/>
      <c r="E125" s="3"/>
      <c r="F125" s="3"/>
      <c r="G125" s="3"/>
      <c r="H125" s="3"/>
      <c r="I125" s="3"/>
      <c r="J125" s="3"/>
    </row>
    <row r="126" spans="1:13">
      <c r="A126" s="968"/>
      <c r="B126" s="968"/>
      <c r="C126" s="2"/>
      <c r="D126" s="39"/>
      <c r="E126" s="3"/>
      <c r="F126" s="3"/>
      <c r="G126" s="3"/>
      <c r="H126" s="3"/>
      <c r="I126" s="3"/>
      <c r="J126" s="3"/>
    </row>
    <row r="127" spans="1:13">
      <c r="A127" s="968"/>
      <c r="B127" s="968"/>
      <c r="C127" s="2"/>
      <c r="D127" s="39"/>
      <c r="E127" s="3"/>
      <c r="F127" s="3"/>
      <c r="G127" s="3"/>
      <c r="H127" s="3"/>
      <c r="I127" s="3"/>
      <c r="J127" s="3"/>
      <c r="L127" s="240" t="s">
        <v>3209</v>
      </c>
      <c r="M127" s="240" t="s">
        <v>3210</v>
      </c>
    </row>
    <row r="128" spans="1:13">
      <c r="A128" s="968"/>
      <c r="B128" s="968"/>
      <c r="C128" s="2"/>
      <c r="D128" s="39"/>
      <c r="E128" s="3"/>
      <c r="F128" s="3"/>
      <c r="G128" s="3"/>
      <c r="H128" s="3"/>
      <c r="I128" s="3"/>
      <c r="J128" s="3"/>
      <c r="K128" s="10">
        <v>0</v>
      </c>
      <c r="L128" s="14">
        <f t="shared" ref="L128:L134" si="21">K128*$J$133</f>
        <v>0</v>
      </c>
      <c r="M128" s="15">
        <f t="shared" ref="M128:M134" si="22">NORMDIST(L128,$J$133,$D$121,TRUE)</f>
        <v>0.5</v>
      </c>
    </row>
    <row r="129" spans="1:13">
      <c r="A129" s="971"/>
      <c r="B129" s="969" t="s">
        <v>2321</v>
      </c>
      <c r="C129" s="230" t="str">
        <f>xxMMProd1Driver9</f>
        <v>GTM Digitization</v>
      </c>
      <c r="D129" s="231"/>
      <c r="E129" s="218">
        <f>IF(MMSegCurrent=1,capReg1ChanLevel,0)</f>
        <v>0</v>
      </c>
      <c r="F129" s="218">
        <f>IF(MMSegCurrent=1,capReg1ChanLevel,0)</f>
        <v>0</v>
      </c>
      <c r="G129" s="218">
        <f>IF(MMSegCurrent=1,capReg1ChanLevel,0)</f>
        <v>0</v>
      </c>
      <c r="H129" s="218">
        <f>IF(MMSegCurrent=1,capReg1ChanLevel,0)</f>
        <v>0</v>
      </c>
      <c r="I129" s="218">
        <f>IF(MMSegCurrent=1,capReg1ChanLevel,0)</f>
        <v>0</v>
      </c>
      <c r="J129" s="154"/>
      <c r="K129" s="10">
        <v>0.33</v>
      </c>
      <c r="L129" s="14">
        <f t="shared" si="21"/>
        <v>0</v>
      </c>
      <c r="M129" s="15">
        <f t="shared" si="22"/>
        <v>0.5</v>
      </c>
    </row>
    <row r="130" spans="1:13">
      <c r="A130" s="971"/>
      <c r="B130" s="971"/>
      <c r="C130" s="37"/>
      <c r="D130" s="38"/>
      <c r="E130" s="39"/>
      <c r="F130" s="39"/>
      <c r="G130" s="39"/>
      <c r="H130" s="39"/>
      <c r="I130" s="39"/>
      <c r="J130" s="40"/>
      <c r="K130" s="10">
        <v>0.66</v>
      </c>
      <c r="L130" s="14">
        <f t="shared" si="21"/>
        <v>0</v>
      </c>
      <c r="M130" s="15">
        <f t="shared" si="22"/>
        <v>0.5</v>
      </c>
    </row>
    <row r="131" spans="1:13">
      <c r="A131" s="971"/>
      <c r="B131" s="971"/>
      <c r="C131" s="37" t="s">
        <v>2383</v>
      </c>
      <c r="D131" s="38"/>
      <c r="E131" s="87">
        <f>E129</f>
        <v>0</v>
      </c>
      <c r="F131" s="87">
        <f>F129</f>
        <v>0</v>
      </c>
      <c r="G131" s="87">
        <f>G129</f>
        <v>0</v>
      </c>
      <c r="H131" s="87">
        <f>H129</f>
        <v>0</v>
      </c>
      <c r="I131" s="87">
        <f>I129</f>
        <v>0</v>
      </c>
      <c r="J131" s="40"/>
      <c r="K131" s="10">
        <v>1</v>
      </c>
      <c r="L131" s="14">
        <f t="shared" si="21"/>
        <v>0</v>
      </c>
      <c r="M131" s="15">
        <f t="shared" si="22"/>
        <v>0.5</v>
      </c>
    </row>
    <row r="132" spans="1:13">
      <c r="A132" s="971"/>
      <c r="B132" s="971"/>
      <c r="C132" s="37" t="s">
        <v>965</v>
      </c>
      <c r="D132" s="48">
        <v>1</v>
      </c>
      <c r="E132" s="87">
        <f>IF(MMInMarket=TRUE,E131,0)</f>
        <v>0</v>
      </c>
      <c r="F132" s="87">
        <f>IF(MMInMarket=TRUE,F131,0)</f>
        <v>0</v>
      </c>
      <c r="G132" s="87">
        <f>IF(MMInMarket=TRUE,G131,0)</f>
        <v>0</v>
      </c>
      <c r="H132" s="87">
        <f>IF(MMInMarket=TRUE,H131,0)</f>
        <v>0</v>
      </c>
      <c r="I132" s="87">
        <f>IF(MMInMarket=TRUE,I131,0)</f>
        <v>0</v>
      </c>
      <c r="J132" s="40"/>
      <c r="K132" s="10">
        <v>1.33</v>
      </c>
      <c r="L132" s="14">
        <f t="shared" si="21"/>
        <v>0</v>
      </c>
      <c r="M132" s="15">
        <f t="shared" si="22"/>
        <v>0.5</v>
      </c>
    </row>
    <row r="133" spans="1:13">
      <c r="A133" s="971"/>
      <c r="B133" s="971"/>
      <c r="C133" s="43" t="s">
        <v>2955</v>
      </c>
      <c r="D133" s="42">
        <f>STDEVP(E132:I132)*D132+(STDEVP(E132:I132)=0)</f>
        <v>1</v>
      </c>
      <c r="E133" s="71">
        <f>IF(E132=0,0,NORMDIST(E132,$J133,$D133,TRUE))*(MMInMarket=TRUE)</f>
        <v>0</v>
      </c>
      <c r="F133" s="71">
        <f>IF(F132=0,0,NORMDIST(F132,$J133,$D133,TRUE))*(MMInMarket=TRUE)</f>
        <v>0</v>
      </c>
      <c r="G133" s="71">
        <f>IF(G132=0,0,NORMDIST(G132,$J133,$D133,TRUE))*(MMInMarket=TRUE)</f>
        <v>0</v>
      </c>
      <c r="H133" s="71">
        <f>IF(H132=0,0,NORMDIST(H132,$J133,$D133,TRUE))*(MMInMarket=TRUE)</f>
        <v>0</v>
      </c>
      <c r="I133" s="71">
        <f>IF(I132=0,0,NORMDIST(I132,$J133,$D133,TRUE))*(MMInMarket=TRUE)</f>
        <v>0</v>
      </c>
      <c r="J133" s="44">
        <f>IF($J$24=0,0,SUM(E132:I132)/$J$24)</f>
        <v>0</v>
      </c>
      <c r="K133" s="10">
        <v>1.66</v>
      </c>
      <c r="L133" s="14">
        <f t="shared" si="21"/>
        <v>0</v>
      </c>
      <c r="M133" s="15">
        <f t="shared" si="22"/>
        <v>0.5</v>
      </c>
    </row>
    <row r="134" spans="1:13">
      <c r="A134" s="968"/>
      <c r="B134" s="968"/>
      <c r="C134" s="2"/>
      <c r="D134" s="39"/>
      <c r="E134" s="3"/>
      <c r="F134" s="3"/>
      <c r="G134" s="3"/>
      <c r="H134" s="3"/>
      <c r="I134" s="3"/>
      <c r="J134" s="3"/>
      <c r="K134" s="10">
        <v>2</v>
      </c>
      <c r="L134" s="14">
        <f t="shared" si="21"/>
        <v>0</v>
      </c>
      <c r="M134" s="15">
        <f t="shared" si="22"/>
        <v>0.5</v>
      </c>
    </row>
    <row r="135" spans="1:13">
      <c r="A135" s="968"/>
      <c r="B135" s="968"/>
      <c r="C135" s="2"/>
      <c r="D135" s="39"/>
      <c r="E135" s="3"/>
      <c r="F135" s="3"/>
      <c r="G135" s="3"/>
      <c r="H135" s="3"/>
      <c r="I135" s="3"/>
      <c r="J135" s="3"/>
      <c r="L135" s="14"/>
      <c r="M135" s="10"/>
    </row>
    <row r="136" spans="1:13" hidden="1">
      <c r="A136" s="968"/>
      <c r="B136" s="968"/>
      <c r="C136" s="2"/>
      <c r="D136" s="39"/>
      <c r="E136" s="3"/>
      <c r="F136" s="3"/>
      <c r="G136" s="3"/>
      <c r="H136" s="3"/>
      <c r="I136" s="3"/>
      <c r="J136" s="3"/>
    </row>
    <row r="137" spans="1:13" hidden="1">
      <c r="A137" s="968"/>
      <c r="B137" s="968"/>
      <c r="C137" s="2"/>
      <c r="D137" s="39"/>
      <c r="E137" s="3"/>
      <c r="F137" s="3"/>
      <c r="G137" s="3"/>
      <c r="H137" s="3"/>
      <c r="I137" s="3"/>
      <c r="J137" s="3"/>
    </row>
    <row r="138" spans="1:13" hidden="1">
      <c r="A138" s="968"/>
      <c r="B138" s="968"/>
      <c r="C138" s="2"/>
      <c r="D138" s="39"/>
      <c r="E138" s="3"/>
      <c r="F138" s="3"/>
      <c r="G138" s="3"/>
      <c r="H138" s="3"/>
      <c r="I138" s="3"/>
      <c r="J138" s="3"/>
    </row>
    <row r="139" spans="1:13" hidden="1">
      <c r="A139" s="968"/>
      <c r="B139" s="968"/>
      <c r="C139" s="2"/>
      <c r="D139" s="39"/>
      <c r="E139" s="3"/>
      <c r="F139" s="3"/>
      <c r="G139" s="3"/>
      <c r="H139" s="3"/>
      <c r="I139" s="3"/>
      <c r="J139" s="3"/>
      <c r="L139" s="240" t="s">
        <v>3209</v>
      </c>
      <c r="M139" s="240" t="s">
        <v>3210</v>
      </c>
    </row>
    <row r="140" spans="1:13" hidden="1">
      <c r="A140" s="968"/>
      <c r="B140" s="968"/>
      <c r="C140" s="2"/>
      <c r="D140" s="39"/>
      <c r="E140" s="3"/>
      <c r="F140" s="3"/>
      <c r="G140" s="3"/>
      <c r="H140" s="3"/>
      <c r="I140" s="3"/>
      <c r="J140" s="3"/>
      <c r="K140" s="10">
        <v>0</v>
      </c>
      <c r="L140" s="14">
        <f t="shared" ref="L140:L146" si="23">K140*$J$145</f>
        <v>0</v>
      </c>
      <c r="M140" s="15">
        <f t="shared" ref="M140:M146" si="24">NORMDIST(L140,$J$145,$D$121,TRUE)</f>
        <v>0.5</v>
      </c>
    </row>
    <row r="141" spans="1:13" hidden="1">
      <c r="A141" s="971"/>
      <c r="B141" s="969" t="s">
        <v>2322</v>
      </c>
      <c r="C141" s="230" t="str">
        <f>xxMMProd1Driver10</f>
        <v>Driver 10</v>
      </c>
      <c r="D141" s="231"/>
      <c r="E141" s="218"/>
      <c r="F141" s="218"/>
      <c r="G141" s="218"/>
      <c r="H141" s="218"/>
      <c r="I141" s="218"/>
      <c r="J141" s="154"/>
      <c r="K141" s="10">
        <v>0.33</v>
      </c>
      <c r="L141" s="14">
        <f t="shared" si="23"/>
        <v>0</v>
      </c>
      <c r="M141" s="15">
        <f t="shared" si="24"/>
        <v>0.5</v>
      </c>
    </row>
    <row r="142" spans="1:13" hidden="1">
      <c r="A142" s="971"/>
      <c r="B142" s="971"/>
      <c r="C142" s="37"/>
      <c r="D142" s="38"/>
      <c r="E142" s="39"/>
      <c r="F142" s="39"/>
      <c r="G142" s="39"/>
      <c r="H142" s="39"/>
      <c r="I142" s="39"/>
      <c r="J142" s="40"/>
      <c r="K142" s="10">
        <v>0.66</v>
      </c>
      <c r="L142" s="14">
        <f t="shared" si="23"/>
        <v>0</v>
      </c>
      <c r="M142" s="15">
        <f t="shared" si="24"/>
        <v>0.5</v>
      </c>
    </row>
    <row r="143" spans="1:13" hidden="1">
      <c r="A143" s="971"/>
      <c r="B143" s="971"/>
      <c r="C143" s="37" t="s">
        <v>2383</v>
      </c>
      <c r="D143" s="38"/>
      <c r="E143" s="87">
        <f>E141</f>
        <v>0</v>
      </c>
      <c r="F143" s="87">
        <f>F141</f>
        <v>0</v>
      </c>
      <c r="G143" s="87">
        <f>G141</f>
        <v>0</v>
      </c>
      <c r="H143" s="87">
        <f>H141</f>
        <v>0</v>
      </c>
      <c r="I143" s="87">
        <f>I141</f>
        <v>0</v>
      </c>
      <c r="J143" s="40"/>
      <c r="K143" s="10">
        <v>1</v>
      </c>
      <c r="L143" s="14">
        <f t="shared" si="23"/>
        <v>0</v>
      </c>
      <c r="M143" s="15">
        <f t="shared" si="24"/>
        <v>0.5</v>
      </c>
    </row>
    <row r="144" spans="1:13" hidden="1">
      <c r="A144" s="971"/>
      <c r="B144" s="971"/>
      <c r="C144" s="37" t="s">
        <v>965</v>
      </c>
      <c r="D144" s="48">
        <v>1</v>
      </c>
      <c r="E144" s="87">
        <f>IF(MMInMarket=TRUE,E143,0)</f>
        <v>0</v>
      </c>
      <c r="F144" s="87">
        <f>IF(MMInMarket=TRUE,F143,0)</f>
        <v>0</v>
      </c>
      <c r="G144" s="87">
        <f>IF(MMInMarket=TRUE,G143,0)</f>
        <v>0</v>
      </c>
      <c r="H144" s="87">
        <f>IF(MMInMarket=TRUE,H143,0)</f>
        <v>0</v>
      </c>
      <c r="I144" s="87">
        <f>IF(MMInMarket=TRUE,I143,0)</f>
        <v>0</v>
      </c>
      <c r="J144" s="40"/>
      <c r="K144" s="10">
        <v>1.33</v>
      </c>
      <c r="L144" s="14">
        <f t="shared" si="23"/>
        <v>0</v>
      </c>
      <c r="M144" s="15">
        <f t="shared" si="24"/>
        <v>0.5</v>
      </c>
    </row>
    <row r="145" spans="1:13" hidden="1">
      <c r="A145" s="971"/>
      <c r="B145" s="971"/>
      <c r="C145" s="43" t="s">
        <v>2957</v>
      </c>
      <c r="D145" s="42">
        <f>STDEVP(E144:I144)*D144+(STDEVP(E144:I144)=0)</f>
        <v>1</v>
      </c>
      <c r="E145" s="71">
        <f>IF(E144=0,0,NORMDIST(E144,$J145,$D145,TRUE))*(MMInMarket=TRUE)</f>
        <v>0</v>
      </c>
      <c r="F145" s="71">
        <f>IF(F144=0,0,NORMDIST(F144,$J145,$D145,TRUE))*(MMInMarket=TRUE)</f>
        <v>0</v>
      </c>
      <c r="G145" s="71">
        <f>IF(G144=0,0,NORMDIST(G144,$J145,$D145,TRUE))*(MMInMarket=TRUE)</f>
        <v>0</v>
      </c>
      <c r="H145" s="71">
        <f>IF(H144=0,0,NORMDIST(H144,$J145,$D145,TRUE))*(MMInMarket=TRUE)</f>
        <v>0</v>
      </c>
      <c r="I145" s="71">
        <f>IF(I144=0,0,NORMDIST(I144,$J145,$D145,TRUE))*(MMInMarket=TRUE)</f>
        <v>0</v>
      </c>
      <c r="J145" s="44">
        <f>IF($J$24=0,0,SUM(E144:I144)/$J$24)</f>
        <v>0</v>
      </c>
      <c r="K145" s="10">
        <v>1.66</v>
      </c>
      <c r="L145" s="14">
        <f t="shared" si="23"/>
        <v>0</v>
      </c>
      <c r="M145" s="15">
        <f t="shared" si="24"/>
        <v>0.5</v>
      </c>
    </row>
    <row r="146" spans="1:13" hidden="1">
      <c r="A146" s="971"/>
      <c r="B146" s="971"/>
      <c r="C146" s="156"/>
      <c r="D146" s="39"/>
      <c r="E146" s="3"/>
      <c r="F146" s="3"/>
      <c r="G146" s="3"/>
      <c r="H146" s="3"/>
      <c r="I146" s="3"/>
      <c r="J146" s="3"/>
      <c r="K146" s="10">
        <v>2</v>
      </c>
      <c r="L146" s="14">
        <f t="shared" si="23"/>
        <v>0</v>
      </c>
      <c r="M146" s="15">
        <f t="shared" si="24"/>
        <v>0.5</v>
      </c>
    </row>
    <row r="147" spans="1:13" hidden="1">
      <c r="A147" s="971"/>
      <c r="B147" s="971"/>
      <c r="C147" s="156"/>
      <c r="D147" s="39"/>
      <c r="E147" s="3"/>
      <c r="F147" s="3"/>
      <c r="G147" s="3"/>
      <c r="H147" s="3"/>
      <c r="I147" s="3"/>
      <c r="J147" s="3"/>
      <c r="K147" s="10"/>
      <c r="L147" s="14"/>
      <c r="M147" s="15"/>
    </row>
    <row r="148" spans="1:13" hidden="1">
      <c r="A148" s="971"/>
      <c r="B148" s="971"/>
      <c r="C148" s="156"/>
      <c r="D148" s="39"/>
      <c r="E148" s="3"/>
      <c r="F148" s="3"/>
      <c r="G148" s="3"/>
      <c r="H148" s="3"/>
      <c r="I148" s="3"/>
      <c r="J148" s="3"/>
      <c r="K148" s="3"/>
    </row>
    <row r="149" spans="1:13" hidden="1">
      <c r="A149" s="971"/>
      <c r="B149" s="971"/>
      <c r="C149" s="156"/>
      <c r="D149" s="39"/>
      <c r="E149" s="3"/>
      <c r="F149" s="3"/>
      <c r="G149" s="3"/>
      <c r="H149" s="3"/>
      <c r="I149" s="3"/>
      <c r="J149" s="3"/>
      <c r="K149" s="3"/>
    </row>
    <row r="150" spans="1:13">
      <c r="A150" s="971"/>
      <c r="B150" s="971"/>
      <c r="C150" s="156"/>
      <c r="D150" s="39"/>
      <c r="E150" s="3"/>
      <c r="F150" s="3"/>
      <c r="G150" s="3"/>
      <c r="H150" s="3"/>
      <c r="I150" s="3"/>
      <c r="J150" s="3"/>
    </row>
    <row r="151" spans="1:13">
      <c r="A151" s="971"/>
      <c r="B151" s="971"/>
    </row>
    <row r="152" spans="1:13">
      <c r="A152" s="971"/>
      <c r="B152" s="973" t="s">
        <v>1828</v>
      </c>
      <c r="C152" s="64"/>
      <c r="D152" s="42"/>
      <c r="E152" s="67"/>
      <c r="F152" s="67"/>
      <c r="G152" s="67"/>
      <c r="H152" s="67"/>
      <c r="I152" s="67"/>
      <c r="J152" s="67"/>
    </row>
    <row r="153" spans="1:13">
      <c r="A153" s="968"/>
      <c r="B153" s="969"/>
      <c r="C153" s="2"/>
      <c r="D153" s="39"/>
      <c r="E153" s="3"/>
      <c r="F153" s="3"/>
      <c r="G153" s="3"/>
      <c r="H153" s="3"/>
      <c r="I153" s="3"/>
      <c r="J153" s="3"/>
    </row>
    <row r="154" spans="1:13">
      <c r="A154" s="968"/>
      <c r="B154" s="969" t="s">
        <v>3791</v>
      </c>
      <c r="C154" s="45" t="s">
        <v>1828</v>
      </c>
      <c r="D154" s="46"/>
      <c r="E154" s="469">
        <f>IF(MMSegCurrent=1,paramSpecProgReg1Prod1Sales, paramSpecProgReg2Prod1Sales)</f>
        <v>0</v>
      </c>
      <c r="F154" s="469">
        <f>IF(MMSegCurrent=1,paramSpecProgReg1Prod1Sales, paramSpecProgReg2Prod1Sales)</f>
        <v>0</v>
      </c>
      <c r="G154" s="469">
        <f>IF(MMSegCurrent=1,paramSpecProgReg1Prod1Sales, paramSpecProgReg2Prod1Sales)</f>
        <v>0</v>
      </c>
      <c r="H154" s="469">
        <f>IF(MMSegCurrent=1,paramSpecProgReg1Prod1Sales, paramSpecProgReg2Prod1Sales)</f>
        <v>0</v>
      </c>
      <c r="I154" s="469">
        <f>IF(MMSegCurrent=1,paramSpecProgReg1Prod1Sales, paramSpecProgReg2Prod1Sales)</f>
        <v>0</v>
      </c>
      <c r="J154" s="154"/>
    </row>
    <row r="155" spans="1:13">
      <c r="A155" s="971"/>
      <c r="B155" s="971"/>
      <c r="C155" s="37"/>
      <c r="D155" s="38"/>
      <c r="E155" s="48"/>
      <c r="F155" s="48"/>
      <c r="G155" s="48"/>
      <c r="H155" s="48"/>
      <c r="I155" s="48"/>
      <c r="J155" s="40"/>
      <c r="K155" s="3"/>
    </row>
    <row r="156" spans="1:13">
      <c r="A156" s="971"/>
      <c r="B156" s="971"/>
      <c r="C156" s="37" t="s">
        <v>2383</v>
      </c>
      <c r="D156" s="38"/>
      <c r="E156" s="48">
        <f>E154</f>
        <v>0</v>
      </c>
      <c r="F156" s="48">
        <f>F154</f>
        <v>0</v>
      </c>
      <c r="G156" s="48">
        <f>G154</f>
        <v>0</v>
      </c>
      <c r="H156" s="48">
        <f>H154</f>
        <v>0</v>
      </c>
      <c r="I156" s="48">
        <f>I154</f>
        <v>0</v>
      </c>
      <c r="J156" s="40"/>
      <c r="K156" s="3"/>
    </row>
    <row r="157" spans="1:13">
      <c r="A157" s="971"/>
      <c r="B157" s="971"/>
      <c r="C157" s="37" t="s">
        <v>965</v>
      </c>
      <c r="D157" s="38"/>
      <c r="E157" s="48">
        <f>IF(MMInMarket=TRUE,E156,0)</f>
        <v>0</v>
      </c>
      <c r="F157" s="48">
        <f>IF(MMInMarket=TRUE,F156,0)</f>
        <v>0</v>
      </c>
      <c r="G157" s="48">
        <f>IF(MMInMarket=TRUE,G156,0)</f>
        <v>0</v>
      </c>
      <c r="H157" s="48">
        <f>IF(MMInMarket=TRUE,H156,0)</f>
        <v>0</v>
      </c>
      <c r="I157" s="48">
        <f>IF(MMInMarket=TRUE,I156,0)</f>
        <v>0</v>
      </c>
      <c r="J157" s="40"/>
      <c r="K157" s="3"/>
    </row>
    <row r="158" spans="1:13">
      <c r="A158" s="971"/>
      <c r="B158" s="971"/>
      <c r="C158" s="169" t="s">
        <v>1828</v>
      </c>
      <c r="D158" s="42"/>
      <c r="E158" s="71">
        <f>E157</f>
        <v>0</v>
      </c>
      <c r="F158" s="71">
        <f>F157</f>
        <v>0</v>
      </c>
      <c r="G158" s="71">
        <f>G157</f>
        <v>0</v>
      </c>
      <c r="H158" s="71">
        <f>H157</f>
        <v>0</v>
      </c>
      <c r="I158" s="71">
        <f>I157</f>
        <v>0</v>
      </c>
      <c r="J158" s="44"/>
    </row>
    <row r="159" spans="1:13">
      <c r="A159" s="971"/>
      <c r="B159" s="971"/>
    </row>
    <row r="160" spans="1:13">
      <c r="A160" s="968"/>
      <c r="B160" s="968"/>
      <c r="C160" s="64" t="s">
        <v>2323</v>
      </c>
      <c r="D160" s="42"/>
      <c r="E160" s="68" t="s">
        <v>129</v>
      </c>
      <c r="F160" s="68" t="s">
        <v>130</v>
      </c>
      <c r="G160" s="68" t="s">
        <v>131</v>
      </c>
      <c r="H160" s="68" t="s">
        <v>1133</v>
      </c>
      <c r="I160" s="68" t="s">
        <v>1134</v>
      </c>
      <c r="J160" s="3"/>
    </row>
    <row r="161" spans="1:11">
      <c r="A161" s="968"/>
      <c r="B161" s="968"/>
      <c r="C161" s="228" t="str">
        <f>xxMMProd1Driver1</f>
        <v>Price</v>
      </c>
      <c r="D161" s="25"/>
      <c r="E161" s="229">
        <f>xxMMProd1Driver1</f>
        <v>35</v>
      </c>
      <c r="F161" s="229">
        <f>xxMMProd1Driver1</f>
        <v>54</v>
      </c>
      <c r="G161" s="229">
        <f>xxMMProd1Driver1</f>
        <v>0</v>
      </c>
      <c r="H161" s="229">
        <f>xxMMProd1Driver1</f>
        <v>0</v>
      </c>
      <c r="I161" s="229">
        <f>xxMMProd1Driver1</f>
        <v>0</v>
      </c>
      <c r="J161" s="3"/>
    </row>
    <row r="162" spans="1:11">
      <c r="A162" s="968"/>
      <c r="B162" s="968"/>
      <c r="C162" s="228" t="str">
        <f>xxMMProd1Driver2</f>
        <v>Range Of Products</v>
      </c>
      <c r="D162" s="25"/>
      <c r="E162" s="229">
        <f>xxMMProd1Driver2</f>
        <v>7</v>
      </c>
      <c r="F162" s="229">
        <f>xxMMProd1Driver2</f>
        <v>8</v>
      </c>
      <c r="G162" s="229">
        <f>xxMMProd1Driver2</f>
        <v>0</v>
      </c>
      <c r="H162" s="229">
        <f>xxMMProd1Driver2</f>
        <v>0</v>
      </c>
      <c r="I162" s="229">
        <f>xxMMProd1Driver2</f>
        <v>0</v>
      </c>
      <c r="J162" s="3"/>
    </row>
    <row r="163" spans="1:11">
      <c r="A163" s="968"/>
      <c r="B163" s="968"/>
      <c r="C163" s="228" t="str">
        <f>xxMMProd1Driver3</f>
        <v>Brands</v>
      </c>
      <c r="D163" s="25"/>
      <c r="E163" s="229">
        <f>xxMMProd1Driver3</f>
        <v>0</v>
      </c>
      <c r="F163" s="229">
        <f>xxMMProd1Driver3</f>
        <v>0</v>
      </c>
      <c r="G163" s="229">
        <f>xxMMProd1Driver3</f>
        <v>0</v>
      </c>
      <c r="H163" s="229">
        <f>xxMMProd1Driver3</f>
        <v>0</v>
      </c>
      <c r="I163" s="229">
        <f>xxMMProd1Driver3</f>
        <v>0</v>
      </c>
      <c r="J163" s="3"/>
      <c r="K163" s="3"/>
    </row>
    <row r="164" spans="1:11">
      <c r="A164" s="968"/>
      <c r="B164" s="968"/>
      <c r="C164" s="228" t="str">
        <f>xxMMProd1Driver4</f>
        <v>Advertising</v>
      </c>
      <c r="D164" s="25"/>
      <c r="E164" s="229">
        <f>xxMMProd1Driver4</f>
        <v>9</v>
      </c>
      <c r="F164" s="229">
        <f>xxMMProd1Driver4</f>
        <v>7</v>
      </c>
      <c r="G164" s="229">
        <f>xxMMProd1Driver4</f>
        <v>0</v>
      </c>
      <c r="H164" s="229">
        <f>xxMMProd1Driver4</f>
        <v>0</v>
      </c>
      <c r="I164" s="229">
        <f>xxMMProd1Driver4</f>
        <v>0</v>
      </c>
      <c r="J164" s="3"/>
      <c r="K164" s="3"/>
    </row>
    <row r="165" spans="1:11">
      <c r="A165" s="968"/>
      <c r="B165" s="968"/>
      <c r="C165" s="228" t="str">
        <f>xxMMProd1Driver5</f>
        <v>Promotion</v>
      </c>
      <c r="D165" s="25"/>
      <c r="E165" s="229">
        <f>xxMMProd1Driver5</f>
        <v>11</v>
      </c>
      <c r="F165" s="229">
        <f>xxMMProd1Driver5</f>
        <v>9</v>
      </c>
      <c r="G165" s="229">
        <f>xxMMProd1Driver5</f>
        <v>0</v>
      </c>
      <c r="H165" s="229">
        <f>xxMMProd1Driver5</f>
        <v>0</v>
      </c>
      <c r="I165" s="229">
        <f>xxMMProd1Driver5</f>
        <v>0</v>
      </c>
      <c r="J165" s="3"/>
      <c r="K165" s="3"/>
    </row>
    <row r="166" spans="1:11">
      <c r="A166" s="968"/>
      <c r="B166" s="968"/>
      <c r="C166" s="228" t="str">
        <f>xxMMProd1Driver6</f>
        <v>Sales Force</v>
      </c>
      <c r="D166" s="25"/>
      <c r="E166" s="229">
        <f>xxMMProd1Driver6</f>
        <v>6</v>
      </c>
      <c r="F166" s="229">
        <f>xxMMProd1Driver6</f>
        <v>10</v>
      </c>
      <c r="G166" s="229">
        <f>xxMMProd1Driver6</f>
        <v>0</v>
      </c>
      <c r="H166" s="229">
        <f>xxMMProd1Driver6</f>
        <v>0</v>
      </c>
      <c r="I166" s="229">
        <f>xxMMProd1Driver6</f>
        <v>0</v>
      </c>
      <c r="J166" s="3"/>
      <c r="K166" s="3"/>
    </row>
    <row r="167" spans="1:11">
      <c r="A167" s="968"/>
      <c r="B167" s="968"/>
      <c r="C167" s="228" t="str">
        <f>xxMMProd1Driver7</f>
        <v>Innovation</v>
      </c>
      <c r="D167" s="25"/>
      <c r="E167" s="229">
        <f>xxMMProd1Driver7</f>
        <v>14</v>
      </c>
      <c r="F167" s="229">
        <f>xxMMProd1Driver7</f>
        <v>14</v>
      </c>
      <c r="G167" s="229">
        <f>xxMMProd1Driver7</f>
        <v>0</v>
      </c>
      <c r="H167" s="229">
        <f>xxMMProd1Driver7</f>
        <v>0</v>
      </c>
      <c r="I167" s="229">
        <f>xxMMProd1Driver7</f>
        <v>0</v>
      </c>
      <c r="J167" s="3"/>
      <c r="K167" s="3"/>
    </row>
    <row r="168" spans="1:11">
      <c r="A168" s="968"/>
      <c r="B168" s="968"/>
      <c r="C168" s="228" t="str">
        <f>xxMMProd1Driver8</f>
        <v>Channel Penetration</v>
      </c>
      <c r="D168" s="25"/>
      <c r="E168" s="229">
        <f>xxMMProd1Driver8</f>
        <v>0</v>
      </c>
      <c r="F168" s="229">
        <f>xxMMProd1Driver8</f>
        <v>17</v>
      </c>
      <c r="G168" s="229">
        <f>xxMMProd1Driver8</f>
        <v>0</v>
      </c>
      <c r="H168" s="229">
        <f>xxMMProd1Driver8</f>
        <v>0</v>
      </c>
      <c r="I168" s="229">
        <f>xxMMProd1Driver8</f>
        <v>0</v>
      </c>
      <c r="J168" s="3"/>
      <c r="K168" s="3"/>
    </row>
    <row r="169" spans="1:11">
      <c r="A169" s="968"/>
      <c r="B169" s="968"/>
      <c r="C169" s="228" t="str">
        <f>xxMMProd1Driver9</f>
        <v>GTM Digitization</v>
      </c>
      <c r="D169" s="25"/>
      <c r="E169" s="229">
        <f>xxMMProd1Driver9</f>
        <v>10</v>
      </c>
      <c r="F169" s="229">
        <f>xxMMProd1Driver9</f>
        <v>0</v>
      </c>
      <c r="G169" s="229">
        <f>xxMMProd1Driver9</f>
        <v>0</v>
      </c>
      <c r="H169" s="229">
        <f>xxMMProd1Driver9</f>
        <v>0</v>
      </c>
      <c r="I169" s="229">
        <f>xxMMProd1Driver9</f>
        <v>0</v>
      </c>
      <c r="J169" s="3"/>
      <c r="K169" s="3"/>
    </row>
    <row r="170" spans="1:11">
      <c r="A170" s="968"/>
      <c r="B170" s="968"/>
      <c r="C170" s="228" t="str">
        <f>xxMMProd1Driver10</f>
        <v>Driver 10</v>
      </c>
      <c r="D170" s="25"/>
      <c r="E170" s="229">
        <f>xxMMProd1Driver10</f>
        <v>0</v>
      </c>
      <c r="F170" s="229">
        <f>xxMMProd1Driver10</f>
        <v>0</v>
      </c>
      <c r="G170" s="229">
        <f>xxMMProd1Driver10</f>
        <v>0</v>
      </c>
      <c r="H170" s="229">
        <f>xxMMProd1Driver10</f>
        <v>0</v>
      </c>
      <c r="I170" s="229">
        <f>xxMMProd1Driver10</f>
        <v>0</v>
      </c>
      <c r="J170" s="3"/>
      <c r="K170" s="3"/>
    </row>
    <row r="171" spans="1:11">
      <c r="A171" s="968"/>
      <c r="B171" s="968"/>
      <c r="C171" s="3"/>
      <c r="D171" s="39"/>
      <c r="E171" s="86"/>
      <c r="F171" s="86"/>
      <c r="G171" s="86"/>
      <c r="H171" s="86"/>
      <c r="I171" s="86"/>
      <c r="J171" s="3"/>
      <c r="K171" s="3"/>
    </row>
    <row r="172" spans="1:11" ht="12" thickBot="1">
      <c r="A172" s="968"/>
      <c r="B172" s="968"/>
      <c r="C172" s="2"/>
      <c r="D172" s="39"/>
      <c r="E172" s="3"/>
      <c r="F172" s="3"/>
      <c r="G172" s="3"/>
      <c r="H172" s="3"/>
      <c r="I172" s="3"/>
      <c r="J172" s="3"/>
      <c r="K172" s="3"/>
    </row>
    <row r="173" spans="1:11" ht="12" thickBot="1">
      <c r="A173" s="971"/>
      <c r="B173" s="971"/>
      <c r="C173" s="282" t="str">
        <f>"Market Model Calculation Segment " &amp;MMSegCurrent &amp; " " &amp; MMSegName</f>
        <v>Market Model Calculation Segment 2 Escendia</v>
      </c>
      <c r="D173" s="283"/>
      <c r="E173" s="284"/>
      <c r="F173" s="284"/>
      <c r="G173" s="285"/>
      <c r="H173" s="285"/>
      <c r="I173" s="285"/>
      <c r="J173" s="285"/>
      <c r="K173" s="286"/>
    </row>
    <row r="174" spans="1:11" ht="12" thickBot="1">
      <c r="A174" s="971"/>
      <c r="B174" s="971"/>
      <c r="C174" s="282" t="s">
        <v>2672</v>
      </c>
      <c r="D174" s="685">
        <f>D19</f>
        <v>5564296000</v>
      </c>
      <c r="E174" s="283"/>
      <c r="F174" s="287"/>
      <c r="G174" s="283"/>
      <c r="H174" s="288"/>
      <c r="I174" s="289" t="s">
        <v>2673</v>
      </c>
      <c r="J174" s="290">
        <f>INDEX(D13:D17,$D$10)</f>
        <v>1855360000</v>
      </c>
      <c r="K174" s="286"/>
    </row>
    <row r="175" spans="1:11">
      <c r="A175" s="971"/>
      <c r="B175" s="971"/>
      <c r="C175" s="291" t="s">
        <v>2958</v>
      </c>
      <c r="D175" s="292"/>
      <c r="E175" s="293" t="s">
        <v>1834</v>
      </c>
      <c r="F175" s="293" t="s">
        <v>1835</v>
      </c>
      <c r="G175" s="293" t="s">
        <v>1836</v>
      </c>
      <c r="H175" s="293" t="s">
        <v>1837</v>
      </c>
      <c r="I175" s="293" t="s">
        <v>1838</v>
      </c>
      <c r="J175" s="293"/>
      <c r="K175" s="294"/>
    </row>
    <row r="176" spans="1:11">
      <c r="A176" s="971"/>
      <c r="B176" s="971"/>
      <c r="C176" s="295" t="str">
        <f t="shared" ref="C176:C185" si="25">C161</f>
        <v>Price</v>
      </c>
      <c r="D176" s="296">
        <f t="shared" ref="D176:D185" si="26">INDEX(E161:I161,,MMSegCurrent)</f>
        <v>54</v>
      </c>
      <c r="E176" s="297">
        <f>$D176*E32</f>
        <v>27</v>
      </c>
      <c r="F176" s="298">
        <f>$D176*F32</f>
        <v>27</v>
      </c>
      <c r="G176" s="298">
        <f>$D176*G32</f>
        <v>27</v>
      </c>
      <c r="H176" s="298">
        <f>$D176*H32</f>
        <v>27</v>
      </c>
      <c r="I176" s="299">
        <f>$D176*I32</f>
        <v>27</v>
      </c>
      <c r="J176" s="300">
        <f>SUM(E176:I176)</f>
        <v>135</v>
      </c>
      <c r="K176" s="294"/>
    </row>
    <row r="177" spans="1:11">
      <c r="A177" s="971"/>
      <c r="B177" s="971"/>
      <c r="C177" s="295" t="str">
        <f t="shared" si="25"/>
        <v>Range Of Products</v>
      </c>
      <c r="D177" s="296">
        <f t="shared" si="26"/>
        <v>8</v>
      </c>
      <c r="E177" s="301">
        <f>$D177*E44</f>
        <v>4</v>
      </c>
      <c r="F177" s="296">
        <f>$D177*F44</f>
        <v>4</v>
      </c>
      <c r="G177" s="296">
        <f>$D177*G44</f>
        <v>4</v>
      </c>
      <c r="H177" s="296">
        <f>$D177*H44</f>
        <v>4</v>
      </c>
      <c r="I177" s="302">
        <f>$D177*I44</f>
        <v>4</v>
      </c>
      <c r="J177" s="303">
        <f t="shared" ref="J177:J186" si="27">SUM(E177:I177)</f>
        <v>20</v>
      </c>
      <c r="K177" s="294"/>
    </row>
    <row r="178" spans="1:11">
      <c r="A178" s="971"/>
      <c r="B178" s="971"/>
      <c r="C178" s="295" t="str">
        <f t="shared" si="25"/>
        <v>Brands</v>
      </c>
      <c r="D178" s="296">
        <f t="shared" si="26"/>
        <v>0</v>
      </c>
      <c r="E178" s="301">
        <f>$D178*E59</f>
        <v>0</v>
      </c>
      <c r="F178" s="296">
        <f>$D178*F59</f>
        <v>0</v>
      </c>
      <c r="G178" s="296">
        <f>$D178*G59</f>
        <v>0</v>
      </c>
      <c r="H178" s="296">
        <f>$D178*H59</f>
        <v>0</v>
      </c>
      <c r="I178" s="302">
        <f>$D178*I59</f>
        <v>0</v>
      </c>
      <c r="J178" s="303">
        <f t="shared" si="27"/>
        <v>0</v>
      </c>
      <c r="K178" s="294"/>
    </row>
    <row r="179" spans="1:11">
      <c r="A179" s="971"/>
      <c r="B179" s="971"/>
      <c r="C179" s="295" t="str">
        <f t="shared" si="25"/>
        <v>Advertising</v>
      </c>
      <c r="D179" s="296">
        <f t="shared" si="26"/>
        <v>7</v>
      </c>
      <c r="E179" s="301">
        <f>$D179*E72</f>
        <v>3.5</v>
      </c>
      <c r="F179" s="296">
        <f>$D179*F72</f>
        <v>3.5</v>
      </c>
      <c r="G179" s="296">
        <f>$D179*G72</f>
        <v>3.5</v>
      </c>
      <c r="H179" s="296">
        <f>$D179*H72</f>
        <v>3.5</v>
      </c>
      <c r="I179" s="302">
        <f>$D179*I72</f>
        <v>3.5</v>
      </c>
      <c r="J179" s="303">
        <f t="shared" si="27"/>
        <v>17.5</v>
      </c>
      <c r="K179" s="294"/>
    </row>
    <row r="180" spans="1:11">
      <c r="A180" s="971"/>
      <c r="B180" s="971"/>
      <c r="C180" s="295" t="str">
        <f t="shared" si="25"/>
        <v>Promotion</v>
      </c>
      <c r="D180" s="296">
        <f t="shared" si="26"/>
        <v>9</v>
      </c>
      <c r="E180" s="301">
        <f>$D180*E85</f>
        <v>4.5</v>
      </c>
      <c r="F180" s="296">
        <f>$D180*F85</f>
        <v>4.5</v>
      </c>
      <c r="G180" s="296">
        <f>$D180*G85</f>
        <v>4.5</v>
      </c>
      <c r="H180" s="296">
        <f>$D180*H85</f>
        <v>4.5</v>
      </c>
      <c r="I180" s="302">
        <f>$D180*I85</f>
        <v>4.5</v>
      </c>
      <c r="J180" s="303">
        <f t="shared" si="27"/>
        <v>22.5</v>
      </c>
      <c r="K180" s="294"/>
    </row>
    <row r="181" spans="1:11">
      <c r="A181" s="971"/>
      <c r="B181" s="971"/>
      <c r="C181" s="295" t="str">
        <f t="shared" si="25"/>
        <v>Sales Force</v>
      </c>
      <c r="D181" s="296">
        <f t="shared" si="26"/>
        <v>10</v>
      </c>
      <c r="E181" s="301">
        <f>$D181*E97</f>
        <v>5</v>
      </c>
      <c r="F181" s="296">
        <f>$D181*F97</f>
        <v>5</v>
      </c>
      <c r="G181" s="296">
        <f>$D181*G97</f>
        <v>5</v>
      </c>
      <c r="H181" s="296">
        <f>$D181*H97</f>
        <v>5</v>
      </c>
      <c r="I181" s="302">
        <f>$D181*I97</f>
        <v>5</v>
      </c>
      <c r="J181" s="303">
        <f t="shared" si="27"/>
        <v>25</v>
      </c>
      <c r="K181" s="294"/>
    </row>
    <row r="182" spans="1:11">
      <c r="A182" s="971"/>
      <c r="B182" s="971"/>
      <c r="C182" s="295" t="str">
        <f t="shared" si="25"/>
        <v>Innovation</v>
      </c>
      <c r="D182" s="296">
        <f t="shared" si="26"/>
        <v>14</v>
      </c>
      <c r="E182" s="301">
        <f>$D182*E109</f>
        <v>0</v>
      </c>
      <c r="F182" s="296">
        <f>$D182*F109</f>
        <v>0</v>
      </c>
      <c r="G182" s="296">
        <f>$D182*G109</f>
        <v>0</v>
      </c>
      <c r="H182" s="296">
        <f>$D182*H109</f>
        <v>0</v>
      </c>
      <c r="I182" s="302">
        <f>$D182*I109</f>
        <v>0</v>
      </c>
      <c r="J182" s="303">
        <f t="shared" si="27"/>
        <v>0</v>
      </c>
      <c r="K182" s="294"/>
    </row>
    <row r="183" spans="1:11">
      <c r="A183" s="971"/>
      <c r="B183" s="971"/>
      <c r="C183" s="295" t="str">
        <f t="shared" si="25"/>
        <v>Channel Penetration</v>
      </c>
      <c r="D183" s="296">
        <f t="shared" si="26"/>
        <v>17</v>
      </c>
      <c r="E183" s="301">
        <f>$D183*E121</f>
        <v>8.5</v>
      </c>
      <c r="F183" s="296">
        <f>$D183*F121</f>
        <v>8.5</v>
      </c>
      <c r="G183" s="296">
        <f>$D183*G121</f>
        <v>8.5</v>
      </c>
      <c r="H183" s="296">
        <f>$D183*H121</f>
        <v>8.5</v>
      </c>
      <c r="I183" s="302">
        <f>$D183*I121</f>
        <v>8.5</v>
      </c>
      <c r="J183" s="303">
        <f t="shared" si="27"/>
        <v>42.5</v>
      </c>
      <c r="K183" s="294"/>
    </row>
    <row r="184" spans="1:11">
      <c r="A184" s="971"/>
      <c r="B184" s="971"/>
      <c r="C184" s="295" t="str">
        <f t="shared" si="25"/>
        <v>GTM Digitization</v>
      </c>
      <c r="D184" s="296">
        <f t="shared" si="26"/>
        <v>0</v>
      </c>
      <c r="E184" s="301">
        <f>$D184*E133</f>
        <v>0</v>
      </c>
      <c r="F184" s="296">
        <f>$D184*F133</f>
        <v>0</v>
      </c>
      <c r="G184" s="296">
        <f>$D184*G133</f>
        <v>0</v>
      </c>
      <c r="H184" s="296">
        <f>$D184*H133</f>
        <v>0</v>
      </c>
      <c r="I184" s="302">
        <f>$D184*I133</f>
        <v>0</v>
      </c>
      <c r="J184" s="303">
        <f t="shared" si="27"/>
        <v>0</v>
      </c>
      <c r="K184" s="294"/>
    </row>
    <row r="185" spans="1:11">
      <c r="A185" s="971"/>
      <c r="B185" s="971"/>
      <c r="C185" s="295" t="str">
        <f t="shared" si="25"/>
        <v>Driver 10</v>
      </c>
      <c r="D185" s="296">
        <f t="shared" si="26"/>
        <v>0</v>
      </c>
      <c r="E185" s="301">
        <f>$D185*E145</f>
        <v>0</v>
      </c>
      <c r="F185" s="296">
        <f>$D185*F145</f>
        <v>0</v>
      </c>
      <c r="G185" s="296">
        <f>$D185*G145</f>
        <v>0</v>
      </c>
      <c r="H185" s="296">
        <f>$D185*H145</f>
        <v>0</v>
      </c>
      <c r="I185" s="302">
        <f>$D185*I145</f>
        <v>0</v>
      </c>
      <c r="J185" s="303">
        <f t="shared" si="27"/>
        <v>0</v>
      </c>
      <c r="K185" s="294"/>
    </row>
    <row r="186" spans="1:11">
      <c r="A186" s="971"/>
      <c r="B186" s="971"/>
      <c r="C186" s="304" t="s">
        <v>1828</v>
      </c>
      <c r="D186" s="273"/>
      <c r="E186" s="305">
        <f>E158*SUM($E$176:$I$185)</f>
        <v>0</v>
      </c>
      <c r="F186" s="306">
        <f>F158*SUM($E$176:$I$185)</f>
        <v>0</v>
      </c>
      <c r="G186" s="306">
        <f>G158*SUM($E$176:$I$185)</f>
        <v>0</v>
      </c>
      <c r="H186" s="306">
        <f>H158*SUM($E$176:$I$185)</f>
        <v>0</v>
      </c>
      <c r="I186" s="307">
        <f>I158*SUM($E$176:$I$185)</f>
        <v>0</v>
      </c>
      <c r="J186" s="303">
        <f t="shared" si="27"/>
        <v>0</v>
      </c>
      <c r="K186" s="294"/>
    </row>
    <row r="187" spans="1:11" ht="12" thickBot="1">
      <c r="A187" s="971"/>
      <c r="B187" s="971"/>
      <c r="C187" s="295" t="s">
        <v>2959</v>
      </c>
      <c r="D187" s="273"/>
      <c r="E187" s="308">
        <f t="shared" ref="E187:J187" si="28">SUM(E176:E186)</f>
        <v>52.5</v>
      </c>
      <c r="F187" s="309">
        <f t="shared" si="28"/>
        <v>52.5</v>
      </c>
      <c r="G187" s="309">
        <f t="shared" si="28"/>
        <v>52.5</v>
      </c>
      <c r="H187" s="309">
        <f t="shared" si="28"/>
        <v>52.5</v>
      </c>
      <c r="I187" s="310">
        <f t="shared" si="28"/>
        <v>52.5</v>
      </c>
      <c r="J187" s="311">
        <f t="shared" si="28"/>
        <v>262.5</v>
      </c>
      <c r="K187" s="294"/>
    </row>
    <row r="188" spans="1:11">
      <c r="A188" s="971"/>
      <c r="B188" s="971"/>
      <c r="C188" s="295" t="s">
        <v>974</v>
      </c>
      <c r="D188" s="273"/>
      <c r="E188" s="273">
        <f>RANK(E187,$E187:$I187)</f>
        <v>1</v>
      </c>
      <c r="F188" s="273">
        <f>RANK(F187,$E187:$I187)</f>
        <v>1</v>
      </c>
      <c r="G188" s="273">
        <f>RANK(G187,$E187:$I187)</f>
        <v>1</v>
      </c>
      <c r="H188" s="273">
        <f>RANK(H187,$E187:$I187)</f>
        <v>1</v>
      </c>
      <c r="I188" s="273">
        <f>RANK(I187,$E187:$I187)</f>
        <v>1</v>
      </c>
      <c r="J188" s="623" t="s">
        <v>2227</v>
      </c>
      <c r="K188" s="294"/>
    </row>
    <row r="189" spans="1:11">
      <c r="A189" s="971"/>
      <c r="B189" s="971"/>
      <c r="C189" s="295" t="s">
        <v>3201</v>
      </c>
      <c r="D189" s="273"/>
      <c r="E189" s="621">
        <f>E187/SUM($E187:$I187)</f>
        <v>0.2</v>
      </c>
      <c r="F189" s="621">
        <f>F187/SUM($E187:$I187)</f>
        <v>0.2</v>
      </c>
      <c r="G189" s="621">
        <f>G187/SUM($E187:$I187)</f>
        <v>0.2</v>
      </c>
      <c r="H189" s="621">
        <f>H187/SUM($E187:$I187)</f>
        <v>0.2</v>
      </c>
      <c r="I189" s="621">
        <f>I187/SUM($E187:$I187)</f>
        <v>0.2</v>
      </c>
      <c r="J189" s="622">
        <v>0.35</v>
      </c>
      <c r="K189" s="294"/>
    </row>
    <row r="190" spans="1:11">
      <c r="A190" s="971"/>
      <c r="B190" s="971"/>
      <c r="C190" s="295" t="s">
        <v>1999</v>
      </c>
      <c r="D190" s="273"/>
      <c r="E190" s="620">
        <f>1/xxNumOfTeams</f>
        <v>0.2</v>
      </c>
      <c r="F190" s="620">
        <f>1/xxNumOfTeams</f>
        <v>0.2</v>
      </c>
      <c r="G190" s="620">
        <f>1/xxNumOfTeams</f>
        <v>0.2</v>
      </c>
      <c r="H190" s="620">
        <f>1/xxNumOfTeams</f>
        <v>0.2</v>
      </c>
      <c r="I190" s="620">
        <f>1/xxNumOfTeams</f>
        <v>0.2</v>
      </c>
      <c r="J190" s="622">
        <v>0.65</v>
      </c>
      <c r="K190" s="294"/>
    </row>
    <row r="191" spans="1:11" ht="12" thickBot="1">
      <c r="A191" s="971"/>
      <c r="B191" s="971"/>
      <c r="C191" s="312" t="s">
        <v>2830</v>
      </c>
      <c r="D191" s="313"/>
      <c r="E191" s="366">
        <f>SUMPRODUCT(E189:E190,$J$189:$J$190)</f>
        <v>0.2</v>
      </c>
      <c r="F191" s="366">
        <f>SUMPRODUCT(F189:F190,$J$189:$J$190)</f>
        <v>0.2</v>
      </c>
      <c r="G191" s="366">
        <f>SUMPRODUCT(G189:G190,$J$189:$J$190)</f>
        <v>0.2</v>
      </c>
      <c r="H191" s="366">
        <f>SUMPRODUCT(H189:H190,$J$189:$J$190)</f>
        <v>0.2</v>
      </c>
      <c r="I191" s="366">
        <f>SUMPRODUCT(I189:I190,$J$189:$J$190)</f>
        <v>0.2</v>
      </c>
      <c r="J191" s="612">
        <f>J174</f>
        <v>1855360000</v>
      </c>
      <c r="K191" s="368" t="s">
        <v>2327</v>
      </c>
    </row>
    <row r="192" spans="1:11">
      <c r="A192" s="968"/>
      <c r="B192" s="968"/>
      <c r="C192" s="2"/>
      <c r="D192" s="39"/>
      <c r="E192" s="3"/>
      <c r="F192" s="3"/>
      <c r="G192" s="3"/>
      <c r="H192" s="3"/>
      <c r="I192" s="3"/>
      <c r="J192" s="3"/>
      <c r="K192" s="30"/>
    </row>
    <row r="193" spans="1:11">
      <c r="A193" s="971"/>
      <c r="B193" s="971"/>
      <c r="C193" s="49" t="s">
        <v>2830</v>
      </c>
      <c r="D193" s="95"/>
      <c r="E193" s="95"/>
      <c r="F193" s="95"/>
      <c r="G193" s="95"/>
      <c r="H193" s="95"/>
      <c r="I193" s="95"/>
      <c r="J193" s="96"/>
      <c r="K193" s="30"/>
    </row>
    <row r="194" spans="1:11">
      <c r="A194" s="971"/>
      <c r="B194" s="971"/>
      <c r="C194" s="91" t="s">
        <v>129</v>
      </c>
      <c r="D194" s="359" t="s">
        <v>2329</v>
      </c>
      <c r="E194" s="670">
        <v>0.2</v>
      </c>
      <c r="F194" s="671">
        <v>0.2</v>
      </c>
      <c r="G194" s="671">
        <v>0.2</v>
      </c>
      <c r="H194" s="671">
        <v>0.2</v>
      </c>
      <c r="I194" s="671">
        <v>0.2</v>
      </c>
      <c r="J194" s="362">
        <v>3746399999.9999995</v>
      </c>
      <c r="K194" s="363" t="s">
        <v>2328</v>
      </c>
    </row>
    <row r="195" spans="1:11">
      <c r="A195" s="971"/>
      <c r="B195" s="971"/>
      <c r="C195" s="91" t="s">
        <v>130</v>
      </c>
      <c r="D195" s="21"/>
      <c r="E195" s="671">
        <v>0.2</v>
      </c>
      <c r="F195" s="671">
        <v>0.2</v>
      </c>
      <c r="G195" s="671">
        <v>0.2</v>
      </c>
      <c r="H195" s="671">
        <v>0.2</v>
      </c>
      <c r="I195" s="671">
        <v>0.2</v>
      </c>
      <c r="J195" s="362">
        <v>1784000000</v>
      </c>
    </row>
    <row r="196" spans="1:11">
      <c r="A196" s="971"/>
      <c r="B196" s="971"/>
      <c r="C196" s="91" t="s">
        <v>131</v>
      </c>
      <c r="D196" s="21"/>
      <c r="E196" s="361"/>
      <c r="F196" s="361"/>
      <c r="G196" s="361"/>
      <c r="H196" s="361"/>
      <c r="I196" s="361"/>
      <c r="J196" s="362"/>
    </row>
    <row r="197" spans="1:11">
      <c r="A197" s="971"/>
      <c r="B197" s="971"/>
      <c r="C197" s="91" t="s">
        <v>1133</v>
      </c>
      <c r="D197" s="21"/>
      <c r="E197" s="617"/>
      <c r="F197" s="617"/>
      <c r="G197" s="617"/>
      <c r="H197" s="617"/>
      <c r="I197" s="617"/>
      <c r="J197" s="362"/>
    </row>
    <row r="198" spans="1:11">
      <c r="A198" s="971"/>
      <c r="B198" s="971"/>
      <c r="C198" s="91" t="s">
        <v>1134</v>
      </c>
      <c r="D198" s="21"/>
      <c r="E198" s="617"/>
      <c r="F198" s="617"/>
      <c r="G198" s="617"/>
      <c r="H198" s="617"/>
      <c r="I198" s="617"/>
      <c r="J198" s="362"/>
    </row>
    <row r="199" spans="1:11">
      <c r="A199" s="971"/>
      <c r="B199" s="971"/>
      <c r="C199" s="206"/>
      <c r="D199" s="207"/>
      <c r="E199" s="213"/>
      <c r="F199" s="213"/>
      <c r="G199" s="213"/>
      <c r="H199" s="213"/>
      <c r="I199" s="213"/>
      <c r="J199" s="215"/>
    </row>
    <row r="200" spans="1:11">
      <c r="A200" s="971"/>
      <c r="B200" s="971"/>
    </row>
    <row r="201" spans="1:11">
      <c r="A201" s="971"/>
      <c r="B201" s="971"/>
      <c r="C201" s="49" t="s">
        <v>3939</v>
      </c>
      <c r="D201" s="95"/>
      <c r="E201" s="60" t="s">
        <v>331</v>
      </c>
      <c r="F201" s="60"/>
      <c r="G201" s="60"/>
      <c r="H201" s="60"/>
      <c r="I201" s="60"/>
      <c r="J201" s="96"/>
    </row>
    <row r="202" spans="1:11">
      <c r="A202" s="971"/>
      <c r="B202" s="971"/>
      <c r="C202" s="91" t="s">
        <v>129</v>
      </c>
      <c r="D202" s="21"/>
      <c r="E202" s="847"/>
      <c r="F202" s="847"/>
      <c r="G202" s="847"/>
      <c r="H202" s="918"/>
      <c r="I202" s="847"/>
      <c r="J202" s="97"/>
    </row>
    <row r="203" spans="1:11">
      <c r="A203" s="971"/>
      <c r="B203" s="971"/>
      <c r="C203" s="91" t="s">
        <v>130</v>
      </c>
      <c r="D203" s="21"/>
      <c r="E203" s="847"/>
      <c r="F203" s="847"/>
      <c r="G203" s="847"/>
      <c r="H203" s="918"/>
      <c r="I203" s="847"/>
      <c r="J203" s="97"/>
    </row>
    <row r="204" spans="1:11">
      <c r="A204" s="971"/>
      <c r="B204" s="971"/>
      <c r="C204" s="91" t="s">
        <v>131</v>
      </c>
      <c r="D204" s="21"/>
      <c r="E204" s="904"/>
      <c r="F204" s="904"/>
      <c r="G204" s="904"/>
      <c r="H204" s="904"/>
      <c r="I204" s="904"/>
      <c r="J204" s="97"/>
    </row>
    <row r="205" spans="1:11">
      <c r="A205" s="971"/>
      <c r="B205" s="971"/>
      <c r="C205" s="91" t="s">
        <v>1133</v>
      </c>
      <c r="D205" s="21"/>
      <c r="E205" s="904"/>
      <c r="F205" s="904"/>
      <c r="G205" s="904"/>
      <c r="H205" s="904"/>
      <c r="I205" s="904"/>
      <c r="J205" s="97"/>
    </row>
    <row r="206" spans="1:11">
      <c r="A206" s="971"/>
      <c r="B206" s="971"/>
      <c r="C206" s="91" t="s">
        <v>1134</v>
      </c>
      <c r="D206" s="21"/>
      <c r="E206" s="904"/>
      <c r="F206" s="904"/>
      <c r="G206" s="904"/>
      <c r="H206" s="904"/>
      <c r="I206" s="904"/>
      <c r="J206" s="97"/>
    </row>
    <row r="207" spans="1:11">
      <c r="A207" s="971"/>
      <c r="B207" s="971"/>
      <c r="C207" s="206"/>
      <c r="D207" s="207"/>
      <c r="E207" s="207"/>
      <c r="F207" s="207"/>
      <c r="G207" s="207"/>
      <c r="H207" s="207"/>
      <c r="I207" s="207"/>
      <c r="J207" s="208"/>
    </row>
    <row r="208" spans="1:11">
      <c r="A208" s="971"/>
      <c r="B208" s="971"/>
    </row>
    <row r="209" spans="1:11">
      <c r="A209" s="971"/>
      <c r="B209" s="971"/>
      <c r="C209" s="49" t="s">
        <v>3744</v>
      </c>
      <c r="D209" s="95"/>
      <c r="E209" s="95"/>
      <c r="F209" s="95"/>
      <c r="G209" s="95"/>
      <c r="H209" s="95"/>
      <c r="I209" s="95"/>
      <c r="J209" s="96" t="s">
        <v>1403</v>
      </c>
    </row>
    <row r="210" spans="1:11">
      <c r="A210" s="971"/>
      <c r="B210" s="971"/>
      <c r="C210" s="91" t="s">
        <v>129</v>
      </c>
      <c r="D210" s="21"/>
      <c r="E210" s="106">
        <f t="shared" ref="E210:I211" si="29">E194+E202</f>
        <v>0.2</v>
      </c>
      <c r="F210" s="106">
        <f t="shared" si="29"/>
        <v>0.2</v>
      </c>
      <c r="G210" s="106">
        <f t="shared" si="29"/>
        <v>0.2</v>
      </c>
      <c r="H210" s="106">
        <f t="shared" si="29"/>
        <v>0.2</v>
      </c>
      <c r="I210" s="106">
        <f t="shared" si="29"/>
        <v>0.2</v>
      </c>
      <c r="J210" s="101">
        <f>J194</f>
        <v>3746399999.9999995</v>
      </c>
    </row>
    <row r="211" spans="1:11">
      <c r="A211" s="971"/>
      <c r="B211" s="971"/>
      <c r="C211" s="91" t="s">
        <v>130</v>
      </c>
      <c r="D211" s="21"/>
      <c r="E211" s="106">
        <f t="shared" si="29"/>
        <v>0.2</v>
      </c>
      <c r="F211" s="106">
        <f t="shared" si="29"/>
        <v>0.2</v>
      </c>
      <c r="G211" s="106">
        <f t="shared" si="29"/>
        <v>0.2</v>
      </c>
      <c r="H211" s="106">
        <f t="shared" si="29"/>
        <v>0.2</v>
      </c>
      <c r="I211" s="106">
        <f t="shared" si="29"/>
        <v>0.2</v>
      </c>
      <c r="J211" s="101">
        <f>J195</f>
        <v>1784000000</v>
      </c>
    </row>
    <row r="212" spans="1:11">
      <c r="A212" s="971"/>
      <c r="B212" s="971"/>
      <c r="C212" s="91" t="s">
        <v>131</v>
      </c>
      <c r="D212" s="21"/>
      <c r="E212" s="92">
        <f t="shared" ref="E212:I214" si="30">IF(ISBLANK(E204),E196,E204)</f>
        <v>0</v>
      </c>
      <c r="F212" s="92">
        <f t="shared" si="30"/>
        <v>0</v>
      </c>
      <c r="G212" s="92">
        <f t="shared" si="30"/>
        <v>0</v>
      </c>
      <c r="H212" s="92">
        <f t="shared" si="30"/>
        <v>0</v>
      </c>
      <c r="I212" s="92">
        <f t="shared" si="30"/>
        <v>0</v>
      </c>
      <c r="J212" s="101">
        <f>J196</f>
        <v>0</v>
      </c>
    </row>
    <row r="213" spans="1:11">
      <c r="A213" s="971"/>
      <c r="B213" s="971"/>
      <c r="C213" s="91" t="s">
        <v>1133</v>
      </c>
      <c r="D213" s="21"/>
      <c r="E213" s="92">
        <f t="shared" si="30"/>
        <v>0</v>
      </c>
      <c r="F213" s="92">
        <f t="shared" si="30"/>
        <v>0</v>
      </c>
      <c r="G213" s="92">
        <f t="shared" si="30"/>
        <v>0</v>
      </c>
      <c r="H213" s="92">
        <f t="shared" si="30"/>
        <v>0</v>
      </c>
      <c r="I213" s="92">
        <f t="shared" si="30"/>
        <v>0</v>
      </c>
      <c r="J213" s="101">
        <f>J197</f>
        <v>0</v>
      </c>
    </row>
    <row r="214" spans="1:11">
      <c r="A214" s="971"/>
      <c r="B214" s="971"/>
      <c r="C214" s="91" t="s">
        <v>1134</v>
      </c>
      <c r="D214" s="21"/>
      <c r="E214" s="92">
        <f t="shared" si="30"/>
        <v>0</v>
      </c>
      <c r="F214" s="92">
        <f t="shared" si="30"/>
        <v>0</v>
      </c>
      <c r="G214" s="92">
        <f t="shared" si="30"/>
        <v>0</v>
      </c>
      <c r="H214" s="92">
        <f t="shared" si="30"/>
        <v>0</v>
      </c>
      <c r="I214" s="92">
        <f t="shared" si="30"/>
        <v>0</v>
      </c>
      <c r="J214" s="101">
        <f>J198</f>
        <v>0</v>
      </c>
    </row>
    <row r="215" spans="1:11">
      <c r="A215" s="971"/>
      <c r="B215" s="971"/>
      <c r="C215" s="206"/>
      <c r="D215" s="207"/>
      <c r="E215" s="213"/>
      <c r="F215" s="213"/>
      <c r="G215" s="213"/>
      <c r="H215" s="213"/>
      <c r="I215" s="213"/>
      <c r="J215" s="208"/>
    </row>
    <row r="216" spans="1:11">
      <c r="A216" s="971"/>
      <c r="B216" s="971"/>
      <c r="C216" s="93" t="s">
        <v>1136</v>
      </c>
      <c r="D216" s="94"/>
      <c r="E216" s="102">
        <f>SUMPRODUCT(E210:E215,$J$210:$J$215)</f>
        <v>1106080000</v>
      </c>
      <c r="F216" s="102">
        <f>SUMPRODUCT(F210:F215,$J$210:$J$215)</f>
        <v>1106080000</v>
      </c>
      <c r="G216" s="102">
        <f>SUMPRODUCT(G210:G215,$J$210:$J$215)</f>
        <v>1106080000</v>
      </c>
      <c r="H216" s="102">
        <f>SUMPRODUCT(H210:H215,$J$210:$J$215)</f>
        <v>1106080000</v>
      </c>
      <c r="I216" s="102">
        <f>SUMPRODUCT(I210:I215,$J$210:$J$215)</f>
        <v>1106080000</v>
      </c>
      <c r="J216" s="103">
        <f>SUM(E216:I216)</f>
        <v>5530400000</v>
      </c>
    </row>
    <row r="217" spans="1:11">
      <c r="A217" s="971"/>
      <c r="B217" s="971"/>
      <c r="C217" s="30" t="s">
        <v>2830</v>
      </c>
      <c r="D217" s="30"/>
      <c r="E217" s="679">
        <f>E216/$J$216</f>
        <v>0.2</v>
      </c>
      <c r="F217" s="679">
        <f>F216/$J$216</f>
        <v>0.2</v>
      </c>
      <c r="G217" s="679">
        <f>G216/$J$216</f>
        <v>0.2</v>
      </c>
      <c r="H217" s="679">
        <f>H216/$J$216</f>
        <v>0.2</v>
      </c>
      <c r="I217" s="679">
        <f>I216/$J$216</f>
        <v>0.2</v>
      </c>
    </row>
    <row r="218" spans="1:11">
      <c r="A218" s="968"/>
      <c r="B218" s="968"/>
      <c r="C218" s="2"/>
      <c r="D218" s="39"/>
      <c r="E218" s="3"/>
      <c r="F218" s="3"/>
      <c r="G218" s="3"/>
      <c r="H218" s="3"/>
      <c r="I218" s="3"/>
      <c r="J218" s="3"/>
      <c r="K218" s="3"/>
    </row>
    <row r="219" spans="1:11">
      <c r="A219" s="968"/>
      <c r="B219" s="968"/>
      <c r="C219" s="2" t="s">
        <v>1855</v>
      </c>
      <c r="D219" s="3"/>
      <c r="E219" s="72">
        <f>E210</f>
        <v>0.2</v>
      </c>
      <c r="F219" s="72">
        <f>F210</f>
        <v>0.2</v>
      </c>
      <c r="G219" s="72">
        <f>G210</f>
        <v>0.2</v>
      </c>
      <c r="H219" s="72">
        <f>H210</f>
        <v>0.2</v>
      </c>
      <c r="I219" s="72">
        <f>I210</f>
        <v>0.2</v>
      </c>
      <c r="J219" s="3"/>
      <c r="K219" s="3" t="s">
        <v>1543</v>
      </c>
    </row>
    <row r="220" spans="1:11">
      <c r="A220" s="968"/>
      <c r="B220" s="968"/>
      <c r="C220" s="73" t="s">
        <v>976</v>
      </c>
      <c r="D220" s="61"/>
      <c r="E220" s="197">
        <f>ROUNDDOWN(E210*$J210,0)</f>
        <v>749280000</v>
      </c>
      <c r="F220" s="197">
        <f>ROUNDDOWN(F210*$J210,0)</f>
        <v>749280000</v>
      </c>
      <c r="G220" s="197">
        <f>ROUNDDOWN(G210*$J210,0)</f>
        <v>749280000</v>
      </c>
      <c r="H220" s="197">
        <f>ROUNDDOWN(H210*$J210,0)</f>
        <v>749280000</v>
      </c>
      <c r="I220" s="197">
        <f>ROUNDDOWN(I210*$J210,0)</f>
        <v>749280000</v>
      </c>
      <c r="J220" s="199">
        <f>SUM(E220:I220)</f>
        <v>3746400000</v>
      </c>
      <c r="K220" s="37"/>
    </row>
    <row r="221" spans="1:11">
      <c r="A221" s="968"/>
      <c r="B221" s="968"/>
      <c r="C221" s="233" t="s">
        <v>977</v>
      </c>
      <c r="D221" s="150"/>
      <c r="E221" s="232">
        <f>capProd1Reg1Units</f>
        <v>741713021</v>
      </c>
      <c r="F221" s="232">
        <f>capProd1Reg1Units</f>
        <v>741713021</v>
      </c>
      <c r="G221" s="232">
        <f>capProd1Reg1Units</f>
        <v>741713021</v>
      </c>
      <c r="H221" s="232">
        <f>capProd1Reg1Units</f>
        <v>741713021</v>
      </c>
      <c r="I221" s="232">
        <f>capProd1Reg1Units</f>
        <v>741713021</v>
      </c>
      <c r="J221" s="198">
        <f>SUM(E221:I221)</f>
        <v>3708565105</v>
      </c>
      <c r="K221" s="37"/>
    </row>
    <row r="222" spans="1:11">
      <c r="A222" s="968"/>
      <c r="B222" s="968"/>
      <c r="C222" s="37" t="s">
        <v>3325</v>
      </c>
      <c r="D222" s="38"/>
      <c r="E222" s="87">
        <f>E221-E220</f>
        <v>-7566979</v>
      </c>
      <c r="F222" s="87">
        <f>F221-F220</f>
        <v>-7566979</v>
      </c>
      <c r="G222" s="87">
        <f>G221-G220</f>
        <v>-7566979</v>
      </c>
      <c r="H222" s="87">
        <f>H221-H220</f>
        <v>-7566979</v>
      </c>
      <c r="I222" s="87">
        <f>I221-I220</f>
        <v>-7566979</v>
      </c>
      <c r="J222" s="200">
        <f>SUM(E222:I222)-SUMPRODUCT(E222:I222,E223:I223)</f>
        <v>-37834895</v>
      </c>
      <c r="K222" s="37"/>
    </row>
    <row r="223" spans="1:11">
      <c r="A223" s="968"/>
      <c r="B223" s="968"/>
      <c r="C223" s="37" t="s">
        <v>1068</v>
      </c>
      <c r="D223" s="38"/>
      <c r="E223" s="38">
        <f>1*(E222&gt;0)</f>
        <v>0</v>
      </c>
      <c r="F223" s="38">
        <f>1*(F222&gt;0)</f>
        <v>0</v>
      </c>
      <c r="G223" s="38">
        <f>1*(G222&gt;0)</f>
        <v>0</v>
      </c>
      <c r="H223" s="38">
        <f>1*(H222&gt;0)</f>
        <v>0</v>
      </c>
      <c r="I223" s="38">
        <f>1*(I222&gt;0)</f>
        <v>0</v>
      </c>
      <c r="J223" s="37">
        <f>SUM(E223:I223)</f>
        <v>0</v>
      </c>
      <c r="K223" s="37"/>
    </row>
    <row r="224" spans="1:11">
      <c r="A224" s="968"/>
      <c r="B224" s="968"/>
      <c r="C224" s="37" t="s">
        <v>1069</v>
      </c>
      <c r="D224" s="38"/>
      <c r="E224" s="48">
        <f>IF(AND(E223&gt;0,E220&gt;0),+E219*E223/SUMPRODUCT($E219:$I219,$E223:$I223),0)</f>
        <v>0</v>
      </c>
      <c r="F224" s="48">
        <f>IF(AND(F223&gt;0,F220&gt;0),+F219*F223/SUMPRODUCT($E219:$I219,$E223:$I223),0)</f>
        <v>0</v>
      </c>
      <c r="G224" s="48">
        <f>IF(AND(G223&gt;0,G220&gt;0),+G219*G223/SUMPRODUCT($E219:$I219,$E223:$I223),0)</f>
        <v>0</v>
      </c>
      <c r="H224" s="48">
        <f>IF(AND(H223&gt;0,H220&gt;0),+H219*H223/SUMPRODUCT($E219:$I219,$E223:$I223),0)</f>
        <v>0</v>
      </c>
      <c r="I224" s="48">
        <f>IF(AND(I223&gt;0,I220&gt;0),+I219*I223/SUMPRODUCT($E219:$I219,$E223:$I223),0)</f>
        <v>0</v>
      </c>
      <c r="J224" s="37"/>
      <c r="K224" s="37"/>
    </row>
    <row r="225" spans="1:11">
      <c r="A225" s="968"/>
      <c r="B225" s="968"/>
      <c r="C225" s="37" t="s">
        <v>3782</v>
      </c>
      <c r="D225" s="38"/>
      <c r="E225" s="39">
        <f>-MAX(-E222,ROUND(E224*$J222,0))*E223</f>
        <v>0</v>
      </c>
      <c r="F225" s="39">
        <f>-MAX(-F222,ROUND(F224*$J222,0))*F223</f>
        <v>0</v>
      </c>
      <c r="G225" s="39">
        <f>-MAX(-G222,ROUND(G224*$J222,0))*G223</f>
        <v>0</v>
      </c>
      <c r="H225" s="39">
        <f>-MAX(-H222,ROUND(H224*$J222,0))*H223</f>
        <v>0</v>
      </c>
      <c r="I225" s="39">
        <f>-MAX(-I222,ROUND(I224*$J222,0))*I223</f>
        <v>0</v>
      </c>
      <c r="J225" s="37">
        <f>ROUND(SUM(E225:I225),0)</f>
        <v>0</v>
      </c>
      <c r="K225" s="37"/>
    </row>
    <row r="226" spans="1:11">
      <c r="A226" s="968"/>
      <c r="B226" s="968"/>
      <c r="C226" s="37" t="s">
        <v>2324</v>
      </c>
      <c r="D226" s="38"/>
      <c r="E226" s="910"/>
      <c r="F226" s="910"/>
      <c r="G226" s="910"/>
      <c r="H226" s="910"/>
      <c r="I226" s="911"/>
      <c r="J226" s="37"/>
      <c r="K226" s="37"/>
    </row>
    <row r="227" spans="1:11">
      <c r="A227" s="968"/>
      <c r="B227" s="968"/>
      <c r="C227" s="37" t="s">
        <v>3783</v>
      </c>
      <c r="D227" s="38"/>
      <c r="E227" s="915"/>
      <c r="F227" s="915"/>
      <c r="G227" s="915"/>
      <c r="H227" s="915"/>
      <c r="I227" s="916"/>
      <c r="J227" s="37"/>
      <c r="K227" s="37"/>
    </row>
    <row r="228" spans="1:11">
      <c r="A228" s="968"/>
      <c r="B228" s="968"/>
      <c r="C228" s="37" t="s">
        <v>3784</v>
      </c>
      <c r="D228" s="38"/>
      <c r="E228" s="87">
        <f>MIN(E221,E222-E227-E225-E226*$J220)</f>
        <v>-7566979</v>
      </c>
      <c r="F228" s="87">
        <f>MIN(F221,F222-F227-F225-F226*$J220)</f>
        <v>-7566979</v>
      </c>
      <c r="G228" s="87">
        <f>MIN(G221,G222-G227-G225-G226*$J220)</f>
        <v>-7566979</v>
      </c>
      <c r="H228" s="87">
        <f>MIN(H221,H222-H227-H225-H226*$J220)</f>
        <v>-7566979</v>
      </c>
      <c r="I228" s="87">
        <f>MIN(I221,I222-I227-I225-I226*$J220)</f>
        <v>-7566979</v>
      </c>
      <c r="J228" s="198"/>
      <c r="K228" s="37"/>
    </row>
    <row r="229" spans="1:11">
      <c r="A229" s="968"/>
      <c r="B229" s="968"/>
      <c r="C229" s="37" t="s">
        <v>3785</v>
      </c>
      <c r="D229" s="38"/>
      <c r="E229" s="87">
        <f>MAX(E228,0)</f>
        <v>0</v>
      </c>
      <c r="F229" s="87">
        <f>MAX(F228,0)</f>
        <v>0</v>
      </c>
      <c r="G229" s="87">
        <f>MAX(G228,0)</f>
        <v>0</v>
      </c>
      <c r="H229" s="87">
        <f>MAX(H228,0)</f>
        <v>0</v>
      </c>
      <c r="I229" s="87">
        <f>MAX(I228,0)</f>
        <v>0</v>
      </c>
      <c r="J229" s="198"/>
      <c r="K229" s="37"/>
    </row>
    <row r="230" spans="1:11">
      <c r="A230" s="968"/>
      <c r="B230" s="968"/>
      <c r="C230" s="74" t="s">
        <v>3786</v>
      </c>
      <c r="D230" s="38"/>
      <c r="E230" s="178">
        <f>MAX(0,MIN(E220+E225+E227+E226*$J220,E221))</f>
        <v>741713021</v>
      </c>
      <c r="F230" s="178">
        <f>MIN(F220+F225+F227+F226*$J220,F221)</f>
        <v>741713021</v>
      </c>
      <c r="G230" s="178">
        <f>MIN(G220+G225+G227+G226*$J220,G221)</f>
        <v>741713021</v>
      </c>
      <c r="H230" s="178">
        <f>MIN(H220+H225+H227+H226*$J220,H221)</f>
        <v>741713021</v>
      </c>
      <c r="I230" s="178">
        <f>MIN(I220+I225+I227+I226*$J220,I221)</f>
        <v>741713021</v>
      </c>
      <c r="J230" s="198">
        <f>SUM(E230:I230)</f>
        <v>3708565105</v>
      </c>
      <c r="K230" s="198" t="s">
        <v>1147</v>
      </c>
    </row>
    <row r="231" spans="1:11">
      <c r="A231" s="968"/>
      <c r="B231" s="968"/>
      <c r="C231" s="63" t="s">
        <v>3787</v>
      </c>
      <c r="D231" s="67"/>
      <c r="E231" s="618">
        <f>E230/MAX(1,$J230)</f>
        <v>0.2</v>
      </c>
      <c r="F231" s="618">
        <f>F230/MAX(1,$J230)</f>
        <v>0.2</v>
      </c>
      <c r="G231" s="618">
        <f>G230/MAX(1,$J230)</f>
        <v>0.2</v>
      </c>
      <c r="H231" s="618">
        <f>H230/MAX(1,$J230)</f>
        <v>0.2</v>
      </c>
      <c r="I231" s="618">
        <f>I230/MAX(1,$J230)</f>
        <v>0.2</v>
      </c>
      <c r="J231" s="198">
        <f>J220-J230</f>
        <v>37834895</v>
      </c>
      <c r="K231" s="198" t="s">
        <v>1542</v>
      </c>
    </row>
    <row r="232" spans="1:11">
      <c r="A232" s="968"/>
      <c r="B232" s="968"/>
      <c r="C232" s="75" t="s">
        <v>974</v>
      </c>
      <c r="D232" s="35"/>
      <c r="E232" s="35">
        <f>RANK(E231,$E231:$I231)</f>
        <v>1</v>
      </c>
      <c r="F232" s="35">
        <f>RANK(F231,$E231:$I231)</f>
        <v>1</v>
      </c>
      <c r="G232" s="35">
        <f>RANK(G231,$E231:$I231)</f>
        <v>1</v>
      </c>
      <c r="H232" s="35">
        <f>RANK(H231,$E231:$I231)</f>
        <v>1</v>
      </c>
      <c r="I232" s="35">
        <f>RANK(I231,$E231:$I231)</f>
        <v>1</v>
      </c>
      <c r="J232" s="63"/>
      <c r="K232" s="37"/>
    </row>
    <row r="233" spans="1:11" ht="13.5" customHeight="1">
      <c r="A233" s="968"/>
      <c r="B233" s="968"/>
      <c r="C233" s="2"/>
      <c r="D233" s="39"/>
      <c r="E233" s="3"/>
      <c r="F233" s="3"/>
      <c r="G233" s="3"/>
      <c r="H233" s="3"/>
      <c r="I233" s="3"/>
      <c r="J233" s="3"/>
      <c r="K233" s="3"/>
    </row>
    <row r="234" spans="1:11">
      <c r="A234" s="968"/>
      <c r="B234" s="968"/>
      <c r="C234" s="2" t="s">
        <v>1146</v>
      </c>
      <c r="D234" s="3"/>
      <c r="E234" s="72">
        <f>E211</f>
        <v>0.2</v>
      </c>
      <c r="F234" s="72">
        <f>F211</f>
        <v>0.2</v>
      </c>
      <c r="G234" s="72">
        <f>G211</f>
        <v>0.2</v>
      </c>
      <c r="H234" s="72">
        <f>H211</f>
        <v>0.2</v>
      </c>
      <c r="I234" s="72">
        <f>I211</f>
        <v>0.2</v>
      </c>
      <c r="J234" s="3"/>
      <c r="K234" s="3" t="s">
        <v>1544</v>
      </c>
    </row>
    <row r="235" spans="1:11">
      <c r="A235" s="968"/>
      <c r="B235" s="968"/>
      <c r="C235" s="73" t="s">
        <v>976</v>
      </c>
      <c r="D235" s="61"/>
      <c r="E235" s="197">
        <f>ROUNDDOWN(E211*$J211,0)</f>
        <v>356800000</v>
      </c>
      <c r="F235" s="197">
        <f>ROUNDDOWN(F211*$J211,0)</f>
        <v>356800000</v>
      </c>
      <c r="G235" s="197">
        <f>ROUNDDOWN(G211*$J211,0)</f>
        <v>356800000</v>
      </c>
      <c r="H235" s="197">
        <f>ROUNDDOWN(H211*$J211,0)</f>
        <v>356800000</v>
      </c>
      <c r="I235" s="197">
        <f>ROUNDDOWN(I211*$J211,0)</f>
        <v>356800000</v>
      </c>
      <c r="J235" s="199">
        <f>SUM(E235:I235)</f>
        <v>1784000000</v>
      </c>
      <c r="K235" s="198"/>
    </row>
    <row r="236" spans="1:11">
      <c r="A236" s="968"/>
      <c r="B236" s="968"/>
      <c r="C236" s="233" t="s">
        <v>977</v>
      </c>
      <c r="D236" s="150"/>
      <c r="E236" s="232">
        <f>capProd1Reg2Units</f>
        <v>362759987</v>
      </c>
      <c r="F236" s="232">
        <f>capProd1Reg2Units</f>
        <v>362759987</v>
      </c>
      <c r="G236" s="232">
        <f>capProd1Reg2Units</f>
        <v>362759987</v>
      </c>
      <c r="H236" s="232">
        <f>capProd1Reg2Units</f>
        <v>362759987</v>
      </c>
      <c r="I236" s="232">
        <f>capProd1Reg2Units</f>
        <v>362759987</v>
      </c>
      <c r="J236" s="198">
        <f>SUM(E236:I236)</f>
        <v>1813799935</v>
      </c>
      <c r="K236" s="37"/>
    </row>
    <row r="237" spans="1:11">
      <c r="A237" s="968"/>
      <c r="B237" s="968"/>
      <c r="C237" s="37" t="s">
        <v>3325</v>
      </c>
      <c r="D237" s="38"/>
      <c r="E237" s="87">
        <f>E236-E235</f>
        <v>5959987</v>
      </c>
      <c r="F237" s="87">
        <f>F236-F235</f>
        <v>5959987</v>
      </c>
      <c r="G237" s="87">
        <f>G236-G235</f>
        <v>5959987</v>
      </c>
      <c r="H237" s="87">
        <f>H236-H235</f>
        <v>5959987</v>
      </c>
      <c r="I237" s="87">
        <f>I236-I235</f>
        <v>5959987</v>
      </c>
      <c r="J237" s="200">
        <f>SUM(E237:I237)-SUMPRODUCT(E237:I237,E238:I238)</f>
        <v>0</v>
      </c>
      <c r="K237" s="37"/>
    </row>
    <row r="238" spans="1:11">
      <c r="A238" s="968"/>
      <c r="B238" s="968"/>
      <c r="C238" s="37" t="s">
        <v>1068</v>
      </c>
      <c r="D238" s="38"/>
      <c r="E238" s="38">
        <f>1*(E237&gt;0)</f>
        <v>1</v>
      </c>
      <c r="F238" s="38">
        <f>1*(F237&gt;0)</f>
        <v>1</v>
      </c>
      <c r="G238" s="38">
        <f>1*(G237&gt;0)</f>
        <v>1</v>
      </c>
      <c r="H238" s="38">
        <f>1*(H237&gt;0)</f>
        <v>1</v>
      </c>
      <c r="I238" s="38">
        <f>1*(I237&gt;0)</f>
        <v>1</v>
      </c>
      <c r="J238" s="37">
        <f>SUM(E238:I238)</f>
        <v>5</v>
      </c>
      <c r="K238" s="37"/>
    </row>
    <row r="239" spans="1:11">
      <c r="A239" s="968"/>
      <c r="B239" s="968"/>
      <c r="C239" s="37" t="s">
        <v>1069</v>
      </c>
      <c r="D239" s="38"/>
      <c r="E239" s="48">
        <f>IF(AND(E238&gt;0,E235&gt;0),+E234*E238/SUMPRODUCT($E234:$I234,$E238:$I238),0)</f>
        <v>0.2</v>
      </c>
      <c r="F239" s="48">
        <f>IF(AND(F238&gt;0,F235&gt;0),+F234*F238/SUMPRODUCT($E234:$I234,$E238:$I238),0)</f>
        <v>0.2</v>
      </c>
      <c r="G239" s="48">
        <f>IF(AND(G238&gt;0,G235&gt;0),+G234*G238/SUMPRODUCT($E234:$I234,$E238:$I238),0)</f>
        <v>0.2</v>
      </c>
      <c r="H239" s="48">
        <f>IF(AND(H238&gt;0,H235&gt;0),+H234*H238/SUMPRODUCT($E234:$I234,$E238:$I238),0)</f>
        <v>0.2</v>
      </c>
      <c r="I239" s="48">
        <f>IF(AND(I238&gt;0,I235&gt;0),+I234*I238/SUMPRODUCT($E234:$I234,$E238:$I238),0)</f>
        <v>0.2</v>
      </c>
      <c r="J239" s="37"/>
      <c r="K239" s="37"/>
    </row>
    <row r="240" spans="1:11">
      <c r="A240" s="968"/>
      <c r="B240" s="968"/>
      <c r="C240" s="37" t="s">
        <v>3782</v>
      </c>
      <c r="D240" s="38"/>
      <c r="E240" s="39">
        <f>-MAX(-E237,ROUND(E239*$J237,0))*E238</f>
        <v>0</v>
      </c>
      <c r="F240" s="39">
        <f>-MAX(-F237,ROUND(F239*$J237,0))*F238</f>
        <v>0</v>
      </c>
      <c r="G240" s="39">
        <f>-MAX(-G237,ROUND(G239*$J237,0))*G238</f>
        <v>0</v>
      </c>
      <c r="H240" s="39">
        <f>-MAX(-H237,ROUND(H239*$J237,0))*H238</f>
        <v>0</v>
      </c>
      <c r="I240" s="39">
        <f>-MAX(-I237,ROUND(I239*$J237,0))*I238</f>
        <v>0</v>
      </c>
      <c r="J240" s="37">
        <f>ROUND(SUM(E240:I240),0)</f>
        <v>0</v>
      </c>
      <c r="K240" s="37"/>
    </row>
    <row r="241" spans="1:11">
      <c r="A241" s="968"/>
      <c r="B241" s="968"/>
      <c r="C241" s="37" t="s">
        <v>2324</v>
      </c>
      <c r="D241" s="38"/>
      <c r="E241" s="912"/>
      <c r="F241" s="912"/>
      <c r="G241" s="912"/>
      <c r="H241" s="912"/>
      <c r="I241" s="913"/>
      <c r="J241" s="37"/>
      <c r="K241" s="37"/>
    </row>
    <row r="242" spans="1:11">
      <c r="A242" s="968"/>
      <c r="B242" s="968"/>
      <c r="C242" s="37" t="s">
        <v>3783</v>
      </c>
      <c r="D242" s="38"/>
      <c r="E242" s="915"/>
      <c r="F242" s="915"/>
      <c r="G242" s="915"/>
      <c r="H242" s="915"/>
      <c r="I242" s="916"/>
      <c r="J242" s="37"/>
      <c r="K242" s="37"/>
    </row>
    <row r="243" spans="1:11">
      <c r="A243" s="968"/>
      <c r="B243" s="968"/>
      <c r="C243" s="37" t="s">
        <v>3784</v>
      </c>
      <c r="D243" s="38"/>
      <c r="E243" s="87">
        <f>MIN(E236,E237-E242-E240-E241*$J235)</f>
        <v>5959987</v>
      </c>
      <c r="F243" s="87">
        <f>MIN(F236,F237-F242-F240-F241*$J235)</f>
        <v>5959987</v>
      </c>
      <c r="G243" s="87">
        <f>MIN(G236,G237-G242-G240-G241*$J235)</f>
        <v>5959987</v>
      </c>
      <c r="H243" s="87">
        <f>MIN(H236,H237-H242-H240-H241*$J235)</f>
        <v>5959987</v>
      </c>
      <c r="I243" s="87">
        <f>MIN(I236,I237-I242-I240-I241*$J235)</f>
        <v>5959987</v>
      </c>
      <c r="J243" s="198"/>
      <c r="K243" s="37"/>
    </row>
    <row r="244" spans="1:11">
      <c r="A244" s="968"/>
      <c r="B244" s="968"/>
      <c r="C244" s="37" t="s">
        <v>3785</v>
      </c>
      <c r="D244" s="38"/>
      <c r="E244" s="87">
        <f>MAX(E243,0)</f>
        <v>5959987</v>
      </c>
      <c r="F244" s="87">
        <f>MAX(F243,0)</f>
        <v>5959987</v>
      </c>
      <c r="G244" s="87">
        <f>MAX(G243,0)</f>
        <v>5959987</v>
      </c>
      <c r="H244" s="87">
        <f>MAX(H243,0)</f>
        <v>5959987</v>
      </c>
      <c r="I244" s="87">
        <f>MAX(I243,0)</f>
        <v>5959987</v>
      </c>
      <c r="J244" s="198"/>
      <c r="K244" s="37"/>
    </row>
    <row r="245" spans="1:11">
      <c r="A245" s="968"/>
      <c r="B245" s="968"/>
      <c r="C245" s="74" t="s">
        <v>3786</v>
      </c>
      <c r="D245" s="38"/>
      <c r="E245" s="178">
        <f>MAX(0,MIN(E235+E240+E242+E241*$J235,E236))</f>
        <v>356800000</v>
      </c>
      <c r="F245" s="178">
        <f>MIN(F235+F240+F242+F241*$J235,F236)</f>
        <v>356800000</v>
      </c>
      <c r="G245" s="178">
        <f>MIN(G235+G240+G242+G241*$J235,G236)</f>
        <v>356800000</v>
      </c>
      <c r="H245" s="178">
        <f>MIN(H235+H240+H242+H241*$J235,H236)</f>
        <v>356800000</v>
      </c>
      <c r="I245" s="178">
        <f>MIN(I235+I240+I242+I241*$J235,I236)</f>
        <v>356800000</v>
      </c>
      <c r="J245" s="198">
        <f>SUM(E245:I245)</f>
        <v>1784000000</v>
      </c>
      <c r="K245" s="198" t="s">
        <v>1915</v>
      </c>
    </row>
    <row r="246" spans="1:11">
      <c r="A246" s="968"/>
      <c r="B246" s="968"/>
      <c r="C246" s="63" t="s">
        <v>3787</v>
      </c>
      <c r="D246" s="67"/>
      <c r="E246" s="618">
        <f>E245/MAX(1,$J245)</f>
        <v>0.2</v>
      </c>
      <c r="F246" s="618">
        <f>F245/MAX(1,$J245)</f>
        <v>0.2</v>
      </c>
      <c r="G246" s="618">
        <f>G245/MAX(1,$J245)</f>
        <v>0.2</v>
      </c>
      <c r="H246" s="618">
        <f>H245/MAX(1,$J245)</f>
        <v>0.2</v>
      </c>
      <c r="I246" s="618">
        <f>I245/MAX(1,$J245)</f>
        <v>0.2</v>
      </c>
      <c r="J246" s="198">
        <f>J235-J245</f>
        <v>0</v>
      </c>
      <c r="K246" s="198" t="s">
        <v>1545</v>
      </c>
    </row>
    <row r="247" spans="1:11">
      <c r="A247" s="968"/>
      <c r="B247" s="968"/>
      <c r="C247" s="75" t="s">
        <v>974</v>
      </c>
      <c r="D247" s="35"/>
      <c r="E247" s="35">
        <f>RANK(E246,$E246:$I246)</f>
        <v>1</v>
      </c>
      <c r="F247" s="35">
        <f>RANK(F246,$E246:$I246)</f>
        <v>1</v>
      </c>
      <c r="G247" s="35">
        <f>RANK(G246,$E246:$I246)</f>
        <v>1</v>
      </c>
      <c r="H247" s="35">
        <f>RANK(H246,$E246:$I246)</f>
        <v>1</v>
      </c>
      <c r="I247" s="35">
        <f>RANK(I246,$E246:$I246)</f>
        <v>1</v>
      </c>
      <c r="J247" s="63"/>
      <c r="K247" s="37"/>
    </row>
    <row r="248" spans="1:11">
      <c r="A248" s="968"/>
      <c r="B248" s="968"/>
      <c r="C248" s="38"/>
      <c r="D248" s="38"/>
      <c r="E248" s="38"/>
      <c r="F248" s="38"/>
      <c r="G248" s="38"/>
      <c r="H248" s="38"/>
      <c r="I248" s="38"/>
      <c r="J248" s="38"/>
      <c r="K248" s="38"/>
    </row>
    <row r="249" spans="1:11" ht="9.75" customHeight="1">
      <c r="A249" s="971"/>
      <c r="B249" s="971"/>
    </row>
    <row r="250" spans="1:11" ht="12" thickBot="1">
      <c r="A250" s="971"/>
      <c r="B250" s="971"/>
    </row>
    <row r="251" spans="1:11" ht="12" thickBot="1">
      <c r="A251" s="971"/>
      <c r="B251" s="971" t="s">
        <v>2332</v>
      </c>
      <c r="C251" s="340" t="s">
        <v>2055</v>
      </c>
      <c r="D251" s="315"/>
      <c r="E251" s="316"/>
      <c r="F251" s="316"/>
      <c r="G251" s="317"/>
      <c r="H251" s="317"/>
      <c r="I251" s="317"/>
      <c r="J251" s="317"/>
      <c r="K251" s="318"/>
    </row>
    <row r="252" spans="1:11" ht="12" thickBot="1">
      <c r="A252" s="971"/>
      <c r="B252" s="971"/>
      <c r="C252" s="314" t="s">
        <v>2672</v>
      </c>
      <c r="D252" s="699">
        <v>5530400000</v>
      </c>
      <c r="E252" s="315"/>
      <c r="F252" s="319"/>
      <c r="G252" s="315"/>
      <c r="H252" s="320"/>
      <c r="I252" s="321" t="s">
        <v>2673</v>
      </c>
      <c r="J252" s="322">
        <v>3746399999.9999995</v>
      </c>
      <c r="K252" s="318"/>
    </row>
    <row r="253" spans="1:11">
      <c r="A253" s="971"/>
      <c r="B253" s="971"/>
      <c r="C253" s="323" t="s">
        <v>2958</v>
      </c>
      <c r="D253" s="324"/>
      <c r="E253" s="325" t="s">
        <v>1834</v>
      </c>
      <c r="F253" s="325" t="s">
        <v>1835</v>
      </c>
      <c r="G253" s="325" t="s">
        <v>1836</v>
      </c>
      <c r="H253" s="325" t="s">
        <v>1837</v>
      </c>
      <c r="I253" s="325" t="s">
        <v>1838</v>
      </c>
      <c r="J253" s="325"/>
      <c r="K253" s="326"/>
    </row>
    <row r="254" spans="1:11">
      <c r="A254" s="971"/>
      <c r="B254" s="971"/>
      <c r="C254" s="327" t="s">
        <v>1402</v>
      </c>
      <c r="D254" s="328">
        <v>35</v>
      </c>
      <c r="E254" s="329">
        <v>17.5</v>
      </c>
      <c r="F254" s="330">
        <v>17.5</v>
      </c>
      <c r="G254" s="330">
        <v>17.5</v>
      </c>
      <c r="H254" s="330">
        <v>17.5</v>
      </c>
      <c r="I254" s="154">
        <v>17.5</v>
      </c>
      <c r="J254" s="331">
        <v>87.5</v>
      </c>
      <c r="K254" s="326"/>
    </row>
    <row r="255" spans="1:11">
      <c r="A255" s="971"/>
      <c r="B255" s="971"/>
      <c r="C255" s="327" t="s">
        <v>2745</v>
      </c>
      <c r="D255" s="328">
        <v>7</v>
      </c>
      <c r="E255" s="332">
        <v>3.5</v>
      </c>
      <c r="F255" s="328">
        <v>3.5</v>
      </c>
      <c r="G255" s="328">
        <v>3.5</v>
      </c>
      <c r="H255" s="328">
        <v>3.5</v>
      </c>
      <c r="I255" s="333">
        <v>3.5</v>
      </c>
      <c r="J255" s="334">
        <v>17.5</v>
      </c>
      <c r="K255" s="326"/>
    </row>
    <row r="256" spans="1:11">
      <c r="A256" s="971"/>
      <c r="B256" s="971"/>
      <c r="C256" s="327" t="s">
        <v>3442</v>
      </c>
      <c r="D256" s="328">
        <v>0</v>
      </c>
      <c r="E256" s="332">
        <v>0</v>
      </c>
      <c r="F256" s="328">
        <v>0</v>
      </c>
      <c r="G256" s="328">
        <v>0</v>
      </c>
      <c r="H256" s="328">
        <v>0</v>
      </c>
      <c r="I256" s="333">
        <v>0</v>
      </c>
      <c r="J256" s="334">
        <v>0</v>
      </c>
      <c r="K256" s="326"/>
    </row>
    <row r="257" spans="1:11">
      <c r="A257" s="971"/>
      <c r="B257" s="971"/>
      <c r="C257" s="327" t="s">
        <v>1404</v>
      </c>
      <c r="D257" s="328">
        <v>9</v>
      </c>
      <c r="E257" s="332">
        <v>4.5</v>
      </c>
      <c r="F257" s="328">
        <v>4.5</v>
      </c>
      <c r="G257" s="328">
        <v>4.5</v>
      </c>
      <c r="H257" s="328">
        <v>4.5</v>
      </c>
      <c r="I257" s="333">
        <v>4.5</v>
      </c>
      <c r="J257" s="334">
        <v>22.5</v>
      </c>
      <c r="K257" s="326"/>
    </row>
    <row r="258" spans="1:11">
      <c r="A258" s="971"/>
      <c r="B258" s="971"/>
      <c r="C258" s="327" t="s">
        <v>175</v>
      </c>
      <c r="D258" s="328">
        <v>11</v>
      </c>
      <c r="E258" s="332">
        <v>5.5</v>
      </c>
      <c r="F258" s="328">
        <v>5.5</v>
      </c>
      <c r="G258" s="328">
        <v>5.5</v>
      </c>
      <c r="H258" s="328">
        <v>5.5</v>
      </c>
      <c r="I258" s="333">
        <v>5.5</v>
      </c>
      <c r="J258" s="334">
        <v>27.5</v>
      </c>
      <c r="K258" s="326"/>
    </row>
    <row r="259" spans="1:11">
      <c r="A259" s="971"/>
      <c r="B259" s="971"/>
      <c r="C259" s="327" t="s">
        <v>2579</v>
      </c>
      <c r="D259" s="328">
        <v>6</v>
      </c>
      <c r="E259" s="332">
        <v>3</v>
      </c>
      <c r="F259" s="328">
        <v>3</v>
      </c>
      <c r="G259" s="328">
        <v>3</v>
      </c>
      <c r="H259" s="328">
        <v>3</v>
      </c>
      <c r="I259" s="333">
        <v>3</v>
      </c>
      <c r="J259" s="334">
        <v>15</v>
      </c>
      <c r="K259" s="326"/>
    </row>
    <row r="260" spans="1:11">
      <c r="A260" s="971"/>
      <c r="B260" s="971"/>
      <c r="C260" s="327" t="s">
        <v>1108</v>
      </c>
      <c r="D260" s="328">
        <v>14</v>
      </c>
      <c r="E260" s="332">
        <v>0</v>
      </c>
      <c r="F260" s="328">
        <v>0</v>
      </c>
      <c r="G260" s="328">
        <v>0</v>
      </c>
      <c r="H260" s="328">
        <v>0</v>
      </c>
      <c r="I260" s="333">
        <v>0</v>
      </c>
      <c r="J260" s="334">
        <v>0</v>
      </c>
      <c r="K260" s="326"/>
    </row>
    <row r="261" spans="1:11">
      <c r="A261" s="971"/>
      <c r="B261" s="971"/>
      <c r="C261" s="327" t="s">
        <v>1722</v>
      </c>
      <c r="D261" s="328">
        <v>0</v>
      </c>
      <c r="E261" s="332">
        <v>0</v>
      </c>
      <c r="F261" s="328">
        <v>0</v>
      </c>
      <c r="G261" s="328">
        <v>0</v>
      </c>
      <c r="H261" s="328">
        <v>0</v>
      </c>
      <c r="I261" s="333">
        <v>0</v>
      </c>
      <c r="J261" s="334">
        <v>0</v>
      </c>
      <c r="K261" s="326"/>
    </row>
    <row r="262" spans="1:11">
      <c r="A262" s="971"/>
      <c r="B262" s="971"/>
      <c r="C262" s="327" t="s">
        <v>4734</v>
      </c>
      <c r="D262" s="328">
        <v>10</v>
      </c>
      <c r="E262" s="332">
        <v>5</v>
      </c>
      <c r="F262" s="328">
        <v>5</v>
      </c>
      <c r="G262" s="328">
        <v>5</v>
      </c>
      <c r="H262" s="328">
        <v>5</v>
      </c>
      <c r="I262" s="333">
        <v>5</v>
      </c>
      <c r="J262" s="334">
        <v>25</v>
      </c>
      <c r="K262" s="326"/>
    </row>
    <row r="263" spans="1:11">
      <c r="A263" s="971"/>
      <c r="B263" s="971"/>
      <c r="C263" s="327" t="s">
        <v>2956</v>
      </c>
      <c r="D263" s="328">
        <v>0</v>
      </c>
      <c r="E263" s="332">
        <v>0</v>
      </c>
      <c r="F263" s="328">
        <v>0</v>
      </c>
      <c r="G263" s="328">
        <v>0</v>
      </c>
      <c r="H263" s="328">
        <v>0</v>
      </c>
      <c r="I263" s="333">
        <v>0</v>
      </c>
      <c r="J263" s="334">
        <v>0</v>
      </c>
      <c r="K263" s="326"/>
    </row>
    <row r="264" spans="1:11">
      <c r="A264" s="971"/>
      <c r="B264" s="971"/>
      <c r="C264" s="335" t="s">
        <v>1828</v>
      </c>
      <c r="D264" s="150"/>
      <c r="E264" s="336">
        <v>0</v>
      </c>
      <c r="F264" s="337">
        <v>0</v>
      </c>
      <c r="G264" s="337">
        <v>0</v>
      </c>
      <c r="H264" s="337">
        <v>0</v>
      </c>
      <c r="I264" s="338">
        <v>0</v>
      </c>
      <c r="J264" s="334">
        <v>0</v>
      </c>
      <c r="K264" s="326"/>
    </row>
    <row r="265" spans="1:11">
      <c r="A265" s="971"/>
      <c r="B265" s="971"/>
      <c r="C265" s="327" t="s">
        <v>2959</v>
      </c>
      <c r="D265" s="150"/>
      <c r="E265" s="642">
        <v>39</v>
      </c>
      <c r="F265" s="643">
        <v>39</v>
      </c>
      <c r="G265" s="643">
        <v>39</v>
      </c>
      <c r="H265" s="643">
        <v>39</v>
      </c>
      <c r="I265" s="644">
        <v>39</v>
      </c>
      <c r="J265" s="331">
        <v>195</v>
      </c>
      <c r="K265" s="326"/>
    </row>
    <row r="266" spans="1:11" ht="12" thickBot="1">
      <c r="A266" s="971"/>
      <c r="B266" s="971"/>
      <c r="C266" s="327" t="s">
        <v>974</v>
      </c>
      <c r="D266" s="150"/>
      <c r="E266" s="150">
        <v>1</v>
      </c>
      <c r="F266" s="150">
        <v>1</v>
      </c>
      <c r="G266" s="150">
        <v>1</v>
      </c>
      <c r="H266" s="150">
        <v>1</v>
      </c>
      <c r="I266" s="150">
        <v>1</v>
      </c>
      <c r="J266" s="652" t="s">
        <v>2227</v>
      </c>
      <c r="K266" s="326"/>
    </row>
    <row r="267" spans="1:11">
      <c r="A267" s="971"/>
      <c r="B267" s="971"/>
      <c r="C267" s="627" t="s">
        <v>3201</v>
      </c>
      <c r="D267" s="628"/>
      <c r="E267" s="629">
        <v>0.2</v>
      </c>
      <c r="F267" s="629">
        <v>0.2</v>
      </c>
      <c r="G267" s="629">
        <v>0.2</v>
      </c>
      <c r="H267" s="629">
        <v>0.2</v>
      </c>
      <c r="I267" s="629">
        <v>0.2</v>
      </c>
      <c r="J267" s="650">
        <v>0.35</v>
      </c>
      <c r="K267" s="630"/>
    </row>
    <row r="268" spans="1:11" ht="12" thickBot="1">
      <c r="A268" s="971"/>
      <c r="B268" s="971"/>
      <c r="C268" s="134" t="s">
        <v>1999</v>
      </c>
      <c r="D268" s="135"/>
      <c r="E268" s="626">
        <v>0.2</v>
      </c>
      <c r="F268" s="626">
        <v>0.2</v>
      </c>
      <c r="G268" s="626">
        <v>0.2</v>
      </c>
      <c r="H268" s="626">
        <v>0.2</v>
      </c>
      <c r="I268" s="626">
        <v>0.2</v>
      </c>
      <c r="J268" s="651">
        <v>0.65</v>
      </c>
      <c r="K268" s="136"/>
    </row>
    <row r="269" spans="1:11" ht="12" thickBot="1">
      <c r="A269" s="971"/>
      <c r="B269" s="971"/>
      <c r="C269" s="631" t="s">
        <v>2830</v>
      </c>
      <c r="D269" s="371"/>
      <c r="E269" s="632">
        <v>0.2</v>
      </c>
      <c r="F269" s="632">
        <v>0.2</v>
      </c>
      <c r="G269" s="632">
        <v>0.2</v>
      </c>
      <c r="H269" s="632">
        <v>0.2</v>
      </c>
      <c r="I269" s="632">
        <v>0.2</v>
      </c>
      <c r="J269" s="633">
        <v>3746399999.9999995</v>
      </c>
      <c r="K269" s="136" t="s">
        <v>2327</v>
      </c>
    </row>
    <row r="270" spans="1:11" ht="12" thickBot="1">
      <c r="A270" s="971"/>
      <c r="B270" s="971"/>
    </row>
    <row r="271" spans="1:11" ht="12" thickBot="1">
      <c r="A271" s="971"/>
      <c r="B271" s="971" t="s">
        <v>2336</v>
      </c>
      <c r="C271" s="340" t="s">
        <v>549</v>
      </c>
      <c r="D271" s="315"/>
      <c r="E271" s="316"/>
      <c r="F271" s="316"/>
      <c r="G271" s="317"/>
      <c r="H271" s="317"/>
      <c r="I271" s="317"/>
      <c r="J271" s="317"/>
      <c r="K271" s="318"/>
    </row>
    <row r="272" spans="1:11" ht="12" thickBot="1">
      <c r="A272" s="971"/>
      <c r="B272" s="971"/>
      <c r="C272" s="314" t="s">
        <v>2672</v>
      </c>
      <c r="D272" s="699">
        <v>5530400000</v>
      </c>
      <c r="E272" s="315"/>
      <c r="F272" s="319"/>
      <c r="G272" s="315"/>
      <c r="H272" s="320"/>
      <c r="I272" s="321" t="s">
        <v>2673</v>
      </c>
      <c r="J272" s="322">
        <v>1784000000</v>
      </c>
      <c r="K272" s="318"/>
    </row>
    <row r="273" spans="1:11">
      <c r="A273" s="971"/>
      <c r="B273" s="971"/>
      <c r="C273" s="323" t="s">
        <v>2958</v>
      </c>
      <c r="D273" s="324"/>
      <c r="E273" s="325" t="s">
        <v>1834</v>
      </c>
      <c r="F273" s="325" t="s">
        <v>1835</v>
      </c>
      <c r="G273" s="325" t="s">
        <v>1836</v>
      </c>
      <c r="H273" s="325" t="s">
        <v>1837</v>
      </c>
      <c r="I273" s="325" t="s">
        <v>1838</v>
      </c>
      <c r="J273" s="325"/>
      <c r="K273" s="326"/>
    </row>
    <row r="274" spans="1:11">
      <c r="A274" s="971"/>
      <c r="B274" s="971"/>
      <c r="C274" s="327" t="s">
        <v>1402</v>
      </c>
      <c r="D274" s="328">
        <v>54</v>
      </c>
      <c r="E274" s="329">
        <v>27</v>
      </c>
      <c r="F274" s="330">
        <v>27</v>
      </c>
      <c r="G274" s="330">
        <v>27</v>
      </c>
      <c r="H274" s="330">
        <v>27</v>
      </c>
      <c r="I274" s="154">
        <v>27</v>
      </c>
      <c r="J274" s="331">
        <v>135</v>
      </c>
      <c r="K274" s="326"/>
    </row>
    <row r="275" spans="1:11">
      <c r="A275" s="971"/>
      <c r="B275" s="971"/>
      <c r="C275" s="327" t="s">
        <v>2745</v>
      </c>
      <c r="D275" s="328">
        <v>8</v>
      </c>
      <c r="E275" s="332">
        <v>4</v>
      </c>
      <c r="F275" s="328">
        <v>4</v>
      </c>
      <c r="G275" s="328">
        <v>4</v>
      </c>
      <c r="H275" s="328">
        <v>4</v>
      </c>
      <c r="I275" s="333">
        <v>4</v>
      </c>
      <c r="J275" s="334">
        <v>20</v>
      </c>
      <c r="K275" s="326"/>
    </row>
    <row r="276" spans="1:11">
      <c r="A276" s="971"/>
      <c r="B276" s="971"/>
      <c r="C276" s="327" t="s">
        <v>3442</v>
      </c>
      <c r="D276" s="328">
        <v>0</v>
      </c>
      <c r="E276" s="332">
        <v>0</v>
      </c>
      <c r="F276" s="328">
        <v>0</v>
      </c>
      <c r="G276" s="328">
        <v>0</v>
      </c>
      <c r="H276" s="328">
        <v>0</v>
      </c>
      <c r="I276" s="333">
        <v>0</v>
      </c>
      <c r="J276" s="334">
        <v>0</v>
      </c>
      <c r="K276" s="326"/>
    </row>
    <row r="277" spans="1:11">
      <c r="A277" s="971"/>
      <c r="B277" s="971"/>
      <c r="C277" s="327" t="s">
        <v>1404</v>
      </c>
      <c r="D277" s="328">
        <v>7</v>
      </c>
      <c r="E277" s="332">
        <v>3.5</v>
      </c>
      <c r="F277" s="328">
        <v>3.5</v>
      </c>
      <c r="G277" s="328">
        <v>3.5</v>
      </c>
      <c r="H277" s="328">
        <v>3.5</v>
      </c>
      <c r="I277" s="333">
        <v>3.5</v>
      </c>
      <c r="J277" s="334">
        <v>17.5</v>
      </c>
      <c r="K277" s="326"/>
    </row>
    <row r="278" spans="1:11">
      <c r="A278" s="971"/>
      <c r="B278" s="971"/>
      <c r="C278" s="327" t="s">
        <v>175</v>
      </c>
      <c r="D278" s="328">
        <v>9</v>
      </c>
      <c r="E278" s="332">
        <v>4.5</v>
      </c>
      <c r="F278" s="328">
        <v>4.5</v>
      </c>
      <c r="G278" s="328">
        <v>4.5</v>
      </c>
      <c r="H278" s="328">
        <v>4.5</v>
      </c>
      <c r="I278" s="333">
        <v>4.5</v>
      </c>
      <c r="J278" s="334">
        <v>22.5</v>
      </c>
      <c r="K278" s="326"/>
    </row>
    <row r="279" spans="1:11">
      <c r="A279" s="971"/>
      <c r="B279" s="971"/>
      <c r="C279" s="327" t="s">
        <v>2579</v>
      </c>
      <c r="D279" s="328">
        <v>10</v>
      </c>
      <c r="E279" s="332">
        <v>5</v>
      </c>
      <c r="F279" s="328">
        <v>5</v>
      </c>
      <c r="G279" s="328">
        <v>5</v>
      </c>
      <c r="H279" s="328">
        <v>5</v>
      </c>
      <c r="I279" s="333">
        <v>5</v>
      </c>
      <c r="J279" s="334">
        <v>25</v>
      </c>
      <c r="K279" s="326"/>
    </row>
    <row r="280" spans="1:11">
      <c r="A280" s="971"/>
      <c r="B280" s="971"/>
      <c r="C280" s="327" t="s">
        <v>1108</v>
      </c>
      <c r="D280" s="328">
        <v>14</v>
      </c>
      <c r="E280" s="332">
        <v>0</v>
      </c>
      <c r="F280" s="328">
        <v>0</v>
      </c>
      <c r="G280" s="328">
        <v>0</v>
      </c>
      <c r="H280" s="328">
        <v>0</v>
      </c>
      <c r="I280" s="333">
        <v>0</v>
      </c>
      <c r="J280" s="334">
        <v>0</v>
      </c>
      <c r="K280" s="326"/>
    </row>
    <row r="281" spans="1:11">
      <c r="A281" s="971"/>
      <c r="B281" s="971"/>
      <c r="C281" s="327" t="s">
        <v>1722</v>
      </c>
      <c r="D281" s="328">
        <v>17</v>
      </c>
      <c r="E281" s="332">
        <v>8.5</v>
      </c>
      <c r="F281" s="328">
        <v>8.5</v>
      </c>
      <c r="G281" s="328">
        <v>8.5</v>
      </c>
      <c r="H281" s="328">
        <v>8.5</v>
      </c>
      <c r="I281" s="333">
        <v>8.5</v>
      </c>
      <c r="J281" s="334">
        <v>42.5</v>
      </c>
      <c r="K281" s="326"/>
    </row>
    <row r="282" spans="1:11">
      <c r="A282" s="971"/>
      <c r="B282" s="971"/>
      <c r="C282" s="327" t="s">
        <v>4734</v>
      </c>
      <c r="D282" s="328">
        <v>0</v>
      </c>
      <c r="E282" s="332">
        <v>0</v>
      </c>
      <c r="F282" s="328">
        <v>0</v>
      </c>
      <c r="G282" s="328">
        <v>0</v>
      </c>
      <c r="H282" s="328">
        <v>0</v>
      </c>
      <c r="I282" s="333">
        <v>0</v>
      </c>
      <c r="J282" s="334">
        <v>0</v>
      </c>
      <c r="K282" s="326"/>
    </row>
    <row r="283" spans="1:11">
      <c r="A283" s="971"/>
      <c r="B283" s="971"/>
      <c r="C283" s="327" t="s">
        <v>2956</v>
      </c>
      <c r="D283" s="328">
        <v>0</v>
      </c>
      <c r="E283" s="332">
        <v>0</v>
      </c>
      <c r="F283" s="328">
        <v>0</v>
      </c>
      <c r="G283" s="328">
        <v>0</v>
      </c>
      <c r="H283" s="328">
        <v>0</v>
      </c>
      <c r="I283" s="333">
        <v>0</v>
      </c>
      <c r="J283" s="334">
        <v>0</v>
      </c>
      <c r="K283" s="326"/>
    </row>
    <row r="284" spans="1:11">
      <c r="A284" s="971"/>
      <c r="B284" s="971"/>
      <c r="C284" s="335" t="s">
        <v>1828</v>
      </c>
      <c r="D284" s="150"/>
      <c r="E284" s="336">
        <v>0</v>
      </c>
      <c r="F284" s="337">
        <v>0</v>
      </c>
      <c r="G284" s="337">
        <v>0</v>
      </c>
      <c r="H284" s="337">
        <v>0</v>
      </c>
      <c r="I284" s="338">
        <v>0</v>
      </c>
      <c r="J284" s="334">
        <v>0</v>
      </c>
      <c r="K284" s="326"/>
    </row>
    <row r="285" spans="1:11">
      <c r="A285" s="971"/>
      <c r="B285" s="971"/>
      <c r="C285" s="327" t="s">
        <v>2959</v>
      </c>
      <c r="D285" s="150"/>
      <c r="E285" s="642">
        <v>52.5</v>
      </c>
      <c r="F285" s="643">
        <v>52.5</v>
      </c>
      <c r="G285" s="643">
        <v>52.5</v>
      </c>
      <c r="H285" s="643">
        <v>52.5</v>
      </c>
      <c r="I285" s="644">
        <v>52.5</v>
      </c>
      <c r="J285" s="339">
        <v>262.5</v>
      </c>
      <c r="K285" s="326"/>
    </row>
    <row r="286" spans="1:11" ht="12" thickBot="1">
      <c r="A286" s="971"/>
      <c r="B286" s="971"/>
      <c r="C286" s="327" t="s">
        <v>974</v>
      </c>
      <c r="D286" s="150"/>
      <c r="E286" s="150">
        <v>1</v>
      </c>
      <c r="F286" s="150">
        <v>1</v>
      </c>
      <c r="G286" s="150">
        <v>1</v>
      </c>
      <c r="H286" s="150">
        <v>1</v>
      </c>
      <c r="I286" s="150">
        <v>1</v>
      </c>
      <c r="J286" s="652" t="s">
        <v>2227</v>
      </c>
      <c r="K286" s="326"/>
    </row>
    <row r="287" spans="1:11">
      <c r="A287" s="971"/>
      <c r="B287" s="971"/>
      <c r="C287" s="627" t="s">
        <v>3201</v>
      </c>
      <c r="D287" s="628"/>
      <c r="E287" s="629">
        <v>0.2</v>
      </c>
      <c r="F287" s="629">
        <v>0.2</v>
      </c>
      <c r="G287" s="629">
        <v>0.2</v>
      </c>
      <c r="H287" s="629">
        <v>0.2</v>
      </c>
      <c r="I287" s="629">
        <v>0.2</v>
      </c>
      <c r="J287" s="654">
        <v>0.35</v>
      </c>
      <c r="K287" s="630"/>
    </row>
    <row r="288" spans="1:11" ht="12" thickBot="1">
      <c r="A288" s="971"/>
      <c r="B288" s="971"/>
      <c r="C288" s="134" t="s">
        <v>1999</v>
      </c>
      <c r="D288" s="135"/>
      <c r="E288" s="626">
        <v>0.2</v>
      </c>
      <c r="F288" s="626">
        <v>0.2</v>
      </c>
      <c r="G288" s="626">
        <v>0.2</v>
      </c>
      <c r="H288" s="626">
        <v>0.2</v>
      </c>
      <c r="I288" s="626">
        <v>0.2</v>
      </c>
      <c r="J288" s="665">
        <v>0.65</v>
      </c>
      <c r="K288" s="136"/>
    </row>
    <row r="289" spans="1:11" ht="12" thickBot="1">
      <c r="A289" s="971"/>
      <c r="B289" s="971"/>
      <c r="C289" s="631" t="s">
        <v>2830</v>
      </c>
      <c r="D289" s="371"/>
      <c r="E289" s="632">
        <v>0.2</v>
      </c>
      <c r="F289" s="632">
        <v>0.2</v>
      </c>
      <c r="G289" s="632">
        <v>0.2</v>
      </c>
      <c r="H289" s="632">
        <v>0.2</v>
      </c>
      <c r="I289" s="632">
        <v>0.2</v>
      </c>
      <c r="J289" s="633">
        <v>1784000000</v>
      </c>
      <c r="K289" s="136" t="s">
        <v>2327</v>
      </c>
    </row>
    <row r="290" spans="1:11" ht="12" thickBot="1">
      <c r="A290" s="971"/>
      <c r="B290" s="971"/>
    </row>
    <row r="291" spans="1:11" ht="12" thickBot="1">
      <c r="A291" s="971"/>
      <c r="B291" s="971"/>
      <c r="C291" s="340" t="s">
        <v>150</v>
      </c>
      <c r="D291" s="315"/>
      <c r="E291" s="316"/>
      <c r="F291" s="316"/>
      <c r="G291" s="317"/>
      <c r="H291" s="317"/>
      <c r="I291" s="317"/>
      <c r="J291" s="317"/>
      <c r="K291" s="318"/>
    </row>
    <row r="292" spans="1:11" ht="12" thickBot="1">
      <c r="A292" s="971"/>
      <c r="B292" s="971"/>
      <c r="C292" s="314" t="s">
        <v>2672</v>
      </c>
      <c r="D292" s="699">
        <f>D252</f>
        <v>5530400000</v>
      </c>
      <c r="E292" s="315"/>
      <c r="F292" s="319"/>
      <c r="G292" s="315"/>
      <c r="H292" s="320"/>
      <c r="I292" s="321" t="s">
        <v>2673</v>
      </c>
      <c r="J292" s="322">
        <f>J252</f>
        <v>3746399999.9999995</v>
      </c>
      <c r="K292" s="318"/>
    </row>
    <row r="293" spans="1:11">
      <c r="A293" s="971"/>
      <c r="B293" s="971"/>
      <c r="C293" s="323" t="s">
        <v>2958</v>
      </c>
      <c r="D293" s="324"/>
      <c r="E293" s="325" t="s">
        <v>1834</v>
      </c>
      <c r="F293" s="325" t="s">
        <v>1835</v>
      </c>
      <c r="G293" s="325" t="s">
        <v>1836</v>
      </c>
      <c r="H293" s="325" t="s">
        <v>1837</v>
      </c>
      <c r="I293" s="325" t="s">
        <v>1838</v>
      </c>
      <c r="J293" s="325"/>
      <c r="K293" s="326"/>
    </row>
    <row r="294" spans="1:11">
      <c r="A294" s="971"/>
      <c r="B294" s="971"/>
      <c r="C294" s="327" t="str">
        <f t="shared" ref="C294:C306" si="31">C254</f>
        <v>Price</v>
      </c>
      <c r="D294" s="328">
        <f t="shared" ref="D294:D304" si="32">D254</f>
        <v>35</v>
      </c>
      <c r="E294" s="634">
        <f t="shared" ref="E294:I302" si="33">(E254-($J254/xxNumOfTeams))/$J$265</f>
        <v>0</v>
      </c>
      <c r="F294" s="635">
        <f t="shared" si="33"/>
        <v>0</v>
      </c>
      <c r="G294" s="635">
        <f t="shared" si="33"/>
        <v>0</v>
      </c>
      <c r="H294" s="635">
        <f t="shared" si="33"/>
        <v>0</v>
      </c>
      <c r="I294" s="636">
        <f t="shared" si="33"/>
        <v>0</v>
      </c>
      <c r="J294" s="331">
        <f t="shared" ref="J294:J304" si="34">J254</f>
        <v>87.5</v>
      </c>
      <c r="K294" s="326"/>
    </row>
    <row r="295" spans="1:11">
      <c r="A295" s="971"/>
      <c r="B295" s="971"/>
      <c r="C295" s="327" t="str">
        <f t="shared" si="31"/>
        <v>Range Of Products</v>
      </c>
      <c r="D295" s="328">
        <f t="shared" si="32"/>
        <v>7</v>
      </c>
      <c r="E295" s="637">
        <f t="shared" si="33"/>
        <v>0</v>
      </c>
      <c r="F295" s="624">
        <f t="shared" si="33"/>
        <v>0</v>
      </c>
      <c r="G295" s="624">
        <f t="shared" si="33"/>
        <v>0</v>
      </c>
      <c r="H295" s="624">
        <f t="shared" si="33"/>
        <v>0</v>
      </c>
      <c r="I295" s="638">
        <f t="shared" si="33"/>
        <v>0</v>
      </c>
      <c r="J295" s="334">
        <f t="shared" si="34"/>
        <v>17.5</v>
      </c>
      <c r="K295" s="326"/>
    </row>
    <row r="296" spans="1:11">
      <c r="A296" s="971"/>
      <c r="B296" s="971"/>
      <c r="C296" s="327" t="str">
        <f t="shared" si="31"/>
        <v>Brands</v>
      </c>
      <c r="D296" s="328">
        <f t="shared" si="32"/>
        <v>0</v>
      </c>
      <c r="E296" s="637">
        <f t="shared" si="33"/>
        <v>0</v>
      </c>
      <c r="F296" s="624">
        <f t="shared" si="33"/>
        <v>0</v>
      </c>
      <c r="G296" s="624">
        <f t="shared" si="33"/>
        <v>0</v>
      </c>
      <c r="H296" s="624">
        <f t="shared" si="33"/>
        <v>0</v>
      </c>
      <c r="I296" s="638">
        <f t="shared" si="33"/>
        <v>0</v>
      </c>
      <c r="J296" s="334">
        <f t="shared" si="34"/>
        <v>0</v>
      </c>
      <c r="K296" s="326"/>
    </row>
    <row r="297" spans="1:11">
      <c r="A297" s="971"/>
      <c r="B297" s="971"/>
      <c r="C297" s="327" t="str">
        <f t="shared" si="31"/>
        <v>Advertising</v>
      </c>
      <c r="D297" s="328">
        <f t="shared" si="32"/>
        <v>9</v>
      </c>
      <c r="E297" s="637">
        <f t="shared" si="33"/>
        <v>0</v>
      </c>
      <c r="F297" s="624">
        <f t="shared" si="33"/>
        <v>0</v>
      </c>
      <c r="G297" s="624">
        <f t="shared" si="33"/>
        <v>0</v>
      </c>
      <c r="H297" s="624">
        <f t="shared" si="33"/>
        <v>0</v>
      </c>
      <c r="I297" s="638">
        <f t="shared" si="33"/>
        <v>0</v>
      </c>
      <c r="J297" s="334">
        <f t="shared" si="34"/>
        <v>22.5</v>
      </c>
      <c r="K297" s="326"/>
    </row>
    <row r="298" spans="1:11">
      <c r="A298" s="971"/>
      <c r="B298" s="971"/>
      <c r="C298" s="327" t="str">
        <f t="shared" si="31"/>
        <v>Promotion</v>
      </c>
      <c r="D298" s="328">
        <f t="shared" si="32"/>
        <v>11</v>
      </c>
      <c r="E298" s="637">
        <f>(E258-($J258/xxNumOfTeams))/$J$265</f>
        <v>0</v>
      </c>
      <c r="F298" s="624">
        <f t="shared" si="33"/>
        <v>0</v>
      </c>
      <c r="G298" s="624">
        <f t="shared" si="33"/>
        <v>0</v>
      </c>
      <c r="H298" s="624">
        <f t="shared" si="33"/>
        <v>0</v>
      </c>
      <c r="I298" s="638">
        <f t="shared" si="33"/>
        <v>0</v>
      </c>
      <c r="J298" s="334">
        <f t="shared" si="34"/>
        <v>27.5</v>
      </c>
      <c r="K298" s="326"/>
    </row>
    <row r="299" spans="1:11">
      <c r="A299" s="971"/>
      <c r="B299" s="971"/>
      <c r="C299" s="327" t="str">
        <f t="shared" si="31"/>
        <v>Sales Force</v>
      </c>
      <c r="D299" s="328">
        <f t="shared" si="32"/>
        <v>6</v>
      </c>
      <c r="E299" s="637">
        <f t="shared" si="33"/>
        <v>0</v>
      </c>
      <c r="F299" s="624">
        <f t="shared" si="33"/>
        <v>0</v>
      </c>
      <c r="G299" s="624">
        <f t="shared" si="33"/>
        <v>0</v>
      </c>
      <c r="H299" s="624">
        <f t="shared" si="33"/>
        <v>0</v>
      </c>
      <c r="I299" s="638">
        <f t="shared" si="33"/>
        <v>0</v>
      </c>
      <c r="J299" s="334">
        <f t="shared" si="34"/>
        <v>15</v>
      </c>
      <c r="K299" s="326"/>
    </row>
    <row r="300" spans="1:11">
      <c r="A300" s="971"/>
      <c r="B300" s="971"/>
      <c r="C300" s="327" t="str">
        <f t="shared" si="31"/>
        <v>Innovation</v>
      </c>
      <c r="D300" s="328">
        <f t="shared" si="32"/>
        <v>14</v>
      </c>
      <c r="E300" s="637">
        <f t="shared" si="33"/>
        <v>0</v>
      </c>
      <c r="F300" s="624">
        <f t="shared" si="33"/>
        <v>0</v>
      </c>
      <c r="G300" s="624">
        <f t="shared" si="33"/>
        <v>0</v>
      </c>
      <c r="H300" s="624">
        <f t="shared" si="33"/>
        <v>0</v>
      </c>
      <c r="I300" s="638">
        <f t="shared" si="33"/>
        <v>0</v>
      </c>
      <c r="J300" s="334">
        <f t="shared" si="34"/>
        <v>0</v>
      </c>
      <c r="K300" s="326"/>
    </row>
    <row r="301" spans="1:11">
      <c r="A301" s="971"/>
      <c r="B301" s="971"/>
      <c r="C301" s="327" t="str">
        <f t="shared" si="31"/>
        <v>Channel Penetration</v>
      </c>
      <c r="D301" s="328">
        <f t="shared" si="32"/>
        <v>0</v>
      </c>
      <c r="E301" s="637">
        <f t="shared" si="33"/>
        <v>0</v>
      </c>
      <c r="F301" s="624">
        <f t="shared" si="33"/>
        <v>0</v>
      </c>
      <c r="G301" s="624">
        <f t="shared" si="33"/>
        <v>0</v>
      </c>
      <c r="H301" s="624">
        <f t="shared" si="33"/>
        <v>0</v>
      </c>
      <c r="I301" s="638">
        <f t="shared" si="33"/>
        <v>0</v>
      </c>
      <c r="J301" s="334">
        <f t="shared" si="34"/>
        <v>0</v>
      </c>
      <c r="K301" s="326"/>
    </row>
    <row r="302" spans="1:11">
      <c r="A302" s="971"/>
      <c r="B302" s="971"/>
      <c r="C302" s="327" t="str">
        <f t="shared" si="31"/>
        <v>GTM Digitization</v>
      </c>
      <c r="D302" s="328">
        <f t="shared" si="32"/>
        <v>10</v>
      </c>
      <c r="E302" s="637">
        <f t="shared" si="33"/>
        <v>0</v>
      </c>
      <c r="F302" s="624">
        <f t="shared" si="33"/>
        <v>0</v>
      </c>
      <c r="G302" s="624">
        <f t="shared" si="33"/>
        <v>0</v>
      </c>
      <c r="H302" s="624">
        <f t="shared" si="33"/>
        <v>0</v>
      </c>
      <c r="I302" s="638">
        <f t="shared" si="33"/>
        <v>0</v>
      </c>
      <c r="J302" s="334">
        <f t="shared" si="34"/>
        <v>25</v>
      </c>
      <c r="K302" s="326"/>
    </row>
    <row r="303" spans="1:11">
      <c r="A303" s="971"/>
      <c r="B303" s="971"/>
      <c r="C303" s="327" t="str">
        <f t="shared" si="31"/>
        <v>Driver 10</v>
      </c>
      <c r="D303" s="328">
        <f t="shared" si="32"/>
        <v>0</v>
      </c>
      <c r="E303" s="637">
        <f t="shared" ref="E303:I304" si="35">(E263-($J263/xxNumOfTeams))/$J$265</f>
        <v>0</v>
      </c>
      <c r="F303" s="624">
        <f t="shared" si="35"/>
        <v>0</v>
      </c>
      <c r="G303" s="624">
        <f t="shared" si="35"/>
        <v>0</v>
      </c>
      <c r="H303" s="624">
        <f t="shared" si="35"/>
        <v>0</v>
      </c>
      <c r="I303" s="638">
        <f t="shared" si="35"/>
        <v>0</v>
      </c>
      <c r="J303" s="334">
        <f t="shared" si="34"/>
        <v>0</v>
      </c>
      <c r="K303" s="326"/>
    </row>
    <row r="304" spans="1:11">
      <c r="A304" s="971"/>
      <c r="B304" s="971"/>
      <c r="C304" s="335" t="str">
        <f t="shared" si="31"/>
        <v>Special Programs</v>
      </c>
      <c r="D304" s="150">
        <f t="shared" si="32"/>
        <v>0</v>
      </c>
      <c r="E304" s="639">
        <f t="shared" si="35"/>
        <v>0</v>
      </c>
      <c r="F304" s="640">
        <f t="shared" si="35"/>
        <v>0</v>
      </c>
      <c r="G304" s="640">
        <f t="shared" si="35"/>
        <v>0</v>
      </c>
      <c r="H304" s="640">
        <f t="shared" si="35"/>
        <v>0</v>
      </c>
      <c r="I304" s="641">
        <f t="shared" si="35"/>
        <v>0</v>
      </c>
      <c r="J304" s="334">
        <f t="shared" si="34"/>
        <v>0</v>
      </c>
      <c r="K304" s="326"/>
    </row>
    <row r="305" spans="1:11">
      <c r="A305" s="971"/>
      <c r="B305" s="971"/>
      <c r="C305" s="327" t="str">
        <f t="shared" si="31"/>
        <v>Total Effect</v>
      </c>
      <c r="D305" s="150"/>
      <c r="E305" s="1229">
        <f>SUM(E294:E304)</f>
        <v>0</v>
      </c>
      <c r="F305" s="1230">
        <f>SUM(F294:F304)</f>
        <v>0</v>
      </c>
      <c r="G305" s="1230">
        <f>SUM(G294:G304)</f>
        <v>0</v>
      </c>
      <c r="H305" s="1230">
        <f>SUM(H294:H304)</f>
        <v>0</v>
      </c>
      <c r="I305" s="1231">
        <f>SUM(I294:I304)</f>
        <v>0</v>
      </c>
      <c r="J305" s="331">
        <f t="shared" ref="E305:J309" si="36">J265</f>
        <v>195</v>
      </c>
      <c r="K305" s="326"/>
    </row>
    <row r="306" spans="1:11" ht="12" thickBot="1">
      <c r="A306" s="971"/>
      <c r="B306" s="971"/>
      <c r="C306" s="327" t="str">
        <f t="shared" si="31"/>
        <v>Rank</v>
      </c>
      <c r="D306" s="150"/>
      <c r="E306" s="705">
        <f t="shared" si="36"/>
        <v>1</v>
      </c>
      <c r="F306" s="705">
        <f t="shared" si="36"/>
        <v>1</v>
      </c>
      <c r="G306" s="705">
        <f t="shared" si="36"/>
        <v>1</v>
      </c>
      <c r="H306" s="705">
        <f t="shared" si="36"/>
        <v>1</v>
      </c>
      <c r="I306" s="705">
        <f t="shared" si="36"/>
        <v>1</v>
      </c>
      <c r="J306" s="684" t="s">
        <v>2227</v>
      </c>
      <c r="K306" s="326"/>
    </row>
    <row r="307" spans="1:11">
      <c r="A307" s="971"/>
      <c r="B307" s="971"/>
      <c r="C307" s="627" t="s">
        <v>3201</v>
      </c>
      <c r="D307" s="628"/>
      <c r="E307" s="666">
        <f t="shared" si="36"/>
        <v>0.2</v>
      </c>
      <c r="F307" s="666">
        <f t="shared" si="36"/>
        <v>0.2</v>
      </c>
      <c r="G307" s="666">
        <f t="shared" si="36"/>
        <v>0.2</v>
      </c>
      <c r="H307" s="666">
        <f t="shared" si="36"/>
        <v>0.2</v>
      </c>
      <c r="I307" s="666">
        <f t="shared" si="36"/>
        <v>0.2</v>
      </c>
      <c r="J307" s="648">
        <f t="shared" si="36"/>
        <v>0.35</v>
      </c>
      <c r="K307" s="630"/>
    </row>
    <row r="308" spans="1:11" ht="12" thickBot="1">
      <c r="A308" s="971"/>
      <c r="B308" s="971"/>
      <c r="C308" s="134" t="s">
        <v>1999</v>
      </c>
      <c r="D308" s="135"/>
      <c r="E308" s="625">
        <f t="shared" si="36"/>
        <v>0.2</v>
      </c>
      <c r="F308" s="625">
        <f t="shared" si="36"/>
        <v>0.2</v>
      </c>
      <c r="G308" s="625">
        <f t="shared" si="36"/>
        <v>0.2</v>
      </c>
      <c r="H308" s="625">
        <f t="shared" si="36"/>
        <v>0.2</v>
      </c>
      <c r="I308" s="625">
        <f t="shared" si="36"/>
        <v>0.2</v>
      </c>
      <c r="J308" s="665">
        <f t="shared" si="36"/>
        <v>0.65</v>
      </c>
      <c r="K308" s="136"/>
    </row>
    <row r="309" spans="1:11" ht="12" thickBot="1">
      <c r="A309" s="971"/>
      <c r="B309" s="971"/>
      <c r="C309" s="631" t="s">
        <v>2830</v>
      </c>
      <c r="D309" s="371"/>
      <c r="E309" s="665">
        <f t="shared" si="36"/>
        <v>0.2</v>
      </c>
      <c r="F309" s="665">
        <f t="shared" si="36"/>
        <v>0.2</v>
      </c>
      <c r="G309" s="665">
        <f t="shared" si="36"/>
        <v>0.2</v>
      </c>
      <c r="H309" s="665">
        <f t="shared" si="36"/>
        <v>0.2</v>
      </c>
      <c r="I309" s="665">
        <f t="shared" si="36"/>
        <v>0.2</v>
      </c>
      <c r="J309" s="633">
        <f t="shared" si="36"/>
        <v>3746399999.9999995</v>
      </c>
      <c r="K309" s="136" t="s">
        <v>2327</v>
      </c>
    </row>
    <row r="310" spans="1:11" ht="12" thickBot="1">
      <c r="A310" s="971"/>
      <c r="B310" s="971"/>
    </row>
    <row r="311" spans="1:11" ht="12" thickBot="1">
      <c r="A311" s="971"/>
      <c r="B311" s="971"/>
      <c r="C311" s="340" t="s">
        <v>951</v>
      </c>
      <c r="D311" s="315"/>
      <c r="E311" s="316"/>
      <c r="F311" s="316"/>
      <c r="G311" s="317"/>
      <c r="H311" s="317"/>
      <c r="I311" s="317"/>
      <c r="J311" s="317"/>
      <c r="K311" s="318"/>
    </row>
    <row r="312" spans="1:11" ht="12" thickBot="1">
      <c r="A312" s="971"/>
      <c r="B312" s="971"/>
      <c r="C312" s="314" t="s">
        <v>2672</v>
      </c>
      <c r="D312" s="699">
        <f>D272</f>
        <v>5530400000</v>
      </c>
      <c r="E312" s="315"/>
      <c r="F312" s="319"/>
      <c r="G312" s="315"/>
      <c r="H312" s="320"/>
      <c r="I312" s="321" t="s">
        <v>2673</v>
      </c>
      <c r="J312" s="322">
        <f>J272</f>
        <v>1784000000</v>
      </c>
      <c r="K312" s="318"/>
    </row>
    <row r="313" spans="1:11">
      <c r="A313" s="971"/>
      <c r="B313" s="971"/>
      <c r="C313" s="323" t="s">
        <v>2958</v>
      </c>
      <c r="D313" s="324"/>
      <c r="E313" s="325" t="s">
        <v>1834</v>
      </c>
      <c r="F313" s="325" t="s">
        <v>1835</v>
      </c>
      <c r="G313" s="325" t="s">
        <v>1836</v>
      </c>
      <c r="H313" s="325" t="s">
        <v>1837</v>
      </c>
      <c r="I313" s="325" t="s">
        <v>1838</v>
      </c>
      <c r="J313" s="325"/>
      <c r="K313" s="326"/>
    </row>
    <row r="314" spans="1:11">
      <c r="A314" s="971"/>
      <c r="B314" s="971"/>
      <c r="C314" s="327" t="str">
        <f t="shared" ref="C314:C326" si="37">C274</f>
        <v>Price</v>
      </c>
      <c r="D314" s="328">
        <f t="shared" ref="D314:D324" si="38">D274</f>
        <v>54</v>
      </c>
      <c r="E314" s="634">
        <f t="shared" ref="E314:I324" si="39">(E274-($J274/xxNumOfTeams))/$J$265</f>
        <v>0</v>
      </c>
      <c r="F314" s="635">
        <f t="shared" si="39"/>
        <v>0</v>
      </c>
      <c r="G314" s="635">
        <f t="shared" si="39"/>
        <v>0</v>
      </c>
      <c r="H314" s="635">
        <f t="shared" si="39"/>
        <v>0</v>
      </c>
      <c r="I314" s="636">
        <f t="shared" si="39"/>
        <v>0</v>
      </c>
      <c r="J314" s="331">
        <f t="shared" ref="J314:J324" si="40">J274</f>
        <v>135</v>
      </c>
      <c r="K314" s="326"/>
    </row>
    <row r="315" spans="1:11">
      <c r="A315" s="971"/>
      <c r="B315" s="971"/>
      <c r="C315" s="327" t="str">
        <f t="shared" si="37"/>
        <v>Range Of Products</v>
      </c>
      <c r="D315" s="328">
        <f t="shared" si="38"/>
        <v>8</v>
      </c>
      <c r="E315" s="637">
        <f t="shared" si="39"/>
        <v>0</v>
      </c>
      <c r="F315" s="624">
        <f t="shared" si="39"/>
        <v>0</v>
      </c>
      <c r="G315" s="624">
        <f t="shared" si="39"/>
        <v>0</v>
      </c>
      <c r="H315" s="624">
        <f t="shared" si="39"/>
        <v>0</v>
      </c>
      <c r="I315" s="638">
        <f t="shared" si="39"/>
        <v>0</v>
      </c>
      <c r="J315" s="334">
        <f t="shared" si="40"/>
        <v>20</v>
      </c>
      <c r="K315" s="326"/>
    </row>
    <row r="316" spans="1:11">
      <c r="A316" s="971"/>
      <c r="B316" s="971"/>
      <c r="C316" s="327" t="str">
        <f t="shared" si="37"/>
        <v>Brands</v>
      </c>
      <c r="D316" s="328">
        <f t="shared" si="38"/>
        <v>0</v>
      </c>
      <c r="E316" s="637">
        <f t="shared" si="39"/>
        <v>0</v>
      </c>
      <c r="F316" s="624">
        <f t="shared" si="39"/>
        <v>0</v>
      </c>
      <c r="G316" s="624">
        <f t="shared" si="39"/>
        <v>0</v>
      </c>
      <c r="H316" s="624">
        <f t="shared" si="39"/>
        <v>0</v>
      </c>
      <c r="I316" s="638">
        <f t="shared" si="39"/>
        <v>0</v>
      </c>
      <c r="J316" s="334">
        <f t="shared" si="40"/>
        <v>0</v>
      </c>
      <c r="K316" s="326"/>
    </row>
    <row r="317" spans="1:11">
      <c r="A317" s="971"/>
      <c r="B317" s="971"/>
      <c r="C317" s="327" t="str">
        <f t="shared" si="37"/>
        <v>Advertising</v>
      </c>
      <c r="D317" s="328">
        <f t="shared" si="38"/>
        <v>7</v>
      </c>
      <c r="E317" s="637">
        <f t="shared" si="39"/>
        <v>0</v>
      </c>
      <c r="F317" s="624">
        <f t="shared" si="39"/>
        <v>0</v>
      </c>
      <c r="G317" s="624">
        <f t="shared" si="39"/>
        <v>0</v>
      </c>
      <c r="H317" s="624">
        <f t="shared" si="39"/>
        <v>0</v>
      </c>
      <c r="I317" s="638">
        <f t="shared" si="39"/>
        <v>0</v>
      </c>
      <c r="J317" s="334">
        <f t="shared" si="40"/>
        <v>17.5</v>
      </c>
      <c r="K317" s="326"/>
    </row>
    <row r="318" spans="1:11">
      <c r="A318" s="971"/>
      <c r="B318" s="971"/>
      <c r="C318" s="327" t="str">
        <f t="shared" si="37"/>
        <v>Promotion</v>
      </c>
      <c r="D318" s="328">
        <f t="shared" si="38"/>
        <v>9</v>
      </c>
      <c r="E318" s="637">
        <f t="shared" si="39"/>
        <v>0</v>
      </c>
      <c r="F318" s="624">
        <f t="shared" si="39"/>
        <v>0</v>
      </c>
      <c r="G318" s="624">
        <f t="shared" si="39"/>
        <v>0</v>
      </c>
      <c r="H318" s="624">
        <f t="shared" si="39"/>
        <v>0</v>
      </c>
      <c r="I318" s="638">
        <f t="shared" si="39"/>
        <v>0</v>
      </c>
      <c r="J318" s="334">
        <f t="shared" si="40"/>
        <v>22.5</v>
      </c>
      <c r="K318" s="326"/>
    </row>
    <row r="319" spans="1:11">
      <c r="A319" s="971"/>
      <c r="B319" s="971"/>
      <c r="C319" s="327" t="str">
        <f t="shared" si="37"/>
        <v>Sales Force</v>
      </c>
      <c r="D319" s="328">
        <f t="shared" si="38"/>
        <v>10</v>
      </c>
      <c r="E319" s="637">
        <f t="shared" si="39"/>
        <v>0</v>
      </c>
      <c r="F319" s="624">
        <f t="shared" si="39"/>
        <v>0</v>
      </c>
      <c r="G319" s="624">
        <f t="shared" si="39"/>
        <v>0</v>
      </c>
      <c r="H319" s="624">
        <f t="shared" si="39"/>
        <v>0</v>
      </c>
      <c r="I319" s="638">
        <f t="shared" si="39"/>
        <v>0</v>
      </c>
      <c r="J319" s="334">
        <f t="shared" si="40"/>
        <v>25</v>
      </c>
      <c r="K319" s="326"/>
    </row>
    <row r="320" spans="1:11">
      <c r="A320" s="971"/>
      <c r="B320" s="971"/>
      <c r="C320" s="327" t="str">
        <f t="shared" si="37"/>
        <v>Innovation</v>
      </c>
      <c r="D320" s="328">
        <f t="shared" si="38"/>
        <v>14</v>
      </c>
      <c r="E320" s="637">
        <f t="shared" si="39"/>
        <v>0</v>
      </c>
      <c r="F320" s="624">
        <f t="shared" si="39"/>
        <v>0</v>
      </c>
      <c r="G320" s="624">
        <f t="shared" si="39"/>
        <v>0</v>
      </c>
      <c r="H320" s="624">
        <f t="shared" si="39"/>
        <v>0</v>
      </c>
      <c r="I320" s="638">
        <f t="shared" si="39"/>
        <v>0</v>
      </c>
      <c r="J320" s="334">
        <f t="shared" si="40"/>
        <v>0</v>
      </c>
      <c r="K320" s="326"/>
    </row>
    <row r="321" spans="1:11">
      <c r="A321" s="971"/>
      <c r="B321" s="971"/>
      <c r="C321" s="327" t="str">
        <f t="shared" si="37"/>
        <v>Channel Penetration</v>
      </c>
      <c r="D321" s="328">
        <f t="shared" si="38"/>
        <v>17</v>
      </c>
      <c r="E321" s="637">
        <f t="shared" si="39"/>
        <v>0</v>
      </c>
      <c r="F321" s="624">
        <f t="shared" si="39"/>
        <v>0</v>
      </c>
      <c r="G321" s="624">
        <f t="shared" si="39"/>
        <v>0</v>
      </c>
      <c r="H321" s="624">
        <f t="shared" si="39"/>
        <v>0</v>
      </c>
      <c r="I321" s="638">
        <f t="shared" si="39"/>
        <v>0</v>
      </c>
      <c r="J321" s="334">
        <f t="shared" si="40"/>
        <v>42.5</v>
      </c>
      <c r="K321" s="326"/>
    </row>
    <row r="322" spans="1:11">
      <c r="A322" s="971"/>
      <c r="B322" s="971"/>
      <c r="C322" s="327" t="str">
        <f t="shared" si="37"/>
        <v>GTM Digitization</v>
      </c>
      <c r="D322" s="328">
        <f t="shared" si="38"/>
        <v>0</v>
      </c>
      <c r="E322" s="637">
        <f t="shared" si="39"/>
        <v>0</v>
      </c>
      <c r="F322" s="624">
        <f t="shared" si="39"/>
        <v>0</v>
      </c>
      <c r="G322" s="624">
        <f t="shared" si="39"/>
        <v>0</v>
      </c>
      <c r="H322" s="624">
        <f t="shared" si="39"/>
        <v>0</v>
      </c>
      <c r="I322" s="638">
        <f t="shared" si="39"/>
        <v>0</v>
      </c>
      <c r="J322" s="334">
        <f t="shared" si="40"/>
        <v>0</v>
      </c>
      <c r="K322" s="326"/>
    </row>
    <row r="323" spans="1:11">
      <c r="A323" s="971"/>
      <c r="B323" s="971"/>
      <c r="C323" s="327" t="str">
        <f t="shared" si="37"/>
        <v>Driver 10</v>
      </c>
      <c r="D323" s="328">
        <f t="shared" si="38"/>
        <v>0</v>
      </c>
      <c r="E323" s="637">
        <f t="shared" si="39"/>
        <v>0</v>
      </c>
      <c r="F323" s="624">
        <f t="shared" si="39"/>
        <v>0</v>
      </c>
      <c r="G323" s="624">
        <f t="shared" si="39"/>
        <v>0</v>
      </c>
      <c r="H323" s="624">
        <f t="shared" si="39"/>
        <v>0</v>
      </c>
      <c r="I323" s="638">
        <f t="shared" si="39"/>
        <v>0</v>
      </c>
      <c r="J323" s="334">
        <f t="shared" si="40"/>
        <v>0</v>
      </c>
      <c r="K323" s="326"/>
    </row>
    <row r="324" spans="1:11">
      <c r="A324" s="971"/>
      <c r="B324" s="971"/>
      <c r="C324" s="335" t="str">
        <f t="shared" si="37"/>
        <v>Special Programs</v>
      </c>
      <c r="D324" s="150">
        <f t="shared" si="38"/>
        <v>0</v>
      </c>
      <c r="E324" s="639">
        <f t="shared" si="39"/>
        <v>0</v>
      </c>
      <c r="F324" s="640">
        <f t="shared" si="39"/>
        <v>0</v>
      </c>
      <c r="G324" s="640">
        <f t="shared" si="39"/>
        <v>0</v>
      </c>
      <c r="H324" s="640">
        <f t="shared" si="39"/>
        <v>0</v>
      </c>
      <c r="I324" s="641">
        <f t="shared" si="39"/>
        <v>0</v>
      </c>
      <c r="J324" s="334">
        <f t="shared" si="40"/>
        <v>0</v>
      </c>
      <c r="K324" s="326"/>
    </row>
    <row r="325" spans="1:11">
      <c r="A325" s="971"/>
      <c r="B325" s="971"/>
      <c r="C325" s="327" t="str">
        <f t="shared" si="37"/>
        <v>Total Effect</v>
      </c>
      <c r="D325" s="150"/>
      <c r="E325" s="1229">
        <f>SUM(E314:E324)</f>
        <v>0</v>
      </c>
      <c r="F325" s="1230">
        <f>SUM(F314:F324)</f>
        <v>0</v>
      </c>
      <c r="G325" s="1230">
        <f>SUM(G314:G324)</f>
        <v>0</v>
      </c>
      <c r="H325" s="1230">
        <f>SUM(H314:H324)</f>
        <v>0</v>
      </c>
      <c r="I325" s="1231">
        <f>SUM(I314:I324)</f>
        <v>0</v>
      </c>
      <c r="J325" s="331">
        <f>J285</f>
        <v>262.5</v>
      </c>
      <c r="K325" s="326"/>
    </row>
    <row r="326" spans="1:11" ht="12" thickBot="1">
      <c r="A326" s="971"/>
      <c r="B326" s="971"/>
      <c r="C326" s="327" t="str">
        <f t="shared" si="37"/>
        <v>Rank</v>
      </c>
      <c r="D326" s="150"/>
      <c r="E326" s="705">
        <f>E286</f>
        <v>1</v>
      </c>
      <c r="F326" s="705">
        <f>F286</f>
        <v>1</v>
      </c>
      <c r="G326" s="705">
        <f>G286</f>
        <v>1</v>
      </c>
      <c r="H326" s="705">
        <f>H286</f>
        <v>1</v>
      </c>
      <c r="I326" s="705">
        <f>I286</f>
        <v>1</v>
      </c>
      <c r="J326" s="684" t="s">
        <v>2227</v>
      </c>
      <c r="K326" s="326"/>
    </row>
    <row r="327" spans="1:11">
      <c r="A327" s="971"/>
      <c r="B327" s="971"/>
      <c r="C327" s="627" t="s">
        <v>3201</v>
      </c>
      <c r="D327" s="628"/>
      <c r="E327" s="666">
        <f t="shared" ref="E327:J327" si="41">E287</f>
        <v>0.2</v>
      </c>
      <c r="F327" s="666">
        <f t="shared" si="41"/>
        <v>0.2</v>
      </c>
      <c r="G327" s="666">
        <f t="shared" si="41"/>
        <v>0.2</v>
      </c>
      <c r="H327" s="666">
        <f t="shared" si="41"/>
        <v>0.2</v>
      </c>
      <c r="I327" s="666">
        <f t="shared" si="41"/>
        <v>0.2</v>
      </c>
      <c r="J327" s="648">
        <f t="shared" si="41"/>
        <v>0.35</v>
      </c>
      <c r="K327" s="630"/>
    </row>
    <row r="328" spans="1:11" ht="12" thickBot="1">
      <c r="A328" s="971"/>
      <c r="B328" s="971"/>
      <c r="C328" s="134" t="s">
        <v>1999</v>
      </c>
      <c r="D328" s="135"/>
      <c r="E328" s="625">
        <f t="shared" ref="E328:J328" si="42">E288</f>
        <v>0.2</v>
      </c>
      <c r="F328" s="625">
        <f t="shared" si="42"/>
        <v>0.2</v>
      </c>
      <c r="G328" s="625">
        <f t="shared" si="42"/>
        <v>0.2</v>
      </c>
      <c r="H328" s="625">
        <f t="shared" si="42"/>
        <v>0.2</v>
      </c>
      <c r="I328" s="625">
        <f t="shared" si="42"/>
        <v>0.2</v>
      </c>
      <c r="J328" s="665">
        <f t="shared" si="42"/>
        <v>0.65</v>
      </c>
      <c r="K328" s="136"/>
    </row>
    <row r="329" spans="1:11" ht="12" thickBot="1">
      <c r="A329" s="971"/>
      <c r="B329" s="971"/>
      <c r="C329" s="631" t="s">
        <v>2830</v>
      </c>
      <c r="D329" s="371"/>
      <c r="E329" s="665">
        <f t="shared" ref="E329:J329" si="43">E289</f>
        <v>0.2</v>
      </c>
      <c r="F329" s="665">
        <f t="shared" si="43"/>
        <v>0.2</v>
      </c>
      <c r="G329" s="665">
        <f t="shared" si="43"/>
        <v>0.2</v>
      </c>
      <c r="H329" s="665">
        <f t="shared" si="43"/>
        <v>0.2</v>
      </c>
      <c r="I329" s="665">
        <f t="shared" si="43"/>
        <v>0.2</v>
      </c>
      <c r="J329" s="633">
        <f t="shared" si="43"/>
        <v>1784000000</v>
      </c>
      <c r="K329" s="136" t="s">
        <v>2327</v>
      </c>
    </row>
  </sheetData>
  <phoneticPr fontId="0" type="noConversion"/>
  <dataValidations disablePrompts="1" count="1">
    <dataValidation type="decimal" allowBlank="1" showInputMessage="1" showErrorMessage="1" sqref="E241:I241 E202:I206 E226:I226">
      <formula1>-1</formula1>
      <formula2>1</formula2>
    </dataValidation>
  </dataValidations>
  <pageMargins left="0.5" right="0.5" top="0.5" bottom="0.5" header="0.5" footer="0.5"/>
  <pageSetup scale="60" orientation="portrait" r:id="rId1"/>
  <headerFooter alignWithMargins="0"/>
  <rowBreaks count="2" manualBreakCount="2">
    <brk id="159" max="10" man="1"/>
    <brk id="248" max="16383" man="1"/>
  </rowBreaks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MProd2">
    <tabColor indexed="10"/>
  </sheetPr>
  <dimension ref="A1:N446"/>
  <sheetViews>
    <sheetView showGridLines="0" workbookViewId="0">
      <pane ySplit="1" topLeftCell="A2" activePane="bottomLeft" state="frozen"/>
      <selection activeCell="C352" sqref="C352"/>
      <selection pane="bottomLeft" activeCell="C348" sqref="C348:K366"/>
    </sheetView>
  </sheetViews>
  <sheetFormatPr defaultRowHeight="11.25"/>
  <cols>
    <col min="1" max="1" width="1.83203125" customWidth="1"/>
    <col min="2" max="2" width="18.5" customWidth="1"/>
    <col min="3" max="3" width="15.5" customWidth="1"/>
    <col min="4" max="4" width="18.5" customWidth="1"/>
    <col min="5" max="9" width="13.1640625" customWidth="1"/>
    <col min="10" max="10" width="17.5" bestFit="1" customWidth="1"/>
    <col min="11" max="11" width="11.5" customWidth="1"/>
    <col min="12" max="12" width="11.5" bestFit="1" customWidth="1"/>
    <col min="13" max="14" width="10" bestFit="1" customWidth="1"/>
  </cols>
  <sheetData>
    <row r="1" spans="1:14" s="145" customFormat="1" ht="15.75">
      <c r="A1" s="148" t="str">
        <f>"Market Model "&amp; DataNameProd2</f>
        <v>Market Model Breakthrough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4" ht="12" thickBot="1">
      <c r="A2" s="968"/>
      <c r="B2" s="968"/>
      <c r="C2" s="3"/>
      <c r="D2" s="3"/>
      <c r="E2" s="3"/>
      <c r="F2" s="3"/>
      <c r="G2" s="3"/>
      <c r="H2" s="3"/>
      <c r="I2" s="3"/>
      <c r="J2" s="3"/>
      <c r="K2" s="3"/>
    </row>
    <row r="3" spans="1:14">
      <c r="A3" s="968"/>
      <c r="B3" s="968"/>
      <c r="C3" s="137" t="s">
        <v>1132</v>
      </c>
      <c r="D3" s="2">
        <v>-1</v>
      </c>
      <c r="E3" s="2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1223" t="s">
        <v>462</v>
      </c>
      <c r="L3" s="1220" t="s">
        <v>459</v>
      </c>
      <c r="M3" s="1221" t="s">
        <v>460</v>
      </c>
      <c r="N3" s="1222" t="s">
        <v>461</v>
      </c>
    </row>
    <row r="4" spans="1:14">
      <c r="A4" s="968"/>
      <c r="B4" s="968"/>
      <c r="C4" s="25" t="str">
        <f>DataNameProd2Seg1</f>
        <v>*Holy Cow Cup</v>
      </c>
      <c r="D4" s="216">
        <f t="shared" ref="D4:J4" si="0">xxMMProd2Seg1Units</f>
        <v>0</v>
      </c>
      <c r="E4" s="216">
        <f t="shared" si="0"/>
        <v>0</v>
      </c>
      <c r="F4" s="216">
        <f t="shared" si="0"/>
        <v>55000000</v>
      </c>
      <c r="G4" s="216">
        <f t="shared" si="0"/>
        <v>59400000.000000007</v>
      </c>
      <c r="H4" s="216">
        <f t="shared" si="0"/>
        <v>63249999.999999993</v>
      </c>
      <c r="I4" s="216">
        <f t="shared" si="0"/>
        <v>66000000</v>
      </c>
      <c r="J4" s="216">
        <f t="shared" si="0"/>
        <v>66000000</v>
      </c>
      <c r="K4" s="446">
        <f>SUM(cbal!K304,cbal!K308,cbal!K312)+2</f>
        <v>2</v>
      </c>
      <c r="L4" s="1217">
        <f>VLOOKUP(C4,DataPage!$B$134:$D$137,3,0)</f>
        <v>16</v>
      </c>
      <c r="M4" s="1216" t="e">
        <f>(SUMIF($E13:$I13,1,$E$26:$I$26)+SUMIF($E13:$I13,2,$E$27:$I$27))/COUNTIF($E13:$I13,"&gt;0")</f>
        <v>#DIV/0!</v>
      </c>
      <c r="N4" s="1224" t="e">
        <f>(1-NORMDIST(M4,L4,2,TRUE))+0.5</f>
        <v>#DIV/0!</v>
      </c>
    </row>
    <row r="5" spans="1:14">
      <c r="A5" s="968"/>
      <c r="B5" s="968"/>
      <c r="C5" s="25" t="str">
        <f>DataNameProd2Seg2</f>
        <v>*Nitro Nachos</v>
      </c>
      <c r="D5" s="216">
        <f t="shared" ref="D5:J5" si="1">xxMMProd2Seg2Units</f>
        <v>0</v>
      </c>
      <c r="E5" s="216">
        <f t="shared" si="1"/>
        <v>0</v>
      </c>
      <c r="F5" s="216">
        <f t="shared" si="1"/>
        <v>85000000</v>
      </c>
      <c r="G5" s="216">
        <f t="shared" si="1"/>
        <v>91800000</v>
      </c>
      <c r="H5" s="216">
        <f t="shared" si="1"/>
        <v>97749999.999999985</v>
      </c>
      <c r="I5" s="216">
        <f t="shared" si="1"/>
        <v>102000000</v>
      </c>
      <c r="J5" s="216">
        <f t="shared" si="1"/>
        <v>102000000</v>
      </c>
      <c r="K5" s="446">
        <f>SUM(cbal!K305,cbal!K309,cbal!K313)+2</f>
        <v>2</v>
      </c>
      <c r="L5" s="1217">
        <f>VLOOKUP(C5,DataPage!$B$134:$D$137,3,0)</f>
        <v>15</v>
      </c>
      <c r="M5" s="1214" t="e">
        <f>(SUMIF($E14:$I14,1,$E$26:$I$26)+SUMIF($E14:$I14,2,$E$27:$I$27))/COUNTIF($E14:$I14,"&gt;0")</f>
        <v>#DIV/0!</v>
      </c>
      <c r="N5" s="1225" t="e">
        <f>(1-NORMDIST(M5,L5,2,TRUE))+0.5</f>
        <v>#DIV/0!</v>
      </c>
    </row>
    <row r="6" spans="1:14">
      <c r="A6" s="968"/>
      <c r="B6" s="968"/>
      <c r="C6" s="25" t="str">
        <f>DataNameProd2Seg3</f>
        <v>*Home Fountain</v>
      </c>
      <c r="D6" s="216">
        <f t="shared" ref="D6:J6" si="2">xxMMProd2Seg3Units</f>
        <v>0</v>
      </c>
      <c r="E6" s="216">
        <f t="shared" si="2"/>
        <v>0</v>
      </c>
      <c r="F6" s="216">
        <f t="shared" si="2"/>
        <v>50000000</v>
      </c>
      <c r="G6" s="216">
        <f t="shared" si="2"/>
        <v>54000000</v>
      </c>
      <c r="H6" s="216">
        <f t="shared" si="2"/>
        <v>57499999.999999993</v>
      </c>
      <c r="I6" s="216">
        <f t="shared" si="2"/>
        <v>60000000</v>
      </c>
      <c r="J6" s="216">
        <f t="shared" si="2"/>
        <v>60000000</v>
      </c>
      <c r="K6" s="446">
        <f>SUM(cbal!K306,cbal!K310,cbal!K314)+2</f>
        <v>2</v>
      </c>
      <c r="L6" s="1217">
        <f>VLOOKUP(C6,DataPage!$B$134:$D$137,3,0)</f>
        <v>17.5</v>
      </c>
      <c r="M6" s="1214" t="e">
        <f>(SUMIF($E15:$I15,1,$E$26:$I$26)+SUMIF($E15:$I15,2,$E$27:$I$27))/COUNTIF($E15:$I15,"&gt;0")</f>
        <v>#DIV/0!</v>
      </c>
      <c r="N6" s="1225" t="e">
        <f>(1-NORMDIST(M6,L6,2,TRUE))+0.5</f>
        <v>#DIV/0!</v>
      </c>
    </row>
    <row r="7" spans="1:14" ht="12" thickBot="1">
      <c r="A7" s="968"/>
      <c r="B7" s="968"/>
      <c r="C7" s="25" t="str">
        <f>DataNameProd2Seg4</f>
        <v>*CentrePlate</v>
      </c>
      <c r="D7" s="216">
        <f t="shared" ref="D7:J7" si="3">xxMMProd2Seg4Units</f>
        <v>0</v>
      </c>
      <c r="E7" s="216">
        <f t="shared" si="3"/>
        <v>0</v>
      </c>
      <c r="F7" s="216">
        <f t="shared" si="3"/>
        <v>47000000</v>
      </c>
      <c r="G7" s="216">
        <f t="shared" si="3"/>
        <v>50760000</v>
      </c>
      <c r="H7" s="216">
        <f t="shared" si="3"/>
        <v>54049999.999999993</v>
      </c>
      <c r="I7" s="216">
        <f t="shared" si="3"/>
        <v>56400000</v>
      </c>
      <c r="J7" s="216">
        <f t="shared" si="3"/>
        <v>56400000</v>
      </c>
      <c r="K7" s="1019">
        <f>SUM(cbal!K307,cbal!K311,cbal!K315)+2</f>
        <v>2</v>
      </c>
      <c r="L7" s="1218">
        <f>VLOOKUP(C7,DataPage!$B$134:$D$137,3,0)</f>
        <v>15</v>
      </c>
      <c r="M7" s="1219" t="e">
        <f>(SUMIF($E16:$I16,1,$E$26:$I$26)+SUMIF($E16:$I16,2,$E$27:$I$27))/COUNTIF($E16:$I16,"&gt;0")</f>
        <v>#DIV/0!</v>
      </c>
      <c r="N7" s="1226" t="e">
        <f>(1-NORMDIST(M7,L7,2,TRUE))+0.5</f>
        <v>#DIV/0!</v>
      </c>
    </row>
    <row r="8" spans="1:14">
      <c r="A8" s="968"/>
      <c r="B8" s="968"/>
      <c r="C8" s="25" t="str">
        <f>DataNameProd2Seg5</f>
        <v>Segment 5</v>
      </c>
      <c r="D8" s="216">
        <f t="shared" ref="D8:J8" si="4">xxMMProd2Seg5Units</f>
        <v>0</v>
      </c>
      <c r="E8" s="216">
        <f t="shared" si="4"/>
        <v>0</v>
      </c>
      <c r="F8" s="216">
        <f t="shared" si="4"/>
        <v>0</v>
      </c>
      <c r="G8" s="216">
        <f t="shared" si="4"/>
        <v>0</v>
      </c>
      <c r="H8" s="216">
        <f t="shared" si="4"/>
        <v>0</v>
      </c>
      <c r="I8" s="216">
        <f t="shared" si="4"/>
        <v>0</v>
      </c>
      <c r="J8" s="216">
        <f t="shared" si="4"/>
        <v>0</v>
      </c>
      <c r="K8" s="1213"/>
    </row>
    <row r="9" spans="1:14">
      <c r="A9" s="968"/>
      <c r="B9" s="968"/>
      <c r="C9" s="3"/>
      <c r="D9" s="85"/>
      <c r="E9" s="85"/>
      <c r="F9" s="85"/>
      <c r="G9" s="85"/>
      <c r="H9" s="85"/>
      <c r="I9" s="85"/>
      <c r="J9" s="85"/>
      <c r="K9" s="3"/>
    </row>
    <row r="10" spans="1:14">
      <c r="A10" s="968"/>
      <c r="B10" s="968"/>
      <c r="C10" s="2" t="s">
        <v>2671</v>
      </c>
      <c r="D10" s="279">
        <v>4</v>
      </c>
      <c r="E10" s="280" t="s">
        <v>2325</v>
      </c>
      <c r="F10" s="3"/>
      <c r="G10" s="3"/>
      <c r="H10" s="3"/>
      <c r="I10" s="3"/>
      <c r="J10" s="3"/>
      <c r="K10" s="3"/>
    </row>
    <row r="11" spans="1:14">
      <c r="A11" s="968"/>
      <c r="B11" s="968"/>
      <c r="C11" s="2"/>
      <c r="D11" s="88"/>
      <c r="E11" s="3"/>
      <c r="F11" s="3"/>
      <c r="H11" s="3"/>
      <c r="I11" s="3"/>
      <c r="J11" s="3"/>
      <c r="K11" s="3"/>
    </row>
    <row r="12" spans="1:14" ht="12" thickBot="1">
      <c r="A12" s="968"/>
      <c r="B12" s="968"/>
      <c r="C12" s="2" t="s">
        <v>3788</v>
      </c>
      <c r="D12" s="3"/>
      <c r="F12" s="85"/>
      <c r="G12" s="3"/>
      <c r="H12" s="3"/>
      <c r="I12" s="3"/>
      <c r="J12" s="3"/>
      <c r="K12" s="3"/>
      <c r="L12" s="73" t="s">
        <v>1366</v>
      </c>
      <c r="M12" s="1092" t="s">
        <v>1365</v>
      </c>
    </row>
    <row r="13" spans="1:14" ht="12" thickBot="1">
      <c r="A13" s="968"/>
      <c r="B13" s="968"/>
      <c r="C13" s="276" t="str">
        <f>C4</f>
        <v>*Holy Cow Cup</v>
      </c>
      <c r="D13" s="270">
        <f>IF(SUM(E13:I13)=0,1,INDEX($D4:$J4,K4)*VLOOKUP(COUNTIF($E13:$I13,"&gt;0"),$L$13:$M$17,2,0)*$N4)</f>
        <v>1</v>
      </c>
      <c r="E13" s="46">
        <f>IF(ISNA(MATCH($C13,cbal!E$221:E$222,0)),0,MATCH($C13,cbal!E$221:E$222,0))</f>
        <v>0</v>
      </c>
      <c r="F13" s="46">
        <f>IF(ISNA(MATCH($C13,cbal!F$221:F$222,0)),0,MATCH($C13,cbal!F$221:F$222,0))</f>
        <v>0</v>
      </c>
      <c r="G13" s="46">
        <f>IF(ISNA(MATCH($C13,cbal!G$221:G$222,0)),0,MATCH($C13,cbal!G$221:G$222,0))</f>
        <v>0</v>
      </c>
      <c r="H13" s="46">
        <f>IF(ISNA(MATCH($C13,cbal!H$221:H$222,0)),0,MATCH($C13,cbal!H$221:H$222,0))</f>
        <v>0</v>
      </c>
      <c r="I13" s="46">
        <f>IF(ISNA(MATCH($C13,cbal!I$221:I$222,0)),0,MATCH($C13,cbal!I$221:I$222,0))</f>
        <v>0</v>
      </c>
      <c r="J13" s="831"/>
      <c r="K13" s="3" t="s">
        <v>1362</v>
      </c>
      <c r="L13" s="108">
        <v>1</v>
      </c>
      <c r="M13" s="90">
        <v>1</v>
      </c>
    </row>
    <row r="14" spans="1:14" ht="12" thickBot="1">
      <c r="A14" s="968"/>
      <c r="B14" s="968"/>
      <c r="C14" s="276" t="str">
        <f>C5</f>
        <v>*Nitro Nachos</v>
      </c>
      <c r="D14" s="270">
        <f>IF(SUM(E14:I14)=0,1,INDEX($D5:$J5,K5)*VLOOKUP(COUNTIF($E14:$I14,"&gt;0"),$L$13:$M$17,2,0)*$N5)</f>
        <v>1</v>
      </c>
      <c r="E14" s="38">
        <f>IF(ISNA(MATCH($C14,cbal!E$221:E$222,0)),0,MATCH($C14,cbal!E$221:E$222,0))</f>
        <v>0</v>
      </c>
      <c r="F14" s="38">
        <f>IF(ISNA(MATCH($C14,cbal!F$221:F$222,0)),0,MATCH($C14,cbal!F$221:F$222,0))</f>
        <v>0</v>
      </c>
      <c r="G14" s="38">
        <f>IF(ISNA(MATCH($C14,cbal!G$221:G$222,0)),0,MATCH($C14,cbal!G$221:G$222,0))</f>
        <v>0</v>
      </c>
      <c r="H14" s="38">
        <f>IF(ISNA(MATCH($C14,cbal!H$221:H$222,0)),0,MATCH($C14,cbal!H$221:H$222,0))</f>
        <v>0</v>
      </c>
      <c r="I14" s="38">
        <f>IF(ISNA(MATCH($C14,cbal!I$221:I$222,0)),0,MATCH($C14,cbal!I$221:I$222,0))</f>
        <v>0</v>
      </c>
      <c r="J14" s="977"/>
      <c r="K14" s="3"/>
      <c r="L14" s="91">
        <v>2</v>
      </c>
      <c r="M14" s="97">
        <v>1.5</v>
      </c>
    </row>
    <row r="15" spans="1:14" ht="12" thickBot="1">
      <c r="A15" s="968"/>
      <c r="B15" s="968"/>
      <c r="C15" s="276" t="str">
        <f>C6</f>
        <v>*Home Fountain</v>
      </c>
      <c r="D15" s="270">
        <f>IF(SUM(E15:I15)=0,1,INDEX($D6:$J6,K6)*VLOOKUP(COUNTIF($E15:$I15,"&gt;0"),$L$13:$M$17,2,0)*$N6)</f>
        <v>1</v>
      </c>
      <c r="E15" s="38">
        <f>IF(ISNA(MATCH($C15,cbal!E$221:E$222,0)),0,MATCH($C15,cbal!E$221:E$222,0))</f>
        <v>0</v>
      </c>
      <c r="F15" s="38">
        <f>IF(ISNA(MATCH($C15,cbal!F$221:F$222,0)),0,MATCH($C15,cbal!F$221:F$222,0))</f>
        <v>0</v>
      </c>
      <c r="G15" s="38">
        <f>IF(ISNA(MATCH($C15,cbal!G$221:G$222,0)),0,MATCH($C15,cbal!G$221:G$222,0))</f>
        <v>0</v>
      </c>
      <c r="H15" s="38">
        <f>IF(ISNA(MATCH($C15,cbal!H$221:H$222,0)),0,MATCH($C15,cbal!H$221:H$222,0))</f>
        <v>0</v>
      </c>
      <c r="I15" s="38">
        <f>IF(ISNA(MATCH($C15,cbal!I$221:I$222,0)),0,MATCH($C15,cbal!I$221:I$222,0))</f>
        <v>0</v>
      </c>
      <c r="J15" s="977"/>
      <c r="K15" s="3"/>
      <c r="L15" s="91">
        <v>3</v>
      </c>
      <c r="M15" s="97">
        <v>1.8</v>
      </c>
    </row>
    <row r="16" spans="1:14" ht="12" thickBot="1">
      <c r="A16" s="968"/>
      <c r="B16" s="968"/>
      <c r="C16" s="276" t="str">
        <f>C7</f>
        <v>*CentrePlate</v>
      </c>
      <c r="D16" s="270">
        <f>IF(SUM(E16:I16)=0,1,INDEX($D7:$J7,K7)*VLOOKUP(COUNTIF($E16:$I16,"&gt;0"),$L$13:$M$17,2,0)*$N7)</f>
        <v>1</v>
      </c>
      <c r="E16" s="67">
        <f>IF(ISNA(MATCH($C16,cbal!E$221:E$222,0)),0,MATCH($C16,cbal!E$221:E$222,0))</f>
        <v>0</v>
      </c>
      <c r="F16" s="67">
        <f>IF(ISNA(MATCH($C16,cbal!F$221:F$222,0)),0,MATCH($C16,cbal!F$221:F$222,0))</f>
        <v>0</v>
      </c>
      <c r="G16" s="67">
        <f>IF(ISNA(MATCH($C16,cbal!G$221:G$222,0)),0,MATCH($C16,cbal!G$221:G$222,0))</f>
        <v>0</v>
      </c>
      <c r="H16" s="67">
        <f>IF(ISNA(MATCH($C16,cbal!H$221:H$222,0)),0,MATCH($C16,cbal!H$221:H$222,0))</f>
        <v>0</v>
      </c>
      <c r="I16" s="67">
        <f>IF(ISNA(MATCH($C16,cbal!I$221:I$222,0)),0,MATCH($C16,cbal!I$221:I$222,0))</f>
        <v>0</v>
      </c>
      <c r="J16" s="44"/>
      <c r="K16" s="3"/>
      <c r="L16" s="91">
        <v>4</v>
      </c>
      <c r="M16" s="97">
        <v>2.2000000000000002</v>
      </c>
      <c r="N16" s="397"/>
    </row>
    <row r="17" spans="1:14" ht="12" thickBot="1">
      <c r="A17" s="968"/>
      <c r="B17" s="968"/>
      <c r="C17" s="276" t="str">
        <f>C8</f>
        <v>Segment 5</v>
      </c>
      <c r="D17" s="270">
        <f>INDEX($D8:$J8,xxYear+2)</f>
        <v>0</v>
      </c>
      <c r="E17" s="3"/>
      <c r="F17" s="3"/>
      <c r="G17" s="3"/>
      <c r="H17" s="3"/>
      <c r="I17" s="3"/>
      <c r="J17" s="3"/>
      <c r="L17" s="93">
        <v>5</v>
      </c>
      <c r="M17" s="98">
        <v>2.5</v>
      </c>
      <c r="N17" s="397"/>
    </row>
    <row r="18" spans="1:14" ht="12" thickBot="1">
      <c r="A18" s="968"/>
      <c r="B18" s="968"/>
      <c r="C18" s="269"/>
      <c r="D18" s="271"/>
      <c r="E18" s="3"/>
      <c r="F18" s="3"/>
      <c r="G18" s="3"/>
      <c r="H18" s="3"/>
      <c r="I18" s="3"/>
      <c r="J18" s="3"/>
    </row>
    <row r="19" spans="1:14" ht="12" thickBot="1">
      <c r="A19" s="968"/>
      <c r="B19" s="968"/>
      <c r="C19" s="2" t="s">
        <v>1135</v>
      </c>
      <c r="D19" s="270">
        <f>SUM(D13:D17)</f>
        <v>4</v>
      </c>
      <c r="E19" s="3"/>
      <c r="F19" s="3"/>
      <c r="G19" s="3"/>
      <c r="H19" s="3"/>
      <c r="I19" s="3"/>
      <c r="J19" s="3"/>
    </row>
    <row r="20" spans="1:14" ht="12" thickBot="1">
      <c r="A20" s="968"/>
      <c r="B20" s="968"/>
      <c r="C20" s="2"/>
      <c r="D20" s="2"/>
      <c r="E20" s="2"/>
      <c r="F20" s="3"/>
      <c r="H20" s="3"/>
      <c r="I20" s="3"/>
      <c r="J20" s="85"/>
      <c r="K20" s="3"/>
    </row>
    <row r="21" spans="1:14" ht="12" thickBot="1">
      <c r="A21" s="968"/>
      <c r="B21" s="968"/>
      <c r="C21" s="2" t="s">
        <v>3753</v>
      </c>
      <c r="D21" s="278">
        <f>COUNTIF(D13:D18,"&gt;0")</f>
        <v>4</v>
      </c>
      <c r="E21" s="281" t="s">
        <v>2326</v>
      </c>
      <c r="F21" s="85"/>
      <c r="G21" s="85"/>
      <c r="H21" s="85"/>
      <c r="I21" s="85"/>
      <c r="J21" s="85"/>
    </row>
    <row r="22" spans="1:14" ht="12" thickBot="1">
      <c r="A22" s="968"/>
      <c r="B22" s="968"/>
      <c r="C22" s="2" t="s">
        <v>23</v>
      </c>
      <c r="D22" s="278" t="str">
        <f>INDEX(C13:C18,MMSegCurrent)</f>
        <v>*CentrePlate</v>
      </c>
      <c r="E22" s="281" t="s">
        <v>22</v>
      </c>
      <c r="F22" s="85"/>
      <c r="G22" s="85"/>
      <c r="H22" s="85"/>
      <c r="I22" s="85"/>
      <c r="J22" s="85"/>
    </row>
    <row r="23" spans="1:14">
      <c r="A23" s="968"/>
      <c r="B23" s="968"/>
      <c r="C23" s="2"/>
      <c r="D23" s="151"/>
      <c r="E23" s="85"/>
      <c r="F23" s="85"/>
      <c r="G23" s="85"/>
      <c r="H23" s="85"/>
      <c r="I23" s="85"/>
      <c r="J23" s="85"/>
    </row>
    <row r="24" spans="1:14">
      <c r="A24" s="968"/>
      <c r="B24" s="968"/>
      <c r="C24" s="34" t="s">
        <v>61</v>
      </c>
      <c r="D24" s="35"/>
      <c r="E24" s="277" t="b">
        <f>INDEX(E$13:E$16,MMSegCurrent)&gt;0</f>
        <v>0</v>
      </c>
      <c r="F24" s="277" t="b">
        <f>INDEX(F$13:F$16,MMSegCurrent)&gt;0</f>
        <v>0</v>
      </c>
      <c r="G24" s="277" t="b">
        <f>INDEX(G$13:G$16,MMSegCurrent)&gt;0</f>
        <v>0</v>
      </c>
      <c r="H24" s="277" t="b">
        <f>INDEX(H$13:H$16,MMSegCurrent)&gt;0</f>
        <v>0</v>
      </c>
      <c r="I24" s="277" t="b">
        <f>INDEX(I$13:I$16,MMSegCurrent)&gt;0</f>
        <v>0</v>
      </c>
      <c r="J24" s="36">
        <f>COUNTIF(E24:I24,TRUE)</f>
        <v>0</v>
      </c>
      <c r="K24" s="3" t="s">
        <v>2331</v>
      </c>
    </row>
    <row r="25" spans="1:14">
      <c r="A25" s="968"/>
      <c r="B25" s="968"/>
      <c r="C25" s="2"/>
      <c r="D25" s="151"/>
      <c r="E25" s="85"/>
      <c r="F25" s="85"/>
      <c r="G25" s="85"/>
      <c r="H25" s="85"/>
      <c r="I25" s="85"/>
      <c r="J25" s="85"/>
    </row>
    <row r="26" spans="1:14">
      <c r="A26" s="968"/>
      <c r="B26" s="969" t="s">
        <v>2380</v>
      </c>
      <c r="C26" s="230" t="str">
        <f>xxMMProd2Driver1&amp;" - Disruptive Slot 1"</f>
        <v>Price - Disruptive Slot 1</v>
      </c>
      <c r="D26" s="231"/>
      <c r="E26" s="217">
        <f>capProd2Reg1Price</f>
        <v>1</v>
      </c>
      <c r="F26" s="217">
        <f>capProd2Reg1Price</f>
        <v>1</v>
      </c>
      <c r="G26" s="217">
        <f>capProd2Reg1Price</f>
        <v>1</v>
      </c>
      <c r="H26" s="217">
        <f>capProd2Reg1Price</f>
        <v>1</v>
      </c>
      <c r="I26" s="217">
        <f>capProd2Reg1Price</f>
        <v>1</v>
      </c>
      <c r="J26" s="154"/>
      <c r="L26" s="240" t="s">
        <v>3209</v>
      </c>
      <c r="M26" s="240" t="s">
        <v>3210</v>
      </c>
    </row>
    <row r="27" spans="1:14">
      <c r="A27" s="969" t="s">
        <v>166</v>
      </c>
      <c r="B27" s="970">
        <f>E161</f>
        <v>15</v>
      </c>
      <c r="C27" s="349" t="str">
        <f>xxMMProd2Driver1&amp;" - Disruptive Slot 2"</f>
        <v>Price - Disruptive Slot 2</v>
      </c>
      <c r="D27" s="177"/>
      <c r="E27" s="228">
        <f>capProd2Reg2Price</f>
        <v>1</v>
      </c>
      <c r="F27" s="228">
        <f>capProd2Reg2Price</f>
        <v>1</v>
      </c>
      <c r="G27" s="228">
        <f>capProd2Reg2Price</f>
        <v>1</v>
      </c>
      <c r="H27" s="228">
        <f>capProd2Reg2Price</f>
        <v>1</v>
      </c>
      <c r="I27" s="228">
        <f>capProd2Reg2Price</f>
        <v>1</v>
      </c>
      <c r="J27" s="333"/>
      <c r="K27" s="10">
        <v>0</v>
      </c>
      <c r="L27" s="14">
        <f t="shared" ref="L27:L33" si="5">K27*$J$32</f>
        <v>0</v>
      </c>
      <c r="M27" s="15">
        <f t="shared" ref="M27:M33" si="6">1-NORMDIST(L27,$J$32,$D$32,TRUE)</f>
        <v>0.5</v>
      </c>
    </row>
    <row r="28" spans="1:14">
      <c r="A28" s="969" t="s">
        <v>167</v>
      </c>
      <c r="B28" s="970">
        <f>F161</f>
        <v>15</v>
      </c>
      <c r="C28" s="1039"/>
      <c r="D28" s="41"/>
      <c r="E28" s="41"/>
      <c r="F28" s="41"/>
      <c r="G28" s="41"/>
      <c r="H28" s="41"/>
      <c r="I28" s="41"/>
      <c r="J28" s="333"/>
      <c r="K28" s="10">
        <v>0.33</v>
      </c>
      <c r="L28" s="14">
        <f t="shared" si="5"/>
        <v>0</v>
      </c>
      <c r="M28" s="15">
        <f t="shared" si="6"/>
        <v>0.5</v>
      </c>
    </row>
    <row r="29" spans="1:14">
      <c r="A29" s="968"/>
      <c r="B29" s="968"/>
      <c r="C29" s="37"/>
      <c r="D29" s="41"/>
      <c r="E29" s="42"/>
      <c r="F29" s="42"/>
      <c r="G29" s="42"/>
      <c r="H29" s="42"/>
      <c r="I29" s="42"/>
      <c r="J29" s="40"/>
      <c r="K29" s="10">
        <v>0.66</v>
      </c>
      <c r="L29" s="14">
        <f t="shared" si="5"/>
        <v>0</v>
      </c>
      <c r="M29" s="15">
        <f t="shared" si="6"/>
        <v>0.5</v>
      </c>
    </row>
    <row r="30" spans="1:14">
      <c r="A30" s="968"/>
      <c r="B30" s="968"/>
      <c r="C30" s="37"/>
      <c r="D30" s="41"/>
      <c r="E30" s="42"/>
      <c r="F30" s="42"/>
      <c r="G30" s="42"/>
      <c r="H30" s="42"/>
      <c r="I30" s="42"/>
      <c r="J30" s="40"/>
      <c r="K30" s="10">
        <v>1</v>
      </c>
      <c r="L30" s="14">
        <f t="shared" si="5"/>
        <v>0</v>
      </c>
      <c r="M30" s="15">
        <f t="shared" si="6"/>
        <v>0.5</v>
      </c>
    </row>
    <row r="31" spans="1:14">
      <c r="A31" s="968"/>
      <c r="B31" s="968"/>
      <c r="C31" s="37" t="s">
        <v>965</v>
      </c>
      <c r="D31" s="48">
        <v>2</v>
      </c>
      <c r="E31" s="39">
        <f>IF(MMInMarket=TRUE,INDEX(E$26:E$27,INDEX(E$13:E$16,MMSegCurrent))*MIN(1,MAX(0.8,(1-(INDEX(E$79:E$80,INDEX(E$13:E$16,MMSegCurrent))/$J$85-1)/4))),0)</f>
        <v>0</v>
      </c>
      <c r="F31" s="39">
        <f>IF(MMInMarket=TRUE,INDEX(F$26:F$27,INDEX(F$13:F$16,MMSegCurrent))*MIN(1,MAX(0.8,(1-(INDEX(F$79:F$80,INDEX(F$13:F$16,MMSegCurrent))/$J$85-1)/4))),0)</f>
        <v>0</v>
      </c>
      <c r="G31" s="39">
        <f>IF(MMInMarket=TRUE,INDEX(G$26:G$27,INDEX(G$13:G$16,MMSegCurrent))*MIN(1,MAX(0.8,(1-(INDEX(G$79:G$80,INDEX(G$13:G$16,MMSegCurrent))/$J$85-1)/4))),0)</f>
        <v>0</v>
      </c>
      <c r="H31" s="39">
        <f>IF(MMInMarket=TRUE,INDEX(H$26:H$27,INDEX(H$13:H$16,MMSegCurrent))*MIN(1,MAX(0.8,(1-(INDEX(H$79:H$80,INDEX(H$13:H$16,MMSegCurrent))/$J$85-1)/4))),0)</f>
        <v>0</v>
      </c>
      <c r="I31" s="39">
        <f>IF(MMInMarket=TRUE,INDEX(I$26:I$27,INDEX(I$13:I$16,MMSegCurrent))*MIN(1,MAX(0.8,(1-(INDEX(I$79:I$80,INDEX(I$13:I$16,MMSegCurrent))/$J$85-1)/4))),0)</f>
        <v>0</v>
      </c>
      <c r="J31" s="40"/>
      <c r="K31" s="10">
        <v>1.33</v>
      </c>
      <c r="L31" s="14">
        <f t="shared" si="5"/>
        <v>0</v>
      </c>
      <c r="M31" s="15">
        <f t="shared" si="6"/>
        <v>0.5</v>
      </c>
    </row>
    <row r="32" spans="1:14">
      <c r="A32" s="968"/>
      <c r="B32" s="968"/>
      <c r="C32" s="43" t="s">
        <v>966</v>
      </c>
      <c r="D32" s="42">
        <f>STDEVP(E31:I31)*D31+(STDEVP(E31:I31)=0)</f>
        <v>1</v>
      </c>
      <c r="E32" s="71">
        <f>IF(E31=0,0,(1-NORMDIST(E31,$J32,$D32,TRUE)))*(MMInMarket=TRUE)</f>
        <v>0</v>
      </c>
      <c r="F32" s="71">
        <f>IF(F31=0,0,(1-NORMDIST(F31,$J32,$D32,TRUE)))*(MMInMarket=TRUE)</f>
        <v>0</v>
      </c>
      <c r="G32" s="71">
        <f>IF(G31=0,0,(1-NORMDIST(G31,$J32,$D32,TRUE)))*(MMInMarket=TRUE)</f>
        <v>0</v>
      </c>
      <c r="H32" s="71">
        <f>IF(H31=0,0,(1-NORMDIST(H31,$J32,$D32,TRUE)))*(MMInMarket=TRUE)</f>
        <v>0</v>
      </c>
      <c r="I32" s="71">
        <f>IF(I31=0,0,(1-NORMDIST(I31,$J32,$D32,TRUE)))*(MMInMarket=TRUE)</f>
        <v>0</v>
      </c>
      <c r="J32" s="201">
        <f>IF($J$24=0,0,SUM(E31:I31)/$J$24)</f>
        <v>0</v>
      </c>
      <c r="K32" s="10">
        <v>1.66</v>
      </c>
      <c r="L32" s="14">
        <f t="shared" si="5"/>
        <v>0</v>
      </c>
      <c r="M32" s="15">
        <f t="shared" si="6"/>
        <v>0.5</v>
      </c>
    </row>
    <row r="33" spans="1:13">
      <c r="A33" s="968"/>
      <c r="B33" s="968"/>
      <c r="C33" s="2"/>
      <c r="D33" s="39"/>
      <c r="E33" s="3"/>
      <c r="F33" s="3"/>
      <c r="G33" s="3"/>
      <c r="H33" s="3"/>
      <c r="I33" s="3"/>
      <c r="J33" s="3"/>
      <c r="K33" s="10">
        <v>2</v>
      </c>
      <c r="L33" s="14">
        <f t="shared" si="5"/>
        <v>0</v>
      </c>
      <c r="M33" s="15">
        <f t="shared" si="6"/>
        <v>0.5</v>
      </c>
    </row>
    <row r="34" spans="1:13">
      <c r="A34" s="968"/>
      <c r="B34" s="968"/>
      <c r="C34" s="2"/>
      <c r="D34" s="39"/>
      <c r="E34" s="3"/>
      <c r="F34" s="3"/>
      <c r="G34" s="3"/>
      <c r="H34" s="3"/>
      <c r="I34" s="3"/>
      <c r="J34" s="3"/>
      <c r="L34" s="14"/>
      <c r="M34" s="10"/>
    </row>
    <row r="35" spans="1:13">
      <c r="A35" s="968"/>
      <c r="B35" s="968"/>
      <c r="C35" s="2"/>
      <c r="D35" s="39"/>
      <c r="E35" s="3"/>
      <c r="F35" s="3"/>
      <c r="G35" s="3"/>
      <c r="H35" s="3"/>
      <c r="I35" s="3"/>
      <c r="J35" s="3"/>
    </row>
    <row r="36" spans="1:13">
      <c r="A36" s="968"/>
      <c r="B36" s="968"/>
      <c r="C36" s="2"/>
      <c r="D36" s="39"/>
      <c r="E36" s="3"/>
      <c r="F36" s="3"/>
      <c r="G36" s="3"/>
      <c r="H36" s="3"/>
      <c r="I36" s="3"/>
      <c r="J36" s="3"/>
    </row>
    <row r="37" spans="1:13">
      <c r="A37" s="968"/>
      <c r="B37" s="968"/>
      <c r="C37" s="2"/>
      <c r="D37" s="39"/>
      <c r="E37" s="3"/>
      <c r="F37" s="3"/>
      <c r="G37" s="3"/>
      <c r="H37" s="3"/>
      <c r="I37" s="3"/>
      <c r="J37" s="3"/>
    </row>
    <row r="38" spans="1:13">
      <c r="A38" s="968"/>
      <c r="B38" s="968"/>
      <c r="C38" s="2"/>
      <c r="D38" s="39"/>
      <c r="E38" s="38"/>
      <c r="F38" s="38"/>
      <c r="G38" s="38"/>
      <c r="H38" s="38"/>
      <c r="I38" s="38"/>
      <c r="J38" s="38"/>
      <c r="L38" s="240" t="s">
        <v>3209</v>
      </c>
      <c r="M38" s="240" t="s">
        <v>3210</v>
      </c>
    </row>
    <row r="39" spans="1:13">
      <c r="A39" s="968"/>
      <c r="B39" s="968"/>
      <c r="C39" s="2"/>
      <c r="D39" s="39"/>
      <c r="E39" s="38"/>
      <c r="F39" s="38"/>
      <c r="G39" s="38"/>
      <c r="H39" s="38"/>
      <c r="I39" s="38"/>
      <c r="J39" s="38"/>
      <c r="K39" s="10">
        <v>0</v>
      </c>
      <c r="L39" s="14">
        <f t="shared" ref="L39:L45" si="7">K39*$J$44</f>
        <v>0</v>
      </c>
      <c r="M39" s="15">
        <f>NORMDIST(L39,$J$44,$D$44,TRUE)</f>
        <v>0.5</v>
      </c>
    </row>
    <row r="40" spans="1:13">
      <c r="A40" s="971"/>
      <c r="B40" s="969" t="s">
        <v>2381</v>
      </c>
      <c r="C40" s="230" t="str">
        <f>xxMMProd2Driver2&amp;" - Disruptive Slot 1"</f>
        <v>Range Of Producs - Disruptive Slot 1</v>
      </c>
      <c r="D40" s="231"/>
      <c r="E40" s="231">
        <f>capProd2Ftr4Level1</f>
        <v>2</v>
      </c>
      <c r="F40" s="231">
        <f>capProd2Ftr4Level1</f>
        <v>2</v>
      </c>
      <c r="G40" s="231">
        <f>capProd2Ftr4Level1</f>
        <v>2</v>
      </c>
      <c r="H40" s="231">
        <f>capProd2Ftr4Level1</f>
        <v>2</v>
      </c>
      <c r="I40" s="1042">
        <f>capProd2Ftr4Level1</f>
        <v>2</v>
      </c>
      <c r="J40" s="154"/>
      <c r="K40" s="10">
        <v>0.33</v>
      </c>
      <c r="L40" s="14">
        <f t="shared" si="7"/>
        <v>0</v>
      </c>
      <c r="M40" s="15">
        <f t="shared" ref="M40:M45" si="8">NORMDIST(L40,$J$44,$D$44,TRUE)</f>
        <v>0.5</v>
      </c>
    </row>
    <row r="41" spans="1:13">
      <c r="A41" s="969" t="s">
        <v>166</v>
      </c>
      <c r="B41" s="970">
        <f>E162</f>
        <v>7</v>
      </c>
      <c r="C41" s="1040" t="str">
        <f>xxMMProd2Driver2&amp;" - Disruptive Slot 2"</f>
        <v>Range Of Producs - Disruptive Slot 2</v>
      </c>
      <c r="D41" s="1041"/>
      <c r="E41" s="1041">
        <f>capProd2Ftr4Level2</f>
        <v>2</v>
      </c>
      <c r="F41" s="1041">
        <f>capProd2Ftr4Level2</f>
        <v>2</v>
      </c>
      <c r="G41" s="1041">
        <f>capProd2Ftr4Level2</f>
        <v>2</v>
      </c>
      <c r="H41" s="1041">
        <f>capProd2Ftr4Level2</f>
        <v>2</v>
      </c>
      <c r="I41" s="1043">
        <f>capProd2Ftr4Level2</f>
        <v>2</v>
      </c>
      <c r="J41" s="40"/>
      <c r="K41" s="10">
        <v>0.66</v>
      </c>
      <c r="L41" s="14">
        <f t="shared" si="7"/>
        <v>0</v>
      </c>
      <c r="M41" s="15">
        <f t="shared" si="8"/>
        <v>0.5</v>
      </c>
    </row>
    <row r="42" spans="1:13">
      <c r="A42" s="969" t="s">
        <v>167</v>
      </c>
      <c r="B42" s="970">
        <f>F162</f>
        <v>9</v>
      </c>
      <c r="C42" s="37"/>
      <c r="D42" s="38"/>
      <c r="E42" s="87"/>
      <c r="F42" s="87"/>
      <c r="G42" s="87"/>
      <c r="H42" s="87"/>
      <c r="I42" s="87"/>
      <c r="J42" s="40"/>
      <c r="K42" s="10">
        <v>1</v>
      </c>
      <c r="L42" s="14">
        <f t="shared" si="7"/>
        <v>0</v>
      </c>
      <c r="M42" s="15">
        <f t="shared" si="8"/>
        <v>0.5</v>
      </c>
    </row>
    <row r="43" spans="1:13">
      <c r="A43" s="971"/>
      <c r="B43" s="971"/>
      <c r="C43" s="37" t="s">
        <v>965</v>
      </c>
      <c r="D43" s="48">
        <v>1</v>
      </c>
      <c r="E43" s="39">
        <f>IF(MMInMarket=TRUE,INDEX(E40:E41,INDEX(E$13:E$16,MMSegCurrent)),0)</f>
        <v>0</v>
      </c>
      <c r="F43" s="39">
        <f>IF(MMInMarket=TRUE,INDEX(F40:F41,INDEX(F$13:F$16,MMSegCurrent)),0)</f>
        <v>0</v>
      </c>
      <c r="G43" s="39">
        <f>IF(MMInMarket=TRUE,INDEX(G40:G41,INDEX(G$13:G$16,MMSegCurrent)),0)</f>
        <v>0</v>
      </c>
      <c r="H43" s="39">
        <f>IF(MMInMarket=TRUE,INDEX(H40:H41,INDEX(H$13:H$16,MMSegCurrent)),0)</f>
        <v>0</v>
      </c>
      <c r="I43" s="39">
        <f>IF(MMInMarket=TRUE,INDEX(I40:I41,INDEX(I$13:I$16,MMSegCurrent)),0)</f>
        <v>0</v>
      </c>
      <c r="J43" s="40"/>
      <c r="K43" s="10">
        <v>1.33</v>
      </c>
      <c r="L43" s="14">
        <f t="shared" si="7"/>
        <v>0</v>
      </c>
      <c r="M43" s="15">
        <f t="shared" si="8"/>
        <v>0.5</v>
      </c>
    </row>
    <row r="44" spans="1:13">
      <c r="A44" s="971"/>
      <c r="B44" s="971"/>
      <c r="C44" s="43" t="s">
        <v>967</v>
      </c>
      <c r="D44" s="42">
        <f>STDEVP(E43:I43)*D43+(STDEVP(E43:I43)=0)</f>
        <v>1</v>
      </c>
      <c r="E44" s="71">
        <f>IF(E43=0,0,NORMDIST(E43,$J44,$D44,TRUE))*(MMInMarket=TRUE)</f>
        <v>0</v>
      </c>
      <c r="F44" s="71">
        <f>IF(F43=0,0,NORMDIST(F43,$J44,$D44,TRUE))*(MMInMarket=TRUE)</f>
        <v>0</v>
      </c>
      <c r="G44" s="71">
        <f>IF(G43=0,0,NORMDIST(G43,$J44,$D44,TRUE))*(MMInMarket=TRUE)</f>
        <v>0</v>
      </c>
      <c r="H44" s="71">
        <f>IF(H43=0,0,NORMDIST(H43,$J44,$D44,TRUE))*(MMInMarket=TRUE)</f>
        <v>0</v>
      </c>
      <c r="I44" s="71">
        <f>IF(I43=0,0,NORMDIST(I43,$J44,$D44,TRUE))*(MMInMarket=TRUE)</f>
        <v>0</v>
      </c>
      <c r="J44" s="201">
        <f>IF($J$24=0,0,SUM(E43:I43)/$J$24)</f>
        <v>0</v>
      </c>
      <c r="K44" s="10">
        <v>1.66</v>
      </c>
      <c r="L44" s="14">
        <f t="shared" si="7"/>
        <v>0</v>
      </c>
      <c r="M44" s="15">
        <f t="shared" si="8"/>
        <v>0.5</v>
      </c>
    </row>
    <row r="45" spans="1:13">
      <c r="A45" s="968"/>
      <c r="B45" s="971"/>
      <c r="C45" s="2"/>
      <c r="D45" s="39"/>
      <c r="E45" s="3"/>
      <c r="F45" s="3"/>
      <c r="G45" s="3"/>
      <c r="H45" s="3"/>
      <c r="I45" s="3"/>
      <c r="J45" s="3"/>
      <c r="K45" s="10">
        <v>2</v>
      </c>
      <c r="L45" s="14">
        <f t="shared" si="7"/>
        <v>0</v>
      </c>
      <c r="M45" s="15">
        <f t="shared" si="8"/>
        <v>0.5</v>
      </c>
    </row>
    <row r="46" spans="1:13">
      <c r="A46" s="968"/>
      <c r="B46" s="971"/>
      <c r="C46" s="2"/>
      <c r="D46" s="39"/>
      <c r="E46" s="3"/>
      <c r="F46" s="3"/>
      <c r="G46" s="3"/>
      <c r="H46" s="3"/>
      <c r="I46" s="3"/>
      <c r="J46" s="3"/>
      <c r="L46" s="14"/>
      <c r="M46" s="10"/>
    </row>
    <row r="47" spans="1:13">
      <c r="A47" s="968"/>
      <c r="B47" s="971"/>
      <c r="C47" s="2"/>
      <c r="D47" s="39"/>
      <c r="E47" s="3"/>
      <c r="F47" s="3"/>
      <c r="G47" s="3"/>
      <c r="H47" s="3"/>
      <c r="I47" s="3"/>
      <c r="J47" s="3"/>
    </row>
    <row r="48" spans="1:13">
      <c r="A48" s="968"/>
      <c r="B48" s="971"/>
      <c r="C48" s="2"/>
      <c r="D48" s="39"/>
      <c r="E48" s="3"/>
      <c r="F48" s="3"/>
      <c r="G48" s="3"/>
      <c r="H48" s="3"/>
      <c r="I48" s="3"/>
      <c r="J48" s="3"/>
    </row>
    <row r="49" spans="1:13">
      <c r="A49" s="968"/>
      <c r="B49" s="968"/>
      <c r="C49" s="2"/>
      <c r="D49" s="39"/>
      <c r="E49" s="3"/>
      <c r="F49" s="3"/>
      <c r="G49" s="3"/>
      <c r="H49" s="3"/>
      <c r="I49" s="3"/>
      <c r="J49" s="3"/>
    </row>
    <row r="50" spans="1:13">
      <c r="A50" s="968"/>
      <c r="B50" s="968"/>
      <c r="C50" s="2"/>
      <c r="D50" s="39"/>
      <c r="E50" s="3"/>
      <c r="F50" s="3"/>
      <c r="G50" s="3"/>
      <c r="H50" s="3"/>
      <c r="I50" s="3"/>
      <c r="J50" s="3"/>
    </row>
    <row r="51" spans="1:13">
      <c r="A51" s="968"/>
      <c r="B51" s="968"/>
      <c r="C51" s="2"/>
      <c r="D51" s="39"/>
      <c r="E51" s="3"/>
      <c r="F51" s="3"/>
      <c r="G51" s="3"/>
      <c r="H51" s="3"/>
      <c r="I51" s="3"/>
      <c r="J51" s="3"/>
    </row>
    <row r="52" spans="1:13">
      <c r="A52" s="971"/>
      <c r="B52" s="969" t="s">
        <v>2315</v>
      </c>
      <c r="C52" s="230" t="str">
        <f>xxMMProd2Driver3</f>
        <v>Brands</v>
      </c>
      <c r="D52" s="231"/>
      <c r="E52" s="218"/>
      <c r="F52" s="218"/>
      <c r="G52" s="218"/>
      <c r="H52" s="218"/>
      <c r="I52" s="218"/>
      <c r="J52" s="594" t="s">
        <v>2227</v>
      </c>
    </row>
    <row r="53" spans="1:13">
      <c r="A53" s="969" t="s">
        <v>166</v>
      </c>
      <c r="B53" s="970">
        <f>E163</f>
        <v>0</v>
      </c>
      <c r="C53" s="349" t="s">
        <v>2226</v>
      </c>
      <c r="D53" s="177"/>
      <c r="E53" s="596">
        <f>capProd2Ftr1Level*$J$53</f>
        <v>0</v>
      </c>
      <c r="F53" s="596">
        <f>capProd2Ftr1Level*$J$53</f>
        <v>0</v>
      </c>
      <c r="G53" s="596">
        <f>capProd2Ftr1Level*$J$53</f>
        <v>0</v>
      </c>
      <c r="H53" s="596">
        <f>capProd2Ftr1Level*$J$53</f>
        <v>0</v>
      </c>
      <c r="I53" s="596">
        <f>capProd2Ftr1Level*$J$53</f>
        <v>0</v>
      </c>
      <c r="J53" s="595">
        <v>1</v>
      </c>
      <c r="L53" s="240" t="s">
        <v>3209</v>
      </c>
      <c r="M53" s="240" t="s">
        <v>3210</v>
      </c>
    </row>
    <row r="54" spans="1:13">
      <c r="A54" s="969" t="s">
        <v>167</v>
      </c>
      <c r="B54" s="970">
        <f>F163</f>
        <v>0</v>
      </c>
      <c r="C54" s="349" t="s">
        <v>1055</v>
      </c>
      <c r="D54" s="177"/>
      <c r="E54" s="596">
        <f>capProd2Ftr2Level*$J$54</f>
        <v>0</v>
      </c>
      <c r="F54" s="596">
        <f>capProd2Ftr2Level*$J$54</f>
        <v>0</v>
      </c>
      <c r="G54" s="596">
        <f>capProd2Ftr2Level*$J$54</f>
        <v>0</v>
      </c>
      <c r="H54" s="596">
        <f>capProd2Ftr2Level*$J$54</f>
        <v>0</v>
      </c>
      <c r="I54" s="596">
        <f>capProd2Ftr2Level*$J$54</f>
        <v>0</v>
      </c>
      <c r="J54" s="595">
        <v>1.25</v>
      </c>
      <c r="K54" s="10">
        <v>0</v>
      </c>
      <c r="L54" s="14">
        <f t="shared" ref="L54:L60" si="9">K54*$J$59</f>
        <v>0</v>
      </c>
      <c r="M54" s="15">
        <f>NORMDIST(L54,$J$59,$D$59,TRUE)</f>
        <v>0.5</v>
      </c>
    </row>
    <row r="55" spans="1:13">
      <c r="A55" s="971"/>
      <c r="B55" s="971"/>
      <c r="C55" s="597" t="s">
        <v>2228</v>
      </c>
      <c r="D55" s="598"/>
      <c r="E55" s="599">
        <v>2</v>
      </c>
      <c r="F55" s="599">
        <v>2</v>
      </c>
      <c r="G55" s="599">
        <v>2</v>
      </c>
      <c r="H55" s="599">
        <v>2</v>
      </c>
      <c r="I55" s="599">
        <v>2</v>
      </c>
      <c r="J55" s="595">
        <v>2</v>
      </c>
      <c r="K55" s="10">
        <v>0.33</v>
      </c>
      <c r="L55" s="14">
        <f t="shared" si="9"/>
        <v>0</v>
      </c>
      <c r="M55" s="15">
        <f t="shared" ref="M55:M60" si="10">NORMDIST(L55,$J$59,$D$59,TRUE)</f>
        <v>0.5</v>
      </c>
    </row>
    <row r="56" spans="1:13">
      <c r="A56" s="971"/>
      <c r="B56" s="971"/>
      <c r="C56" s="37"/>
      <c r="D56" s="38"/>
      <c r="E56" s="39"/>
      <c r="F56" s="39"/>
      <c r="G56" s="39"/>
      <c r="H56" s="39"/>
      <c r="I56" s="39"/>
      <c r="J56" s="40"/>
      <c r="K56" s="10">
        <v>0.66</v>
      </c>
      <c r="L56" s="14">
        <f t="shared" si="9"/>
        <v>0</v>
      </c>
      <c r="M56" s="15">
        <f t="shared" si="10"/>
        <v>0.5</v>
      </c>
    </row>
    <row r="57" spans="1:13">
      <c r="A57" s="971"/>
      <c r="B57" s="971"/>
      <c r="C57" s="37" t="s">
        <v>1138</v>
      </c>
      <c r="D57" s="38"/>
      <c r="E57" s="87">
        <f>SUM(E53:E55)</f>
        <v>2</v>
      </c>
      <c r="F57" s="87">
        <f>SUM(F53:F55)</f>
        <v>2</v>
      </c>
      <c r="G57" s="87">
        <f>SUM(G53:G55)</f>
        <v>2</v>
      </c>
      <c r="H57" s="87">
        <f>SUM(H53:H55)</f>
        <v>2</v>
      </c>
      <c r="I57" s="87">
        <f>SUM(I53:I55)</f>
        <v>2</v>
      </c>
      <c r="J57" s="40"/>
      <c r="K57" s="10">
        <v>1</v>
      </c>
      <c r="L57" s="14">
        <f t="shared" si="9"/>
        <v>0</v>
      </c>
      <c r="M57" s="15">
        <f t="shared" si="10"/>
        <v>0.5</v>
      </c>
    </row>
    <row r="58" spans="1:13">
      <c r="A58" s="971"/>
      <c r="B58" s="971"/>
      <c r="C58" s="37" t="s">
        <v>965</v>
      </c>
      <c r="D58" s="48">
        <v>1</v>
      </c>
      <c r="E58" s="87">
        <f>IF(MMInMarket=TRUE,E57,0)</f>
        <v>0</v>
      </c>
      <c r="F58" s="87">
        <f>IF(MMInMarket=TRUE,F57,0)</f>
        <v>0</v>
      </c>
      <c r="G58" s="87">
        <f>IF(MMInMarket=TRUE,G57,0)</f>
        <v>0</v>
      </c>
      <c r="H58" s="87">
        <f>IF(MMInMarket=TRUE,H57,0)</f>
        <v>0</v>
      </c>
      <c r="I58" s="87">
        <f>IF(MMInMarket=TRUE,I57,0)</f>
        <v>0</v>
      </c>
      <c r="J58" s="40"/>
      <c r="K58" s="10">
        <v>1.33</v>
      </c>
      <c r="L58" s="14">
        <f t="shared" si="9"/>
        <v>0</v>
      </c>
      <c r="M58" s="15">
        <f t="shared" si="10"/>
        <v>0.5</v>
      </c>
    </row>
    <row r="59" spans="1:13">
      <c r="A59" s="971"/>
      <c r="B59" s="971"/>
      <c r="C59" s="43" t="s">
        <v>968</v>
      </c>
      <c r="D59" s="42">
        <f>STDEVP(E58:I58)*D58+(STDEVP(E58:I58)=0)</f>
        <v>1</v>
      </c>
      <c r="E59" s="71">
        <f>IF(E58=0,0,NORMDIST(E58,$J59,$D59,TRUE))*(MMInMarket=TRUE)</f>
        <v>0</v>
      </c>
      <c r="F59" s="71">
        <f>IF(F58=0,0,NORMDIST(F58,$J59,$D59,TRUE))*(MMInMarket=TRUE)</f>
        <v>0</v>
      </c>
      <c r="G59" s="71">
        <f>IF(G58=0,0,NORMDIST(G58,$J59,$D59,TRUE))*(MMInMarket=TRUE)</f>
        <v>0</v>
      </c>
      <c r="H59" s="71">
        <f>IF(H58=0,0,NORMDIST(H58,$J59,$D59,TRUE))*(MMInMarket=TRUE)</f>
        <v>0</v>
      </c>
      <c r="I59" s="71">
        <f>IF(I58=0,0,NORMDIST(I58,$J59,$D59,TRUE))*(MMInMarket=TRUE)</f>
        <v>0</v>
      </c>
      <c r="J59" s="603">
        <f>IF($J$24=0,0,SUM(E58:I58)/$J$24)</f>
        <v>0</v>
      </c>
      <c r="K59" s="10">
        <v>1.66</v>
      </c>
      <c r="L59" s="14">
        <f t="shared" si="9"/>
        <v>0</v>
      </c>
      <c r="M59" s="15">
        <f t="shared" si="10"/>
        <v>0.5</v>
      </c>
    </row>
    <row r="60" spans="1:13">
      <c r="A60" s="968"/>
      <c r="B60" s="971"/>
      <c r="C60" s="2"/>
      <c r="D60" s="39"/>
      <c r="E60" s="3"/>
      <c r="F60" s="3"/>
      <c r="G60" s="3"/>
      <c r="H60" s="3"/>
      <c r="I60" s="3"/>
      <c r="J60" s="3"/>
      <c r="K60" s="10">
        <v>2</v>
      </c>
      <c r="L60" s="14">
        <f t="shared" si="9"/>
        <v>0</v>
      </c>
      <c r="M60" s="15">
        <f t="shared" si="10"/>
        <v>0.5</v>
      </c>
    </row>
    <row r="61" spans="1:13" ht="14.25" customHeight="1">
      <c r="A61" s="968"/>
      <c r="B61" s="971"/>
      <c r="C61" s="2"/>
      <c r="D61" s="39"/>
      <c r="E61" s="3"/>
      <c r="F61" s="3"/>
      <c r="G61" s="3"/>
      <c r="H61" s="3"/>
      <c r="I61" s="3"/>
      <c r="J61" s="3"/>
      <c r="K61" s="3"/>
    </row>
    <row r="62" spans="1:13">
      <c r="A62" s="968"/>
      <c r="B62" s="971"/>
      <c r="C62" s="2"/>
      <c r="D62" s="39"/>
      <c r="E62" s="3"/>
      <c r="F62" s="3"/>
      <c r="G62" s="3"/>
      <c r="H62" s="3"/>
      <c r="I62" s="3"/>
      <c r="J62" s="604" t="s">
        <v>1848</v>
      </c>
      <c r="K62" s="3"/>
    </row>
    <row r="63" spans="1:13">
      <c r="A63" s="968"/>
      <c r="B63" s="968"/>
      <c r="C63" s="2"/>
      <c r="D63" s="39"/>
      <c r="E63" s="3"/>
      <c r="F63" s="3"/>
      <c r="G63" s="3"/>
      <c r="H63" s="3"/>
      <c r="I63" s="3"/>
      <c r="J63" s="3"/>
    </row>
    <row r="64" spans="1:13">
      <c r="A64" s="968"/>
      <c r="B64" s="968"/>
      <c r="C64" s="2"/>
      <c r="D64" s="39"/>
      <c r="E64" s="3"/>
      <c r="F64" s="3"/>
      <c r="G64" s="3"/>
      <c r="H64" s="3"/>
      <c r="I64" s="3"/>
      <c r="J64" s="3"/>
    </row>
    <row r="65" spans="1:13">
      <c r="A65" s="968"/>
      <c r="B65" s="972"/>
      <c r="C65" s="62"/>
      <c r="D65" s="39"/>
      <c r="E65" s="38"/>
      <c r="F65" s="38"/>
      <c r="G65" s="38"/>
      <c r="H65" s="38"/>
      <c r="I65" s="38"/>
      <c r="J65" s="38"/>
    </row>
    <row r="66" spans="1:13">
      <c r="A66" s="969"/>
      <c r="B66" s="969" t="s">
        <v>2316</v>
      </c>
      <c r="C66" s="230" t="str">
        <f>xxMMProd2Driver4&amp;" - "&amp;" - Disruptive Slot 1"</f>
        <v>Advertising -  - Disruptive Slot 1</v>
      </c>
      <c r="D66" s="829"/>
      <c r="E66" s="830">
        <f>capProd2Adv</f>
        <v>1000</v>
      </c>
      <c r="F66" s="830">
        <f>capProd2Adv</f>
        <v>1000</v>
      </c>
      <c r="G66" s="830">
        <f>capProd2Adv</f>
        <v>1000</v>
      </c>
      <c r="H66" s="830">
        <f>capProd2Adv</f>
        <v>1000</v>
      </c>
      <c r="I66" s="830">
        <f>capProd2Adv</f>
        <v>1000</v>
      </c>
      <c r="J66" s="828"/>
      <c r="L66" s="240" t="s">
        <v>3209</v>
      </c>
      <c r="M66" s="240" t="s">
        <v>3210</v>
      </c>
    </row>
    <row r="67" spans="1:13">
      <c r="A67" s="969"/>
      <c r="B67" s="969"/>
      <c r="C67" s="349" t="str">
        <f>xxMMProd2Driver4&amp;" - "&amp;" - Disruptive Slot 2"</f>
        <v>Advertising -  - Disruptive Slot 2</v>
      </c>
      <c r="D67" s="974"/>
      <c r="E67" s="975">
        <f>capProd2Adv2</f>
        <v>1000</v>
      </c>
      <c r="F67" s="975">
        <f>capProd2Adv2</f>
        <v>1000</v>
      </c>
      <c r="G67" s="975">
        <f>capProd2Adv2</f>
        <v>1000</v>
      </c>
      <c r="H67" s="975">
        <f>capProd2Adv2</f>
        <v>1000</v>
      </c>
      <c r="I67" s="975">
        <f>capProd2Adv2</f>
        <v>1000</v>
      </c>
      <c r="J67" s="779"/>
      <c r="K67" s="10">
        <v>0</v>
      </c>
      <c r="L67" s="14">
        <f t="shared" ref="L67:L73" si="11">K67*$J$72</f>
        <v>0</v>
      </c>
      <c r="M67" s="15">
        <f>NORMDIST(L67,$J$72,$D$72,TRUE)</f>
        <v>0.5</v>
      </c>
    </row>
    <row r="68" spans="1:13">
      <c r="A68" s="969" t="s">
        <v>166</v>
      </c>
      <c r="B68" s="970">
        <f>E164</f>
        <v>12</v>
      </c>
      <c r="C68" s="833"/>
      <c r="D68" s="177"/>
      <c r="E68" s="219"/>
      <c r="F68" s="219"/>
      <c r="G68" s="219"/>
      <c r="H68" s="219"/>
      <c r="I68" s="219"/>
      <c r="J68" s="333"/>
      <c r="K68" s="10">
        <v>0.33</v>
      </c>
      <c r="L68" s="14">
        <f t="shared" si="11"/>
        <v>0</v>
      </c>
      <c r="M68" s="15">
        <f t="shared" ref="M68:M73" si="12">NORMDIST(L68,$J$72,$D$72,TRUE)</f>
        <v>0.5</v>
      </c>
    </row>
    <row r="69" spans="1:13">
      <c r="A69" s="969" t="s">
        <v>167</v>
      </c>
      <c r="B69" s="970">
        <f>F164</f>
        <v>10</v>
      </c>
      <c r="C69" s="37"/>
      <c r="D69" s="38"/>
      <c r="E69" s="39"/>
      <c r="F69" s="39"/>
      <c r="G69" s="39"/>
      <c r="H69" s="39"/>
      <c r="I69" s="39"/>
      <c r="J69" s="40"/>
      <c r="K69" s="10">
        <v>0.66</v>
      </c>
      <c r="L69" s="14">
        <f t="shared" si="11"/>
        <v>0</v>
      </c>
      <c r="M69" s="15">
        <f t="shared" si="12"/>
        <v>0.5</v>
      </c>
    </row>
    <row r="70" spans="1:13">
      <c r="A70" s="971"/>
      <c r="B70" s="971"/>
      <c r="C70" s="37"/>
      <c r="D70" s="38"/>
      <c r="E70" s="39"/>
      <c r="F70" s="87"/>
      <c r="G70" s="87"/>
      <c r="H70" s="87"/>
      <c r="I70" s="87"/>
      <c r="J70" s="40"/>
      <c r="K70" s="10">
        <v>1</v>
      </c>
      <c r="L70" s="14">
        <f t="shared" si="11"/>
        <v>0</v>
      </c>
      <c r="M70" s="15">
        <f t="shared" si="12"/>
        <v>0.5</v>
      </c>
    </row>
    <row r="71" spans="1:13">
      <c r="A71" s="971"/>
      <c r="B71" s="971"/>
      <c r="C71" s="37" t="s">
        <v>965</v>
      </c>
      <c r="D71" s="48">
        <v>1</v>
      </c>
      <c r="E71" s="1059">
        <f>IF(MMInMarket=TRUE,INDEX(E66:E67,INDEX(E$13:E$16,MMSegCurrent)),0)</f>
        <v>0</v>
      </c>
      <c r="F71" s="1059">
        <f>IF(MMInMarket=TRUE,INDEX(F66:F67,INDEX(F$13:F$16,MMSegCurrent)),0)</f>
        <v>0</v>
      </c>
      <c r="G71" s="1059">
        <f>IF(MMInMarket=TRUE,INDEX(G66:G67,INDEX(G$13:G$16,MMSegCurrent)),0)</f>
        <v>0</v>
      </c>
      <c r="H71" s="1059">
        <f>IF(MMInMarket=TRUE,INDEX(H66:H67,INDEX(H$13:H$16,MMSegCurrent)),0)</f>
        <v>0</v>
      </c>
      <c r="I71" s="1059">
        <f>IF(MMInMarket=TRUE,INDEX(I66:I67,INDEX(I$13:I$16,MMSegCurrent)),0)</f>
        <v>0</v>
      </c>
      <c r="J71" s="40"/>
      <c r="K71" s="10">
        <v>1.33</v>
      </c>
      <c r="L71" s="14">
        <f t="shared" si="11"/>
        <v>0</v>
      </c>
      <c r="M71" s="15">
        <f t="shared" si="12"/>
        <v>0.5</v>
      </c>
    </row>
    <row r="72" spans="1:13">
      <c r="A72" s="971"/>
      <c r="B72" s="971"/>
      <c r="C72" s="43" t="s">
        <v>969</v>
      </c>
      <c r="D72" s="716">
        <f>STDEVP(E71:I71)*D71+(STDEVP(E71:I71)=0)</f>
        <v>1</v>
      </c>
      <c r="E72" s="71">
        <f>IF(E71=0,0,NORMDIST(E71,$J72,$D72,TRUE))*(MMInMarket=TRUE)</f>
        <v>0</v>
      </c>
      <c r="F72" s="71">
        <f>IF(F71=0,0,NORMDIST(F71,$J72,$D72,TRUE))*(MMInMarket=TRUE)</f>
        <v>0</v>
      </c>
      <c r="G72" s="71">
        <f>IF(G71=0,0,NORMDIST(G71,$J72,$D72,TRUE))*(MMInMarket=TRUE)</f>
        <v>0</v>
      </c>
      <c r="H72" s="71">
        <f>IF(H71=0,0,NORMDIST(H71,$J72,$D72,TRUE))*(MMInMarket=TRUE)</f>
        <v>0</v>
      </c>
      <c r="I72" s="71">
        <f>IF(I71=0,0,NORMDIST(I71,$J72,$D72,TRUE))*(MMInMarket=TRUE)</f>
        <v>0</v>
      </c>
      <c r="J72" s="44">
        <f>IF($J$24=0,0,SUM(E71:I71)/$J$24)</f>
        <v>0</v>
      </c>
      <c r="K72" s="10">
        <v>1.66</v>
      </c>
      <c r="L72" s="14">
        <f t="shared" si="11"/>
        <v>0</v>
      </c>
      <c r="M72" s="15">
        <f t="shared" si="12"/>
        <v>0.5</v>
      </c>
    </row>
    <row r="73" spans="1:13">
      <c r="A73" s="968"/>
      <c r="B73" s="971"/>
      <c r="C73" s="2"/>
      <c r="D73" s="39"/>
      <c r="E73" s="3"/>
      <c r="F73" s="3"/>
      <c r="G73" s="3"/>
      <c r="H73" s="3"/>
      <c r="I73" s="3"/>
      <c r="J73" s="3"/>
      <c r="K73" s="10">
        <v>2</v>
      </c>
      <c r="L73" s="14">
        <f t="shared" si="11"/>
        <v>0</v>
      </c>
      <c r="M73" s="15">
        <f t="shared" si="12"/>
        <v>0.5</v>
      </c>
    </row>
    <row r="74" spans="1:13">
      <c r="A74" s="968"/>
      <c r="B74" s="971"/>
      <c r="C74" s="2"/>
      <c r="D74" s="39"/>
      <c r="E74" s="3"/>
      <c r="F74" s="3"/>
      <c r="G74" s="3"/>
      <c r="H74" s="3"/>
      <c r="I74" s="3"/>
      <c r="J74" s="3"/>
      <c r="K74" s="3"/>
    </row>
    <row r="75" spans="1:13">
      <c r="A75" s="968"/>
      <c r="B75" s="968"/>
      <c r="C75" s="2"/>
      <c r="D75" s="39"/>
      <c r="E75" s="3"/>
      <c r="F75" s="3"/>
      <c r="G75" s="3"/>
      <c r="H75" s="3"/>
      <c r="I75" s="3"/>
      <c r="J75" s="3"/>
      <c r="K75" s="3"/>
    </row>
    <row r="76" spans="1:13">
      <c r="A76" s="968"/>
      <c r="B76" s="968"/>
      <c r="C76" s="2"/>
      <c r="D76" s="39"/>
      <c r="E76" s="3"/>
      <c r="F76" s="3"/>
      <c r="G76" s="3"/>
      <c r="H76" s="3"/>
      <c r="I76" s="3"/>
      <c r="J76" s="3"/>
    </row>
    <row r="77" spans="1:13">
      <c r="A77" s="968"/>
      <c r="B77" s="968"/>
      <c r="C77" s="2"/>
      <c r="D77" s="39"/>
      <c r="E77" s="3"/>
      <c r="F77" s="3"/>
      <c r="G77" s="3"/>
      <c r="H77" s="3"/>
      <c r="I77" s="3"/>
      <c r="J77" s="3"/>
    </row>
    <row r="78" spans="1:13">
      <c r="A78" s="968"/>
      <c r="B78" s="968"/>
      <c r="C78" s="2"/>
      <c r="D78" s="39"/>
      <c r="E78" s="3"/>
      <c r="F78" s="3"/>
      <c r="G78" s="3"/>
      <c r="H78" s="3"/>
      <c r="I78" s="3"/>
      <c r="J78" s="3"/>
    </row>
    <row r="79" spans="1:13">
      <c r="A79" s="969"/>
      <c r="B79" s="969" t="s">
        <v>2317</v>
      </c>
      <c r="C79" s="230" t="str">
        <f>xxMMProd2Driver5&amp;" - "&amp;" - Disruptive Slot 2"</f>
        <v>Promotion -  - Disruptive Slot 2</v>
      </c>
      <c r="D79" s="832"/>
      <c r="E79" s="830">
        <f>capProd2Promo1</f>
        <v>1000</v>
      </c>
      <c r="F79" s="830">
        <f>capProd2Promo1</f>
        <v>1000</v>
      </c>
      <c r="G79" s="830">
        <f>capProd2Promo1</f>
        <v>1000</v>
      </c>
      <c r="H79" s="830">
        <f>capProd2Promo1</f>
        <v>1000</v>
      </c>
      <c r="I79" s="830">
        <f>capProd2Promo1</f>
        <v>1000</v>
      </c>
      <c r="J79" s="831"/>
      <c r="L79" s="240" t="s">
        <v>3209</v>
      </c>
      <c r="M79" s="240" t="s">
        <v>3210</v>
      </c>
    </row>
    <row r="80" spans="1:13">
      <c r="A80" s="969"/>
      <c r="B80" s="969"/>
      <c r="C80" s="349" t="str">
        <f>xxMMProd2Driver5&amp;" - "&amp;" - Disruptive Slot 2"</f>
        <v>Promotion -  - Disruptive Slot 2</v>
      </c>
      <c r="D80" s="976"/>
      <c r="E80" s="975">
        <f>decProd2PromoR2</f>
        <v>1</v>
      </c>
      <c r="F80" s="975">
        <f>decProd2PromoR2</f>
        <v>1</v>
      </c>
      <c r="G80" s="975">
        <f>decProd2PromoR2</f>
        <v>1</v>
      </c>
      <c r="H80" s="975">
        <f>decProd2PromoR2</f>
        <v>1</v>
      </c>
      <c r="I80" s="975">
        <f>decProd2PromoR2</f>
        <v>1</v>
      </c>
      <c r="J80" s="977"/>
      <c r="K80" s="10">
        <v>0</v>
      </c>
      <c r="L80" s="14">
        <f t="shared" ref="L80:L86" si="13">K80*$J$85</f>
        <v>0</v>
      </c>
      <c r="M80" s="15">
        <f>NORMDIST(L80,$J$85,$D$85,TRUE)</f>
        <v>0.5</v>
      </c>
    </row>
    <row r="81" spans="1:13">
      <c r="A81" s="969" t="s">
        <v>166</v>
      </c>
      <c r="B81" s="970">
        <f>E165</f>
        <v>10</v>
      </c>
      <c r="C81" s="833"/>
      <c r="D81" s="177"/>
      <c r="E81" s="219"/>
      <c r="F81" s="219"/>
      <c r="G81" s="219"/>
      <c r="H81" s="219"/>
      <c r="I81" s="219"/>
      <c r="J81" s="333"/>
      <c r="K81" s="10">
        <v>0.33</v>
      </c>
      <c r="L81" s="14">
        <f t="shared" si="13"/>
        <v>0</v>
      </c>
      <c r="M81" s="15">
        <f t="shared" ref="M81:M86" si="14">NORMDIST(L81,$J$85,$D$85,TRUE)</f>
        <v>0.5</v>
      </c>
    </row>
    <row r="82" spans="1:13">
      <c r="A82" s="969" t="s">
        <v>167</v>
      </c>
      <c r="B82" s="970">
        <f>F165</f>
        <v>12</v>
      </c>
      <c r="C82" s="37"/>
      <c r="D82" s="38"/>
      <c r="E82" s="39"/>
      <c r="F82" s="39"/>
      <c r="G82" s="39"/>
      <c r="H82" s="39"/>
      <c r="I82" s="39"/>
      <c r="J82" s="40"/>
      <c r="K82" s="10">
        <v>0.66</v>
      </c>
      <c r="L82" s="14">
        <f t="shared" si="13"/>
        <v>0</v>
      </c>
      <c r="M82" s="15">
        <f t="shared" si="14"/>
        <v>0.5</v>
      </c>
    </row>
    <row r="83" spans="1:13">
      <c r="A83" s="971"/>
      <c r="B83" s="971"/>
      <c r="C83" s="37"/>
      <c r="D83" s="38"/>
      <c r="E83" s="87"/>
      <c r="F83" s="87"/>
      <c r="G83" s="87"/>
      <c r="H83" s="87"/>
      <c r="I83" s="87"/>
      <c r="J83" s="40"/>
      <c r="K83" s="10">
        <v>1</v>
      </c>
      <c r="L83" s="14">
        <f t="shared" si="13"/>
        <v>0</v>
      </c>
      <c r="M83" s="15">
        <f t="shared" si="14"/>
        <v>0.5</v>
      </c>
    </row>
    <row r="84" spans="1:13">
      <c r="A84" s="971"/>
      <c r="B84" s="971"/>
      <c r="C84" s="37" t="s">
        <v>965</v>
      </c>
      <c r="D84" s="48">
        <v>1</v>
      </c>
      <c r="E84" s="1059">
        <f>IF(MMInMarket=TRUE,INDEX(E79:E80,INDEX(E$13:E$16,MMSegCurrent)),0)</f>
        <v>0</v>
      </c>
      <c r="F84" s="1059">
        <f>IF(MMInMarket=TRUE,INDEX(F79:F80,INDEX(F$13:F$16,MMSegCurrent)),0)</f>
        <v>0</v>
      </c>
      <c r="G84" s="1059">
        <f>IF(MMInMarket=TRUE,INDEX(G79:G80,INDEX(G$13:G$16,MMSegCurrent)),0)</f>
        <v>0</v>
      </c>
      <c r="H84" s="1059">
        <f>IF(MMInMarket=TRUE,INDEX(H79:H80,INDEX(H$13:H$16,MMSegCurrent)),0)</f>
        <v>0</v>
      </c>
      <c r="I84" s="1059">
        <f>IF(MMInMarket=TRUE,INDEX(I79:I80,INDEX(I$13:I$16,MMSegCurrent)),0)</f>
        <v>0</v>
      </c>
      <c r="J84" s="40"/>
      <c r="K84" s="10">
        <v>1.33</v>
      </c>
      <c r="L84" s="14">
        <f t="shared" si="13"/>
        <v>0</v>
      </c>
      <c r="M84" s="15">
        <f t="shared" si="14"/>
        <v>0.5</v>
      </c>
    </row>
    <row r="85" spans="1:13">
      <c r="A85" s="971"/>
      <c r="B85" s="971"/>
      <c r="C85" s="43" t="s">
        <v>970</v>
      </c>
      <c r="D85" s="716">
        <f>STDEVP(E84:I84)*D84+(STDEVP(E84:I84)=0)</f>
        <v>1</v>
      </c>
      <c r="E85" s="71">
        <f>IF(E84=0,0,NORMDIST(E84,$J85,$D85,TRUE))*(MMInMarket=TRUE)</f>
        <v>0</v>
      </c>
      <c r="F85" s="71">
        <f>IF(F84=0,0,NORMDIST(F84,$J85,$D85,TRUE))*(MMInMarket=TRUE)</f>
        <v>0</v>
      </c>
      <c r="G85" s="71">
        <f>IF(G84=0,0,NORMDIST(G84,$J85,$D85,TRUE))*(MMInMarket=TRUE)</f>
        <v>0</v>
      </c>
      <c r="H85" s="71">
        <f>IF(H84=0,0,NORMDIST(H84,$J85,$D85,TRUE))*(MMInMarket=TRUE)</f>
        <v>0</v>
      </c>
      <c r="I85" s="71">
        <f>IF(I84=0,0,NORMDIST(I84,$J85,$D85,TRUE))*(MMInMarket=TRUE)</f>
        <v>0</v>
      </c>
      <c r="J85" s="44">
        <f>IF($J$24=0,0,SUM(E84:I84)/$J$24)</f>
        <v>0</v>
      </c>
      <c r="K85" s="10">
        <v>1.66</v>
      </c>
      <c r="L85" s="14">
        <f t="shared" si="13"/>
        <v>0</v>
      </c>
      <c r="M85" s="15">
        <f t="shared" si="14"/>
        <v>0.5</v>
      </c>
    </row>
    <row r="86" spans="1:13">
      <c r="A86" s="968"/>
      <c r="B86" s="971"/>
      <c r="C86" s="2"/>
      <c r="D86" s="39"/>
      <c r="E86" s="3"/>
      <c r="F86" s="3"/>
      <c r="G86" s="3"/>
      <c r="H86" s="3"/>
      <c r="I86" s="3"/>
      <c r="J86" s="3"/>
      <c r="K86" s="10">
        <v>2</v>
      </c>
      <c r="L86" s="14">
        <f t="shared" si="13"/>
        <v>0</v>
      </c>
      <c r="M86" s="15">
        <f t="shared" si="14"/>
        <v>0.5</v>
      </c>
    </row>
    <row r="87" spans="1:13">
      <c r="A87" s="968"/>
      <c r="B87" s="968"/>
      <c r="C87" s="2"/>
      <c r="D87" s="39"/>
      <c r="E87" s="3"/>
      <c r="F87" s="3"/>
      <c r="G87" s="3"/>
      <c r="H87" s="3"/>
      <c r="I87" s="3"/>
      <c r="J87" s="3"/>
      <c r="K87" s="3"/>
    </row>
    <row r="88" spans="1:13">
      <c r="A88" s="968"/>
      <c r="B88" s="968"/>
      <c r="C88" s="2"/>
      <c r="D88" s="39"/>
      <c r="E88" s="3"/>
      <c r="F88" s="3"/>
      <c r="G88" s="3"/>
      <c r="H88" s="3"/>
      <c r="I88" s="3"/>
      <c r="J88" s="3"/>
    </row>
    <row r="89" spans="1:13">
      <c r="A89" s="968"/>
      <c r="B89" s="968"/>
      <c r="C89" s="2"/>
      <c r="D89" s="39"/>
      <c r="E89" s="3"/>
      <c r="F89" s="3"/>
      <c r="G89" s="3"/>
      <c r="H89" s="3"/>
      <c r="I89" s="3"/>
      <c r="J89" s="3"/>
    </row>
    <row r="90" spans="1:13">
      <c r="A90" s="968"/>
      <c r="B90" s="968"/>
      <c r="C90" s="2"/>
      <c r="D90" s="39"/>
      <c r="E90" s="3"/>
      <c r="F90" s="3"/>
      <c r="G90" s="3"/>
      <c r="H90" s="3"/>
      <c r="I90" s="3"/>
      <c r="J90" s="3"/>
    </row>
    <row r="91" spans="1:13">
      <c r="A91" s="968"/>
      <c r="B91" s="968"/>
      <c r="C91" s="2"/>
      <c r="D91" s="39"/>
      <c r="E91" s="3"/>
      <c r="F91" s="3"/>
      <c r="G91" s="3"/>
      <c r="H91" s="3"/>
      <c r="I91" s="3"/>
      <c r="J91" s="3"/>
      <c r="L91" s="240" t="s">
        <v>3209</v>
      </c>
      <c r="M91" s="240" t="s">
        <v>3210</v>
      </c>
    </row>
    <row r="92" spans="1:13">
      <c r="A92" s="969"/>
      <c r="B92" s="969" t="s">
        <v>2318</v>
      </c>
      <c r="C92" s="230" t="str">
        <f>xxMMProd2Driver6&amp;" - Region 1"</f>
        <v>Sales Force - Region 1</v>
      </c>
      <c r="D92" s="832"/>
      <c r="E92" s="231">
        <f>cbalEmp1*INDEX(dataDisruptWeight,2,MMSegCurrent)</f>
        <v>2000</v>
      </c>
      <c r="F92" s="231">
        <f>cbalEmp1*INDEX(dataDisruptWeight,2,MMSegCurrent)</f>
        <v>2000</v>
      </c>
      <c r="G92" s="231">
        <f>cbalEmp1*INDEX(dataDisruptWeight,2,MMSegCurrent)</f>
        <v>2000</v>
      </c>
      <c r="H92" s="231">
        <f>cbalEmp1*INDEX(dataDisruptWeight,2,MMSegCurrent)</f>
        <v>2000</v>
      </c>
      <c r="I92" s="231">
        <f>cbalEmp1*INDEX(dataDisruptWeight,2,MMSegCurrent)</f>
        <v>2000</v>
      </c>
      <c r="J92" s="831"/>
      <c r="K92" s="10">
        <v>0</v>
      </c>
      <c r="L92" s="14">
        <f t="shared" ref="L92:L98" si="15">K92*$J$97</f>
        <v>0</v>
      </c>
      <c r="M92" s="15">
        <f>NORMDIST(L92,$J$97,$D$97,TRUE)</f>
        <v>0.5</v>
      </c>
    </row>
    <row r="93" spans="1:13">
      <c r="A93" s="969" t="s">
        <v>166</v>
      </c>
      <c r="B93" s="970">
        <f>E166</f>
        <v>11</v>
      </c>
      <c r="C93" s="349" t="str">
        <f>xxMMProd2Driver6&amp;" - Region 2"</f>
        <v>Sales Force - Region 2</v>
      </c>
      <c r="D93" s="177"/>
      <c r="E93" s="834">
        <f>cbalEmp2*INDEX(dataDisruptWeight,3,MMSegCurrent)</f>
        <v>1050</v>
      </c>
      <c r="F93" s="834">
        <f>cbalEmp2*INDEX(dataDisruptWeight,3,MMSegCurrent)</f>
        <v>1050</v>
      </c>
      <c r="G93" s="834">
        <f>cbalEmp2*INDEX(dataDisruptWeight,3,MMSegCurrent)</f>
        <v>1050</v>
      </c>
      <c r="H93" s="834">
        <f>cbalEmp2*INDEX(dataDisruptWeight,3,MMSegCurrent)</f>
        <v>1050</v>
      </c>
      <c r="I93" s="834">
        <f>cbalEmp2*INDEX(dataDisruptWeight,3,MMSegCurrent)</f>
        <v>1050</v>
      </c>
      <c r="J93" s="333"/>
      <c r="K93" s="10">
        <v>0.33</v>
      </c>
      <c r="L93" s="14">
        <f t="shared" si="15"/>
        <v>0</v>
      </c>
      <c r="M93" s="15">
        <f t="shared" ref="M93:M98" si="16">NORMDIST(L93,$J$97,$D$97,TRUE)</f>
        <v>0.5</v>
      </c>
    </row>
    <row r="94" spans="1:13">
      <c r="A94" s="969" t="s">
        <v>167</v>
      </c>
      <c r="B94" s="970">
        <f>F166</f>
        <v>11</v>
      </c>
      <c r="C94" s="37"/>
      <c r="D94" s="38"/>
      <c r="E94" s="39"/>
      <c r="F94" s="39"/>
      <c r="G94" s="39"/>
      <c r="H94" s="39"/>
      <c r="I94" s="39"/>
      <c r="J94" s="40"/>
      <c r="K94" s="10">
        <v>0.66</v>
      </c>
      <c r="L94" s="14">
        <f t="shared" si="15"/>
        <v>0</v>
      </c>
      <c r="M94" s="15">
        <f t="shared" si="16"/>
        <v>0.5</v>
      </c>
    </row>
    <row r="95" spans="1:13">
      <c r="A95" s="971"/>
      <c r="B95" s="971"/>
      <c r="C95" s="37" t="s">
        <v>2383</v>
      </c>
      <c r="D95" s="38"/>
      <c r="E95" s="835">
        <f>cbalEmp1*(1+capReg1ChanLevel/20)+cbalEmp2</f>
        <v>6700</v>
      </c>
      <c r="F95" s="835">
        <f>cbalEmp1*(1+capReg1ChanLevel/20)+cbalEmp2</f>
        <v>6700</v>
      </c>
      <c r="G95" s="835">
        <f>cbalEmp1*(1+capReg1ChanLevel/20)+cbalEmp2</f>
        <v>6700</v>
      </c>
      <c r="H95" s="835">
        <f>cbalEmp1*(1+capReg1ChanLevel/20)+cbalEmp2</f>
        <v>6700</v>
      </c>
      <c r="I95" s="835">
        <f>cbalEmp1*(1+capReg1ChanLevel/20)+cbalEmp2</f>
        <v>6700</v>
      </c>
      <c r="J95" s="40"/>
      <c r="K95" s="10">
        <v>1</v>
      </c>
      <c r="L95" s="14">
        <f t="shared" si="15"/>
        <v>0</v>
      </c>
      <c r="M95" s="15">
        <f t="shared" si="16"/>
        <v>0.5</v>
      </c>
    </row>
    <row r="96" spans="1:13">
      <c r="A96" s="971"/>
      <c r="B96" s="971"/>
      <c r="C96" s="37" t="s">
        <v>965</v>
      </c>
      <c r="D96" s="48">
        <v>1</v>
      </c>
      <c r="E96" s="87">
        <f>IF(MMInMarket=TRUE,E95,0)</f>
        <v>0</v>
      </c>
      <c r="F96" s="87">
        <f>IF(MMInMarket=TRUE,F95,0)</f>
        <v>0</v>
      </c>
      <c r="G96" s="87">
        <f>IF(MMInMarket=TRUE,G95,0)</f>
        <v>0</v>
      </c>
      <c r="H96" s="87">
        <f>IF(MMInMarket=TRUE,H95,0)</f>
        <v>0</v>
      </c>
      <c r="I96" s="87">
        <f>IF(MMInMarket=TRUE,I95,0)</f>
        <v>0</v>
      </c>
      <c r="J96" s="40"/>
      <c r="K96" s="10">
        <v>1.33</v>
      </c>
      <c r="L96" s="14">
        <f t="shared" si="15"/>
        <v>0</v>
      </c>
      <c r="M96" s="15">
        <f t="shared" si="16"/>
        <v>0.5</v>
      </c>
    </row>
    <row r="97" spans="1:13">
      <c r="A97" s="971"/>
      <c r="B97" s="971"/>
      <c r="C97" s="43" t="s">
        <v>971</v>
      </c>
      <c r="D97" s="42">
        <f>STDEVP(E96:I96)*D96+(STDEVP(E96:I96)=0)</f>
        <v>1</v>
      </c>
      <c r="E97" s="71">
        <f>IF(E96=0,0,NORMDIST(E96,$J97,$D97,TRUE))*(MMInMarket=TRUE)</f>
        <v>0</v>
      </c>
      <c r="F97" s="71">
        <f>IF(F96=0,0,NORMDIST(F96,$J97,$D97,TRUE))*(MMInMarket=TRUE)</f>
        <v>0</v>
      </c>
      <c r="G97" s="71">
        <f>IF(G96=0,0,NORMDIST(G96,$J97,$D97,TRUE))*(MMInMarket=TRUE)</f>
        <v>0</v>
      </c>
      <c r="H97" s="71">
        <f>IF(H96=0,0,NORMDIST(H96,$J97,$D97,TRUE))*(MMInMarket=TRUE)</f>
        <v>0</v>
      </c>
      <c r="I97" s="71">
        <f>IF(I96=0,0,NORMDIST(I96,$J97,$D97,TRUE))*(MMInMarket=TRUE)</f>
        <v>0</v>
      </c>
      <c r="J97" s="44">
        <f>IF($J$24=0,0,SUM(E96:I96)/$J$24)</f>
        <v>0</v>
      </c>
      <c r="K97" s="10">
        <v>1.66</v>
      </c>
      <c r="L97" s="14">
        <f t="shared" si="15"/>
        <v>0</v>
      </c>
      <c r="M97" s="15">
        <f t="shared" si="16"/>
        <v>0.5</v>
      </c>
    </row>
    <row r="98" spans="1:13">
      <c r="A98" s="968"/>
      <c r="B98" s="968"/>
      <c r="C98" s="2"/>
      <c r="D98" s="39"/>
      <c r="E98" s="3"/>
      <c r="F98" s="3"/>
      <c r="G98" s="3"/>
      <c r="H98" s="3"/>
      <c r="I98" s="3"/>
      <c r="J98" s="3"/>
      <c r="K98" s="10">
        <v>2</v>
      </c>
      <c r="L98" s="14">
        <f t="shared" si="15"/>
        <v>0</v>
      </c>
      <c r="M98" s="15">
        <f t="shared" si="16"/>
        <v>0.5</v>
      </c>
    </row>
    <row r="99" spans="1:13">
      <c r="A99" s="968"/>
      <c r="B99" s="968"/>
      <c r="C99" s="2"/>
      <c r="D99" s="39"/>
      <c r="E99" s="3"/>
      <c r="F99" s="3"/>
      <c r="G99" s="3"/>
      <c r="H99" s="3"/>
      <c r="I99" s="3"/>
      <c r="J99" s="3"/>
      <c r="L99" s="14"/>
      <c r="M99" s="10"/>
    </row>
    <row r="100" spans="1:13">
      <c r="A100" s="968"/>
      <c r="B100" s="968"/>
      <c r="C100" s="2"/>
      <c r="D100" s="39"/>
      <c r="E100" s="3"/>
      <c r="F100" s="3"/>
      <c r="G100" s="3"/>
      <c r="H100" s="3"/>
      <c r="I100" s="3"/>
      <c r="J100" s="3"/>
    </row>
    <row r="101" spans="1:13">
      <c r="A101" s="968"/>
      <c r="B101" s="968"/>
      <c r="C101" s="2"/>
      <c r="D101" s="39"/>
      <c r="E101" s="3"/>
      <c r="F101" s="3"/>
      <c r="G101" s="3"/>
      <c r="H101" s="3"/>
      <c r="I101" s="3"/>
      <c r="J101" s="3"/>
    </row>
    <row r="102" spans="1:13">
      <c r="A102" s="968"/>
      <c r="B102" s="968"/>
      <c r="C102" s="2"/>
      <c r="D102" s="39"/>
      <c r="E102" s="3"/>
      <c r="F102" s="3"/>
      <c r="G102" s="3"/>
      <c r="H102" s="3"/>
      <c r="I102" s="3"/>
      <c r="J102" s="3"/>
    </row>
    <row r="103" spans="1:13">
      <c r="A103" s="968"/>
      <c r="B103" s="968"/>
      <c r="C103" s="2"/>
      <c r="D103" s="39"/>
      <c r="E103" s="3"/>
      <c r="F103" s="3"/>
      <c r="G103" s="3"/>
      <c r="H103" s="3"/>
      <c r="I103" s="3"/>
      <c r="J103" s="3"/>
      <c r="L103" s="240" t="s">
        <v>3209</v>
      </c>
      <c r="M103" s="240" t="s">
        <v>3210</v>
      </c>
    </row>
    <row r="104" spans="1:13">
      <c r="A104" s="968"/>
      <c r="B104" s="968"/>
      <c r="C104" s="2"/>
      <c r="D104" s="39"/>
      <c r="E104" s="3"/>
      <c r="F104" s="3"/>
      <c r="G104" s="3"/>
      <c r="H104" s="3"/>
      <c r="I104" s="3"/>
      <c r="J104" s="683"/>
      <c r="K104" s="10">
        <v>0</v>
      </c>
      <c r="L104" s="14">
        <f t="shared" ref="L104:L110" si="17">K104*$J$109</f>
        <v>0</v>
      </c>
      <c r="M104" s="15">
        <f>NORMDIST(L104,$J$109,$D$109,TRUE)</f>
        <v>0.5</v>
      </c>
    </row>
    <row r="105" spans="1:13">
      <c r="A105" s="971"/>
      <c r="B105" s="969" t="s">
        <v>2319</v>
      </c>
      <c r="C105" s="230" t="str">
        <f>xxMMProd2Driver7</f>
        <v>Driver 7</v>
      </c>
      <c r="D105" s="231"/>
      <c r="E105" s="1016">
        <v>0</v>
      </c>
      <c r="F105" s="1016">
        <v>0</v>
      </c>
      <c r="G105" s="1016">
        <v>0</v>
      </c>
      <c r="H105" s="1016">
        <v>0</v>
      </c>
      <c r="I105" s="1016">
        <v>0</v>
      </c>
      <c r="J105" s="1016"/>
      <c r="K105" s="10">
        <v>0.33</v>
      </c>
      <c r="L105" s="14">
        <f t="shared" si="17"/>
        <v>0</v>
      </c>
      <c r="M105" s="15">
        <f t="shared" ref="M105:M110" si="18">NORMDIST(L105,$J$109,$D$109,TRUE)</f>
        <v>0.5</v>
      </c>
    </row>
    <row r="106" spans="1:13">
      <c r="A106" s="971"/>
      <c r="B106" s="969"/>
      <c r="C106" s="477"/>
      <c r="D106" s="176"/>
      <c r="E106" s="478"/>
      <c r="F106" s="478"/>
      <c r="G106" s="478"/>
      <c r="H106" s="478"/>
      <c r="I106" s="478"/>
      <c r="J106" s="333"/>
      <c r="K106" s="10">
        <v>0.66</v>
      </c>
      <c r="L106" s="14">
        <f t="shared" si="17"/>
        <v>0</v>
      </c>
      <c r="M106" s="15">
        <f t="shared" si="18"/>
        <v>0.5</v>
      </c>
    </row>
    <row r="107" spans="1:13">
      <c r="A107" s="971"/>
      <c r="B107" s="971"/>
      <c r="C107" s="37" t="s">
        <v>2383</v>
      </c>
      <c r="D107" s="38"/>
      <c r="E107" s="1015">
        <f>E105</f>
        <v>0</v>
      </c>
      <c r="F107" s="1015">
        <f>F105</f>
        <v>0</v>
      </c>
      <c r="G107" s="1015">
        <f>G105</f>
        <v>0</v>
      </c>
      <c r="H107" s="1015">
        <f>H105</f>
        <v>0</v>
      </c>
      <c r="I107" s="1015">
        <f>I105</f>
        <v>0</v>
      </c>
      <c r="J107" s="40"/>
      <c r="K107" s="10">
        <v>1</v>
      </c>
      <c r="L107" s="14">
        <f t="shared" si="17"/>
        <v>0</v>
      </c>
      <c r="M107" s="15">
        <f t="shared" si="18"/>
        <v>0.5</v>
      </c>
    </row>
    <row r="108" spans="1:13">
      <c r="A108" s="971"/>
      <c r="B108" s="971"/>
      <c r="C108" s="37" t="s">
        <v>965</v>
      </c>
      <c r="D108" s="48">
        <v>1</v>
      </c>
      <c r="E108" s="1015">
        <f>IF(MMInMarket=TRUE,E107,0)</f>
        <v>0</v>
      </c>
      <c r="F108" s="1015">
        <f>IF(MMInMarket=TRUE,F107,0)</f>
        <v>0</v>
      </c>
      <c r="G108" s="1015">
        <f>IF(MMInMarket=TRUE,G107,0)</f>
        <v>0</v>
      </c>
      <c r="H108" s="1015">
        <f>IF(MMInMarket=TRUE,H107,0)</f>
        <v>0</v>
      </c>
      <c r="I108" s="1015">
        <f>IF(MMInMarket=TRUE,I107,0)</f>
        <v>0</v>
      </c>
      <c r="J108" s="40"/>
      <c r="K108" s="10">
        <v>1.33</v>
      </c>
      <c r="L108" s="14">
        <f t="shared" si="17"/>
        <v>0</v>
      </c>
      <c r="M108" s="15">
        <f t="shared" si="18"/>
        <v>0.5</v>
      </c>
    </row>
    <row r="109" spans="1:13">
      <c r="A109" s="971"/>
      <c r="B109" s="971"/>
      <c r="C109" s="43" t="s">
        <v>972</v>
      </c>
      <c r="D109" s="42">
        <f>STDEVP(E108:I108)*D108+(STDEVP(E108:I108)=0)</f>
        <v>1</v>
      </c>
      <c r="E109" s="71">
        <f>IF(E108=0,0,NORMDIST(E108,$J109,$D109,TRUE))*(MMInMarket=TRUE)</f>
        <v>0</v>
      </c>
      <c r="F109" s="71">
        <f>IF(F108=0,0,NORMDIST(F108,$J109,$D109,TRUE))*(MMInMarket=TRUE)</f>
        <v>0</v>
      </c>
      <c r="G109" s="71">
        <f>IF(G108=0,0,NORMDIST(G108,$J109,$D109,TRUE))*(MMInMarket=TRUE)</f>
        <v>0</v>
      </c>
      <c r="H109" s="71">
        <f>IF(H108=0,0,NORMDIST(H108,$J109,$D109,TRUE))*(MMInMarket=TRUE)</f>
        <v>0</v>
      </c>
      <c r="I109" s="71">
        <f>IF(I108=0,0,NORMDIST(I108,$J109,$D109,TRUE))*(MMInMarket=TRUE)</f>
        <v>0</v>
      </c>
      <c r="J109" s="44">
        <f>IF($J$24=0,0,SUM(E108:I108)/$J$24)</f>
        <v>0</v>
      </c>
      <c r="K109" s="10">
        <v>1.66</v>
      </c>
      <c r="L109" s="14">
        <f t="shared" si="17"/>
        <v>0</v>
      </c>
      <c r="M109" s="15">
        <f t="shared" si="18"/>
        <v>0.5</v>
      </c>
    </row>
    <row r="110" spans="1:13">
      <c r="A110" s="968"/>
      <c r="B110" s="968"/>
      <c r="C110" s="2"/>
      <c r="D110" s="39"/>
      <c r="E110" s="3"/>
      <c r="F110" s="3"/>
      <c r="G110" s="3"/>
      <c r="H110" s="3"/>
      <c r="I110" s="3"/>
      <c r="J110" s="3"/>
      <c r="K110" s="10">
        <v>2</v>
      </c>
      <c r="L110" s="14">
        <f t="shared" si="17"/>
        <v>0</v>
      </c>
      <c r="M110" s="15">
        <f t="shared" si="18"/>
        <v>0.5</v>
      </c>
    </row>
    <row r="111" spans="1:13">
      <c r="A111" s="968"/>
      <c r="B111" s="968"/>
      <c r="C111" s="2"/>
      <c r="D111" s="39"/>
      <c r="E111" s="3"/>
      <c r="F111" s="3"/>
      <c r="G111" s="3"/>
      <c r="H111" s="3"/>
      <c r="I111" s="3"/>
      <c r="J111" s="3"/>
      <c r="K111" s="3"/>
    </row>
    <row r="112" spans="1:13" hidden="1">
      <c r="A112" s="968"/>
      <c r="B112" s="968"/>
      <c r="C112" s="2"/>
      <c r="D112" s="39"/>
      <c r="E112" s="3"/>
      <c r="F112" s="3"/>
      <c r="G112" s="3"/>
      <c r="H112" s="3"/>
      <c r="I112" s="3"/>
      <c r="J112" s="3"/>
    </row>
    <row r="113" spans="1:13" hidden="1">
      <c r="A113" s="968"/>
      <c r="B113" s="968"/>
      <c r="C113" s="2"/>
      <c r="D113" s="39"/>
      <c r="E113" s="3"/>
      <c r="F113" s="3"/>
      <c r="G113" s="3"/>
      <c r="H113" s="3"/>
      <c r="I113" s="3"/>
      <c r="J113" s="3"/>
    </row>
    <row r="114" spans="1:13" hidden="1">
      <c r="A114" s="968"/>
      <c r="B114" s="968"/>
      <c r="C114" s="2"/>
      <c r="D114" s="39"/>
      <c r="E114" s="3"/>
      <c r="F114" s="3"/>
      <c r="G114" s="3"/>
      <c r="H114" s="3"/>
      <c r="I114" s="3"/>
      <c r="J114" s="3"/>
    </row>
    <row r="115" spans="1:13" hidden="1">
      <c r="A115" s="968"/>
      <c r="B115" s="968"/>
      <c r="C115" s="2"/>
      <c r="D115" s="39"/>
      <c r="E115" s="3"/>
      <c r="F115" s="3"/>
      <c r="G115" s="3"/>
      <c r="H115" s="3"/>
      <c r="I115" s="3"/>
      <c r="J115" s="3"/>
      <c r="L115" s="240" t="s">
        <v>3209</v>
      </c>
      <c r="M115" s="240" t="s">
        <v>3210</v>
      </c>
    </row>
    <row r="116" spans="1:13" hidden="1">
      <c r="A116" s="968"/>
      <c r="B116" s="968"/>
      <c r="C116" s="2"/>
      <c r="D116" s="39"/>
      <c r="E116" s="3"/>
      <c r="F116" s="3"/>
      <c r="G116" s="3"/>
      <c r="H116" s="3"/>
      <c r="I116" s="3"/>
      <c r="J116" s="3"/>
      <c r="K116" s="10">
        <v>0</v>
      </c>
      <c r="L116" s="14">
        <f t="shared" ref="L116:L122" si="19">K116*$J$121</f>
        <v>0</v>
      </c>
      <c r="M116" s="15">
        <f>NORMDIST(L116,$J$121,$D$121,TRUE)</f>
        <v>0.5</v>
      </c>
    </row>
    <row r="117" spans="1:13" hidden="1">
      <c r="A117" s="971"/>
      <c r="B117" s="969" t="s">
        <v>2320</v>
      </c>
      <c r="C117" s="230" t="str">
        <f>xxMMProd2Driver8</f>
        <v>Driver 8</v>
      </c>
      <c r="D117" s="231"/>
      <c r="E117" s="218"/>
      <c r="F117" s="218"/>
      <c r="G117" s="218"/>
      <c r="H117" s="218"/>
      <c r="I117" s="218"/>
      <c r="J117" s="154"/>
      <c r="K117" s="10">
        <v>0.33</v>
      </c>
      <c r="L117" s="14">
        <f t="shared" si="19"/>
        <v>0</v>
      </c>
      <c r="M117" s="15">
        <f t="shared" ref="M117:M122" si="20">NORMDIST(L117,$J$121,$D$121,TRUE)</f>
        <v>0.5</v>
      </c>
    </row>
    <row r="118" spans="1:13" hidden="1">
      <c r="A118" s="971"/>
      <c r="B118" s="971"/>
      <c r="C118" s="37"/>
      <c r="D118" s="38"/>
      <c r="E118" s="39"/>
      <c r="F118" s="39"/>
      <c r="G118" s="39"/>
      <c r="H118" s="39"/>
      <c r="I118" s="39"/>
      <c r="J118" s="40"/>
      <c r="K118" s="10">
        <v>0.66</v>
      </c>
      <c r="L118" s="14">
        <f t="shared" si="19"/>
        <v>0</v>
      </c>
      <c r="M118" s="15">
        <f t="shared" si="20"/>
        <v>0.5</v>
      </c>
    </row>
    <row r="119" spans="1:13" hidden="1">
      <c r="A119" s="971"/>
      <c r="B119" s="971"/>
      <c r="C119" s="37" t="s">
        <v>2383</v>
      </c>
      <c r="D119" s="38"/>
      <c r="E119" s="87">
        <f>E117</f>
        <v>0</v>
      </c>
      <c r="F119" s="87">
        <f>F117</f>
        <v>0</v>
      </c>
      <c r="G119" s="87">
        <f>G117</f>
        <v>0</v>
      </c>
      <c r="H119" s="87">
        <f>H117</f>
        <v>0</v>
      </c>
      <c r="I119" s="87">
        <f>I117</f>
        <v>0</v>
      </c>
      <c r="J119" s="40"/>
      <c r="K119" s="10">
        <v>1</v>
      </c>
      <c r="L119" s="14">
        <f t="shared" si="19"/>
        <v>0</v>
      </c>
      <c r="M119" s="15">
        <f t="shared" si="20"/>
        <v>0.5</v>
      </c>
    </row>
    <row r="120" spans="1:13" hidden="1">
      <c r="A120" s="971"/>
      <c r="B120" s="971"/>
      <c r="C120" s="37" t="s">
        <v>965</v>
      </c>
      <c r="D120" s="48">
        <v>1</v>
      </c>
      <c r="E120" s="87">
        <f>IF(MMInMarket=TRUE,E119,0)</f>
        <v>0</v>
      </c>
      <c r="F120" s="87">
        <f>IF(MMInMarket=TRUE,F119,0)</f>
        <v>0</v>
      </c>
      <c r="G120" s="87">
        <f>IF(MMInMarket=TRUE,G119,0)</f>
        <v>0</v>
      </c>
      <c r="H120" s="87">
        <f>IF(MMInMarket=TRUE,H119,0)</f>
        <v>0</v>
      </c>
      <c r="I120" s="87">
        <f>IF(MMInMarket=TRUE,I119,0)</f>
        <v>0</v>
      </c>
      <c r="J120" s="40"/>
      <c r="K120" s="10">
        <v>1.33</v>
      </c>
      <c r="L120" s="14">
        <f t="shared" si="19"/>
        <v>0</v>
      </c>
      <c r="M120" s="15">
        <f t="shared" si="20"/>
        <v>0.5</v>
      </c>
    </row>
    <row r="121" spans="1:13" hidden="1">
      <c r="A121" s="971"/>
      <c r="B121" s="971"/>
      <c r="C121" s="43" t="s">
        <v>2385</v>
      </c>
      <c r="D121" s="42">
        <f>STDEVP(E120:I120)*D120+(STDEVP(E120:I120)=0)</f>
        <v>1</v>
      </c>
      <c r="E121" s="71">
        <f>IF(E120=0,0,NORMDIST(E120,$J121,$D121,TRUE))*(MMInMarket=TRUE)</f>
        <v>0</v>
      </c>
      <c r="F121" s="71">
        <f>IF(F120=0,0,NORMDIST(F120,$J121,$D121,TRUE))*(MMInMarket=TRUE)</f>
        <v>0</v>
      </c>
      <c r="G121" s="71">
        <f>IF(G120=0,0,NORMDIST(G120,$J121,$D121,TRUE))*(MMInMarket=TRUE)</f>
        <v>0</v>
      </c>
      <c r="H121" s="71">
        <f>IF(H120=0,0,NORMDIST(H120,$J121,$D121,TRUE))*(MMInMarket=TRUE)</f>
        <v>0</v>
      </c>
      <c r="I121" s="71">
        <f>IF(I120=0,0,NORMDIST(I120,$J121,$D121,TRUE))*(MMInMarket=TRUE)</f>
        <v>0</v>
      </c>
      <c r="J121" s="44">
        <f>IF($J$24=0,0,SUM(E120:I120)/$J$24)</f>
        <v>0</v>
      </c>
      <c r="K121" s="10">
        <v>1.66</v>
      </c>
      <c r="L121" s="14">
        <f t="shared" si="19"/>
        <v>0</v>
      </c>
      <c r="M121" s="15">
        <f t="shared" si="20"/>
        <v>0.5</v>
      </c>
    </row>
    <row r="122" spans="1:13" hidden="1">
      <c r="A122" s="968"/>
      <c r="B122" s="968"/>
      <c r="C122" s="2"/>
      <c r="D122" s="39"/>
      <c r="E122" s="3"/>
      <c r="F122" s="3"/>
      <c r="G122" s="3"/>
      <c r="H122" s="3"/>
      <c r="I122" s="3"/>
      <c r="J122" s="3"/>
      <c r="K122" s="10">
        <v>2</v>
      </c>
      <c r="L122" s="14">
        <f t="shared" si="19"/>
        <v>0</v>
      </c>
      <c r="M122" s="15">
        <f t="shared" si="20"/>
        <v>0.5</v>
      </c>
    </row>
    <row r="123" spans="1:13" hidden="1">
      <c r="A123" s="968"/>
      <c r="B123" s="968"/>
      <c r="C123" s="2"/>
      <c r="D123" s="39"/>
      <c r="E123" s="3"/>
      <c r="F123" s="3"/>
      <c r="G123" s="3"/>
      <c r="H123" s="3"/>
      <c r="I123" s="3"/>
      <c r="J123" s="3"/>
      <c r="L123" s="14"/>
      <c r="M123" s="10"/>
    </row>
    <row r="124" spans="1:13" hidden="1">
      <c r="A124" s="968"/>
      <c r="B124" s="968"/>
      <c r="C124" s="2"/>
      <c r="D124" s="39"/>
      <c r="E124" s="3"/>
      <c r="F124" s="3"/>
      <c r="G124" s="3"/>
      <c r="H124" s="3"/>
      <c r="I124" s="3"/>
      <c r="J124" s="3"/>
    </row>
    <row r="125" spans="1:13" hidden="1">
      <c r="A125" s="968"/>
      <c r="B125" s="968"/>
      <c r="C125" s="2"/>
      <c r="D125" s="39"/>
      <c r="E125" s="3"/>
      <c r="F125" s="3"/>
      <c r="G125" s="3"/>
      <c r="H125" s="3"/>
      <c r="I125" s="3"/>
      <c r="J125" s="3"/>
    </row>
    <row r="126" spans="1:13" hidden="1">
      <c r="A126" s="968"/>
      <c r="B126" s="968"/>
      <c r="C126" s="2"/>
      <c r="D126" s="39"/>
      <c r="E126" s="3"/>
      <c r="F126" s="3"/>
      <c r="G126" s="3"/>
      <c r="H126" s="3"/>
      <c r="I126" s="3"/>
      <c r="J126" s="3"/>
    </row>
    <row r="127" spans="1:13" hidden="1">
      <c r="A127" s="968"/>
      <c r="B127" s="968"/>
      <c r="C127" s="2"/>
      <c r="D127" s="39"/>
      <c r="E127" s="3"/>
      <c r="F127" s="3"/>
      <c r="G127" s="3"/>
      <c r="H127" s="3"/>
      <c r="I127" s="3"/>
      <c r="J127" s="3"/>
      <c r="L127" s="240" t="s">
        <v>3209</v>
      </c>
      <c r="M127" s="240" t="s">
        <v>3210</v>
      </c>
    </row>
    <row r="128" spans="1:13" hidden="1">
      <c r="A128" s="968"/>
      <c r="B128" s="968"/>
      <c r="C128" s="2"/>
      <c r="D128" s="39"/>
      <c r="E128" s="3"/>
      <c r="F128" s="3"/>
      <c r="G128" s="3"/>
      <c r="H128" s="3"/>
      <c r="I128" s="3"/>
      <c r="J128" s="3"/>
      <c r="K128" s="10">
        <v>0</v>
      </c>
      <c r="L128" s="14">
        <f t="shared" ref="L128:L134" si="21">K128*$J$133</f>
        <v>0</v>
      </c>
      <c r="M128" s="15">
        <f t="shared" ref="M128:M134" si="22">NORMDIST(L128,$J$133,$D$121,TRUE)</f>
        <v>0.5</v>
      </c>
    </row>
    <row r="129" spans="1:13" hidden="1">
      <c r="A129" s="971"/>
      <c r="B129" s="969" t="s">
        <v>2321</v>
      </c>
      <c r="C129" s="230" t="str">
        <f>xxMMProd2Driver9</f>
        <v>Driver 9</v>
      </c>
      <c r="D129" s="231"/>
      <c r="E129" s="218"/>
      <c r="F129" s="218"/>
      <c r="G129" s="218"/>
      <c r="H129" s="218"/>
      <c r="I129" s="218"/>
      <c r="J129" s="154"/>
      <c r="K129" s="10">
        <v>0.33</v>
      </c>
      <c r="L129" s="14">
        <f t="shared" si="21"/>
        <v>0</v>
      </c>
      <c r="M129" s="15">
        <f t="shared" si="22"/>
        <v>0.5</v>
      </c>
    </row>
    <row r="130" spans="1:13" hidden="1">
      <c r="A130" s="971"/>
      <c r="B130" s="971"/>
      <c r="C130" s="37"/>
      <c r="D130" s="38"/>
      <c r="E130" s="39"/>
      <c r="F130" s="39"/>
      <c r="G130" s="39"/>
      <c r="H130" s="39"/>
      <c r="I130" s="39"/>
      <c r="J130" s="40"/>
      <c r="K130" s="10">
        <v>0.66</v>
      </c>
      <c r="L130" s="14">
        <f t="shared" si="21"/>
        <v>0</v>
      </c>
      <c r="M130" s="15">
        <f t="shared" si="22"/>
        <v>0.5</v>
      </c>
    </row>
    <row r="131" spans="1:13" hidden="1">
      <c r="A131" s="971"/>
      <c r="B131" s="971"/>
      <c r="C131" s="37" t="s">
        <v>2383</v>
      </c>
      <c r="D131" s="38"/>
      <c r="E131" s="87">
        <f>E129</f>
        <v>0</v>
      </c>
      <c r="F131" s="87">
        <f>F129</f>
        <v>0</v>
      </c>
      <c r="G131" s="87">
        <f>G129</f>
        <v>0</v>
      </c>
      <c r="H131" s="87">
        <f>H129</f>
        <v>0</v>
      </c>
      <c r="I131" s="87">
        <f>I129</f>
        <v>0</v>
      </c>
      <c r="J131" s="40"/>
      <c r="K131" s="10">
        <v>1</v>
      </c>
      <c r="L131" s="14">
        <f t="shared" si="21"/>
        <v>0</v>
      </c>
      <c r="M131" s="15">
        <f t="shared" si="22"/>
        <v>0.5</v>
      </c>
    </row>
    <row r="132" spans="1:13" hidden="1">
      <c r="A132" s="971"/>
      <c r="B132" s="971"/>
      <c r="C132" s="37" t="s">
        <v>965</v>
      </c>
      <c r="D132" s="48">
        <v>1</v>
      </c>
      <c r="E132" s="87">
        <f>IF(MMInMarket=TRUE,E131,0)</f>
        <v>0</v>
      </c>
      <c r="F132" s="87">
        <f>IF(MMInMarket=TRUE,F131,0)</f>
        <v>0</v>
      </c>
      <c r="G132" s="87">
        <f>IF(MMInMarket=TRUE,G131,0)</f>
        <v>0</v>
      </c>
      <c r="H132" s="87">
        <f>IF(MMInMarket=TRUE,H131,0)</f>
        <v>0</v>
      </c>
      <c r="I132" s="87">
        <f>IF(MMInMarket=TRUE,I131,0)</f>
        <v>0</v>
      </c>
      <c r="J132" s="40"/>
      <c r="K132" s="10">
        <v>1.33</v>
      </c>
      <c r="L132" s="14">
        <f t="shared" si="21"/>
        <v>0</v>
      </c>
      <c r="M132" s="15">
        <f t="shared" si="22"/>
        <v>0.5</v>
      </c>
    </row>
    <row r="133" spans="1:13" hidden="1">
      <c r="A133" s="971"/>
      <c r="B133" s="971"/>
      <c r="C133" s="43" t="s">
        <v>2955</v>
      </c>
      <c r="D133" s="42">
        <f>STDEVP(E132:I132)*D132+(STDEVP(E132:I132)=0)</f>
        <v>1</v>
      </c>
      <c r="E133" s="71">
        <f>IF(E132=0,0,NORMDIST(E132,$J133,$D133,TRUE))*(MMInMarket=TRUE)</f>
        <v>0</v>
      </c>
      <c r="F133" s="71">
        <f>IF(F132=0,0,NORMDIST(F132,$J133,$D133,TRUE))*(MMInMarket=TRUE)</f>
        <v>0</v>
      </c>
      <c r="G133" s="71">
        <f>IF(G132=0,0,NORMDIST(G132,$J133,$D133,TRUE))*(MMInMarket=TRUE)</f>
        <v>0</v>
      </c>
      <c r="H133" s="71">
        <f>IF(H132=0,0,NORMDIST(H132,$J133,$D133,TRUE))*(MMInMarket=TRUE)</f>
        <v>0</v>
      </c>
      <c r="I133" s="71">
        <f>IF(I132=0,0,NORMDIST(I132,$J133,$D133,TRUE))*(MMInMarket=TRUE)</f>
        <v>0</v>
      </c>
      <c r="J133" s="44">
        <f>IF($J$24=0,0,SUM(E132:I132)/$J$24)</f>
        <v>0</v>
      </c>
      <c r="K133" s="10">
        <v>1.66</v>
      </c>
      <c r="L133" s="14">
        <f t="shared" si="21"/>
        <v>0</v>
      </c>
      <c r="M133" s="15">
        <f t="shared" si="22"/>
        <v>0.5</v>
      </c>
    </row>
    <row r="134" spans="1:13" hidden="1">
      <c r="A134" s="968"/>
      <c r="B134" s="968"/>
      <c r="C134" s="2"/>
      <c r="D134" s="39"/>
      <c r="E134" s="3"/>
      <c r="F134" s="3"/>
      <c r="G134" s="3"/>
      <c r="H134" s="3"/>
      <c r="I134" s="3"/>
      <c r="J134" s="3"/>
      <c r="K134" s="10">
        <v>2</v>
      </c>
      <c r="L134" s="14">
        <f t="shared" si="21"/>
        <v>0</v>
      </c>
      <c r="M134" s="15">
        <f t="shared" si="22"/>
        <v>0.5</v>
      </c>
    </row>
    <row r="135" spans="1:13" hidden="1">
      <c r="A135" s="968"/>
      <c r="B135" s="968"/>
      <c r="C135" s="2"/>
      <c r="D135" s="39"/>
      <c r="E135" s="3"/>
      <c r="F135" s="3"/>
      <c r="G135" s="3"/>
      <c r="H135" s="3"/>
      <c r="I135" s="3"/>
      <c r="J135" s="3"/>
      <c r="L135" s="14"/>
      <c r="M135" s="10"/>
    </row>
    <row r="136" spans="1:13" hidden="1">
      <c r="A136" s="968"/>
      <c r="B136" s="968"/>
      <c r="C136" s="2"/>
      <c r="D136" s="39"/>
      <c r="E136" s="3"/>
      <c r="F136" s="3"/>
      <c r="G136" s="3"/>
      <c r="H136" s="3"/>
      <c r="I136" s="3"/>
      <c r="J136" s="3"/>
    </row>
    <row r="137" spans="1:13" hidden="1">
      <c r="A137" s="968"/>
      <c r="B137" s="968"/>
      <c r="C137" s="2"/>
      <c r="D137" s="39"/>
      <c r="E137" s="3"/>
      <c r="F137" s="3"/>
      <c r="G137" s="3"/>
      <c r="H137" s="3"/>
      <c r="I137" s="3"/>
      <c r="J137" s="3"/>
    </row>
    <row r="138" spans="1:13" hidden="1">
      <c r="A138" s="968"/>
      <c r="B138" s="968"/>
      <c r="C138" s="2"/>
      <c r="D138" s="39"/>
      <c r="E138" s="3"/>
      <c r="F138" s="3"/>
      <c r="G138" s="3"/>
      <c r="H138" s="3"/>
      <c r="I138" s="3"/>
      <c r="J138" s="3"/>
    </row>
    <row r="139" spans="1:13" hidden="1">
      <c r="A139" s="968"/>
      <c r="B139" s="968"/>
      <c r="C139" s="2"/>
      <c r="D139" s="39"/>
      <c r="E139" s="3"/>
      <c r="F139" s="3"/>
      <c r="G139" s="3"/>
      <c r="H139" s="3"/>
      <c r="I139" s="3"/>
      <c r="J139" s="3"/>
      <c r="L139" s="240" t="s">
        <v>3209</v>
      </c>
      <c r="M139" s="240" t="s">
        <v>3210</v>
      </c>
    </row>
    <row r="140" spans="1:13" hidden="1">
      <c r="A140" s="968"/>
      <c r="B140" s="968"/>
      <c r="C140" s="2"/>
      <c r="D140" s="39"/>
      <c r="E140" s="3"/>
      <c r="F140" s="3"/>
      <c r="G140" s="3"/>
      <c r="H140" s="3"/>
      <c r="I140" s="3"/>
      <c r="J140" s="3"/>
      <c r="K140" s="10">
        <v>0</v>
      </c>
      <c r="L140" s="14">
        <f t="shared" ref="L140:L146" si="23">K140*$J$145</f>
        <v>0</v>
      </c>
      <c r="M140" s="15">
        <f t="shared" ref="M140:M146" si="24">NORMDIST(L140,$J$145,$D$121,TRUE)</f>
        <v>0.5</v>
      </c>
    </row>
    <row r="141" spans="1:13" hidden="1">
      <c r="A141" s="971"/>
      <c r="B141" s="969" t="s">
        <v>2322</v>
      </c>
      <c r="C141" s="230" t="str">
        <f>xxMMProd2Driver10</f>
        <v>Driver 10</v>
      </c>
      <c r="D141" s="231"/>
      <c r="E141" s="218"/>
      <c r="F141" s="218"/>
      <c r="G141" s="218"/>
      <c r="H141" s="218"/>
      <c r="I141" s="218"/>
      <c r="J141" s="154"/>
      <c r="K141" s="10">
        <v>0.33</v>
      </c>
      <c r="L141" s="14">
        <f t="shared" si="23"/>
        <v>0</v>
      </c>
      <c r="M141" s="15">
        <f t="shared" si="24"/>
        <v>0.5</v>
      </c>
    </row>
    <row r="142" spans="1:13" hidden="1">
      <c r="A142" s="971"/>
      <c r="B142" s="971"/>
      <c r="C142" s="37"/>
      <c r="D142" s="38"/>
      <c r="E142" s="39"/>
      <c r="F142" s="39"/>
      <c r="G142" s="39"/>
      <c r="H142" s="39"/>
      <c r="I142" s="39"/>
      <c r="J142" s="40"/>
      <c r="K142" s="10">
        <v>0.66</v>
      </c>
      <c r="L142" s="14">
        <f t="shared" si="23"/>
        <v>0</v>
      </c>
      <c r="M142" s="15">
        <f t="shared" si="24"/>
        <v>0.5</v>
      </c>
    </row>
    <row r="143" spans="1:13" hidden="1">
      <c r="A143" s="971"/>
      <c r="B143" s="971"/>
      <c r="C143" s="37" t="s">
        <v>2383</v>
      </c>
      <c r="D143" s="38"/>
      <c r="E143" s="87">
        <f>E141</f>
        <v>0</v>
      </c>
      <c r="F143" s="87">
        <f>F141</f>
        <v>0</v>
      </c>
      <c r="G143" s="87">
        <f>G141</f>
        <v>0</v>
      </c>
      <c r="H143" s="87">
        <f>H141</f>
        <v>0</v>
      </c>
      <c r="I143" s="87">
        <f>I141</f>
        <v>0</v>
      </c>
      <c r="J143" s="40"/>
      <c r="K143" s="10">
        <v>1</v>
      </c>
      <c r="L143" s="14">
        <f t="shared" si="23"/>
        <v>0</v>
      </c>
      <c r="M143" s="15">
        <f t="shared" si="24"/>
        <v>0.5</v>
      </c>
    </row>
    <row r="144" spans="1:13" hidden="1">
      <c r="A144" s="971"/>
      <c r="B144" s="971"/>
      <c r="C144" s="37" t="s">
        <v>965</v>
      </c>
      <c r="D144" s="48">
        <v>1</v>
      </c>
      <c r="E144" s="87">
        <f>IF(MMInMarket=TRUE,E143,0)</f>
        <v>0</v>
      </c>
      <c r="F144" s="87">
        <f>IF(MMInMarket=TRUE,F143,0)</f>
        <v>0</v>
      </c>
      <c r="G144" s="87">
        <f>IF(MMInMarket=TRUE,G143,0)</f>
        <v>0</v>
      </c>
      <c r="H144" s="87">
        <f>IF(MMInMarket=TRUE,H143,0)</f>
        <v>0</v>
      </c>
      <c r="I144" s="87">
        <f>IF(MMInMarket=TRUE,I143,0)</f>
        <v>0</v>
      </c>
      <c r="J144" s="40"/>
      <c r="K144" s="10">
        <v>1.33</v>
      </c>
      <c r="L144" s="14">
        <f t="shared" si="23"/>
        <v>0</v>
      </c>
      <c r="M144" s="15">
        <f t="shared" si="24"/>
        <v>0.5</v>
      </c>
    </row>
    <row r="145" spans="1:13" hidden="1">
      <c r="A145" s="971"/>
      <c r="B145" s="971"/>
      <c r="C145" s="43" t="s">
        <v>2957</v>
      </c>
      <c r="D145" s="42">
        <f>STDEVP(E144:I144)*D144+(STDEVP(E144:I144)=0)</f>
        <v>1</v>
      </c>
      <c r="E145" s="71">
        <f>IF(E144=0,0,NORMDIST(E144,$J145,$D145,TRUE))*(MMInMarket=TRUE)</f>
        <v>0</v>
      </c>
      <c r="F145" s="71">
        <f>IF(F144=0,0,NORMDIST(F144,$J145,$D145,TRUE))*(MMInMarket=TRUE)</f>
        <v>0</v>
      </c>
      <c r="G145" s="71">
        <f>IF(G144=0,0,NORMDIST(G144,$J145,$D145,TRUE))*(MMInMarket=TRUE)</f>
        <v>0</v>
      </c>
      <c r="H145" s="71">
        <f>IF(H144=0,0,NORMDIST(H144,$J145,$D145,TRUE))*(MMInMarket=TRUE)</f>
        <v>0</v>
      </c>
      <c r="I145" s="71">
        <f>IF(I144=0,0,NORMDIST(I144,$J145,$D145,TRUE))*(MMInMarket=TRUE)</f>
        <v>0</v>
      </c>
      <c r="J145" s="44">
        <f>IF($J$24=0,0,SUM(E144:I144)/$J$24)</f>
        <v>0</v>
      </c>
      <c r="K145" s="10">
        <v>1.66</v>
      </c>
      <c r="L145" s="14">
        <f t="shared" si="23"/>
        <v>0</v>
      </c>
      <c r="M145" s="15">
        <f t="shared" si="24"/>
        <v>0.5</v>
      </c>
    </row>
    <row r="146" spans="1:13" hidden="1">
      <c r="A146" s="971"/>
      <c r="B146" s="971"/>
      <c r="C146" s="156"/>
      <c r="D146" s="39"/>
      <c r="E146" s="3"/>
      <c r="F146" s="3"/>
      <c r="G146" s="3"/>
      <c r="H146" s="3"/>
      <c r="I146" s="3"/>
      <c r="J146" s="3"/>
      <c r="K146" s="10">
        <v>2</v>
      </c>
      <c r="L146" s="14">
        <f t="shared" si="23"/>
        <v>0</v>
      </c>
      <c r="M146" s="15">
        <f t="shared" si="24"/>
        <v>0.5</v>
      </c>
    </row>
    <row r="147" spans="1:13" hidden="1">
      <c r="A147" s="971"/>
      <c r="B147" s="971"/>
      <c r="C147" s="156"/>
      <c r="D147" s="39"/>
      <c r="E147" s="3"/>
      <c r="F147" s="3"/>
      <c r="G147" s="3"/>
      <c r="H147" s="3"/>
      <c r="I147" s="3"/>
      <c r="J147" s="3"/>
      <c r="K147" s="10"/>
      <c r="L147" s="14"/>
      <c r="M147" s="15"/>
    </row>
    <row r="148" spans="1:13" hidden="1">
      <c r="A148" s="971"/>
      <c r="B148" s="971"/>
      <c r="C148" s="156"/>
      <c r="D148" s="39"/>
      <c r="E148" s="3"/>
      <c r="F148" s="3"/>
      <c r="G148" s="3"/>
      <c r="H148" s="3"/>
      <c r="I148" s="3"/>
      <c r="J148" s="3"/>
      <c r="K148" s="3"/>
    </row>
    <row r="149" spans="1:13" hidden="1">
      <c r="A149" s="971"/>
      <c r="B149" s="971"/>
      <c r="C149" s="156"/>
      <c r="D149" s="39"/>
      <c r="E149" s="3"/>
      <c r="F149" s="3"/>
      <c r="G149" s="3"/>
      <c r="H149" s="3"/>
      <c r="I149" s="3"/>
      <c r="J149" s="3"/>
      <c r="K149" s="3"/>
    </row>
    <row r="150" spans="1:13" hidden="1">
      <c r="A150" s="971"/>
      <c r="B150" s="971"/>
      <c r="C150" s="156"/>
      <c r="D150" s="39"/>
      <c r="E150" s="3"/>
      <c r="F150" s="3"/>
      <c r="G150" s="3"/>
      <c r="H150" s="3"/>
      <c r="I150" s="3"/>
      <c r="J150" s="3"/>
    </row>
    <row r="151" spans="1:13">
      <c r="A151" s="971"/>
      <c r="B151" s="971"/>
    </row>
    <row r="152" spans="1:13">
      <c r="A152" s="971"/>
      <c r="B152" s="973" t="s">
        <v>1828</v>
      </c>
      <c r="C152" s="64"/>
      <c r="D152" s="42"/>
      <c r="E152" s="67"/>
      <c r="F152" s="67"/>
      <c r="G152" s="67"/>
      <c r="H152" s="67"/>
      <c r="I152" s="67"/>
      <c r="J152" s="67"/>
    </row>
    <row r="153" spans="1:13">
      <c r="A153" s="968"/>
      <c r="B153" s="969"/>
      <c r="C153" s="2"/>
      <c r="D153" s="39"/>
      <c r="E153" s="3"/>
      <c r="F153" s="3"/>
      <c r="G153" s="3"/>
      <c r="H153" s="3"/>
      <c r="I153" s="3"/>
      <c r="J153" s="3"/>
    </row>
    <row r="154" spans="1:13">
      <c r="A154" s="968"/>
      <c r="B154" s="969" t="s">
        <v>3791</v>
      </c>
      <c r="C154" s="45" t="s">
        <v>1828</v>
      </c>
      <c r="D154" s="46"/>
      <c r="E154" s="469">
        <f>paramSpecProgProd2Sales</f>
        <v>0</v>
      </c>
      <c r="F154" s="469">
        <f>paramSpecProgProd2Sales</f>
        <v>0</v>
      </c>
      <c r="G154" s="469">
        <f>paramSpecProgProd2Sales</f>
        <v>0</v>
      </c>
      <c r="H154" s="469">
        <f>paramSpecProgProd2Sales</f>
        <v>0</v>
      </c>
      <c r="I154" s="469">
        <f>paramSpecProgProd2Sales</f>
        <v>0</v>
      </c>
      <c r="J154" s="154"/>
    </row>
    <row r="155" spans="1:13">
      <c r="A155" s="971"/>
      <c r="B155" s="971"/>
      <c r="C155" s="37"/>
      <c r="D155" s="38"/>
      <c r="E155" s="48"/>
      <c r="F155" s="48"/>
      <c r="G155" s="48"/>
      <c r="H155" s="48"/>
      <c r="I155" s="48"/>
      <c r="J155" s="40"/>
      <c r="K155" s="3"/>
    </row>
    <row r="156" spans="1:13">
      <c r="A156" s="971"/>
      <c r="B156" s="971"/>
      <c r="C156" s="37" t="s">
        <v>2383</v>
      </c>
      <c r="D156" s="38"/>
      <c r="E156" s="48">
        <f>E154</f>
        <v>0</v>
      </c>
      <c r="F156" s="48">
        <f>F154</f>
        <v>0</v>
      </c>
      <c r="G156" s="48">
        <f>G154</f>
        <v>0</v>
      </c>
      <c r="H156" s="48">
        <f>H154</f>
        <v>0</v>
      </c>
      <c r="I156" s="48">
        <f>I154</f>
        <v>0</v>
      </c>
      <c r="J156" s="40"/>
      <c r="K156" s="3"/>
    </row>
    <row r="157" spans="1:13">
      <c r="A157" s="971"/>
      <c r="B157" s="971"/>
      <c r="C157" s="37" t="s">
        <v>965</v>
      </c>
      <c r="D157" s="38"/>
      <c r="E157" s="48">
        <f>IF(MMInMarket=TRUE,E156,0)</f>
        <v>0</v>
      </c>
      <c r="F157" s="48">
        <f>IF(MMInMarket=TRUE,F156,0)</f>
        <v>0</v>
      </c>
      <c r="G157" s="48">
        <f>IF(MMInMarket=TRUE,G156,0)</f>
        <v>0</v>
      </c>
      <c r="H157" s="48">
        <f>IF(MMInMarket=TRUE,H156,0)</f>
        <v>0</v>
      </c>
      <c r="I157" s="48">
        <f>IF(MMInMarket=TRUE,I156,0)</f>
        <v>0</v>
      </c>
      <c r="J157" s="40"/>
      <c r="K157" s="3"/>
    </row>
    <row r="158" spans="1:13">
      <c r="A158" s="971"/>
      <c r="B158" s="971"/>
      <c r="C158" s="169" t="s">
        <v>1828</v>
      </c>
      <c r="D158" s="42"/>
      <c r="E158" s="71">
        <f>E157</f>
        <v>0</v>
      </c>
      <c r="F158" s="71">
        <f>F157</f>
        <v>0</v>
      </c>
      <c r="G158" s="71">
        <f>G157</f>
        <v>0</v>
      </c>
      <c r="H158" s="71">
        <f>H157</f>
        <v>0</v>
      </c>
      <c r="I158" s="71">
        <f>I157</f>
        <v>0</v>
      </c>
      <c r="J158" s="44"/>
    </row>
    <row r="159" spans="1:13">
      <c r="A159" s="971"/>
      <c r="B159" s="971"/>
    </row>
    <row r="160" spans="1:13">
      <c r="A160" s="968"/>
      <c r="B160" s="968"/>
      <c r="C160" s="64" t="s">
        <v>2323</v>
      </c>
      <c r="D160" s="42"/>
      <c r="E160" s="68" t="s">
        <v>129</v>
      </c>
      <c r="F160" s="68" t="s">
        <v>130</v>
      </c>
      <c r="G160" s="68" t="s">
        <v>131</v>
      </c>
      <c r="H160" s="68" t="s">
        <v>1133</v>
      </c>
      <c r="I160" s="68" t="s">
        <v>1134</v>
      </c>
      <c r="J160" s="3"/>
    </row>
    <row r="161" spans="1:11">
      <c r="A161" s="968"/>
      <c r="B161" s="968"/>
      <c r="C161" s="228" t="str">
        <f>xxMMProd2Driver1</f>
        <v>Price</v>
      </c>
      <c r="D161" s="25"/>
      <c r="E161" s="229">
        <f>xxMMProd2Driver1</f>
        <v>15</v>
      </c>
      <c r="F161" s="229">
        <f>xxMMProd2Driver1</f>
        <v>15</v>
      </c>
      <c r="G161" s="229">
        <f>xxMMProd2Driver1</f>
        <v>15</v>
      </c>
      <c r="H161" s="229">
        <f>xxMMProd2Driver1</f>
        <v>15</v>
      </c>
      <c r="I161" s="229">
        <f>xxMMProd2Driver1</f>
        <v>0</v>
      </c>
      <c r="J161" s="3"/>
    </row>
    <row r="162" spans="1:11">
      <c r="A162" s="968"/>
      <c r="B162" s="968"/>
      <c r="C162" s="228" t="str">
        <f>xxMMProd2Driver2</f>
        <v>Range Of Producs</v>
      </c>
      <c r="D162" s="25"/>
      <c r="E162" s="229">
        <f>xxMMProd2Driver2</f>
        <v>7</v>
      </c>
      <c r="F162" s="229">
        <f>xxMMProd2Driver2</f>
        <v>9</v>
      </c>
      <c r="G162" s="229">
        <f>xxMMProd2Driver2</f>
        <v>7</v>
      </c>
      <c r="H162" s="229">
        <f>xxMMProd2Driver2</f>
        <v>9</v>
      </c>
      <c r="I162" s="229">
        <f>xxMMProd2Driver2</f>
        <v>0</v>
      </c>
      <c r="J162" s="3"/>
    </row>
    <row r="163" spans="1:11">
      <c r="A163" s="968"/>
      <c r="B163" s="968"/>
      <c r="C163" s="228" t="str">
        <f>xxMMProd2Driver3</f>
        <v>Brands</v>
      </c>
      <c r="D163" s="25"/>
      <c r="E163" s="229">
        <f>xxMMProd2Driver3</f>
        <v>0</v>
      </c>
      <c r="F163" s="229">
        <f>xxMMProd2Driver3</f>
        <v>0</v>
      </c>
      <c r="G163" s="229">
        <f>xxMMProd2Driver3</f>
        <v>0</v>
      </c>
      <c r="H163" s="229">
        <f>xxMMProd2Driver3</f>
        <v>0</v>
      </c>
      <c r="I163" s="229">
        <f>xxMMProd2Driver3</f>
        <v>0</v>
      </c>
      <c r="J163" s="3"/>
      <c r="K163" s="3"/>
    </row>
    <row r="164" spans="1:11">
      <c r="A164" s="968"/>
      <c r="B164" s="968"/>
      <c r="C164" s="228" t="str">
        <f>xxMMProd2Driver4</f>
        <v>Advertising</v>
      </c>
      <c r="D164" s="25"/>
      <c r="E164" s="229">
        <f>xxMMProd2Driver4</f>
        <v>12</v>
      </c>
      <c r="F164" s="229">
        <f>xxMMProd2Driver4</f>
        <v>10</v>
      </c>
      <c r="G164" s="229">
        <f>xxMMProd2Driver4</f>
        <v>12</v>
      </c>
      <c r="H164" s="229">
        <f>xxMMProd2Driver4</f>
        <v>12</v>
      </c>
      <c r="I164" s="229">
        <f>xxMMProd2Driver4</f>
        <v>0</v>
      </c>
      <c r="J164" s="3"/>
      <c r="K164" s="3"/>
    </row>
    <row r="165" spans="1:11">
      <c r="A165" s="968"/>
      <c r="B165" s="968"/>
      <c r="C165" s="228" t="str">
        <f>xxMMProd2Driver5</f>
        <v>Promotion</v>
      </c>
      <c r="D165" s="25"/>
      <c r="E165" s="229">
        <f>xxMMProd2Driver5</f>
        <v>10</v>
      </c>
      <c r="F165" s="229">
        <f>xxMMProd2Driver5</f>
        <v>12</v>
      </c>
      <c r="G165" s="229">
        <f>xxMMProd2Driver5</f>
        <v>10</v>
      </c>
      <c r="H165" s="229">
        <f>xxMMProd2Driver5</f>
        <v>10</v>
      </c>
      <c r="I165" s="229">
        <f>xxMMProd2Driver5</f>
        <v>0</v>
      </c>
      <c r="J165" s="3"/>
      <c r="K165" s="3"/>
    </row>
    <row r="166" spans="1:11">
      <c r="A166" s="968"/>
      <c r="B166" s="968"/>
      <c r="C166" s="228" t="str">
        <f>xxMMProd2Driver6</f>
        <v>Sales Force</v>
      </c>
      <c r="D166" s="25"/>
      <c r="E166" s="229">
        <f>xxMMProd2Driver6</f>
        <v>11</v>
      </c>
      <c r="F166" s="229">
        <f>xxMMProd2Driver6</f>
        <v>11</v>
      </c>
      <c r="G166" s="229">
        <f>xxMMProd2Driver6</f>
        <v>11</v>
      </c>
      <c r="H166" s="229">
        <f>xxMMProd2Driver6</f>
        <v>11</v>
      </c>
      <c r="I166" s="229">
        <f>xxMMProd2Driver6</f>
        <v>0</v>
      </c>
      <c r="J166" s="3"/>
      <c r="K166" s="3"/>
    </row>
    <row r="167" spans="1:11">
      <c r="A167" s="968"/>
      <c r="B167" s="968"/>
      <c r="C167" s="228" t="str">
        <f>xxMMProd2Driver7</f>
        <v>Driver 7</v>
      </c>
      <c r="D167" s="25"/>
      <c r="E167" s="229">
        <f>xxMMProd2Driver7</f>
        <v>0</v>
      </c>
      <c r="F167" s="229">
        <f>xxMMProd2Driver7</f>
        <v>0</v>
      </c>
      <c r="G167" s="229">
        <f>xxMMProd2Driver7</f>
        <v>0</v>
      </c>
      <c r="H167" s="229">
        <f>xxMMProd2Driver7</f>
        <v>0</v>
      </c>
      <c r="I167" s="229">
        <f>xxMMProd2Driver7</f>
        <v>0</v>
      </c>
      <c r="J167" s="3"/>
      <c r="K167" s="3"/>
    </row>
    <row r="168" spans="1:11">
      <c r="A168" s="968"/>
      <c r="B168" s="968"/>
      <c r="C168" s="228" t="str">
        <f>xxMMProd2Driver8</f>
        <v>Driver 8</v>
      </c>
      <c r="D168" s="25"/>
      <c r="E168" s="229">
        <f>xxMMProd2Driver8</f>
        <v>0</v>
      </c>
      <c r="F168" s="229">
        <f>xxMMProd2Driver8</f>
        <v>0</v>
      </c>
      <c r="G168" s="229">
        <f>xxMMProd2Driver8</f>
        <v>0</v>
      </c>
      <c r="H168" s="229">
        <f>xxMMProd2Driver8</f>
        <v>0</v>
      </c>
      <c r="I168" s="229">
        <f>xxMMProd2Driver8</f>
        <v>0</v>
      </c>
      <c r="J168" s="3"/>
      <c r="K168" s="3"/>
    </row>
    <row r="169" spans="1:11">
      <c r="A169" s="968"/>
      <c r="B169" s="968"/>
      <c r="C169" s="228" t="str">
        <f>xxMMProd2Driver9</f>
        <v>Driver 9</v>
      </c>
      <c r="D169" s="25"/>
      <c r="E169" s="229">
        <f>xxMMProd2Driver9</f>
        <v>0</v>
      </c>
      <c r="F169" s="229">
        <f>xxMMProd2Driver9</f>
        <v>0</v>
      </c>
      <c r="G169" s="229">
        <f>xxMMProd2Driver9</f>
        <v>0</v>
      </c>
      <c r="H169" s="229">
        <f>xxMMProd2Driver9</f>
        <v>0</v>
      </c>
      <c r="I169" s="229">
        <f>xxMMProd2Driver9</f>
        <v>0</v>
      </c>
      <c r="J169" s="3"/>
      <c r="K169" s="3"/>
    </row>
    <row r="170" spans="1:11">
      <c r="A170" s="968"/>
      <c r="B170" s="968"/>
      <c r="C170" s="228" t="str">
        <f>xxMMProd2Driver10</f>
        <v>Driver 10</v>
      </c>
      <c r="D170" s="25"/>
      <c r="E170" s="229">
        <f>xxMMProd2Driver10</f>
        <v>0</v>
      </c>
      <c r="F170" s="229">
        <f>xxMMProd2Driver10</f>
        <v>0</v>
      </c>
      <c r="G170" s="229">
        <f>xxMMProd2Driver10</f>
        <v>0</v>
      </c>
      <c r="H170" s="229">
        <f>xxMMProd2Driver10</f>
        <v>0</v>
      </c>
      <c r="I170" s="229">
        <f>xxMMProd2Driver10</f>
        <v>0</v>
      </c>
      <c r="J170" s="3"/>
      <c r="K170" s="3"/>
    </row>
    <row r="171" spans="1:11">
      <c r="A171" s="968"/>
      <c r="B171" s="968"/>
      <c r="C171" s="3"/>
      <c r="D171" s="39"/>
      <c r="E171" s="86"/>
      <c r="F171" s="86"/>
      <c r="G171" s="86"/>
      <c r="H171" s="86"/>
      <c r="I171" s="86"/>
      <c r="J171" s="3"/>
      <c r="K171" s="3"/>
    </row>
    <row r="172" spans="1:11" ht="12" thickBot="1">
      <c r="A172" s="968"/>
      <c r="B172" s="968"/>
      <c r="C172" s="2"/>
      <c r="D172" s="39"/>
      <c r="E172" s="3"/>
      <c r="F172" s="3"/>
      <c r="G172" s="3"/>
      <c r="H172" s="3"/>
      <c r="I172" s="3"/>
      <c r="J172" s="3"/>
      <c r="K172" s="3"/>
    </row>
    <row r="173" spans="1:11" ht="12" thickBot="1">
      <c r="A173" s="971"/>
      <c r="B173" s="971"/>
      <c r="C173" s="282" t="str">
        <f>"Market Model Calculation Segment " &amp;MMSegCurrent &amp; " " &amp; MMSegName</f>
        <v>Market Model Calculation Segment 4 *CentrePlate</v>
      </c>
      <c r="D173" s="283"/>
      <c r="E173" s="284"/>
      <c r="F173" s="284"/>
      <c r="G173" s="285"/>
      <c r="H173" s="285"/>
      <c r="I173" s="285"/>
      <c r="J173" s="285"/>
      <c r="K173" s="286"/>
    </row>
    <row r="174" spans="1:11" ht="12" thickBot="1">
      <c r="A174" s="971"/>
      <c r="B174" s="971"/>
      <c r="C174" s="282" t="s">
        <v>2672</v>
      </c>
      <c r="D174" s="685">
        <f>D19</f>
        <v>4</v>
      </c>
      <c r="E174" s="283"/>
      <c r="F174" s="287"/>
      <c r="G174" s="283"/>
      <c r="H174" s="288"/>
      <c r="I174" s="289" t="s">
        <v>2673</v>
      </c>
      <c r="J174" s="290">
        <f>INDEX(D13:D17,$D$10)</f>
        <v>1</v>
      </c>
      <c r="K174" s="286"/>
    </row>
    <row r="175" spans="1:11">
      <c r="A175" s="971"/>
      <c r="B175" s="971"/>
      <c r="C175" s="291" t="s">
        <v>2958</v>
      </c>
      <c r="D175" s="292"/>
      <c r="E175" s="293" t="s">
        <v>1834</v>
      </c>
      <c r="F175" s="293" t="s">
        <v>1835</v>
      </c>
      <c r="G175" s="293" t="s">
        <v>1836</v>
      </c>
      <c r="H175" s="293" t="s">
        <v>1837</v>
      </c>
      <c r="I175" s="293" t="s">
        <v>1838</v>
      </c>
      <c r="J175" s="293"/>
      <c r="K175" s="294"/>
    </row>
    <row r="176" spans="1:11">
      <c r="A176" s="971"/>
      <c r="B176" s="971"/>
      <c r="C176" s="295" t="str">
        <f t="shared" ref="C176:C185" si="25">C161</f>
        <v>Price</v>
      </c>
      <c r="D176" s="296">
        <f t="shared" ref="D176:D185" si="26">INDEX(E161:I161,,MMSegCurrent)</f>
        <v>15</v>
      </c>
      <c r="E176" s="297">
        <f>$D176*E32</f>
        <v>0</v>
      </c>
      <c r="F176" s="298">
        <f>$D176*F32</f>
        <v>0</v>
      </c>
      <c r="G176" s="298">
        <f>$D176*G32</f>
        <v>0</v>
      </c>
      <c r="H176" s="298">
        <f>$D176*H32</f>
        <v>0</v>
      </c>
      <c r="I176" s="299">
        <f>$D176*I32</f>
        <v>0</v>
      </c>
      <c r="J176" s="300">
        <f>SUM(E176:I176)</f>
        <v>0</v>
      </c>
      <c r="K176" s="294"/>
    </row>
    <row r="177" spans="1:11">
      <c r="A177" s="971"/>
      <c r="B177" s="971"/>
      <c r="C177" s="295" t="str">
        <f t="shared" si="25"/>
        <v>Range Of Producs</v>
      </c>
      <c r="D177" s="296">
        <f t="shared" si="26"/>
        <v>9</v>
      </c>
      <c r="E177" s="301">
        <f>$D177*E44</f>
        <v>0</v>
      </c>
      <c r="F177" s="296">
        <f>$D177*F44</f>
        <v>0</v>
      </c>
      <c r="G177" s="296">
        <f>$D177*G44</f>
        <v>0</v>
      </c>
      <c r="H177" s="296">
        <f>$D177*H44</f>
        <v>0</v>
      </c>
      <c r="I177" s="302">
        <f>$D177*I44</f>
        <v>0</v>
      </c>
      <c r="J177" s="303">
        <f t="shared" ref="J177:J186" si="27">SUM(E177:I177)</f>
        <v>0</v>
      </c>
      <c r="K177" s="294"/>
    </row>
    <row r="178" spans="1:11">
      <c r="A178" s="971"/>
      <c r="B178" s="971"/>
      <c r="C178" s="295" t="str">
        <f t="shared" si="25"/>
        <v>Brands</v>
      </c>
      <c r="D178" s="296">
        <f t="shared" si="26"/>
        <v>0</v>
      </c>
      <c r="E178" s="301">
        <f>$D178*E59</f>
        <v>0</v>
      </c>
      <c r="F178" s="296">
        <f>$D178*F59</f>
        <v>0</v>
      </c>
      <c r="G178" s="296">
        <f>$D178*G59</f>
        <v>0</v>
      </c>
      <c r="H178" s="296">
        <f>$D178*H59</f>
        <v>0</v>
      </c>
      <c r="I178" s="302">
        <f>$D178*I59</f>
        <v>0</v>
      </c>
      <c r="J178" s="303">
        <f t="shared" si="27"/>
        <v>0</v>
      </c>
      <c r="K178" s="294"/>
    </row>
    <row r="179" spans="1:11">
      <c r="A179" s="971"/>
      <c r="B179" s="971"/>
      <c r="C179" s="295" t="str">
        <f t="shared" si="25"/>
        <v>Advertising</v>
      </c>
      <c r="D179" s="296">
        <f t="shared" si="26"/>
        <v>12</v>
      </c>
      <c r="E179" s="301">
        <f>$D179*E72</f>
        <v>0</v>
      </c>
      <c r="F179" s="296">
        <f>$D179*F72</f>
        <v>0</v>
      </c>
      <c r="G179" s="296">
        <f>$D179*G72</f>
        <v>0</v>
      </c>
      <c r="H179" s="296">
        <f>$D179*H72</f>
        <v>0</v>
      </c>
      <c r="I179" s="302">
        <f>$D179*I72</f>
        <v>0</v>
      </c>
      <c r="J179" s="303">
        <f t="shared" si="27"/>
        <v>0</v>
      </c>
      <c r="K179" s="294"/>
    </row>
    <row r="180" spans="1:11">
      <c r="A180" s="971"/>
      <c r="B180" s="971"/>
      <c r="C180" s="295" t="str">
        <f t="shared" si="25"/>
        <v>Promotion</v>
      </c>
      <c r="D180" s="296">
        <f t="shared" si="26"/>
        <v>10</v>
      </c>
      <c r="E180" s="301">
        <f>$D180*E85</f>
        <v>0</v>
      </c>
      <c r="F180" s="296">
        <f>$D180*F85</f>
        <v>0</v>
      </c>
      <c r="G180" s="296">
        <f>$D180*G85</f>
        <v>0</v>
      </c>
      <c r="H180" s="296">
        <f>$D180*H85</f>
        <v>0</v>
      </c>
      <c r="I180" s="302">
        <f>$D180*I85</f>
        <v>0</v>
      </c>
      <c r="J180" s="303">
        <f t="shared" si="27"/>
        <v>0</v>
      </c>
      <c r="K180" s="294"/>
    </row>
    <row r="181" spans="1:11">
      <c r="A181" s="971"/>
      <c r="B181" s="971"/>
      <c r="C181" s="295" t="str">
        <f t="shared" si="25"/>
        <v>Sales Force</v>
      </c>
      <c r="D181" s="296">
        <f t="shared" si="26"/>
        <v>11</v>
      </c>
      <c r="E181" s="301">
        <f>$D181*E97</f>
        <v>0</v>
      </c>
      <c r="F181" s="296">
        <f>$D181*F97</f>
        <v>0</v>
      </c>
      <c r="G181" s="296">
        <f>$D181*G97</f>
        <v>0</v>
      </c>
      <c r="H181" s="296">
        <f>$D181*H97</f>
        <v>0</v>
      </c>
      <c r="I181" s="302">
        <f>$D181*I97</f>
        <v>0</v>
      </c>
      <c r="J181" s="303">
        <f t="shared" si="27"/>
        <v>0</v>
      </c>
      <c r="K181" s="294"/>
    </row>
    <row r="182" spans="1:11">
      <c r="A182" s="971"/>
      <c r="B182" s="971"/>
      <c r="C182" s="295" t="str">
        <f t="shared" si="25"/>
        <v>Driver 7</v>
      </c>
      <c r="D182" s="296">
        <f t="shared" si="26"/>
        <v>0</v>
      </c>
      <c r="E182" s="301">
        <f>$D182*E109</f>
        <v>0</v>
      </c>
      <c r="F182" s="296">
        <f>$D182*F109</f>
        <v>0</v>
      </c>
      <c r="G182" s="296">
        <f>$D182*G109</f>
        <v>0</v>
      </c>
      <c r="H182" s="296">
        <f>$D182*H109</f>
        <v>0</v>
      </c>
      <c r="I182" s="302">
        <f>$D182*I109</f>
        <v>0</v>
      </c>
      <c r="J182" s="303">
        <f t="shared" si="27"/>
        <v>0</v>
      </c>
      <c r="K182" s="294"/>
    </row>
    <row r="183" spans="1:11">
      <c r="A183" s="971"/>
      <c r="B183" s="971"/>
      <c r="C183" s="295" t="str">
        <f t="shared" si="25"/>
        <v>Driver 8</v>
      </c>
      <c r="D183" s="296">
        <f t="shared" si="26"/>
        <v>0</v>
      </c>
      <c r="E183" s="301">
        <f>$D183*E121</f>
        <v>0</v>
      </c>
      <c r="F183" s="296">
        <f>$D183*F121</f>
        <v>0</v>
      </c>
      <c r="G183" s="296">
        <f>$D183*G121</f>
        <v>0</v>
      </c>
      <c r="H183" s="296">
        <f>$D183*H121</f>
        <v>0</v>
      </c>
      <c r="I183" s="302">
        <f>$D183*I121</f>
        <v>0</v>
      </c>
      <c r="J183" s="303">
        <f t="shared" si="27"/>
        <v>0</v>
      </c>
      <c r="K183" s="294"/>
    </row>
    <row r="184" spans="1:11">
      <c r="A184" s="971"/>
      <c r="B184" s="971"/>
      <c r="C184" s="295" t="str">
        <f t="shared" si="25"/>
        <v>Driver 9</v>
      </c>
      <c r="D184" s="296">
        <f t="shared" si="26"/>
        <v>0</v>
      </c>
      <c r="E184" s="301">
        <f>$D184*E133</f>
        <v>0</v>
      </c>
      <c r="F184" s="296">
        <f>$D184*F133</f>
        <v>0</v>
      </c>
      <c r="G184" s="296">
        <f>$D184*G133</f>
        <v>0</v>
      </c>
      <c r="H184" s="296">
        <f>$D184*H133</f>
        <v>0</v>
      </c>
      <c r="I184" s="302">
        <f>$D184*I133</f>
        <v>0</v>
      </c>
      <c r="J184" s="303">
        <f t="shared" si="27"/>
        <v>0</v>
      </c>
      <c r="K184" s="294"/>
    </row>
    <row r="185" spans="1:11">
      <c r="A185" s="971"/>
      <c r="B185" s="971"/>
      <c r="C185" s="295" t="str">
        <f t="shared" si="25"/>
        <v>Driver 10</v>
      </c>
      <c r="D185" s="296">
        <f t="shared" si="26"/>
        <v>0</v>
      </c>
      <c r="E185" s="301">
        <f>$D185*E145</f>
        <v>0</v>
      </c>
      <c r="F185" s="296">
        <f>$D185*F145</f>
        <v>0</v>
      </c>
      <c r="G185" s="296">
        <f>$D185*G145</f>
        <v>0</v>
      </c>
      <c r="H185" s="296">
        <f>$D185*H145</f>
        <v>0</v>
      </c>
      <c r="I185" s="302">
        <f>$D185*I145</f>
        <v>0</v>
      </c>
      <c r="J185" s="303">
        <f t="shared" si="27"/>
        <v>0</v>
      </c>
      <c r="K185" s="294"/>
    </row>
    <row r="186" spans="1:11">
      <c r="A186" s="971"/>
      <c r="B186" s="971"/>
      <c r="C186" s="304" t="s">
        <v>1828</v>
      </c>
      <c r="D186" s="273"/>
      <c r="E186" s="305">
        <f>E158*SUM($E$176:$I$185)</f>
        <v>0</v>
      </c>
      <c r="F186" s="306">
        <f>F158*SUM($E$176:$I$185)</f>
        <v>0</v>
      </c>
      <c r="G186" s="306">
        <f>G158*SUM($E$176:$I$185)</f>
        <v>0</v>
      </c>
      <c r="H186" s="306">
        <f>H158*SUM($E$176:$I$185)</f>
        <v>0</v>
      </c>
      <c r="I186" s="307">
        <f>I158*SUM($E$176:$I$185)</f>
        <v>0</v>
      </c>
      <c r="J186" s="303">
        <f t="shared" si="27"/>
        <v>0</v>
      </c>
      <c r="K186" s="294"/>
    </row>
    <row r="187" spans="1:11" ht="12" thickBot="1">
      <c r="A187" s="971"/>
      <c r="B187" s="971"/>
      <c r="C187" s="295" t="s">
        <v>2959</v>
      </c>
      <c r="D187" s="273"/>
      <c r="E187" s="308">
        <f t="shared" ref="E187:J187" si="28">SUM(E176:E186)</f>
        <v>0</v>
      </c>
      <c r="F187" s="309">
        <f t="shared" si="28"/>
        <v>0</v>
      </c>
      <c r="G187" s="309">
        <f t="shared" si="28"/>
        <v>0</v>
      </c>
      <c r="H187" s="309">
        <f t="shared" si="28"/>
        <v>0</v>
      </c>
      <c r="I187" s="310">
        <f t="shared" si="28"/>
        <v>0</v>
      </c>
      <c r="J187" s="311">
        <f t="shared" si="28"/>
        <v>0</v>
      </c>
      <c r="K187" s="294"/>
    </row>
    <row r="188" spans="1:11">
      <c r="A188" s="971"/>
      <c r="B188" s="971"/>
      <c r="C188" s="295" t="s">
        <v>974</v>
      </c>
      <c r="D188" s="273"/>
      <c r="E188" s="273">
        <f>RANK(E187,$E187:$I187)</f>
        <v>1</v>
      </c>
      <c r="F188" s="273">
        <f>RANK(F187,$E187:$I187)</f>
        <v>1</v>
      </c>
      <c r="G188" s="273">
        <f>RANK(G187,$E187:$I187)</f>
        <v>1</v>
      </c>
      <c r="H188" s="273">
        <f>RANK(H187,$E187:$I187)</f>
        <v>1</v>
      </c>
      <c r="I188" s="273">
        <f>RANK(I187,$E187:$I187)</f>
        <v>1</v>
      </c>
      <c r="J188" s="623" t="s">
        <v>2227</v>
      </c>
      <c r="K188" s="294"/>
    </row>
    <row r="189" spans="1:11">
      <c r="A189" s="971"/>
      <c r="B189" s="971"/>
      <c r="C189" s="295" t="s">
        <v>3201</v>
      </c>
      <c r="D189" s="273"/>
      <c r="E189" s="621">
        <f>IF(E176=0,0,E187/SUM($E187:$I187))</f>
        <v>0</v>
      </c>
      <c r="F189" s="621">
        <f>IF(F176=0,0,F187/SUM($E187:$I187))</f>
        <v>0</v>
      </c>
      <c r="G189" s="621">
        <f>IF(G176=0,0,G187/SUM($E187:$I187))</f>
        <v>0</v>
      </c>
      <c r="H189" s="621">
        <f>IF(H176=0,0,H187/SUM($E187:$I187))</f>
        <v>0</v>
      </c>
      <c r="I189" s="621">
        <f>IF(I176=0,0,I187/SUM($E187:$I187))</f>
        <v>0</v>
      </c>
      <c r="J189" s="622">
        <v>1</v>
      </c>
      <c r="K189" s="294"/>
    </row>
    <row r="190" spans="1:11">
      <c r="A190" s="971"/>
      <c r="B190" s="971"/>
      <c r="C190" s="295" t="s">
        <v>1999</v>
      </c>
      <c r="D190" s="273"/>
      <c r="E190" s="620">
        <f>1/xxNumOfTeams</f>
        <v>0.2</v>
      </c>
      <c r="F190" s="620">
        <f>1/xxNumOfTeams</f>
        <v>0.2</v>
      </c>
      <c r="G190" s="620">
        <f>1/xxNumOfTeams</f>
        <v>0.2</v>
      </c>
      <c r="H190" s="620">
        <f>1/xxNumOfTeams</f>
        <v>0.2</v>
      </c>
      <c r="I190" s="620">
        <f>1/xxNumOfTeams</f>
        <v>0.2</v>
      </c>
      <c r="J190" s="622">
        <v>0</v>
      </c>
      <c r="K190" s="294"/>
    </row>
    <row r="191" spans="1:11" ht="12" thickBot="1">
      <c r="A191" s="971"/>
      <c r="B191" s="971"/>
      <c r="C191" s="312" t="s">
        <v>2830</v>
      </c>
      <c r="D191" s="313"/>
      <c r="E191" s="366">
        <f>SUMPRODUCT(E189:E190,$J$189:$J$190)</f>
        <v>0</v>
      </c>
      <c r="F191" s="366">
        <f>SUMPRODUCT(F189:F190,$J$189:$J$190)</f>
        <v>0</v>
      </c>
      <c r="G191" s="366">
        <f>SUMPRODUCT(G189:G190,$J$189:$J$190)</f>
        <v>0</v>
      </c>
      <c r="H191" s="366">
        <f>SUMPRODUCT(H189:H190,$J$189:$J$190)</f>
        <v>0</v>
      </c>
      <c r="I191" s="366">
        <f>SUMPRODUCT(I189:I190,$J$189:$J$190)</f>
        <v>0</v>
      </c>
      <c r="J191" s="612">
        <f>J174</f>
        <v>1</v>
      </c>
      <c r="K191" s="368" t="s">
        <v>2327</v>
      </c>
    </row>
    <row r="192" spans="1:11">
      <c r="A192" s="968"/>
      <c r="B192" s="968"/>
      <c r="C192" s="2"/>
      <c r="D192" s="39"/>
      <c r="E192" s="3"/>
      <c r="F192" s="3"/>
      <c r="G192" s="3"/>
      <c r="H192" s="3"/>
      <c r="I192" s="3"/>
      <c r="J192" s="3"/>
      <c r="K192" s="30"/>
    </row>
    <row r="193" spans="1:11">
      <c r="A193" s="971"/>
      <c r="B193" s="971"/>
      <c r="C193" s="49" t="s">
        <v>2830</v>
      </c>
      <c r="D193" s="95"/>
      <c r="E193" s="95"/>
      <c r="F193" s="95"/>
      <c r="G193" s="95"/>
      <c r="H193" s="95"/>
      <c r="I193" s="95"/>
      <c r="J193" s="96"/>
      <c r="K193" s="30"/>
    </row>
    <row r="194" spans="1:11">
      <c r="A194" s="971"/>
      <c r="B194" s="971"/>
      <c r="C194" s="91" t="s">
        <v>129</v>
      </c>
      <c r="D194" s="359" t="s">
        <v>2329</v>
      </c>
      <c r="E194" s="670">
        <v>0</v>
      </c>
      <c r="F194" s="670">
        <v>0</v>
      </c>
      <c r="G194" s="670">
        <v>0</v>
      </c>
      <c r="H194" s="670">
        <v>0</v>
      </c>
      <c r="I194" s="670">
        <v>0</v>
      </c>
      <c r="J194" s="362">
        <v>1</v>
      </c>
      <c r="K194" s="363" t="s">
        <v>2328</v>
      </c>
    </row>
    <row r="195" spans="1:11">
      <c r="A195" s="971"/>
      <c r="B195" s="971"/>
      <c r="C195" s="91" t="s">
        <v>130</v>
      </c>
      <c r="D195" s="21"/>
      <c r="E195" s="671">
        <v>0</v>
      </c>
      <c r="F195" s="671">
        <v>0</v>
      </c>
      <c r="G195" s="671">
        <v>0</v>
      </c>
      <c r="H195" s="671">
        <v>0</v>
      </c>
      <c r="I195" s="671">
        <v>0</v>
      </c>
      <c r="J195" s="362">
        <v>1</v>
      </c>
    </row>
    <row r="196" spans="1:11">
      <c r="A196" s="971"/>
      <c r="B196" s="971"/>
      <c r="C196" s="91" t="s">
        <v>131</v>
      </c>
      <c r="D196" s="21"/>
      <c r="E196" s="670">
        <v>0</v>
      </c>
      <c r="F196" s="671">
        <v>0</v>
      </c>
      <c r="G196" s="671">
        <v>0</v>
      </c>
      <c r="H196" s="671">
        <v>0</v>
      </c>
      <c r="I196" s="671">
        <v>0</v>
      </c>
      <c r="J196" s="362">
        <v>1</v>
      </c>
    </row>
    <row r="197" spans="1:11">
      <c r="A197" s="971"/>
      <c r="B197" s="971"/>
      <c r="C197" s="91" t="s">
        <v>1133</v>
      </c>
      <c r="D197" s="21"/>
      <c r="E197" s="617">
        <v>0</v>
      </c>
      <c r="F197" s="617">
        <v>0</v>
      </c>
      <c r="G197" s="671">
        <v>0</v>
      </c>
      <c r="H197" s="617">
        <v>0</v>
      </c>
      <c r="I197" s="617">
        <v>0</v>
      </c>
      <c r="J197" s="362">
        <v>1</v>
      </c>
    </row>
    <row r="198" spans="1:11">
      <c r="A198" s="971"/>
      <c r="B198" s="971"/>
      <c r="C198" s="91" t="s">
        <v>1134</v>
      </c>
      <c r="D198" s="21"/>
      <c r="E198" s="617"/>
      <c r="F198" s="617"/>
      <c r="G198" s="617"/>
      <c r="H198" s="617"/>
      <c r="I198" s="617"/>
      <c r="J198" s="362"/>
    </row>
    <row r="199" spans="1:11">
      <c r="A199" s="971"/>
      <c r="B199" s="971"/>
      <c r="C199" s="206"/>
      <c r="D199" s="207"/>
      <c r="E199" s="213"/>
      <c r="F199" s="213"/>
      <c r="G199" s="213"/>
      <c r="H199" s="213"/>
      <c r="I199" s="213"/>
      <c r="J199" s="215"/>
    </row>
    <row r="200" spans="1:11">
      <c r="A200" s="971"/>
      <c r="B200" s="971"/>
    </row>
    <row r="201" spans="1:11">
      <c r="A201" s="971"/>
      <c r="B201" s="971"/>
      <c r="C201" s="49" t="s">
        <v>3939</v>
      </c>
      <c r="D201" s="95"/>
      <c r="E201" s="60" t="s">
        <v>331</v>
      </c>
      <c r="F201" s="60"/>
      <c r="G201" s="60"/>
      <c r="H201" s="60"/>
      <c r="I201" s="60"/>
      <c r="J201" s="96"/>
    </row>
    <row r="202" spans="1:11">
      <c r="A202" s="971"/>
      <c r="B202" s="971"/>
      <c r="C202" s="91" t="s">
        <v>129</v>
      </c>
      <c r="D202" s="21"/>
      <c r="E202" s="847"/>
      <c r="F202" s="847"/>
      <c r="G202" s="847"/>
      <c r="H202" s="918"/>
      <c r="I202" s="847"/>
      <c r="J202" s="97"/>
    </row>
    <row r="203" spans="1:11">
      <c r="A203" s="971"/>
      <c r="B203" s="971"/>
      <c r="C203" s="91" t="s">
        <v>130</v>
      </c>
      <c r="D203" s="21"/>
      <c r="E203" s="847"/>
      <c r="F203" s="847"/>
      <c r="G203" s="847"/>
      <c r="H203" s="918"/>
      <c r="I203" s="847"/>
      <c r="J203" s="97"/>
    </row>
    <row r="204" spans="1:11">
      <c r="A204" s="971"/>
      <c r="B204" s="971"/>
      <c r="C204" s="91" t="s">
        <v>131</v>
      </c>
      <c r="D204" s="21"/>
      <c r="E204" s="904"/>
      <c r="F204" s="904"/>
      <c r="G204" s="904"/>
      <c r="H204" s="904"/>
      <c r="I204" s="904"/>
      <c r="J204" s="97"/>
    </row>
    <row r="205" spans="1:11">
      <c r="A205" s="971"/>
      <c r="B205" s="971"/>
      <c r="C205" s="91" t="s">
        <v>1133</v>
      </c>
      <c r="D205" s="21"/>
      <c r="E205" s="904"/>
      <c r="F205" s="904"/>
      <c r="G205" s="904"/>
      <c r="H205" s="904"/>
      <c r="I205" s="904"/>
      <c r="J205" s="97"/>
    </row>
    <row r="206" spans="1:11">
      <c r="A206" s="971"/>
      <c r="B206" s="971"/>
      <c r="C206" s="91" t="s">
        <v>1134</v>
      </c>
      <c r="D206" s="21"/>
      <c r="E206" s="904"/>
      <c r="F206" s="904"/>
      <c r="G206" s="904"/>
      <c r="H206" s="904"/>
      <c r="I206" s="904"/>
      <c r="J206" s="97"/>
    </row>
    <row r="207" spans="1:11">
      <c r="A207" s="971"/>
      <c r="B207" s="971"/>
      <c r="C207" s="206"/>
      <c r="D207" s="207"/>
      <c r="E207" s="207"/>
      <c r="F207" s="207"/>
      <c r="G207" s="207"/>
      <c r="H207" s="207"/>
      <c r="I207" s="207"/>
      <c r="J207" s="208"/>
    </row>
    <row r="208" spans="1:11">
      <c r="A208" s="971"/>
      <c r="B208" s="971"/>
    </row>
    <row r="209" spans="1:11">
      <c r="A209" s="971"/>
      <c r="B209" s="971"/>
      <c r="C209" s="49" t="s">
        <v>3744</v>
      </c>
      <c r="D209" s="95"/>
      <c r="E209" s="95"/>
      <c r="F209" s="95"/>
      <c r="G209" s="95"/>
      <c r="H209" s="95"/>
      <c r="I209" s="95"/>
      <c r="J209" s="96" t="s">
        <v>1403</v>
      </c>
    </row>
    <row r="210" spans="1:11">
      <c r="A210" s="971"/>
      <c r="B210" s="971"/>
      <c r="C210" s="91" t="s">
        <v>129</v>
      </c>
      <c r="D210" s="21"/>
      <c r="E210" s="106">
        <f t="shared" ref="E210:I211" si="29">E194+E202</f>
        <v>0</v>
      </c>
      <c r="F210" s="106">
        <f t="shared" si="29"/>
        <v>0</v>
      </c>
      <c r="G210" s="106">
        <f t="shared" si="29"/>
        <v>0</v>
      </c>
      <c r="H210" s="106">
        <f t="shared" si="29"/>
        <v>0</v>
      </c>
      <c r="I210" s="106">
        <f t="shared" si="29"/>
        <v>0</v>
      </c>
      <c r="J210" s="101">
        <f>J194</f>
        <v>1</v>
      </c>
    </row>
    <row r="211" spans="1:11">
      <c r="A211" s="971"/>
      <c r="B211" s="971"/>
      <c r="C211" s="91" t="s">
        <v>130</v>
      </c>
      <c r="D211" s="21"/>
      <c r="E211" s="106">
        <f t="shared" si="29"/>
        <v>0</v>
      </c>
      <c r="F211" s="106">
        <f t="shared" si="29"/>
        <v>0</v>
      </c>
      <c r="G211" s="106">
        <f t="shared" si="29"/>
        <v>0</v>
      </c>
      <c r="H211" s="106">
        <f t="shared" si="29"/>
        <v>0</v>
      </c>
      <c r="I211" s="106">
        <f t="shared" si="29"/>
        <v>0</v>
      </c>
      <c r="J211" s="101">
        <f>J195</f>
        <v>1</v>
      </c>
    </row>
    <row r="212" spans="1:11">
      <c r="A212" s="971"/>
      <c r="B212" s="971"/>
      <c r="C212" s="91" t="s">
        <v>131</v>
      </c>
      <c r="D212" s="21"/>
      <c r="E212" s="92">
        <f t="shared" ref="E212:I214" si="30">IF(ISBLANK(E204),E196,E204)</f>
        <v>0</v>
      </c>
      <c r="F212" s="92">
        <f t="shared" si="30"/>
        <v>0</v>
      </c>
      <c r="G212" s="92">
        <f t="shared" si="30"/>
        <v>0</v>
      </c>
      <c r="H212" s="92">
        <f t="shared" si="30"/>
        <v>0</v>
      </c>
      <c r="I212" s="92">
        <f t="shared" si="30"/>
        <v>0</v>
      </c>
      <c r="J212" s="101">
        <f>J196</f>
        <v>1</v>
      </c>
    </row>
    <row r="213" spans="1:11">
      <c r="A213" s="971"/>
      <c r="B213" s="971"/>
      <c r="C213" s="91" t="s">
        <v>1133</v>
      </c>
      <c r="D213" s="21"/>
      <c r="E213" s="92">
        <f t="shared" si="30"/>
        <v>0</v>
      </c>
      <c r="F213" s="92">
        <f t="shared" si="30"/>
        <v>0</v>
      </c>
      <c r="G213" s="92">
        <f t="shared" si="30"/>
        <v>0</v>
      </c>
      <c r="H213" s="92">
        <f t="shared" si="30"/>
        <v>0</v>
      </c>
      <c r="I213" s="92">
        <f t="shared" si="30"/>
        <v>0</v>
      </c>
      <c r="J213" s="101">
        <f>J197</f>
        <v>1</v>
      </c>
    </row>
    <row r="214" spans="1:11">
      <c r="A214" s="971"/>
      <c r="B214" s="971"/>
      <c r="C214" s="91" t="s">
        <v>1134</v>
      </c>
      <c r="D214" s="21"/>
      <c r="E214" s="92">
        <f t="shared" si="30"/>
        <v>0</v>
      </c>
      <c r="F214" s="92">
        <f t="shared" si="30"/>
        <v>0</v>
      </c>
      <c r="G214" s="92">
        <f t="shared" si="30"/>
        <v>0</v>
      </c>
      <c r="H214" s="92">
        <f t="shared" si="30"/>
        <v>0</v>
      </c>
      <c r="I214" s="92">
        <f t="shared" si="30"/>
        <v>0</v>
      </c>
      <c r="J214" s="101">
        <f>J198</f>
        <v>0</v>
      </c>
    </row>
    <row r="215" spans="1:11">
      <c r="A215" s="971"/>
      <c r="B215" s="971"/>
      <c r="C215" s="206"/>
      <c r="D215" s="207"/>
      <c r="E215" s="213"/>
      <c r="F215" s="213"/>
      <c r="G215" s="213"/>
      <c r="H215" s="213"/>
      <c r="I215" s="213"/>
      <c r="J215" s="208"/>
    </row>
    <row r="216" spans="1:11">
      <c r="A216" s="971"/>
      <c r="B216" s="971"/>
      <c r="C216" s="93" t="s">
        <v>1136</v>
      </c>
      <c r="D216" s="94"/>
      <c r="E216" s="102">
        <f>SUMPRODUCT(E210:E215,$J$210:$J$215)</f>
        <v>0</v>
      </c>
      <c r="F216" s="102">
        <f>SUMPRODUCT(F210:F215,$J$210:$J$215)</f>
        <v>0</v>
      </c>
      <c r="G216" s="102">
        <f>SUMPRODUCT(G210:G215,$J$210:$J$215)</f>
        <v>0</v>
      </c>
      <c r="H216" s="102">
        <f>SUMPRODUCT(H210:H215,$J$210:$J$215)</f>
        <v>0</v>
      </c>
      <c r="I216" s="102">
        <f>SUMPRODUCT(I210:I215,$J$210:$J$215)</f>
        <v>0</v>
      </c>
      <c r="J216" s="103">
        <f>SUM(E216:I216)</f>
        <v>0</v>
      </c>
    </row>
    <row r="217" spans="1:11">
      <c r="A217" s="971"/>
      <c r="B217" s="971"/>
      <c r="C217" s="30" t="s">
        <v>2830</v>
      </c>
      <c r="D217" s="30"/>
      <c r="E217" s="679" t="e">
        <f>E216/$J$216</f>
        <v>#DIV/0!</v>
      </c>
      <c r="F217" s="679" t="e">
        <f>F216/$J$216</f>
        <v>#DIV/0!</v>
      </c>
      <c r="G217" s="679" t="e">
        <f>G216/$J$216</f>
        <v>#DIV/0!</v>
      </c>
      <c r="H217" s="679" t="e">
        <f>H216/$J$216</f>
        <v>#DIV/0!</v>
      </c>
      <c r="I217" s="679" t="e">
        <f>I216/$J$216</f>
        <v>#DIV/0!</v>
      </c>
    </row>
    <row r="218" spans="1:11">
      <c r="A218" s="968"/>
      <c r="B218" s="968"/>
      <c r="C218" s="2"/>
      <c r="D218" s="39"/>
      <c r="E218" s="3"/>
      <c r="F218" s="3"/>
      <c r="G218" s="3"/>
      <c r="H218" s="3"/>
      <c r="I218" s="3"/>
      <c r="J218" s="3"/>
      <c r="K218" s="3"/>
    </row>
    <row r="219" spans="1:11">
      <c r="A219" s="968"/>
      <c r="B219" s="968"/>
      <c r="C219" s="2" t="s">
        <v>1367</v>
      </c>
      <c r="D219" s="3"/>
      <c r="E219" s="72">
        <f>E210</f>
        <v>0</v>
      </c>
      <c r="F219" s="72">
        <f>F210</f>
        <v>0</v>
      </c>
      <c r="G219" s="72">
        <f>G210</f>
        <v>0</v>
      </c>
      <c r="H219" s="72">
        <f>H210</f>
        <v>0</v>
      </c>
      <c r="I219" s="72">
        <f>I210</f>
        <v>0</v>
      </c>
      <c r="J219" s="3"/>
      <c r="K219" s="3"/>
    </row>
    <row r="220" spans="1:11">
      <c r="A220" s="968"/>
      <c r="B220" s="968"/>
      <c r="C220" s="73" t="s">
        <v>976</v>
      </c>
      <c r="D220" s="61"/>
      <c r="E220" s="197">
        <f>ROUNDDOWN(E210*$J210,0)</f>
        <v>0</v>
      </c>
      <c r="F220" s="197">
        <f>ROUNDDOWN(F210*$J210,0)</f>
        <v>0</v>
      </c>
      <c r="G220" s="197">
        <f>ROUNDDOWN(G210*$J210,0)</f>
        <v>0</v>
      </c>
      <c r="H220" s="197">
        <f>ROUNDDOWN(H210*$J210,0)</f>
        <v>0</v>
      </c>
      <c r="I220" s="197">
        <f>ROUNDDOWN(I210*$J210,0)</f>
        <v>0</v>
      </c>
      <c r="J220" s="199">
        <f>SUM(E220:I220)</f>
        <v>0</v>
      </c>
      <c r="K220" s="37"/>
    </row>
    <row r="221" spans="1:11">
      <c r="A221" s="968"/>
      <c r="B221" s="968"/>
      <c r="C221" s="233" t="s">
        <v>977</v>
      </c>
      <c r="D221" s="150"/>
      <c r="E221" s="232">
        <f>E220</f>
        <v>0</v>
      </c>
      <c r="F221" s="232">
        <f>F220</f>
        <v>0</v>
      </c>
      <c r="G221" s="232">
        <f>G220</f>
        <v>0</v>
      </c>
      <c r="H221" s="232">
        <f>H220</f>
        <v>0</v>
      </c>
      <c r="I221" s="232">
        <f>I220</f>
        <v>0</v>
      </c>
      <c r="J221" s="198">
        <f>SUM(E221:I221)</f>
        <v>0</v>
      </c>
      <c r="K221" s="37"/>
    </row>
    <row r="222" spans="1:11">
      <c r="A222" s="968"/>
      <c r="B222" s="968"/>
      <c r="C222" s="37" t="s">
        <v>3325</v>
      </c>
      <c r="D222" s="38"/>
      <c r="E222" s="87">
        <f>E221-E220</f>
        <v>0</v>
      </c>
      <c r="F222" s="87">
        <f>F221-F220</f>
        <v>0</v>
      </c>
      <c r="G222" s="87">
        <f>G221-G220</f>
        <v>0</v>
      </c>
      <c r="H222" s="87">
        <f>H221-H220</f>
        <v>0</v>
      </c>
      <c r="I222" s="87">
        <f>I221-I220</f>
        <v>0</v>
      </c>
      <c r="J222" s="200">
        <f>SUM(E222:I222)-SUMPRODUCT(E222:I222,E223:I223)</f>
        <v>0</v>
      </c>
      <c r="K222" s="37"/>
    </row>
    <row r="223" spans="1:11">
      <c r="A223" s="968"/>
      <c r="B223" s="968"/>
      <c r="C223" s="37" t="s">
        <v>1068</v>
      </c>
      <c r="D223" s="38"/>
      <c r="E223" s="38">
        <f>1*(E222&gt;0)</f>
        <v>0</v>
      </c>
      <c r="F223" s="38">
        <f>1*(F222&gt;0)</f>
        <v>0</v>
      </c>
      <c r="G223" s="38">
        <f>1*(G222&gt;0)</f>
        <v>0</v>
      </c>
      <c r="H223" s="38">
        <f>1*(H222&gt;0)</f>
        <v>0</v>
      </c>
      <c r="I223" s="38">
        <f>1*(I222&gt;0)</f>
        <v>0</v>
      </c>
      <c r="J223" s="37">
        <f>SUM(E223:I223)</f>
        <v>0</v>
      </c>
      <c r="K223" s="37"/>
    </row>
    <row r="224" spans="1:11">
      <c r="A224" s="968"/>
      <c r="B224" s="968"/>
      <c r="C224" s="37" t="s">
        <v>1069</v>
      </c>
      <c r="D224" s="38"/>
      <c r="E224" s="48">
        <f>IF(AND(E223&gt;0,E220&gt;0),+E219*E223/SUMPRODUCT($E219:$I219,$E223:$I223),0)</f>
        <v>0</v>
      </c>
      <c r="F224" s="48">
        <f>IF(AND(F223&gt;0,F220&gt;0),+F219*F223/SUMPRODUCT($E219:$I219,$E223:$I223),0)</f>
        <v>0</v>
      </c>
      <c r="G224" s="48">
        <f>IF(AND(G223&gt;0,G220&gt;0),+G219*G223/SUMPRODUCT($E219:$I219,$E223:$I223),0)</f>
        <v>0</v>
      </c>
      <c r="H224" s="48">
        <f>IF(AND(H223&gt;0,H220&gt;0),+H219*H223/SUMPRODUCT($E219:$I219,$E223:$I223),0)</f>
        <v>0</v>
      </c>
      <c r="I224" s="48">
        <f>IF(AND(I223&gt;0,I220&gt;0),+I219*I223/SUMPRODUCT($E219:$I219,$E223:$I223),0)</f>
        <v>0</v>
      </c>
      <c r="J224" s="37"/>
      <c r="K224" s="37"/>
    </row>
    <row r="225" spans="1:11">
      <c r="A225" s="968"/>
      <c r="B225" s="968"/>
      <c r="C225" s="37" t="s">
        <v>3782</v>
      </c>
      <c r="D225" s="38"/>
      <c r="E225" s="39">
        <f>-MAX(-E222,ROUND(E224*$J222,0))*E223</f>
        <v>0</v>
      </c>
      <c r="F225" s="39">
        <f>-MAX(-F222,ROUND(F224*$J222,0))*F223</f>
        <v>0</v>
      </c>
      <c r="G225" s="39">
        <f>-MAX(-G222,ROUND(G224*$J222,0))*G223</f>
        <v>0</v>
      </c>
      <c r="H225" s="39">
        <f>-MAX(-H222,ROUND(H224*$J222,0))*H223</f>
        <v>0</v>
      </c>
      <c r="I225" s="39">
        <f>-MAX(-I222,ROUND(I224*$J222,0))*I223</f>
        <v>0</v>
      </c>
      <c r="J225" s="37">
        <f>ROUND(SUM(E225:I225),0)</f>
        <v>0</v>
      </c>
      <c r="K225" s="37"/>
    </row>
    <row r="226" spans="1:11">
      <c r="A226" s="968"/>
      <c r="B226" s="968"/>
      <c r="C226" s="37" t="s">
        <v>2324</v>
      </c>
      <c r="D226" s="38"/>
      <c r="E226" s="910"/>
      <c r="F226" s="910"/>
      <c r="G226" s="910"/>
      <c r="H226" s="910"/>
      <c r="I226" s="911"/>
      <c r="J226" s="37"/>
      <c r="K226" s="37"/>
    </row>
    <row r="227" spans="1:11">
      <c r="A227" s="968"/>
      <c r="B227" s="968"/>
      <c r="C227" s="37" t="s">
        <v>3783</v>
      </c>
      <c r="D227" s="38"/>
      <c r="E227" s="915"/>
      <c r="F227" s="915"/>
      <c r="G227" s="915"/>
      <c r="H227" s="915"/>
      <c r="I227" s="916"/>
      <c r="J227" s="37"/>
      <c r="K227" s="37"/>
    </row>
    <row r="228" spans="1:11">
      <c r="A228" s="968"/>
      <c r="B228" s="968"/>
      <c r="C228" s="37" t="s">
        <v>3784</v>
      </c>
      <c r="D228" s="38"/>
      <c r="E228" s="87">
        <f>MIN(E221,E222-E227-E225-E226*$J220)</f>
        <v>0</v>
      </c>
      <c r="F228" s="87">
        <f>MIN(F221,F222-F227-F225-F226*$J220)</f>
        <v>0</v>
      </c>
      <c r="G228" s="87">
        <f>MIN(G221,G222-G227-G225-G226*$J220)</f>
        <v>0</v>
      </c>
      <c r="H228" s="87">
        <f>MIN(H221,H222-H227-H225-H226*$J220)</f>
        <v>0</v>
      </c>
      <c r="I228" s="87">
        <f>MIN(I221,I222-I227-I225-I226*$J220)</f>
        <v>0</v>
      </c>
      <c r="J228" s="198"/>
      <c r="K228" s="37"/>
    </row>
    <row r="229" spans="1:11">
      <c r="A229" s="968"/>
      <c r="B229" s="968"/>
      <c r="C229" s="37" t="s">
        <v>3785</v>
      </c>
      <c r="D229" s="38"/>
      <c r="E229" s="87">
        <f>MAX(E228,0)</f>
        <v>0</v>
      </c>
      <c r="F229" s="87">
        <f>MAX(F228,0)</f>
        <v>0</v>
      </c>
      <c r="G229" s="87">
        <f>MAX(G228,0)</f>
        <v>0</v>
      </c>
      <c r="H229" s="87">
        <f>MAX(H228,0)</f>
        <v>0</v>
      </c>
      <c r="I229" s="87">
        <f>MAX(I228,0)</f>
        <v>0</v>
      </c>
      <c r="J229" s="198"/>
      <c r="K229" s="37"/>
    </row>
    <row r="230" spans="1:11">
      <c r="A230" s="968"/>
      <c r="B230" s="968"/>
      <c r="C230" s="74" t="s">
        <v>3786</v>
      </c>
      <c r="D230" s="38"/>
      <c r="E230" s="178">
        <f>MAX(0,MIN(E220+E225+E227+E226*$J220,E221))</f>
        <v>0</v>
      </c>
      <c r="F230" s="178">
        <f>MIN(F220+F225+F227+F226*$J220,F221)</f>
        <v>0</v>
      </c>
      <c r="G230" s="178">
        <f>MIN(G220+G225+G227+G226*$J220,G221)</f>
        <v>0</v>
      </c>
      <c r="H230" s="178">
        <f>MIN(H220+H225+H227+H226*$J220,H221)</f>
        <v>0</v>
      </c>
      <c r="I230" s="178">
        <f>MIN(I220+I225+I227+I226*$J220,I221)</f>
        <v>0</v>
      </c>
      <c r="J230" s="198">
        <f>SUM(E230:I230)</f>
        <v>0</v>
      </c>
      <c r="K230" s="198"/>
    </row>
    <row r="231" spans="1:11">
      <c r="A231" s="968"/>
      <c r="B231" s="968"/>
      <c r="C231" s="63" t="s">
        <v>3787</v>
      </c>
      <c r="D231" s="67"/>
      <c r="E231" s="618">
        <f>E230/MAX(1,$J230)</f>
        <v>0</v>
      </c>
      <c r="F231" s="618">
        <f>F230/MAX(1,$J230)</f>
        <v>0</v>
      </c>
      <c r="G231" s="618">
        <f>G230/MAX(1,$J230)</f>
        <v>0</v>
      </c>
      <c r="H231" s="618">
        <f>H230/MAX(1,$J230)</f>
        <v>0</v>
      </c>
      <c r="I231" s="618">
        <f>I230/MAX(1,$J230)</f>
        <v>0</v>
      </c>
      <c r="J231" s="198">
        <f>J220-J230</f>
        <v>0</v>
      </c>
      <c r="K231" s="37"/>
    </row>
    <row r="232" spans="1:11">
      <c r="A232" s="968"/>
      <c r="B232" s="968"/>
      <c r="C232" s="75" t="s">
        <v>974</v>
      </c>
      <c r="D232" s="35"/>
      <c r="E232" s="35">
        <f>RANK(E231,$E231:$I231)</f>
        <v>1</v>
      </c>
      <c r="F232" s="35">
        <f>RANK(F231,$E231:$I231)</f>
        <v>1</v>
      </c>
      <c r="G232" s="35">
        <f>RANK(G231,$E231:$I231)</f>
        <v>1</v>
      </c>
      <c r="H232" s="35">
        <f>RANK(H231,$E231:$I231)</f>
        <v>1</v>
      </c>
      <c r="I232" s="35">
        <f>RANK(I231,$E231:$I231)</f>
        <v>1</v>
      </c>
      <c r="J232" s="63"/>
      <c r="K232" s="37"/>
    </row>
    <row r="233" spans="1:11">
      <c r="A233" s="968"/>
      <c r="B233" s="968"/>
      <c r="C233" s="2"/>
      <c r="D233" s="39"/>
      <c r="E233" s="3"/>
      <c r="F233" s="3"/>
      <c r="G233" s="3"/>
      <c r="H233" s="3"/>
      <c r="I233" s="3"/>
      <c r="J233" s="3"/>
      <c r="K233" s="3"/>
    </row>
    <row r="234" spans="1:11">
      <c r="A234" s="968"/>
      <c r="B234" s="968"/>
      <c r="C234" s="2" t="s">
        <v>1368</v>
      </c>
      <c r="D234" s="3"/>
      <c r="E234" s="72">
        <f>E211</f>
        <v>0</v>
      </c>
      <c r="F234" s="72">
        <f>F211</f>
        <v>0</v>
      </c>
      <c r="G234" s="72">
        <f>G211</f>
        <v>0</v>
      </c>
      <c r="H234" s="72">
        <f>H211</f>
        <v>0</v>
      </c>
      <c r="I234" s="72">
        <f>I211</f>
        <v>0</v>
      </c>
      <c r="J234" s="3"/>
      <c r="K234" s="3"/>
    </row>
    <row r="235" spans="1:11">
      <c r="A235" s="968"/>
      <c r="B235" s="968"/>
      <c r="C235" s="73" t="s">
        <v>976</v>
      </c>
      <c r="D235" s="61"/>
      <c r="E235" s="197">
        <f>ROUNDDOWN(E211*$J211,0)</f>
        <v>0</v>
      </c>
      <c r="F235" s="197">
        <f>ROUNDDOWN(F211*$J211,0)</f>
        <v>0</v>
      </c>
      <c r="G235" s="197">
        <f>ROUNDDOWN(G211*$J211,0)</f>
        <v>0</v>
      </c>
      <c r="H235" s="197">
        <f>ROUNDDOWN(H211*$J211,0)</f>
        <v>0</v>
      </c>
      <c r="I235" s="197">
        <f>ROUNDDOWN(I211*$J211,0)</f>
        <v>0</v>
      </c>
      <c r="J235" s="199">
        <f>SUM(E235:I235)</f>
        <v>0</v>
      </c>
      <c r="K235" s="37"/>
    </row>
    <row r="236" spans="1:11">
      <c r="A236" s="968"/>
      <c r="B236" s="968"/>
      <c r="C236" s="233" t="s">
        <v>977</v>
      </c>
      <c r="D236" s="150"/>
      <c r="E236" s="232">
        <f>E235</f>
        <v>0</v>
      </c>
      <c r="F236" s="232">
        <f>F235</f>
        <v>0</v>
      </c>
      <c r="G236" s="232">
        <f>G235</f>
        <v>0</v>
      </c>
      <c r="H236" s="232">
        <f>H235</f>
        <v>0</v>
      </c>
      <c r="I236" s="232">
        <f>I235</f>
        <v>0</v>
      </c>
      <c r="J236" s="198">
        <f>SUM(E236:I236)</f>
        <v>0</v>
      </c>
      <c r="K236" s="37"/>
    </row>
    <row r="237" spans="1:11">
      <c r="A237" s="968"/>
      <c r="B237" s="968"/>
      <c r="C237" s="37" t="s">
        <v>3325</v>
      </c>
      <c r="D237" s="38"/>
      <c r="E237" s="87">
        <f>E236-E235</f>
        <v>0</v>
      </c>
      <c r="F237" s="87">
        <f>F236-F235</f>
        <v>0</v>
      </c>
      <c r="G237" s="87">
        <f>G236-G235</f>
        <v>0</v>
      </c>
      <c r="H237" s="87">
        <f>H236-H235</f>
        <v>0</v>
      </c>
      <c r="I237" s="87">
        <f>I236-I235</f>
        <v>0</v>
      </c>
      <c r="J237" s="200">
        <f>SUM(E237:I237)-SUMPRODUCT(E237:I237,E238:I238)</f>
        <v>0</v>
      </c>
      <c r="K237" s="37"/>
    </row>
    <row r="238" spans="1:11">
      <c r="A238" s="968"/>
      <c r="B238" s="968"/>
      <c r="C238" s="37" t="s">
        <v>1068</v>
      </c>
      <c r="D238" s="38"/>
      <c r="E238" s="38">
        <f>1*(E237&gt;0)</f>
        <v>0</v>
      </c>
      <c r="F238" s="38">
        <f>1*(F237&gt;0)</f>
        <v>0</v>
      </c>
      <c r="G238" s="38">
        <f>1*(G237&gt;0)</f>
        <v>0</v>
      </c>
      <c r="H238" s="38">
        <f>1*(H237&gt;0)</f>
        <v>0</v>
      </c>
      <c r="I238" s="38">
        <f>1*(I237&gt;0)</f>
        <v>0</v>
      </c>
      <c r="J238" s="37">
        <f>SUM(E238:I238)</f>
        <v>0</v>
      </c>
      <c r="K238" s="37"/>
    </row>
    <row r="239" spans="1:11">
      <c r="A239" s="968"/>
      <c r="B239" s="968"/>
      <c r="C239" s="37" t="s">
        <v>1069</v>
      </c>
      <c r="D239" s="38"/>
      <c r="E239" s="48">
        <f>IF(AND(E238&gt;0,E235&gt;0),+E234*E238/SUMPRODUCT($E234:$I234,$E238:$I238),0)</f>
        <v>0</v>
      </c>
      <c r="F239" s="48">
        <f>IF(AND(F238&gt;0,F235&gt;0),+F234*F238/SUMPRODUCT($E234:$I234,$E238:$I238),0)</f>
        <v>0</v>
      </c>
      <c r="G239" s="48">
        <f>IF(AND(G238&gt;0,G235&gt;0),+G234*G238/SUMPRODUCT($E234:$I234,$E238:$I238),0)</f>
        <v>0</v>
      </c>
      <c r="H239" s="48">
        <f>IF(AND(H238&gt;0,H235&gt;0),+H234*H238/SUMPRODUCT($E234:$I234,$E238:$I238),0)</f>
        <v>0</v>
      </c>
      <c r="I239" s="48">
        <f>IF(AND(I238&gt;0,I235&gt;0),+I234*I238/SUMPRODUCT($E234:$I234,$E238:$I238),0)</f>
        <v>0</v>
      </c>
      <c r="J239" s="37"/>
      <c r="K239" s="37"/>
    </row>
    <row r="240" spans="1:11">
      <c r="A240" s="968"/>
      <c r="B240" s="968"/>
      <c r="C240" s="37" t="s">
        <v>3782</v>
      </c>
      <c r="D240" s="38"/>
      <c r="E240" s="39">
        <f>-MAX(-E237,ROUND(E239*$J237,0))*E238</f>
        <v>0</v>
      </c>
      <c r="F240" s="39">
        <f>-MAX(-F237,ROUND(F239*$J237,0))*F238</f>
        <v>0</v>
      </c>
      <c r="G240" s="39">
        <f>-MAX(-G237,ROUND(G239*$J237,0))*G238</f>
        <v>0</v>
      </c>
      <c r="H240" s="39">
        <f>-MAX(-H237,ROUND(H239*$J237,0))*H238</f>
        <v>0</v>
      </c>
      <c r="I240" s="39">
        <f>-MAX(-I237,ROUND(I239*$J237,0))*I238</f>
        <v>0</v>
      </c>
      <c r="J240" s="37">
        <f>ROUND(SUM(E240:I240),0)</f>
        <v>0</v>
      </c>
      <c r="K240" s="37"/>
    </row>
    <row r="241" spans="1:11">
      <c r="A241" s="968"/>
      <c r="B241" s="968"/>
      <c r="C241" s="37" t="s">
        <v>2324</v>
      </c>
      <c r="D241" s="38"/>
      <c r="E241" s="912"/>
      <c r="F241" s="912"/>
      <c r="G241" s="912"/>
      <c r="H241" s="912"/>
      <c r="I241" s="913"/>
      <c r="J241" s="37"/>
      <c r="K241" s="37"/>
    </row>
    <row r="242" spans="1:11">
      <c r="A242" s="968"/>
      <c r="B242" s="968"/>
      <c r="C242" s="37" t="s">
        <v>3783</v>
      </c>
      <c r="D242" s="38"/>
      <c r="E242" s="915"/>
      <c r="F242" s="915"/>
      <c r="G242" s="915"/>
      <c r="H242" s="915"/>
      <c r="I242" s="916"/>
      <c r="J242" s="37"/>
      <c r="K242" s="37"/>
    </row>
    <row r="243" spans="1:11">
      <c r="A243" s="968"/>
      <c r="B243" s="968"/>
      <c r="C243" s="37" t="s">
        <v>3784</v>
      </c>
      <c r="D243" s="38"/>
      <c r="E243" s="87">
        <f>MIN(E236,E237-E242-E240-E241*$J235)</f>
        <v>0</v>
      </c>
      <c r="F243" s="87">
        <f>MIN(F236,F237-F242-F240-F241*$J235)</f>
        <v>0</v>
      </c>
      <c r="G243" s="87">
        <f>MIN(G236,G237-G242-G240-G241*$J235)</f>
        <v>0</v>
      </c>
      <c r="H243" s="87">
        <f>MIN(H236,H237-H242-H240-H241*$J235)</f>
        <v>0</v>
      </c>
      <c r="I243" s="87">
        <f>MIN(I236,I237-I242-I240-I241*$J235)</f>
        <v>0</v>
      </c>
      <c r="J243" s="198"/>
      <c r="K243" s="37"/>
    </row>
    <row r="244" spans="1:11">
      <c r="A244" s="968"/>
      <c r="B244" s="968"/>
      <c r="C244" s="37" t="s">
        <v>3785</v>
      </c>
      <c r="D244" s="38"/>
      <c r="E244" s="87">
        <f>MAX(E243,0)</f>
        <v>0</v>
      </c>
      <c r="F244" s="87">
        <f>MAX(F243,0)</f>
        <v>0</v>
      </c>
      <c r="G244" s="87">
        <f>MAX(G243,0)</f>
        <v>0</v>
      </c>
      <c r="H244" s="87">
        <f>MAX(H243,0)</f>
        <v>0</v>
      </c>
      <c r="I244" s="87">
        <f>MAX(I243,0)</f>
        <v>0</v>
      </c>
      <c r="J244" s="198"/>
      <c r="K244" s="37"/>
    </row>
    <row r="245" spans="1:11">
      <c r="A245" s="968"/>
      <c r="B245" s="968"/>
      <c r="C245" s="74" t="s">
        <v>3786</v>
      </c>
      <c r="D245" s="38"/>
      <c r="E245" s="178">
        <f>MAX(0,MIN(E235+E240+E242+E241*$J235,E236))</f>
        <v>0</v>
      </c>
      <c r="F245" s="178">
        <f>MIN(F235+F240+F242+F241*$J235,F236)</f>
        <v>0</v>
      </c>
      <c r="G245" s="178">
        <f>MIN(G235+G240+G242+G241*$J235,G236)</f>
        <v>0</v>
      </c>
      <c r="H245" s="178">
        <f>MIN(H235+H240+H242+H241*$J235,H236)</f>
        <v>0</v>
      </c>
      <c r="I245" s="178">
        <f>MIN(I235+I240+I242+I241*$J235,I236)</f>
        <v>0</v>
      </c>
      <c r="J245" s="198">
        <f>SUM(E245:I245)</f>
        <v>0</v>
      </c>
      <c r="K245" s="198"/>
    </row>
    <row r="246" spans="1:11">
      <c r="A246" s="968"/>
      <c r="B246" s="968"/>
      <c r="C246" s="63" t="s">
        <v>3787</v>
      </c>
      <c r="D246" s="67"/>
      <c r="E246" s="618">
        <f>E245/MAX(1,$J245)</f>
        <v>0</v>
      </c>
      <c r="F246" s="618">
        <f>F245/MAX(1,$J245)</f>
        <v>0</v>
      </c>
      <c r="G246" s="618">
        <f>G245/MAX(1,$J245)</f>
        <v>0</v>
      </c>
      <c r="H246" s="618">
        <f>H245/MAX(1,$J245)</f>
        <v>0</v>
      </c>
      <c r="I246" s="618">
        <f>I245/MAX(1,$J245)</f>
        <v>0</v>
      </c>
      <c r="J246" s="198">
        <f>J235-J245</f>
        <v>0</v>
      </c>
      <c r="K246" s="37"/>
    </row>
    <row r="247" spans="1:11">
      <c r="A247" s="968"/>
      <c r="B247" s="968"/>
      <c r="C247" s="75" t="s">
        <v>974</v>
      </c>
      <c r="D247" s="35"/>
      <c r="E247" s="35">
        <f>RANK(E246,$E246:$I246)</f>
        <v>1</v>
      </c>
      <c r="F247" s="35">
        <f>RANK(F246,$E246:$I246)</f>
        <v>1</v>
      </c>
      <c r="G247" s="35">
        <f>RANK(G246,$E246:$I246)</f>
        <v>1</v>
      </c>
      <c r="H247" s="35">
        <f>RANK(H246,$E246:$I246)</f>
        <v>1</v>
      </c>
      <c r="I247" s="35">
        <f>RANK(I246,$E246:$I246)</f>
        <v>1</v>
      </c>
      <c r="J247" s="63"/>
      <c r="K247" s="37"/>
    </row>
    <row r="248" spans="1:11">
      <c r="A248" s="968"/>
      <c r="B248" s="968"/>
      <c r="C248" s="2"/>
      <c r="D248" s="39"/>
      <c r="E248" s="3"/>
      <c r="F248" s="3"/>
      <c r="G248" s="3"/>
      <c r="H248" s="3"/>
      <c r="I248" s="3"/>
      <c r="J248" s="3"/>
      <c r="K248" s="3"/>
    </row>
    <row r="249" spans="1:11">
      <c r="A249" s="968"/>
      <c r="B249" s="968"/>
      <c r="C249" s="2" t="s">
        <v>1369</v>
      </c>
      <c r="D249" s="3"/>
      <c r="E249" s="72">
        <f>E212</f>
        <v>0</v>
      </c>
      <c r="F249" s="72">
        <f>F212</f>
        <v>0</v>
      </c>
      <c r="G249" s="72">
        <f>G212</f>
        <v>0</v>
      </c>
      <c r="H249" s="72">
        <f>H212</f>
        <v>0</v>
      </c>
      <c r="I249" s="72">
        <f>I212</f>
        <v>0</v>
      </c>
      <c r="J249" s="3"/>
      <c r="K249" s="3"/>
    </row>
    <row r="250" spans="1:11">
      <c r="A250" s="968"/>
      <c r="B250" s="968"/>
      <c r="C250" s="73" t="s">
        <v>976</v>
      </c>
      <c r="D250" s="61"/>
      <c r="E250" s="197">
        <f>ROUNDDOWN(E212*$J212,0)</f>
        <v>0</v>
      </c>
      <c r="F250" s="197">
        <f>ROUNDDOWN(F212*$J212,0)</f>
        <v>0</v>
      </c>
      <c r="G250" s="197">
        <f>ROUNDDOWN(G212*$J212,0)</f>
        <v>0</v>
      </c>
      <c r="H250" s="197">
        <f>ROUNDDOWN(H212*$J212,0)</f>
        <v>0</v>
      </c>
      <c r="I250" s="197">
        <f>ROUNDDOWN(I212*$J212,0)</f>
        <v>0</v>
      </c>
      <c r="J250" s="199">
        <f>SUM(E250:I250)</f>
        <v>0</v>
      </c>
      <c r="K250" s="37"/>
    </row>
    <row r="251" spans="1:11">
      <c r="A251" s="968"/>
      <c r="B251" s="968"/>
      <c r="C251" s="233" t="s">
        <v>977</v>
      </c>
      <c r="D251" s="150"/>
      <c r="E251" s="232">
        <f>E250</f>
        <v>0</v>
      </c>
      <c r="F251" s="232">
        <f>F250</f>
        <v>0</v>
      </c>
      <c r="G251" s="232">
        <f>G250</f>
        <v>0</v>
      </c>
      <c r="H251" s="232">
        <f>H250</f>
        <v>0</v>
      </c>
      <c r="I251" s="232">
        <f>I250</f>
        <v>0</v>
      </c>
      <c r="J251" s="198">
        <f>SUM(E251:I251)</f>
        <v>0</v>
      </c>
      <c r="K251" s="37"/>
    </row>
    <row r="252" spans="1:11">
      <c r="A252" s="968"/>
      <c r="B252" s="968"/>
      <c r="C252" s="37" t="s">
        <v>3325</v>
      </c>
      <c r="D252" s="38"/>
      <c r="E252" s="87">
        <f>E251-E250</f>
        <v>0</v>
      </c>
      <c r="F252" s="87">
        <f>F251-F250</f>
        <v>0</v>
      </c>
      <c r="G252" s="87">
        <f>G251-G250</f>
        <v>0</v>
      </c>
      <c r="H252" s="87">
        <f>H251-H250</f>
        <v>0</v>
      </c>
      <c r="I252" s="87">
        <f>I251-I250</f>
        <v>0</v>
      </c>
      <c r="J252" s="200">
        <f>SUM(E252:I252)-SUMPRODUCT(E252:I252,E253:I253)</f>
        <v>0</v>
      </c>
      <c r="K252" s="37"/>
    </row>
    <row r="253" spans="1:11">
      <c r="A253" s="968"/>
      <c r="B253" s="968"/>
      <c r="C253" s="37" t="s">
        <v>1068</v>
      </c>
      <c r="D253" s="38"/>
      <c r="E253" s="38">
        <f>1*(E252&gt;0)</f>
        <v>0</v>
      </c>
      <c r="F253" s="38">
        <f>1*(F252&gt;0)</f>
        <v>0</v>
      </c>
      <c r="G253" s="38">
        <f>1*(G252&gt;0)</f>
        <v>0</v>
      </c>
      <c r="H253" s="38">
        <f>1*(H252&gt;0)</f>
        <v>0</v>
      </c>
      <c r="I253" s="38">
        <f>1*(I252&gt;0)</f>
        <v>0</v>
      </c>
      <c r="J253" s="37">
        <f>SUM(E253:I253)</f>
        <v>0</v>
      </c>
      <c r="K253" s="37"/>
    </row>
    <row r="254" spans="1:11">
      <c r="A254" s="968"/>
      <c r="B254" s="968"/>
      <c r="C254" s="37" t="s">
        <v>1069</v>
      </c>
      <c r="D254" s="38"/>
      <c r="E254" s="48">
        <f>IF(AND(E253&gt;0,E250&gt;0),+E249*E253/SUMPRODUCT($E249:$I249,$E253:$I253),0)</f>
        <v>0</v>
      </c>
      <c r="F254" s="48">
        <f>IF(AND(F253&gt;0,F250&gt;0),+F249*F253/SUMPRODUCT($E249:$I249,$E253:$I253),0)</f>
        <v>0</v>
      </c>
      <c r="G254" s="48">
        <f>IF(AND(G253&gt;0,G250&gt;0),+G249*G253/SUMPRODUCT($E249:$I249,$E253:$I253),0)</f>
        <v>0</v>
      </c>
      <c r="H254" s="48">
        <f>IF(AND(H253&gt;0,H250&gt;0),+H249*H253/SUMPRODUCT($E249:$I249,$E253:$I253),0)</f>
        <v>0</v>
      </c>
      <c r="I254" s="48">
        <f>IF(AND(I253&gt;0,I250&gt;0),+I249*I253/SUMPRODUCT($E249:$I249,$E253:$I253),0)</f>
        <v>0</v>
      </c>
      <c r="J254" s="37"/>
      <c r="K254" s="37"/>
    </row>
    <row r="255" spans="1:11">
      <c r="A255" s="968"/>
      <c r="B255" s="968"/>
      <c r="C255" s="37" t="s">
        <v>3782</v>
      </c>
      <c r="D255" s="38"/>
      <c r="E255" s="39">
        <f>-MAX(-E252,ROUND(E254*$J252,0))*E253</f>
        <v>0</v>
      </c>
      <c r="F255" s="39">
        <f>-MAX(-F252,ROUND(F254*$J252,0))*F253</f>
        <v>0</v>
      </c>
      <c r="G255" s="39">
        <f>-MAX(-G252,ROUND(G254*$J252,0))*G253</f>
        <v>0</v>
      </c>
      <c r="H255" s="39">
        <f>-MAX(-H252,ROUND(H254*$J252,0))*H253</f>
        <v>0</v>
      </c>
      <c r="I255" s="39">
        <f>-MAX(-I252,ROUND(I254*$J252,0))*I253</f>
        <v>0</v>
      </c>
      <c r="J255" s="37">
        <f>ROUND(SUM(E255:I255),0)</f>
        <v>0</v>
      </c>
      <c r="K255" s="37"/>
    </row>
    <row r="256" spans="1:11">
      <c r="A256" s="968"/>
      <c r="B256" s="968"/>
      <c r="C256" s="37" t="s">
        <v>2324</v>
      </c>
      <c r="D256" s="38"/>
      <c r="E256" s="910"/>
      <c r="F256" s="910"/>
      <c r="G256" s="910"/>
      <c r="H256" s="910"/>
      <c r="I256" s="911"/>
      <c r="J256" s="37"/>
      <c r="K256" s="37"/>
    </row>
    <row r="257" spans="1:11">
      <c r="A257" s="968"/>
      <c r="B257" s="968"/>
      <c r="C257" s="37" t="s">
        <v>3783</v>
      </c>
      <c r="D257" s="38"/>
      <c r="E257" s="915"/>
      <c r="F257" s="915"/>
      <c r="G257" s="915"/>
      <c r="H257" s="915"/>
      <c r="I257" s="916"/>
      <c r="J257" s="37"/>
      <c r="K257" s="37"/>
    </row>
    <row r="258" spans="1:11">
      <c r="A258" s="968"/>
      <c r="B258" s="968"/>
      <c r="C258" s="37" t="s">
        <v>3784</v>
      </c>
      <c r="D258" s="38"/>
      <c r="E258" s="87">
        <f>MIN(E251,E252-E257-E255-E256*$J250)</f>
        <v>0</v>
      </c>
      <c r="F258" s="87">
        <f>MIN(F251,F252-F257-F255-F256*$J250)</f>
        <v>0</v>
      </c>
      <c r="G258" s="87">
        <f>MIN(G251,G252-G257-G255-G256*$J250)</f>
        <v>0</v>
      </c>
      <c r="H258" s="87">
        <f>MIN(H251,H252-H257-H255-H256*$J250)</f>
        <v>0</v>
      </c>
      <c r="I258" s="87">
        <f>MIN(I251,I252-I257-I255-I256*$J250)</f>
        <v>0</v>
      </c>
      <c r="J258" s="198"/>
      <c r="K258" s="37"/>
    </row>
    <row r="259" spans="1:11">
      <c r="A259" s="968"/>
      <c r="B259" s="968"/>
      <c r="C259" s="37" t="s">
        <v>3785</v>
      </c>
      <c r="D259" s="38"/>
      <c r="E259" s="87">
        <f>MAX(E258,0)</f>
        <v>0</v>
      </c>
      <c r="F259" s="87">
        <f>MAX(F258,0)</f>
        <v>0</v>
      </c>
      <c r="G259" s="87">
        <f>MAX(G258,0)</f>
        <v>0</v>
      </c>
      <c r="H259" s="87">
        <f>MAX(H258,0)</f>
        <v>0</v>
      </c>
      <c r="I259" s="87">
        <f>MAX(I258,0)</f>
        <v>0</v>
      </c>
      <c r="J259" s="198"/>
      <c r="K259" s="37"/>
    </row>
    <row r="260" spans="1:11">
      <c r="A260" s="968"/>
      <c r="B260" s="968"/>
      <c r="C260" s="74" t="s">
        <v>3786</v>
      </c>
      <c r="D260" s="38"/>
      <c r="E260" s="178">
        <f>MAX(0,MIN(E250+E255+E257+E256*$J250,E251))</f>
        <v>0</v>
      </c>
      <c r="F260" s="178">
        <f>MIN(F250+F255+F257+F256*$J250,F251)</f>
        <v>0</v>
      </c>
      <c r="G260" s="178">
        <f>MIN(G250+G255+G257+G256*$J250,G251)</f>
        <v>0</v>
      </c>
      <c r="H260" s="178">
        <f>MIN(H250+H255+H257+H256*$J250,H251)</f>
        <v>0</v>
      </c>
      <c r="I260" s="178">
        <f>MIN(I250+I255+I257+I256*$J250,I251)</f>
        <v>0</v>
      </c>
      <c r="J260" s="198">
        <f>SUM(E260:I260)</f>
        <v>0</v>
      </c>
      <c r="K260" s="198"/>
    </row>
    <row r="261" spans="1:11">
      <c r="A261" s="968"/>
      <c r="B261" s="968"/>
      <c r="C261" s="63" t="s">
        <v>3787</v>
      </c>
      <c r="D261" s="67"/>
      <c r="E261" s="618">
        <f>E260/MAX(1,$J260)</f>
        <v>0</v>
      </c>
      <c r="F261" s="618">
        <f>F260/MAX(1,$J260)</f>
        <v>0</v>
      </c>
      <c r="G261" s="618">
        <f>G260/MAX(1,$J260)</f>
        <v>0</v>
      </c>
      <c r="H261" s="618">
        <f>H260/MAX(1,$J260)</f>
        <v>0</v>
      </c>
      <c r="I261" s="618">
        <f>I260/MAX(1,$J260)</f>
        <v>0</v>
      </c>
      <c r="J261" s="198">
        <f>J250-J260</f>
        <v>0</v>
      </c>
      <c r="K261" s="37"/>
    </row>
    <row r="262" spans="1:11">
      <c r="A262" s="968"/>
      <c r="B262" s="968"/>
      <c r="C262" s="75" t="s">
        <v>974</v>
      </c>
      <c r="D262" s="35"/>
      <c r="E262" s="35">
        <f>RANK(E261,$E261:$I261)</f>
        <v>1</v>
      </c>
      <c r="F262" s="35">
        <f>RANK(F261,$E261:$I261)</f>
        <v>1</v>
      </c>
      <c r="G262" s="35">
        <f>RANK(G261,$E261:$I261)</f>
        <v>1</v>
      </c>
      <c r="H262" s="35">
        <f>RANK(H261,$E261:$I261)</f>
        <v>1</v>
      </c>
      <c r="I262" s="35">
        <f>RANK(I261,$E261:$I261)</f>
        <v>1</v>
      </c>
      <c r="J262" s="63"/>
      <c r="K262" s="37"/>
    </row>
    <row r="263" spans="1:11">
      <c r="A263" s="968"/>
      <c r="B263" s="968"/>
      <c r="C263" s="2"/>
      <c r="D263" s="39"/>
      <c r="E263" s="3"/>
      <c r="F263" s="3"/>
      <c r="G263" s="3"/>
      <c r="H263" s="3"/>
      <c r="I263" s="3"/>
      <c r="J263" s="3"/>
      <c r="K263" s="3"/>
    </row>
    <row r="264" spans="1:11">
      <c r="A264" s="968"/>
      <c r="B264" s="968"/>
      <c r="C264" s="2" t="s">
        <v>1370</v>
      </c>
      <c r="D264" s="3"/>
      <c r="E264" s="72">
        <f>E213</f>
        <v>0</v>
      </c>
      <c r="F264" s="72">
        <f>F213</f>
        <v>0</v>
      </c>
      <c r="G264" s="72">
        <f>G213</f>
        <v>0</v>
      </c>
      <c r="H264" s="72">
        <f>H213</f>
        <v>0</v>
      </c>
      <c r="I264" s="72">
        <f>I213</f>
        <v>0</v>
      </c>
      <c r="J264" s="3"/>
      <c r="K264" s="3"/>
    </row>
    <row r="265" spans="1:11">
      <c r="A265" s="968"/>
      <c r="B265" s="968"/>
      <c r="C265" s="73" t="s">
        <v>976</v>
      </c>
      <c r="D265" s="61"/>
      <c r="E265" s="197">
        <f>ROUNDDOWN(E213*$J213,0)</f>
        <v>0</v>
      </c>
      <c r="F265" s="197">
        <f>ROUNDDOWN(F213*$J213,0)</f>
        <v>0</v>
      </c>
      <c r="G265" s="197">
        <f>ROUNDDOWN(G213*$J213,0)</f>
        <v>0</v>
      </c>
      <c r="H265" s="197">
        <f>ROUNDDOWN(H213*$J213,0)</f>
        <v>0</v>
      </c>
      <c r="I265" s="197">
        <f>ROUNDDOWN(I213*$J213,0)</f>
        <v>0</v>
      </c>
      <c r="J265" s="199">
        <f>SUM(E265:I265)</f>
        <v>0</v>
      </c>
      <c r="K265" s="37"/>
    </row>
    <row r="266" spans="1:11">
      <c r="A266" s="968"/>
      <c r="B266" s="968"/>
      <c r="C266" s="233" t="s">
        <v>977</v>
      </c>
      <c r="D266" s="150"/>
      <c r="E266" s="232">
        <f>E265</f>
        <v>0</v>
      </c>
      <c r="F266" s="232">
        <f>F265</f>
        <v>0</v>
      </c>
      <c r="G266" s="232">
        <f>G265</f>
        <v>0</v>
      </c>
      <c r="H266" s="232">
        <f>H265</f>
        <v>0</v>
      </c>
      <c r="I266" s="232">
        <f>I265</f>
        <v>0</v>
      </c>
      <c r="J266" s="198">
        <f>SUM(E266:I266)</f>
        <v>0</v>
      </c>
      <c r="K266" s="37"/>
    </row>
    <row r="267" spans="1:11">
      <c r="A267" s="968"/>
      <c r="B267" s="968"/>
      <c r="C267" s="37" t="s">
        <v>3325</v>
      </c>
      <c r="D267" s="38"/>
      <c r="E267" s="87">
        <f>E266-E265</f>
        <v>0</v>
      </c>
      <c r="F267" s="87">
        <f>F266-F265</f>
        <v>0</v>
      </c>
      <c r="G267" s="87">
        <f>G266-G265</f>
        <v>0</v>
      </c>
      <c r="H267" s="87">
        <f>H266-H265</f>
        <v>0</v>
      </c>
      <c r="I267" s="87">
        <f>I266-I265</f>
        <v>0</v>
      </c>
      <c r="J267" s="200">
        <f>SUM(E267:I267)-SUMPRODUCT(E267:I267,E268:I268)</f>
        <v>0</v>
      </c>
      <c r="K267" s="37"/>
    </row>
    <row r="268" spans="1:11">
      <c r="A268" s="968"/>
      <c r="B268" s="968"/>
      <c r="C268" s="37" t="s">
        <v>1068</v>
      </c>
      <c r="D268" s="38"/>
      <c r="E268" s="38">
        <f>1*(E267&gt;0)</f>
        <v>0</v>
      </c>
      <c r="F268" s="38">
        <f>1*(F267&gt;0)</f>
        <v>0</v>
      </c>
      <c r="G268" s="38">
        <f>1*(G267&gt;0)</f>
        <v>0</v>
      </c>
      <c r="H268" s="38">
        <f>1*(H267&gt;0)</f>
        <v>0</v>
      </c>
      <c r="I268" s="38">
        <f>1*(I267&gt;0)</f>
        <v>0</v>
      </c>
      <c r="J268" s="37">
        <f>SUM(E268:I268)</f>
        <v>0</v>
      </c>
      <c r="K268" s="37"/>
    </row>
    <row r="269" spans="1:11">
      <c r="A269" s="968"/>
      <c r="B269" s="968"/>
      <c r="C269" s="37" t="s">
        <v>1069</v>
      </c>
      <c r="D269" s="38"/>
      <c r="E269" s="48">
        <f>IF(AND(E268&gt;0,E265&gt;0),+E264*E268/SUMPRODUCT($E264:$I264,$E268:$I268),0)</f>
        <v>0</v>
      </c>
      <c r="F269" s="48">
        <f>IF(AND(F268&gt;0,F265&gt;0),+F264*F268/SUMPRODUCT($E264:$I264,$E268:$I268),0)</f>
        <v>0</v>
      </c>
      <c r="G269" s="48">
        <f>IF(AND(G268&gt;0,G265&gt;0),+G264*G268/SUMPRODUCT($E264:$I264,$E268:$I268),0)</f>
        <v>0</v>
      </c>
      <c r="H269" s="48">
        <f>IF(AND(H268&gt;0,H265&gt;0),+H264*H268/SUMPRODUCT($E264:$I264,$E268:$I268),0)</f>
        <v>0</v>
      </c>
      <c r="I269" s="48">
        <f>IF(AND(I268&gt;0,I265&gt;0),+I264*I268/SUMPRODUCT($E264:$I264,$E268:$I268),0)</f>
        <v>0</v>
      </c>
      <c r="J269" s="37"/>
      <c r="K269" s="37"/>
    </row>
    <row r="270" spans="1:11">
      <c r="A270" s="968"/>
      <c r="B270" s="968"/>
      <c r="C270" s="37" t="s">
        <v>3782</v>
      </c>
      <c r="D270" s="38"/>
      <c r="E270" s="39">
        <f>-MAX(-E267,ROUND(E269*$J267,0))*E268</f>
        <v>0</v>
      </c>
      <c r="F270" s="39">
        <f>-MAX(-F267,ROUND(F269*$J267,0))*F268</f>
        <v>0</v>
      </c>
      <c r="G270" s="39">
        <f>-MAX(-G267,ROUND(G269*$J267,0))*G268</f>
        <v>0</v>
      </c>
      <c r="H270" s="39">
        <f>-MAX(-H267,ROUND(H269*$J267,0))*H268</f>
        <v>0</v>
      </c>
      <c r="I270" s="39">
        <f>-MAX(-I267,ROUND(I269*$J267,0))*I268</f>
        <v>0</v>
      </c>
      <c r="J270" s="37">
        <f>ROUND(SUM(E270:I270),0)</f>
        <v>0</v>
      </c>
      <c r="K270" s="37"/>
    </row>
    <row r="271" spans="1:11">
      <c r="A271" s="968"/>
      <c r="B271" s="968"/>
      <c r="C271" s="37" t="s">
        <v>2324</v>
      </c>
      <c r="D271" s="38"/>
      <c r="E271" s="912"/>
      <c r="F271" s="912"/>
      <c r="G271" s="912"/>
      <c r="H271" s="912"/>
      <c r="I271" s="913"/>
      <c r="J271" s="37"/>
      <c r="K271" s="37"/>
    </row>
    <row r="272" spans="1:11">
      <c r="A272" s="968"/>
      <c r="B272" s="968"/>
      <c r="C272" s="37" t="s">
        <v>3783</v>
      </c>
      <c r="D272" s="38"/>
      <c r="E272" s="915"/>
      <c r="F272" s="915"/>
      <c r="G272" s="915"/>
      <c r="H272" s="915"/>
      <c r="I272" s="916">
        <v>20000</v>
      </c>
      <c r="J272" s="37"/>
      <c r="K272" s="37"/>
    </row>
    <row r="273" spans="1:11">
      <c r="A273" s="968"/>
      <c r="B273" s="968"/>
      <c r="C273" s="37" t="s">
        <v>3784</v>
      </c>
      <c r="D273" s="38"/>
      <c r="E273" s="87">
        <f>MIN(E266,E267-E272-E270-E271*$J265)</f>
        <v>0</v>
      </c>
      <c r="F273" s="87">
        <f>MIN(F266,F267-F272-F270-F271*$J265)</f>
        <v>0</v>
      </c>
      <c r="G273" s="87">
        <f>MIN(G266,G267-G272-G270-G271*$J265)</f>
        <v>0</v>
      </c>
      <c r="H273" s="87">
        <f>MIN(H266,H267-H272-H270-H271*$J265)</f>
        <v>0</v>
      </c>
      <c r="I273" s="87">
        <f>MIN(I266,I267-I272-I270-I271*$J265)</f>
        <v>-20000</v>
      </c>
      <c r="J273" s="198"/>
      <c r="K273" s="37"/>
    </row>
    <row r="274" spans="1:11">
      <c r="A274" s="968"/>
      <c r="B274" s="968"/>
      <c r="C274" s="37" t="s">
        <v>3785</v>
      </c>
      <c r="D274" s="38"/>
      <c r="E274" s="87">
        <f>MAX(E273,0)</f>
        <v>0</v>
      </c>
      <c r="F274" s="87">
        <f>MAX(F273,0)</f>
        <v>0</v>
      </c>
      <c r="G274" s="87">
        <f>MAX(G273,0)</f>
        <v>0</v>
      </c>
      <c r="H274" s="87">
        <f>MAX(H273,0)</f>
        <v>0</v>
      </c>
      <c r="I274" s="87">
        <f>MAX(I273,0)</f>
        <v>0</v>
      </c>
      <c r="J274" s="198"/>
      <c r="K274" s="37"/>
    </row>
    <row r="275" spans="1:11">
      <c r="A275" s="968"/>
      <c r="B275" s="968"/>
      <c r="C275" s="74" t="s">
        <v>3786</v>
      </c>
      <c r="D275" s="38"/>
      <c r="E275" s="178">
        <f>MAX(0,MIN(E265+E270+E272+E271*$J265,E266))</f>
        <v>0</v>
      </c>
      <c r="F275" s="178">
        <f>MIN(F265+F270+F272+F271*$J265,F266)</f>
        <v>0</v>
      </c>
      <c r="G275" s="178">
        <f>MIN(G265+G270+G272+G271*$J265,G266)</f>
        <v>0</v>
      </c>
      <c r="H275" s="178">
        <f>MIN(H265+H270+H272+H271*$J265,H266)</f>
        <v>0</v>
      </c>
      <c r="I275" s="178">
        <f>MIN(I265+I270+I272+I271*$J265,I266)</f>
        <v>0</v>
      </c>
      <c r="J275" s="198">
        <f>SUM(E275:I275)</f>
        <v>0</v>
      </c>
      <c r="K275" s="198"/>
    </row>
    <row r="276" spans="1:11">
      <c r="A276" s="968"/>
      <c r="B276" s="968"/>
      <c r="C276" s="63" t="s">
        <v>3787</v>
      </c>
      <c r="D276" s="67"/>
      <c r="E276" s="618">
        <f>E275/MAX(1,$J275)</f>
        <v>0</v>
      </c>
      <c r="F276" s="618">
        <f>F275/MAX(1,$J275)</f>
        <v>0</v>
      </c>
      <c r="G276" s="618">
        <f>G275/MAX(1,$J275)</f>
        <v>0</v>
      </c>
      <c r="H276" s="618">
        <f>H275/MAX(1,$J275)</f>
        <v>0</v>
      </c>
      <c r="I276" s="618">
        <f>I275/MAX(1,$J275)</f>
        <v>0</v>
      </c>
      <c r="J276" s="198">
        <f>J265-J275</f>
        <v>0</v>
      </c>
      <c r="K276" s="37"/>
    </row>
    <row r="277" spans="1:11">
      <c r="A277" s="968"/>
      <c r="B277" s="968"/>
      <c r="C277" s="75" t="s">
        <v>974</v>
      </c>
      <c r="D277" s="35"/>
      <c r="E277" s="35">
        <f>RANK(E276,$E276:$I276)</f>
        <v>1</v>
      </c>
      <c r="F277" s="35">
        <f>RANK(F276,$E276:$I276)</f>
        <v>1</v>
      </c>
      <c r="G277" s="35">
        <f>RANK(G276,$E276:$I276)</f>
        <v>1</v>
      </c>
      <c r="H277" s="35">
        <f>RANK(H276,$E276:$I276)</f>
        <v>1</v>
      </c>
      <c r="I277" s="35">
        <f>RANK(I276,$E276:$I276)</f>
        <v>1</v>
      </c>
      <c r="J277" s="63"/>
      <c r="K277" s="37"/>
    </row>
    <row r="278" spans="1:11">
      <c r="A278" s="968"/>
      <c r="B278" s="968"/>
      <c r="C278" s="38"/>
      <c r="D278" s="38"/>
      <c r="E278" s="38"/>
      <c r="F278" s="38"/>
      <c r="G278" s="38"/>
      <c r="H278" s="38"/>
      <c r="I278" s="38"/>
      <c r="J278" s="38"/>
      <c r="K278" s="38"/>
    </row>
    <row r="279" spans="1:11">
      <c r="A279" s="968"/>
      <c r="B279" s="968"/>
      <c r="C279" s="1050" t="s">
        <v>3892</v>
      </c>
      <c r="D279" s="46"/>
      <c r="E279" s="1051">
        <f>E230</f>
        <v>0</v>
      </c>
      <c r="F279" s="1051">
        <f>F230</f>
        <v>0</v>
      </c>
      <c r="G279" s="1051">
        <f>G230</f>
        <v>0</v>
      </c>
      <c r="H279" s="1051">
        <f>H230</f>
        <v>0</v>
      </c>
      <c r="I279" s="1052">
        <f>I230</f>
        <v>0</v>
      </c>
      <c r="J279" s="38"/>
      <c r="K279" s="38"/>
    </row>
    <row r="280" spans="1:11">
      <c r="A280" s="968"/>
      <c r="B280" s="968"/>
      <c r="C280" s="233" t="s">
        <v>3893</v>
      </c>
      <c r="D280" s="38"/>
      <c r="E280" s="151">
        <f>E245</f>
        <v>0</v>
      </c>
      <c r="F280" s="151">
        <f>F245</f>
        <v>0</v>
      </c>
      <c r="G280" s="151">
        <f>G245</f>
        <v>0</v>
      </c>
      <c r="H280" s="151">
        <f>H245</f>
        <v>0</v>
      </c>
      <c r="I280" s="1053">
        <f>I245</f>
        <v>0</v>
      </c>
      <c r="J280" s="38"/>
      <c r="K280" s="38"/>
    </row>
    <row r="281" spans="1:11">
      <c r="A281" s="968"/>
      <c r="B281" s="968"/>
      <c r="C281" s="233" t="s">
        <v>3894</v>
      </c>
      <c r="D281" s="38"/>
      <c r="E281" s="151">
        <f>E260</f>
        <v>0</v>
      </c>
      <c r="F281" s="151">
        <f>F260</f>
        <v>0</v>
      </c>
      <c r="G281" s="151">
        <f>G260</f>
        <v>0</v>
      </c>
      <c r="H281" s="151">
        <f>H260</f>
        <v>0</v>
      </c>
      <c r="I281" s="1053">
        <f>I260</f>
        <v>0</v>
      </c>
      <c r="J281" s="38"/>
      <c r="K281" s="38"/>
    </row>
    <row r="282" spans="1:11">
      <c r="A282" s="968"/>
      <c r="B282" s="968"/>
      <c r="C282" s="1054" t="s">
        <v>192</v>
      </c>
      <c r="D282" s="67"/>
      <c r="E282" s="1055">
        <f>E275</f>
        <v>0</v>
      </c>
      <c r="F282" s="1055">
        <f>F275</f>
        <v>0</v>
      </c>
      <c r="G282" s="1055">
        <f>G275</f>
        <v>0</v>
      </c>
      <c r="H282" s="1055">
        <f>H275</f>
        <v>0</v>
      </c>
      <c r="I282" s="1056">
        <f>I275</f>
        <v>0</v>
      </c>
      <c r="J282" s="38"/>
      <c r="K282" s="38"/>
    </row>
    <row r="283" spans="1:11">
      <c r="A283" s="968"/>
      <c r="B283" s="968"/>
      <c r="C283" s="150"/>
      <c r="D283" s="38"/>
      <c r="E283" s="38"/>
      <c r="F283" s="38"/>
      <c r="G283" s="38"/>
      <c r="H283" s="38"/>
      <c r="I283" s="38"/>
      <c r="J283" s="38"/>
      <c r="K283" s="38"/>
    </row>
    <row r="284" spans="1:11">
      <c r="A284" s="968"/>
      <c r="B284" s="968">
        <v>1</v>
      </c>
      <c r="C284" s="1050" t="s">
        <v>193</v>
      </c>
      <c r="D284" s="46"/>
      <c r="E284" s="1051">
        <f>IF(MAX(E$13:E$16)&lt;$B284,0,INDEX(E$279:E$282,MATCH($B284,E$13:E$16,0)))</f>
        <v>0</v>
      </c>
      <c r="F284" s="1051">
        <f t="shared" ref="F284:I285" si="31">IF(MAX(F$13:F$16)&lt;$B284,0,INDEX(F$279:F$282,MATCH($B284,F$13:F$16,0)))</f>
        <v>0</v>
      </c>
      <c r="G284" s="1051">
        <f t="shared" si="31"/>
        <v>0</v>
      </c>
      <c r="H284" s="1051">
        <f t="shared" si="31"/>
        <v>0</v>
      </c>
      <c r="I284" s="1052">
        <f t="shared" si="31"/>
        <v>0</v>
      </c>
      <c r="J284" s="198" t="s">
        <v>3554</v>
      </c>
      <c r="K284" s="38"/>
    </row>
    <row r="285" spans="1:11">
      <c r="A285" s="968"/>
      <c r="B285" s="968">
        <v>2</v>
      </c>
      <c r="C285" s="1054" t="s">
        <v>194</v>
      </c>
      <c r="D285" s="67"/>
      <c r="E285" s="1055">
        <f>IF(MAX(E$13:E$16)&lt;$B285,0,INDEX(E$279:E$282,MATCH($B285,E$13:E$16,0)))</f>
        <v>0</v>
      </c>
      <c r="F285" s="1055">
        <f t="shared" si="31"/>
        <v>0</v>
      </c>
      <c r="G285" s="1055">
        <f t="shared" si="31"/>
        <v>0</v>
      </c>
      <c r="H285" s="1055">
        <f t="shared" si="31"/>
        <v>0</v>
      </c>
      <c r="I285" s="1056">
        <f t="shared" si="31"/>
        <v>0</v>
      </c>
      <c r="J285" s="198" t="s">
        <v>3553</v>
      </c>
      <c r="K285" s="38"/>
    </row>
    <row r="286" spans="1:11">
      <c r="A286" s="968"/>
      <c r="B286" s="968"/>
      <c r="C286" s="38"/>
      <c r="D286" s="38"/>
      <c r="E286" s="38"/>
      <c r="F286" s="38"/>
      <c r="G286" s="38"/>
      <c r="H286" s="38"/>
      <c r="I286" s="38"/>
      <c r="J286" s="38"/>
      <c r="K286" s="38"/>
    </row>
    <row r="287" spans="1:11" ht="12" thickBot="1">
      <c r="A287" s="971"/>
      <c r="B287" s="971"/>
    </row>
    <row r="288" spans="1:11" ht="12" thickBot="1">
      <c r="A288" s="971"/>
      <c r="B288" s="971" t="s">
        <v>2332</v>
      </c>
      <c r="C288" s="340" t="s">
        <v>4163</v>
      </c>
      <c r="D288" s="315"/>
      <c r="E288" s="316"/>
      <c r="F288" s="316"/>
      <c r="G288" s="317"/>
      <c r="H288" s="317"/>
      <c r="I288" s="317"/>
      <c r="J288" s="317"/>
      <c r="K288" s="318"/>
    </row>
    <row r="289" spans="1:11" ht="12" thickBot="1">
      <c r="A289" s="971"/>
      <c r="B289" s="971"/>
      <c r="C289" s="314" t="s">
        <v>2672</v>
      </c>
      <c r="D289" s="699">
        <v>4</v>
      </c>
      <c r="E289" s="315"/>
      <c r="F289" s="319"/>
      <c r="G289" s="315"/>
      <c r="H289" s="320"/>
      <c r="I289" s="321" t="s">
        <v>2673</v>
      </c>
      <c r="J289" s="322">
        <v>1</v>
      </c>
      <c r="K289" s="318"/>
    </row>
    <row r="290" spans="1:11">
      <c r="A290" s="971"/>
      <c r="B290" s="971"/>
      <c r="C290" s="323" t="s">
        <v>2958</v>
      </c>
      <c r="D290" s="324"/>
      <c r="E290" s="325" t="s">
        <v>1834</v>
      </c>
      <c r="F290" s="325" t="s">
        <v>1835</v>
      </c>
      <c r="G290" s="325" t="s">
        <v>1836</v>
      </c>
      <c r="H290" s="325" t="s">
        <v>1837</v>
      </c>
      <c r="I290" s="325" t="s">
        <v>1838</v>
      </c>
      <c r="J290" s="325"/>
      <c r="K290" s="326"/>
    </row>
    <row r="291" spans="1:11">
      <c r="A291" s="971"/>
      <c r="B291" s="971"/>
      <c r="C291" s="327" t="s">
        <v>1402</v>
      </c>
      <c r="D291" s="328">
        <v>15</v>
      </c>
      <c r="E291" s="329">
        <v>0</v>
      </c>
      <c r="F291" s="330">
        <v>0</v>
      </c>
      <c r="G291" s="330">
        <v>0</v>
      </c>
      <c r="H291" s="330">
        <v>0</v>
      </c>
      <c r="I291" s="154">
        <v>0</v>
      </c>
      <c r="J291" s="331">
        <v>0</v>
      </c>
      <c r="K291" s="326"/>
    </row>
    <row r="292" spans="1:11">
      <c r="A292" s="971"/>
      <c r="B292" s="971"/>
      <c r="C292" s="327" t="s">
        <v>79</v>
      </c>
      <c r="D292" s="328">
        <v>7</v>
      </c>
      <c r="E292" s="332">
        <v>0</v>
      </c>
      <c r="F292" s="328">
        <v>0</v>
      </c>
      <c r="G292" s="328">
        <v>0</v>
      </c>
      <c r="H292" s="328">
        <v>0</v>
      </c>
      <c r="I292" s="333">
        <v>0</v>
      </c>
      <c r="J292" s="334">
        <v>0</v>
      </c>
      <c r="K292" s="326"/>
    </row>
    <row r="293" spans="1:11">
      <c r="A293" s="971"/>
      <c r="B293" s="971"/>
      <c r="C293" s="327" t="s">
        <v>3442</v>
      </c>
      <c r="D293" s="328">
        <v>0</v>
      </c>
      <c r="E293" s="332">
        <v>0</v>
      </c>
      <c r="F293" s="328">
        <v>0</v>
      </c>
      <c r="G293" s="328">
        <v>0</v>
      </c>
      <c r="H293" s="328">
        <v>0</v>
      </c>
      <c r="I293" s="333">
        <v>0</v>
      </c>
      <c r="J293" s="334">
        <v>0</v>
      </c>
      <c r="K293" s="326"/>
    </row>
    <row r="294" spans="1:11">
      <c r="A294" s="971"/>
      <c r="B294" s="971"/>
      <c r="C294" s="327" t="s">
        <v>1404</v>
      </c>
      <c r="D294" s="328">
        <v>12</v>
      </c>
      <c r="E294" s="332">
        <v>0</v>
      </c>
      <c r="F294" s="328">
        <v>0</v>
      </c>
      <c r="G294" s="328">
        <v>0</v>
      </c>
      <c r="H294" s="328">
        <v>0</v>
      </c>
      <c r="I294" s="333">
        <v>0</v>
      </c>
      <c r="J294" s="334">
        <v>0</v>
      </c>
      <c r="K294" s="326"/>
    </row>
    <row r="295" spans="1:11">
      <c r="A295" s="971"/>
      <c r="B295" s="971"/>
      <c r="C295" s="327" t="s">
        <v>175</v>
      </c>
      <c r="D295" s="328">
        <v>10</v>
      </c>
      <c r="E295" s="332">
        <v>0</v>
      </c>
      <c r="F295" s="328">
        <v>0</v>
      </c>
      <c r="G295" s="328">
        <v>0</v>
      </c>
      <c r="H295" s="328">
        <v>0</v>
      </c>
      <c r="I295" s="333">
        <v>0</v>
      </c>
      <c r="J295" s="334">
        <v>0</v>
      </c>
      <c r="K295" s="326"/>
    </row>
    <row r="296" spans="1:11">
      <c r="A296" s="971"/>
      <c r="B296" s="971"/>
      <c r="C296" s="327" t="s">
        <v>2579</v>
      </c>
      <c r="D296" s="328">
        <v>11</v>
      </c>
      <c r="E296" s="332">
        <v>0</v>
      </c>
      <c r="F296" s="328">
        <v>0</v>
      </c>
      <c r="G296" s="328">
        <v>0</v>
      </c>
      <c r="H296" s="328">
        <v>0</v>
      </c>
      <c r="I296" s="333">
        <v>0</v>
      </c>
      <c r="J296" s="334">
        <v>0</v>
      </c>
      <c r="K296" s="326"/>
    </row>
    <row r="297" spans="1:11">
      <c r="A297" s="971"/>
      <c r="B297" s="971"/>
      <c r="C297" s="327" t="s">
        <v>1139</v>
      </c>
      <c r="D297" s="328">
        <v>0</v>
      </c>
      <c r="E297" s="332">
        <v>0</v>
      </c>
      <c r="F297" s="328">
        <v>0</v>
      </c>
      <c r="G297" s="328">
        <v>0</v>
      </c>
      <c r="H297" s="328">
        <v>0</v>
      </c>
      <c r="I297" s="333">
        <v>0</v>
      </c>
      <c r="J297" s="334">
        <v>0</v>
      </c>
      <c r="K297" s="326"/>
    </row>
    <row r="298" spans="1:11">
      <c r="A298" s="971"/>
      <c r="B298" s="971"/>
      <c r="C298" s="327" t="s">
        <v>2384</v>
      </c>
      <c r="D298" s="328">
        <v>0</v>
      </c>
      <c r="E298" s="332">
        <v>0</v>
      </c>
      <c r="F298" s="328">
        <v>0</v>
      </c>
      <c r="G298" s="328">
        <v>0</v>
      </c>
      <c r="H298" s="328">
        <v>0</v>
      </c>
      <c r="I298" s="333">
        <v>0</v>
      </c>
      <c r="J298" s="334">
        <v>0</v>
      </c>
      <c r="K298" s="326"/>
    </row>
    <row r="299" spans="1:11">
      <c r="A299" s="971"/>
      <c r="B299" s="971"/>
      <c r="C299" s="327" t="s">
        <v>2386</v>
      </c>
      <c r="D299" s="328">
        <v>0</v>
      </c>
      <c r="E299" s="332">
        <v>0</v>
      </c>
      <c r="F299" s="328">
        <v>0</v>
      </c>
      <c r="G299" s="328">
        <v>0</v>
      </c>
      <c r="H299" s="328">
        <v>0</v>
      </c>
      <c r="I299" s="333">
        <v>0</v>
      </c>
      <c r="J299" s="334">
        <v>0</v>
      </c>
      <c r="K299" s="326"/>
    </row>
    <row r="300" spans="1:11">
      <c r="A300" s="971"/>
      <c r="B300" s="971"/>
      <c r="C300" s="327" t="s">
        <v>2956</v>
      </c>
      <c r="D300" s="328">
        <v>0</v>
      </c>
      <c r="E300" s="332">
        <v>0</v>
      </c>
      <c r="F300" s="328">
        <v>0</v>
      </c>
      <c r="G300" s="328">
        <v>0</v>
      </c>
      <c r="H300" s="328">
        <v>0</v>
      </c>
      <c r="I300" s="333">
        <v>0</v>
      </c>
      <c r="J300" s="334">
        <v>0</v>
      </c>
      <c r="K300" s="326"/>
    </row>
    <row r="301" spans="1:11">
      <c r="A301" s="971"/>
      <c r="B301" s="971"/>
      <c r="C301" s="335" t="s">
        <v>1828</v>
      </c>
      <c r="D301" s="150"/>
      <c r="E301" s="336">
        <v>0</v>
      </c>
      <c r="F301" s="337">
        <v>0</v>
      </c>
      <c r="G301" s="337">
        <v>0</v>
      </c>
      <c r="H301" s="337">
        <v>0</v>
      </c>
      <c r="I301" s="338">
        <v>0</v>
      </c>
      <c r="J301" s="334">
        <v>0</v>
      </c>
      <c r="K301" s="326"/>
    </row>
    <row r="302" spans="1:11">
      <c r="A302" s="971"/>
      <c r="B302" s="971"/>
      <c r="C302" s="327" t="s">
        <v>2959</v>
      </c>
      <c r="D302" s="150"/>
      <c r="E302" s="642">
        <v>0</v>
      </c>
      <c r="F302" s="643">
        <v>0</v>
      </c>
      <c r="G302" s="643">
        <v>0</v>
      </c>
      <c r="H302" s="643">
        <v>0</v>
      </c>
      <c r="I302" s="644">
        <v>0</v>
      </c>
      <c r="J302" s="331">
        <v>0</v>
      </c>
      <c r="K302" s="326"/>
    </row>
    <row r="303" spans="1:11" ht="12" thickBot="1">
      <c r="A303" s="971"/>
      <c r="B303" s="971"/>
      <c r="C303" s="327" t="s">
        <v>974</v>
      </c>
      <c r="D303" s="150"/>
      <c r="E303" s="150">
        <v>1</v>
      </c>
      <c r="F303" s="150">
        <v>1</v>
      </c>
      <c r="G303" s="150">
        <v>1</v>
      </c>
      <c r="H303" s="150">
        <v>1</v>
      </c>
      <c r="I303" s="150">
        <v>1</v>
      </c>
      <c r="J303" s="652" t="s">
        <v>2227</v>
      </c>
      <c r="K303" s="326"/>
    </row>
    <row r="304" spans="1:11">
      <c r="A304" s="971"/>
      <c r="B304" s="971"/>
      <c r="C304" s="627" t="s">
        <v>3201</v>
      </c>
      <c r="D304" s="628"/>
      <c r="E304" s="629">
        <v>0</v>
      </c>
      <c r="F304" s="629">
        <v>0</v>
      </c>
      <c r="G304" s="629">
        <v>0</v>
      </c>
      <c r="H304" s="629">
        <v>0</v>
      </c>
      <c r="I304" s="629">
        <v>0</v>
      </c>
      <c r="J304" s="650">
        <v>1</v>
      </c>
      <c r="K304" s="630"/>
    </row>
    <row r="305" spans="1:11" ht="12" thickBot="1">
      <c r="A305" s="971"/>
      <c r="B305" s="971"/>
      <c r="C305" s="134" t="s">
        <v>1999</v>
      </c>
      <c r="D305" s="135"/>
      <c r="E305" s="626">
        <v>0.2</v>
      </c>
      <c r="F305" s="626">
        <v>0.2</v>
      </c>
      <c r="G305" s="626">
        <v>0.2</v>
      </c>
      <c r="H305" s="626">
        <v>0.2</v>
      </c>
      <c r="I305" s="626">
        <v>0.2</v>
      </c>
      <c r="J305" s="651">
        <v>0</v>
      </c>
      <c r="K305" s="136"/>
    </row>
    <row r="306" spans="1:11" ht="12" thickBot="1">
      <c r="A306" s="971"/>
      <c r="B306" s="971"/>
      <c r="C306" s="631" t="s">
        <v>2830</v>
      </c>
      <c r="D306" s="371"/>
      <c r="E306" s="632">
        <v>0</v>
      </c>
      <c r="F306" s="632">
        <v>0</v>
      </c>
      <c r="G306" s="632">
        <v>0</v>
      </c>
      <c r="H306" s="632">
        <v>0</v>
      </c>
      <c r="I306" s="632">
        <v>0</v>
      </c>
      <c r="J306" s="633">
        <v>1</v>
      </c>
      <c r="K306" s="136" t="s">
        <v>2327</v>
      </c>
    </row>
    <row r="307" spans="1:11" ht="12" thickBot="1">
      <c r="A307" s="971"/>
      <c r="B307" s="971"/>
    </row>
    <row r="308" spans="1:11" ht="12" thickBot="1">
      <c r="A308" s="971"/>
      <c r="B308" s="971" t="s">
        <v>2336</v>
      </c>
      <c r="C308" s="340" t="s">
        <v>4164</v>
      </c>
      <c r="D308" s="315"/>
      <c r="E308" s="316"/>
      <c r="F308" s="316"/>
      <c r="G308" s="317"/>
      <c r="H308" s="317"/>
      <c r="I308" s="317"/>
      <c r="J308" s="317"/>
      <c r="K308" s="318"/>
    </row>
    <row r="309" spans="1:11" ht="12" thickBot="1">
      <c r="A309" s="971"/>
      <c r="B309" s="971"/>
      <c r="C309" s="314" t="s">
        <v>2672</v>
      </c>
      <c r="D309" s="699">
        <v>4</v>
      </c>
      <c r="E309" s="315"/>
      <c r="F309" s="319"/>
      <c r="G309" s="315"/>
      <c r="H309" s="320"/>
      <c r="I309" s="321" t="s">
        <v>2673</v>
      </c>
      <c r="J309" s="322">
        <v>1</v>
      </c>
      <c r="K309" s="318"/>
    </row>
    <row r="310" spans="1:11">
      <c r="A310" s="971"/>
      <c r="B310" s="971"/>
      <c r="C310" s="323" t="s">
        <v>2958</v>
      </c>
      <c r="D310" s="324"/>
      <c r="E310" s="325" t="s">
        <v>1834</v>
      </c>
      <c r="F310" s="325" t="s">
        <v>1835</v>
      </c>
      <c r="G310" s="325" t="s">
        <v>1836</v>
      </c>
      <c r="H310" s="325" t="s">
        <v>1837</v>
      </c>
      <c r="I310" s="325" t="s">
        <v>1838</v>
      </c>
      <c r="J310" s="325"/>
      <c r="K310" s="326"/>
    </row>
    <row r="311" spans="1:11">
      <c r="A311" s="971"/>
      <c r="B311" s="971"/>
      <c r="C311" s="327" t="s">
        <v>1402</v>
      </c>
      <c r="D311" s="328">
        <v>15</v>
      </c>
      <c r="E311" s="329">
        <v>0</v>
      </c>
      <c r="F311" s="330">
        <v>0</v>
      </c>
      <c r="G311" s="330">
        <v>0</v>
      </c>
      <c r="H311" s="330">
        <v>0</v>
      </c>
      <c r="I311" s="154">
        <v>0</v>
      </c>
      <c r="J311" s="331">
        <v>0</v>
      </c>
      <c r="K311" s="326"/>
    </row>
    <row r="312" spans="1:11">
      <c r="A312" s="971"/>
      <c r="B312" s="971"/>
      <c r="C312" s="327" t="s">
        <v>79</v>
      </c>
      <c r="D312" s="328">
        <v>9</v>
      </c>
      <c r="E312" s="332">
        <v>0</v>
      </c>
      <c r="F312" s="328">
        <v>0</v>
      </c>
      <c r="G312" s="328">
        <v>0</v>
      </c>
      <c r="H312" s="328">
        <v>0</v>
      </c>
      <c r="I312" s="333">
        <v>0</v>
      </c>
      <c r="J312" s="334">
        <v>0</v>
      </c>
      <c r="K312" s="326"/>
    </row>
    <row r="313" spans="1:11">
      <c r="A313" s="971"/>
      <c r="B313" s="971"/>
      <c r="C313" s="327" t="s">
        <v>3442</v>
      </c>
      <c r="D313" s="328">
        <v>0</v>
      </c>
      <c r="E313" s="332">
        <v>0</v>
      </c>
      <c r="F313" s="328">
        <v>0</v>
      </c>
      <c r="G313" s="328">
        <v>0</v>
      </c>
      <c r="H313" s="328">
        <v>0</v>
      </c>
      <c r="I313" s="333">
        <v>0</v>
      </c>
      <c r="J313" s="334">
        <v>0</v>
      </c>
      <c r="K313" s="326"/>
    </row>
    <row r="314" spans="1:11">
      <c r="A314" s="971"/>
      <c r="B314" s="971"/>
      <c r="C314" s="327" t="s">
        <v>1404</v>
      </c>
      <c r="D314" s="328">
        <v>10</v>
      </c>
      <c r="E314" s="332">
        <v>0</v>
      </c>
      <c r="F314" s="328">
        <v>0</v>
      </c>
      <c r="G314" s="328">
        <v>0</v>
      </c>
      <c r="H314" s="328">
        <v>0</v>
      </c>
      <c r="I314" s="333">
        <v>0</v>
      </c>
      <c r="J314" s="334">
        <v>0</v>
      </c>
      <c r="K314" s="326"/>
    </row>
    <row r="315" spans="1:11">
      <c r="A315" s="971"/>
      <c r="B315" s="971"/>
      <c r="C315" s="327" t="s">
        <v>175</v>
      </c>
      <c r="D315" s="328">
        <v>12</v>
      </c>
      <c r="E315" s="332">
        <v>0</v>
      </c>
      <c r="F315" s="328">
        <v>0</v>
      </c>
      <c r="G315" s="328">
        <v>0</v>
      </c>
      <c r="H315" s="328">
        <v>0</v>
      </c>
      <c r="I315" s="333">
        <v>0</v>
      </c>
      <c r="J315" s="334">
        <v>0</v>
      </c>
      <c r="K315" s="326"/>
    </row>
    <row r="316" spans="1:11">
      <c r="A316" s="971"/>
      <c r="B316" s="971"/>
      <c r="C316" s="327" t="s">
        <v>2579</v>
      </c>
      <c r="D316" s="328">
        <v>11</v>
      </c>
      <c r="E316" s="332">
        <v>0</v>
      </c>
      <c r="F316" s="328">
        <v>0</v>
      </c>
      <c r="G316" s="328">
        <v>0</v>
      </c>
      <c r="H316" s="328">
        <v>0</v>
      </c>
      <c r="I316" s="333">
        <v>0</v>
      </c>
      <c r="J316" s="334">
        <v>0</v>
      </c>
      <c r="K316" s="326"/>
    </row>
    <row r="317" spans="1:11">
      <c r="A317" s="971"/>
      <c r="B317" s="971"/>
      <c r="C317" s="327" t="s">
        <v>1139</v>
      </c>
      <c r="D317" s="328">
        <v>0</v>
      </c>
      <c r="E317" s="332">
        <v>0</v>
      </c>
      <c r="F317" s="328">
        <v>0</v>
      </c>
      <c r="G317" s="328">
        <v>0</v>
      </c>
      <c r="H317" s="328">
        <v>0</v>
      </c>
      <c r="I317" s="333">
        <v>0</v>
      </c>
      <c r="J317" s="334">
        <v>0</v>
      </c>
      <c r="K317" s="326"/>
    </row>
    <row r="318" spans="1:11">
      <c r="A318" s="971"/>
      <c r="B318" s="971"/>
      <c r="C318" s="327" t="s">
        <v>2384</v>
      </c>
      <c r="D318" s="328">
        <v>0</v>
      </c>
      <c r="E318" s="332">
        <v>0</v>
      </c>
      <c r="F318" s="328">
        <v>0</v>
      </c>
      <c r="G318" s="328">
        <v>0</v>
      </c>
      <c r="H318" s="328">
        <v>0</v>
      </c>
      <c r="I318" s="333">
        <v>0</v>
      </c>
      <c r="J318" s="334">
        <v>0</v>
      </c>
      <c r="K318" s="326"/>
    </row>
    <row r="319" spans="1:11">
      <c r="A319" s="971"/>
      <c r="B319" s="971"/>
      <c r="C319" s="327" t="s">
        <v>2386</v>
      </c>
      <c r="D319" s="328">
        <v>0</v>
      </c>
      <c r="E319" s="332">
        <v>0</v>
      </c>
      <c r="F319" s="328">
        <v>0</v>
      </c>
      <c r="G319" s="328">
        <v>0</v>
      </c>
      <c r="H319" s="328">
        <v>0</v>
      </c>
      <c r="I319" s="333">
        <v>0</v>
      </c>
      <c r="J319" s="334">
        <v>0</v>
      </c>
      <c r="K319" s="326"/>
    </row>
    <row r="320" spans="1:11">
      <c r="A320" s="971"/>
      <c r="B320" s="971"/>
      <c r="C320" s="327" t="s">
        <v>2956</v>
      </c>
      <c r="D320" s="328">
        <v>0</v>
      </c>
      <c r="E320" s="332">
        <v>0</v>
      </c>
      <c r="F320" s="328">
        <v>0</v>
      </c>
      <c r="G320" s="328">
        <v>0</v>
      </c>
      <c r="H320" s="328">
        <v>0</v>
      </c>
      <c r="I320" s="333">
        <v>0</v>
      </c>
      <c r="J320" s="334">
        <v>0</v>
      </c>
      <c r="K320" s="326"/>
    </row>
    <row r="321" spans="1:11">
      <c r="A321" s="971"/>
      <c r="B321" s="971"/>
      <c r="C321" s="335" t="s">
        <v>1828</v>
      </c>
      <c r="D321" s="150"/>
      <c r="E321" s="336">
        <v>0</v>
      </c>
      <c r="F321" s="337">
        <v>0</v>
      </c>
      <c r="G321" s="337">
        <v>0</v>
      </c>
      <c r="H321" s="337">
        <v>0</v>
      </c>
      <c r="I321" s="338">
        <v>0</v>
      </c>
      <c r="J321" s="334">
        <v>0</v>
      </c>
      <c r="K321" s="326"/>
    </row>
    <row r="322" spans="1:11">
      <c r="A322" s="971"/>
      <c r="B322" s="971"/>
      <c r="C322" s="327" t="s">
        <v>2959</v>
      </c>
      <c r="D322" s="150"/>
      <c r="E322" s="642">
        <v>0</v>
      </c>
      <c r="F322" s="643">
        <v>0</v>
      </c>
      <c r="G322" s="643">
        <v>0</v>
      </c>
      <c r="H322" s="643">
        <v>0</v>
      </c>
      <c r="I322" s="644">
        <v>0</v>
      </c>
      <c r="J322" s="339">
        <v>0</v>
      </c>
      <c r="K322" s="326"/>
    </row>
    <row r="323" spans="1:11" ht="12" thickBot="1">
      <c r="A323" s="971"/>
      <c r="B323" s="971"/>
      <c r="C323" s="327" t="s">
        <v>974</v>
      </c>
      <c r="D323" s="150"/>
      <c r="E323" s="150">
        <v>1</v>
      </c>
      <c r="F323" s="150">
        <v>1</v>
      </c>
      <c r="G323" s="150">
        <v>1</v>
      </c>
      <c r="H323" s="150">
        <v>1</v>
      </c>
      <c r="I323" s="150">
        <v>1</v>
      </c>
      <c r="J323" s="652" t="s">
        <v>2227</v>
      </c>
      <c r="K323" s="326"/>
    </row>
    <row r="324" spans="1:11">
      <c r="A324" s="971"/>
      <c r="B324" s="971"/>
      <c r="C324" s="627" t="s">
        <v>3201</v>
      </c>
      <c r="D324" s="628"/>
      <c r="E324" s="629">
        <v>0</v>
      </c>
      <c r="F324" s="629">
        <v>0</v>
      </c>
      <c r="G324" s="629">
        <v>0</v>
      </c>
      <c r="H324" s="629">
        <v>0</v>
      </c>
      <c r="I324" s="629">
        <v>0</v>
      </c>
      <c r="J324" s="654">
        <v>1</v>
      </c>
      <c r="K324" s="630"/>
    </row>
    <row r="325" spans="1:11" ht="12" thickBot="1">
      <c r="A325" s="971"/>
      <c r="B325" s="971"/>
      <c r="C325" s="134" t="s">
        <v>1999</v>
      </c>
      <c r="D325" s="135"/>
      <c r="E325" s="626">
        <v>0.2</v>
      </c>
      <c r="F325" s="626">
        <v>0.2</v>
      </c>
      <c r="G325" s="626">
        <v>0.2</v>
      </c>
      <c r="H325" s="626">
        <v>0.2</v>
      </c>
      <c r="I325" s="626">
        <v>0.2</v>
      </c>
      <c r="J325" s="665">
        <v>0</v>
      </c>
      <c r="K325" s="136"/>
    </row>
    <row r="326" spans="1:11" ht="12" thickBot="1">
      <c r="A326" s="971"/>
      <c r="B326" s="971"/>
      <c r="C326" s="631" t="s">
        <v>2830</v>
      </c>
      <c r="D326" s="371"/>
      <c r="E326" s="632">
        <v>0</v>
      </c>
      <c r="F326" s="632">
        <v>0</v>
      </c>
      <c r="G326" s="632">
        <v>0</v>
      </c>
      <c r="H326" s="632">
        <v>0</v>
      </c>
      <c r="I326" s="632">
        <v>0</v>
      </c>
      <c r="J326" s="633">
        <v>1</v>
      </c>
      <c r="K326" s="136" t="s">
        <v>2327</v>
      </c>
    </row>
    <row r="327" spans="1:11" ht="12" thickBot="1">
      <c r="A327" s="971"/>
      <c r="B327" s="971"/>
    </row>
    <row r="328" spans="1:11" ht="12" thickBot="1">
      <c r="A328" s="971"/>
      <c r="B328" s="971" t="s">
        <v>2335</v>
      </c>
      <c r="C328" s="340" t="s">
        <v>3385</v>
      </c>
      <c r="D328" s="315"/>
      <c r="E328" s="316"/>
      <c r="F328" s="316"/>
      <c r="G328" s="317"/>
      <c r="H328" s="317"/>
      <c r="I328" s="317"/>
      <c r="J328" s="317"/>
      <c r="K328" s="318"/>
    </row>
    <row r="329" spans="1:11" ht="12" thickBot="1">
      <c r="A329" s="971"/>
      <c r="B329" s="971"/>
      <c r="C329" s="314" t="s">
        <v>2672</v>
      </c>
      <c r="D329" s="699">
        <v>4</v>
      </c>
      <c r="E329" s="315"/>
      <c r="F329" s="319"/>
      <c r="G329" s="315"/>
      <c r="H329" s="320"/>
      <c r="I329" s="321" t="s">
        <v>2673</v>
      </c>
      <c r="J329" s="322">
        <v>1</v>
      </c>
      <c r="K329" s="318"/>
    </row>
    <row r="330" spans="1:11">
      <c r="A330" s="971"/>
      <c r="B330" s="971"/>
      <c r="C330" s="323" t="s">
        <v>2958</v>
      </c>
      <c r="D330" s="324"/>
      <c r="E330" s="325" t="s">
        <v>1834</v>
      </c>
      <c r="F330" s="325" t="s">
        <v>1835</v>
      </c>
      <c r="G330" s="325" t="s">
        <v>1836</v>
      </c>
      <c r="H330" s="325" t="s">
        <v>1837</v>
      </c>
      <c r="I330" s="325" t="s">
        <v>1838</v>
      </c>
      <c r="J330" s="325"/>
      <c r="K330" s="326"/>
    </row>
    <row r="331" spans="1:11">
      <c r="A331" s="971"/>
      <c r="B331" s="971"/>
      <c r="C331" s="327" t="s">
        <v>1402</v>
      </c>
      <c r="D331" s="328">
        <v>15</v>
      </c>
      <c r="E331" s="329">
        <v>0</v>
      </c>
      <c r="F331" s="330">
        <v>0</v>
      </c>
      <c r="G331" s="330">
        <v>0</v>
      </c>
      <c r="H331" s="330">
        <v>0</v>
      </c>
      <c r="I331" s="154">
        <v>0</v>
      </c>
      <c r="J331" s="331">
        <v>0</v>
      </c>
      <c r="K331" s="326"/>
    </row>
    <row r="332" spans="1:11">
      <c r="A332" s="971"/>
      <c r="B332" s="971"/>
      <c r="C332" s="327" t="s">
        <v>79</v>
      </c>
      <c r="D332" s="328">
        <v>7</v>
      </c>
      <c r="E332" s="332">
        <v>0</v>
      </c>
      <c r="F332" s="328">
        <v>0</v>
      </c>
      <c r="G332" s="328">
        <v>0</v>
      </c>
      <c r="H332" s="328">
        <v>0</v>
      </c>
      <c r="I332" s="333">
        <v>0</v>
      </c>
      <c r="J332" s="334">
        <v>0</v>
      </c>
      <c r="K332" s="326"/>
    </row>
    <row r="333" spans="1:11">
      <c r="A333" s="971"/>
      <c r="B333" s="971"/>
      <c r="C333" s="327" t="s">
        <v>3442</v>
      </c>
      <c r="D333" s="328">
        <v>0</v>
      </c>
      <c r="E333" s="332">
        <v>0</v>
      </c>
      <c r="F333" s="328">
        <v>0</v>
      </c>
      <c r="G333" s="328">
        <v>0</v>
      </c>
      <c r="H333" s="328">
        <v>0</v>
      </c>
      <c r="I333" s="333">
        <v>0</v>
      </c>
      <c r="J333" s="334">
        <v>0</v>
      </c>
      <c r="K333" s="326"/>
    </row>
    <row r="334" spans="1:11">
      <c r="A334" s="971"/>
      <c r="B334" s="971"/>
      <c r="C334" s="327" t="s">
        <v>1404</v>
      </c>
      <c r="D334" s="328">
        <v>12</v>
      </c>
      <c r="E334" s="332">
        <v>0</v>
      </c>
      <c r="F334" s="328">
        <v>0</v>
      </c>
      <c r="G334" s="328">
        <v>0</v>
      </c>
      <c r="H334" s="328">
        <v>0</v>
      </c>
      <c r="I334" s="333">
        <v>0</v>
      </c>
      <c r="J334" s="334">
        <v>0</v>
      </c>
      <c r="K334" s="326"/>
    </row>
    <row r="335" spans="1:11">
      <c r="A335" s="971"/>
      <c r="B335" s="971"/>
      <c r="C335" s="327" t="s">
        <v>175</v>
      </c>
      <c r="D335" s="328">
        <v>10</v>
      </c>
      <c r="E335" s="332">
        <v>0</v>
      </c>
      <c r="F335" s="328">
        <v>0</v>
      </c>
      <c r="G335" s="328">
        <v>0</v>
      </c>
      <c r="H335" s="328">
        <v>0</v>
      </c>
      <c r="I335" s="333">
        <v>0</v>
      </c>
      <c r="J335" s="334">
        <v>0</v>
      </c>
      <c r="K335" s="326"/>
    </row>
    <row r="336" spans="1:11">
      <c r="A336" s="971"/>
      <c r="B336" s="971"/>
      <c r="C336" s="327" t="s">
        <v>2579</v>
      </c>
      <c r="D336" s="328">
        <v>11</v>
      </c>
      <c r="E336" s="332">
        <v>0</v>
      </c>
      <c r="F336" s="328">
        <v>0</v>
      </c>
      <c r="G336" s="328">
        <v>0</v>
      </c>
      <c r="H336" s="328">
        <v>0</v>
      </c>
      <c r="I336" s="333">
        <v>0</v>
      </c>
      <c r="J336" s="334">
        <v>0</v>
      </c>
      <c r="K336" s="326"/>
    </row>
    <row r="337" spans="1:11">
      <c r="A337" s="971"/>
      <c r="B337" s="971"/>
      <c r="C337" s="327" t="s">
        <v>1139</v>
      </c>
      <c r="D337" s="328">
        <v>0</v>
      </c>
      <c r="E337" s="332">
        <v>0</v>
      </c>
      <c r="F337" s="328">
        <v>0</v>
      </c>
      <c r="G337" s="328">
        <v>0</v>
      </c>
      <c r="H337" s="328">
        <v>0</v>
      </c>
      <c r="I337" s="333">
        <v>0</v>
      </c>
      <c r="J337" s="334">
        <v>0</v>
      </c>
      <c r="K337" s="326"/>
    </row>
    <row r="338" spans="1:11">
      <c r="A338" s="971"/>
      <c r="B338" s="971"/>
      <c r="C338" s="327" t="s">
        <v>2384</v>
      </c>
      <c r="D338" s="328">
        <v>0</v>
      </c>
      <c r="E338" s="332">
        <v>0</v>
      </c>
      <c r="F338" s="328">
        <v>0</v>
      </c>
      <c r="G338" s="328">
        <v>0</v>
      </c>
      <c r="H338" s="328">
        <v>0</v>
      </c>
      <c r="I338" s="333">
        <v>0</v>
      </c>
      <c r="J338" s="334">
        <v>0</v>
      </c>
      <c r="K338" s="326"/>
    </row>
    <row r="339" spans="1:11">
      <c r="A339" s="971"/>
      <c r="B339" s="971"/>
      <c r="C339" s="327" t="s">
        <v>2386</v>
      </c>
      <c r="D339" s="328">
        <v>0</v>
      </c>
      <c r="E339" s="332">
        <v>0</v>
      </c>
      <c r="F339" s="328">
        <v>0</v>
      </c>
      <c r="G339" s="328">
        <v>0</v>
      </c>
      <c r="H339" s="328">
        <v>0</v>
      </c>
      <c r="I339" s="333">
        <v>0</v>
      </c>
      <c r="J339" s="334">
        <v>0</v>
      </c>
      <c r="K339" s="326"/>
    </row>
    <row r="340" spans="1:11">
      <c r="A340" s="971"/>
      <c r="B340" s="971"/>
      <c r="C340" s="327" t="s">
        <v>2956</v>
      </c>
      <c r="D340" s="328">
        <v>0</v>
      </c>
      <c r="E340" s="332">
        <v>0</v>
      </c>
      <c r="F340" s="328">
        <v>0</v>
      </c>
      <c r="G340" s="328">
        <v>0</v>
      </c>
      <c r="H340" s="328">
        <v>0</v>
      </c>
      <c r="I340" s="333">
        <v>0</v>
      </c>
      <c r="J340" s="334">
        <v>0</v>
      </c>
      <c r="K340" s="326"/>
    </row>
    <row r="341" spans="1:11">
      <c r="A341" s="971"/>
      <c r="B341" s="971"/>
      <c r="C341" s="335" t="s">
        <v>1828</v>
      </c>
      <c r="D341" s="150"/>
      <c r="E341" s="336">
        <v>0</v>
      </c>
      <c r="F341" s="337">
        <v>0</v>
      </c>
      <c r="G341" s="337">
        <v>0</v>
      </c>
      <c r="H341" s="337">
        <v>0</v>
      </c>
      <c r="I341" s="338">
        <v>0</v>
      </c>
      <c r="J341" s="334">
        <v>0</v>
      </c>
      <c r="K341" s="326"/>
    </row>
    <row r="342" spans="1:11">
      <c r="A342" s="971"/>
      <c r="B342" s="971"/>
      <c r="C342" s="327" t="s">
        <v>2959</v>
      </c>
      <c r="D342" s="150"/>
      <c r="E342" s="642">
        <v>0</v>
      </c>
      <c r="F342" s="643">
        <v>0</v>
      </c>
      <c r="G342" s="643">
        <v>0</v>
      </c>
      <c r="H342" s="643">
        <v>0</v>
      </c>
      <c r="I342" s="644">
        <v>0</v>
      </c>
      <c r="J342" s="339">
        <v>0</v>
      </c>
      <c r="K342" s="326"/>
    </row>
    <row r="343" spans="1:11" ht="12" thickBot="1">
      <c r="A343" s="971"/>
      <c r="B343" s="971"/>
      <c r="C343" s="327" t="s">
        <v>974</v>
      </c>
      <c r="D343" s="150"/>
      <c r="E343" s="150">
        <v>1</v>
      </c>
      <c r="F343" s="150">
        <v>1</v>
      </c>
      <c r="G343" s="150">
        <v>1</v>
      </c>
      <c r="H343" s="150">
        <v>1</v>
      </c>
      <c r="I343" s="150">
        <v>1</v>
      </c>
      <c r="J343" s="652" t="s">
        <v>2227</v>
      </c>
      <c r="K343" s="326"/>
    </row>
    <row r="344" spans="1:11">
      <c r="A344" s="971"/>
      <c r="B344" s="971"/>
      <c r="C344" s="627" t="s">
        <v>3201</v>
      </c>
      <c r="D344" s="628"/>
      <c r="E344" s="629">
        <v>0</v>
      </c>
      <c r="F344" s="629">
        <v>0</v>
      </c>
      <c r="G344" s="629">
        <v>0</v>
      </c>
      <c r="H344" s="629">
        <v>0</v>
      </c>
      <c r="I344" s="629">
        <v>0</v>
      </c>
      <c r="J344" s="654">
        <v>1</v>
      </c>
      <c r="K344" s="630"/>
    </row>
    <row r="345" spans="1:11" ht="12" thickBot="1">
      <c r="A345" s="971"/>
      <c r="B345" s="971"/>
      <c r="C345" s="134" t="s">
        <v>1999</v>
      </c>
      <c r="D345" s="135"/>
      <c r="E345" s="626">
        <v>0.2</v>
      </c>
      <c r="F345" s="626">
        <v>0.2</v>
      </c>
      <c r="G345" s="626">
        <v>0.2</v>
      </c>
      <c r="H345" s="626">
        <v>0.2</v>
      </c>
      <c r="I345" s="626">
        <v>0.2</v>
      </c>
      <c r="J345" s="665">
        <v>0</v>
      </c>
      <c r="K345" s="136"/>
    </row>
    <row r="346" spans="1:11" ht="12" thickBot="1">
      <c r="A346" s="971"/>
      <c r="B346" s="971"/>
      <c r="C346" s="631" t="s">
        <v>2830</v>
      </c>
      <c r="D346" s="371"/>
      <c r="E346" s="632">
        <v>0</v>
      </c>
      <c r="F346" s="632">
        <v>0</v>
      </c>
      <c r="G346" s="632">
        <v>0</v>
      </c>
      <c r="H346" s="632">
        <v>0</v>
      </c>
      <c r="I346" s="632">
        <v>0</v>
      </c>
      <c r="J346" s="633">
        <v>1</v>
      </c>
      <c r="K346" s="136" t="s">
        <v>2327</v>
      </c>
    </row>
    <row r="347" spans="1:11" ht="12" thickBot="1">
      <c r="A347" s="971"/>
      <c r="B347" s="971"/>
    </row>
    <row r="348" spans="1:11" ht="12" thickBot="1">
      <c r="A348" s="971"/>
      <c r="B348" s="971" t="s">
        <v>2334</v>
      </c>
      <c r="C348" s="340" t="s">
        <v>2856</v>
      </c>
      <c r="D348" s="315"/>
      <c r="E348" s="316"/>
      <c r="F348" s="316"/>
      <c r="G348" s="317"/>
      <c r="H348" s="317"/>
      <c r="I348" s="317"/>
      <c r="J348" s="317"/>
      <c r="K348" s="318"/>
    </row>
    <row r="349" spans="1:11" ht="12" thickBot="1">
      <c r="A349" s="971"/>
      <c r="B349" s="971"/>
      <c r="C349" s="314" t="s">
        <v>2672</v>
      </c>
      <c r="D349" s="699">
        <v>4</v>
      </c>
      <c r="E349" s="315"/>
      <c r="F349" s="319"/>
      <c r="G349" s="315"/>
      <c r="H349" s="320"/>
      <c r="I349" s="321" t="s">
        <v>2673</v>
      </c>
      <c r="J349" s="322">
        <v>1</v>
      </c>
      <c r="K349" s="318"/>
    </row>
    <row r="350" spans="1:11">
      <c r="A350" s="971"/>
      <c r="B350" s="971"/>
      <c r="C350" s="323" t="s">
        <v>2958</v>
      </c>
      <c r="D350" s="324"/>
      <c r="E350" s="325" t="s">
        <v>1834</v>
      </c>
      <c r="F350" s="325" t="s">
        <v>1835</v>
      </c>
      <c r="G350" s="325" t="s">
        <v>1836</v>
      </c>
      <c r="H350" s="325" t="s">
        <v>1837</v>
      </c>
      <c r="I350" s="325" t="s">
        <v>1838</v>
      </c>
      <c r="J350" s="325"/>
      <c r="K350" s="326"/>
    </row>
    <row r="351" spans="1:11">
      <c r="A351" s="971"/>
      <c r="B351" s="971"/>
      <c r="C351" s="327" t="s">
        <v>1402</v>
      </c>
      <c r="D351" s="328">
        <v>15</v>
      </c>
      <c r="E351" s="329">
        <v>0</v>
      </c>
      <c r="F351" s="330">
        <v>0</v>
      </c>
      <c r="G351" s="330">
        <v>0</v>
      </c>
      <c r="H351" s="330">
        <v>0</v>
      </c>
      <c r="I351" s="154">
        <v>0</v>
      </c>
      <c r="J351" s="331">
        <v>0</v>
      </c>
      <c r="K351" s="326"/>
    </row>
    <row r="352" spans="1:11">
      <c r="A352" s="971"/>
      <c r="B352" s="971"/>
      <c r="C352" s="327" t="s">
        <v>79</v>
      </c>
      <c r="D352" s="328">
        <v>9</v>
      </c>
      <c r="E352" s="332">
        <v>0</v>
      </c>
      <c r="F352" s="328">
        <v>0</v>
      </c>
      <c r="G352" s="328">
        <v>0</v>
      </c>
      <c r="H352" s="328">
        <v>0</v>
      </c>
      <c r="I352" s="333">
        <v>0</v>
      </c>
      <c r="J352" s="334">
        <v>0</v>
      </c>
      <c r="K352" s="326"/>
    </row>
    <row r="353" spans="1:11">
      <c r="A353" s="971"/>
      <c r="B353" s="971"/>
      <c r="C353" s="327" t="s">
        <v>3442</v>
      </c>
      <c r="D353" s="328">
        <v>0</v>
      </c>
      <c r="E353" s="332">
        <v>0</v>
      </c>
      <c r="F353" s="328">
        <v>0</v>
      </c>
      <c r="G353" s="328">
        <v>0</v>
      </c>
      <c r="H353" s="328">
        <v>0</v>
      </c>
      <c r="I353" s="333">
        <v>0</v>
      </c>
      <c r="J353" s="334">
        <v>0</v>
      </c>
      <c r="K353" s="326"/>
    </row>
    <row r="354" spans="1:11">
      <c r="A354" s="971"/>
      <c r="B354" s="971"/>
      <c r="C354" s="327" t="s">
        <v>1404</v>
      </c>
      <c r="D354" s="328">
        <v>12</v>
      </c>
      <c r="E354" s="332">
        <v>0</v>
      </c>
      <c r="F354" s="328">
        <v>0</v>
      </c>
      <c r="G354" s="328">
        <v>0</v>
      </c>
      <c r="H354" s="328">
        <v>0</v>
      </c>
      <c r="I354" s="333">
        <v>0</v>
      </c>
      <c r="J354" s="334">
        <v>0</v>
      </c>
      <c r="K354" s="326"/>
    </row>
    <row r="355" spans="1:11">
      <c r="A355" s="971"/>
      <c r="B355" s="971"/>
      <c r="C355" s="327" t="s">
        <v>175</v>
      </c>
      <c r="D355" s="328">
        <v>10</v>
      </c>
      <c r="E355" s="332">
        <v>0</v>
      </c>
      <c r="F355" s="328">
        <v>0</v>
      </c>
      <c r="G355" s="328">
        <v>0</v>
      </c>
      <c r="H355" s="328">
        <v>0</v>
      </c>
      <c r="I355" s="333">
        <v>0</v>
      </c>
      <c r="J355" s="334">
        <v>0</v>
      </c>
      <c r="K355" s="326"/>
    </row>
    <row r="356" spans="1:11">
      <c r="A356" s="971"/>
      <c r="B356" s="971"/>
      <c r="C356" s="327" t="s">
        <v>2579</v>
      </c>
      <c r="D356" s="328">
        <v>11</v>
      </c>
      <c r="E356" s="332">
        <v>0</v>
      </c>
      <c r="F356" s="328">
        <v>0</v>
      </c>
      <c r="G356" s="328">
        <v>0</v>
      </c>
      <c r="H356" s="328">
        <v>0</v>
      </c>
      <c r="I356" s="333">
        <v>0</v>
      </c>
      <c r="J356" s="334">
        <v>0</v>
      </c>
      <c r="K356" s="326"/>
    </row>
    <row r="357" spans="1:11">
      <c r="A357" s="971"/>
      <c r="B357" s="971"/>
      <c r="C357" s="327" t="s">
        <v>1139</v>
      </c>
      <c r="D357" s="328">
        <v>0</v>
      </c>
      <c r="E357" s="332">
        <v>0</v>
      </c>
      <c r="F357" s="328">
        <v>0</v>
      </c>
      <c r="G357" s="328">
        <v>0</v>
      </c>
      <c r="H357" s="328">
        <v>0</v>
      </c>
      <c r="I357" s="333">
        <v>0</v>
      </c>
      <c r="J357" s="334">
        <v>0</v>
      </c>
      <c r="K357" s="326"/>
    </row>
    <row r="358" spans="1:11">
      <c r="A358" s="971"/>
      <c r="B358" s="971"/>
      <c r="C358" s="327" t="s">
        <v>2384</v>
      </c>
      <c r="D358" s="328">
        <v>0</v>
      </c>
      <c r="E358" s="332">
        <v>0</v>
      </c>
      <c r="F358" s="328">
        <v>0</v>
      </c>
      <c r="G358" s="328">
        <v>0</v>
      </c>
      <c r="H358" s="328">
        <v>0</v>
      </c>
      <c r="I358" s="333">
        <v>0</v>
      </c>
      <c r="J358" s="334">
        <v>0</v>
      </c>
      <c r="K358" s="326"/>
    </row>
    <row r="359" spans="1:11">
      <c r="A359" s="971"/>
      <c r="B359" s="971"/>
      <c r="C359" s="327" t="s">
        <v>2386</v>
      </c>
      <c r="D359" s="328">
        <v>0</v>
      </c>
      <c r="E359" s="332">
        <v>0</v>
      </c>
      <c r="F359" s="328">
        <v>0</v>
      </c>
      <c r="G359" s="328">
        <v>0</v>
      </c>
      <c r="H359" s="328">
        <v>0</v>
      </c>
      <c r="I359" s="333">
        <v>0</v>
      </c>
      <c r="J359" s="334">
        <v>0</v>
      </c>
      <c r="K359" s="326"/>
    </row>
    <row r="360" spans="1:11">
      <c r="A360" s="971"/>
      <c r="B360" s="971"/>
      <c r="C360" s="327" t="s">
        <v>2956</v>
      </c>
      <c r="D360" s="328">
        <v>0</v>
      </c>
      <c r="E360" s="332">
        <v>0</v>
      </c>
      <c r="F360" s="328">
        <v>0</v>
      </c>
      <c r="G360" s="328">
        <v>0</v>
      </c>
      <c r="H360" s="328">
        <v>0</v>
      </c>
      <c r="I360" s="333">
        <v>0</v>
      </c>
      <c r="J360" s="334">
        <v>0</v>
      </c>
      <c r="K360" s="326"/>
    </row>
    <row r="361" spans="1:11">
      <c r="A361" s="971"/>
      <c r="B361" s="971"/>
      <c r="C361" s="335" t="s">
        <v>1828</v>
      </c>
      <c r="D361" s="150"/>
      <c r="E361" s="336">
        <v>0</v>
      </c>
      <c r="F361" s="337">
        <v>0</v>
      </c>
      <c r="G361" s="337">
        <v>0</v>
      </c>
      <c r="H361" s="337">
        <v>0</v>
      </c>
      <c r="I361" s="338">
        <v>0</v>
      </c>
      <c r="J361" s="334">
        <v>0</v>
      </c>
      <c r="K361" s="326"/>
    </row>
    <row r="362" spans="1:11">
      <c r="A362" s="971"/>
      <c r="B362" s="971"/>
      <c r="C362" s="327" t="s">
        <v>2959</v>
      </c>
      <c r="D362" s="150"/>
      <c r="E362" s="642">
        <v>0</v>
      </c>
      <c r="F362" s="643">
        <v>0</v>
      </c>
      <c r="G362" s="643">
        <v>0</v>
      </c>
      <c r="H362" s="643">
        <v>0</v>
      </c>
      <c r="I362" s="644">
        <v>0</v>
      </c>
      <c r="J362" s="339">
        <v>0</v>
      </c>
      <c r="K362" s="326"/>
    </row>
    <row r="363" spans="1:11" ht="12" thickBot="1">
      <c r="A363" s="971"/>
      <c r="B363" s="971"/>
      <c r="C363" s="327" t="s">
        <v>974</v>
      </c>
      <c r="D363" s="150"/>
      <c r="E363" s="150">
        <v>1</v>
      </c>
      <c r="F363" s="150">
        <v>1</v>
      </c>
      <c r="G363" s="150">
        <v>1</v>
      </c>
      <c r="H363" s="150">
        <v>1</v>
      </c>
      <c r="I363" s="150">
        <v>1</v>
      </c>
      <c r="J363" s="652" t="s">
        <v>2227</v>
      </c>
      <c r="K363" s="326"/>
    </row>
    <row r="364" spans="1:11">
      <c r="A364" s="971"/>
      <c r="B364" s="971"/>
      <c r="C364" s="627" t="s">
        <v>3201</v>
      </c>
      <c r="D364" s="628"/>
      <c r="E364" s="629">
        <v>0</v>
      </c>
      <c r="F364" s="629">
        <v>0</v>
      </c>
      <c r="G364" s="629">
        <v>0</v>
      </c>
      <c r="H364" s="629">
        <v>0</v>
      </c>
      <c r="I364" s="629">
        <v>0</v>
      </c>
      <c r="J364" s="654">
        <v>1</v>
      </c>
      <c r="K364" s="630"/>
    </row>
    <row r="365" spans="1:11" ht="12" thickBot="1">
      <c r="A365" s="971"/>
      <c r="B365" s="971"/>
      <c r="C365" s="134" t="s">
        <v>1999</v>
      </c>
      <c r="D365" s="135"/>
      <c r="E365" s="626">
        <v>0.2</v>
      </c>
      <c r="F365" s="626">
        <v>0.2</v>
      </c>
      <c r="G365" s="626">
        <v>0.2</v>
      </c>
      <c r="H365" s="626">
        <v>0.2</v>
      </c>
      <c r="I365" s="626">
        <v>0.2</v>
      </c>
      <c r="J365" s="665">
        <v>0</v>
      </c>
      <c r="K365" s="136"/>
    </row>
    <row r="366" spans="1:11" ht="12" thickBot="1">
      <c r="A366" s="971"/>
      <c r="B366" s="971"/>
      <c r="C366" s="631" t="s">
        <v>2830</v>
      </c>
      <c r="D366" s="371"/>
      <c r="E366" s="632">
        <v>0</v>
      </c>
      <c r="F366" s="632">
        <v>0</v>
      </c>
      <c r="G366" s="632">
        <v>0</v>
      </c>
      <c r="H366" s="632">
        <v>0</v>
      </c>
      <c r="I366" s="632">
        <v>0</v>
      </c>
      <c r="J366" s="633">
        <v>1</v>
      </c>
      <c r="K366" s="136" t="s">
        <v>2327</v>
      </c>
    </row>
    <row r="367" spans="1:11" ht="12" thickBot="1">
      <c r="A367" s="971"/>
      <c r="B367" s="971"/>
    </row>
    <row r="368" spans="1:11" ht="12" thickBot="1">
      <c r="A368" s="971"/>
      <c r="B368" s="971"/>
      <c r="C368" s="340" t="str">
        <f>C288</f>
        <v>Market Model Calculation Segment 1 *Holy Cow Cup</v>
      </c>
      <c r="D368" s="315"/>
      <c r="E368" s="316"/>
      <c r="F368" s="316"/>
      <c r="G368" s="317"/>
      <c r="H368" s="317"/>
      <c r="I368" s="317"/>
      <c r="J368" s="317"/>
      <c r="K368" s="318"/>
    </row>
    <row r="369" spans="1:11" ht="12" thickBot="1">
      <c r="A369" s="971"/>
      <c r="B369" s="971"/>
      <c r="C369" s="314" t="s">
        <v>2672</v>
      </c>
      <c r="D369" s="322">
        <f>D289</f>
        <v>4</v>
      </c>
      <c r="E369" s="315"/>
      <c r="F369" s="319"/>
      <c r="G369" s="315"/>
      <c r="H369" s="320"/>
      <c r="I369" s="321" t="s">
        <v>2673</v>
      </c>
      <c r="J369" s="322">
        <f>J289</f>
        <v>1</v>
      </c>
      <c r="K369" s="318"/>
    </row>
    <row r="370" spans="1:11">
      <c r="A370" s="971"/>
      <c r="B370" s="971"/>
      <c r="C370" s="323" t="s">
        <v>2958</v>
      </c>
      <c r="D370" s="324"/>
      <c r="E370" s="325" t="s">
        <v>1834</v>
      </c>
      <c r="F370" s="325" t="s">
        <v>1835</v>
      </c>
      <c r="G370" s="325" t="s">
        <v>1836</v>
      </c>
      <c r="H370" s="325" t="s">
        <v>1837</v>
      </c>
      <c r="I370" s="325" t="s">
        <v>1838</v>
      </c>
      <c r="J370" s="325"/>
      <c r="K370" s="326"/>
    </row>
    <row r="371" spans="1:11">
      <c r="A371" s="971"/>
      <c r="B371" s="971"/>
      <c r="C371" s="327" t="str">
        <f>C291</f>
        <v>Price</v>
      </c>
      <c r="D371" s="328">
        <f>D291</f>
        <v>15</v>
      </c>
      <c r="E371" s="634">
        <f t="shared" ref="E371:I381" si="32">IF(E291=0,0,(E291-($J291/xxNumOfTeams))/$J$302)</f>
        <v>0</v>
      </c>
      <c r="F371" s="635">
        <f t="shared" si="32"/>
        <v>0</v>
      </c>
      <c r="G371" s="635">
        <f t="shared" si="32"/>
        <v>0</v>
      </c>
      <c r="H371" s="635">
        <f t="shared" si="32"/>
        <v>0</v>
      </c>
      <c r="I371" s="636">
        <f t="shared" si="32"/>
        <v>0</v>
      </c>
      <c r="J371" s="331">
        <f>J291</f>
        <v>0</v>
      </c>
      <c r="K371" s="326"/>
    </row>
    <row r="372" spans="1:11">
      <c r="A372" s="971"/>
      <c r="B372" s="971"/>
      <c r="C372" s="327" t="str">
        <f t="shared" ref="C372:D381" si="33">C292</f>
        <v>Range Of Producs</v>
      </c>
      <c r="D372" s="328">
        <f t="shared" si="33"/>
        <v>7</v>
      </c>
      <c r="E372" s="637">
        <f t="shared" si="32"/>
        <v>0</v>
      </c>
      <c r="F372" s="624">
        <f t="shared" si="32"/>
        <v>0</v>
      </c>
      <c r="G372" s="624">
        <f t="shared" si="32"/>
        <v>0</v>
      </c>
      <c r="H372" s="624">
        <f t="shared" si="32"/>
        <v>0</v>
      </c>
      <c r="I372" s="638">
        <f t="shared" si="32"/>
        <v>0</v>
      </c>
      <c r="J372" s="334">
        <f t="shared" ref="J372:J382" si="34">J292</f>
        <v>0</v>
      </c>
      <c r="K372" s="326"/>
    </row>
    <row r="373" spans="1:11">
      <c r="A373" s="971"/>
      <c r="B373" s="971"/>
      <c r="C373" s="327" t="str">
        <f t="shared" si="33"/>
        <v>Brands</v>
      </c>
      <c r="D373" s="328">
        <f t="shared" si="33"/>
        <v>0</v>
      </c>
      <c r="E373" s="637">
        <f t="shared" si="32"/>
        <v>0</v>
      </c>
      <c r="F373" s="624">
        <f t="shared" si="32"/>
        <v>0</v>
      </c>
      <c r="G373" s="624">
        <f t="shared" si="32"/>
        <v>0</v>
      </c>
      <c r="H373" s="624">
        <f t="shared" si="32"/>
        <v>0</v>
      </c>
      <c r="I373" s="638">
        <f t="shared" si="32"/>
        <v>0</v>
      </c>
      <c r="J373" s="334">
        <f t="shared" si="34"/>
        <v>0</v>
      </c>
      <c r="K373" s="326"/>
    </row>
    <row r="374" spans="1:11">
      <c r="A374" s="971"/>
      <c r="B374" s="971"/>
      <c r="C374" s="327" t="str">
        <f t="shared" si="33"/>
        <v>Advertising</v>
      </c>
      <c r="D374" s="328">
        <f t="shared" si="33"/>
        <v>12</v>
      </c>
      <c r="E374" s="637">
        <f t="shared" si="32"/>
        <v>0</v>
      </c>
      <c r="F374" s="624">
        <f t="shared" si="32"/>
        <v>0</v>
      </c>
      <c r="G374" s="624">
        <f t="shared" si="32"/>
        <v>0</v>
      </c>
      <c r="H374" s="624">
        <f t="shared" si="32"/>
        <v>0</v>
      </c>
      <c r="I374" s="638">
        <f t="shared" si="32"/>
        <v>0</v>
      </c>
      <c r="J374" s="334">
        <f t="shared" si="34"/>
        <v>0</v>
      </c>
      <c r="K374" s="326"/>
    </row>
    <row r="375" spans="1:11">
      <c r="A375" s="971"/>
      <c r="B375" s="971"/>
      <c r="C375" s="327" t="str">
        <f t="shared" si="33"/>
        <v>Promotion</v>
      </c>
      <c r="D375" s="328">
        <f t="shared" si="33"/>
        <v>10</v>
      </c>
      <c r="E375" s="637">
        <f t="shared" si="32"/>
        <v>0</v>
      </c>
      <c r="F375" s="624">
        <f t="shared" si="32"/>
        <v>0</v>
      </c>
      <c r="G375" s="624">
        <f t="shared" si="32"/>
        <v>0</v>
      </c>
      <c r="H375" s="624">
        <f t="shared" si="32"/>
        <v>0</v>
      </c>
      <c r="I375" s="638">
        <f t="shared" si="32"/>
        <v>0</v>
      </c>
      <c r="J375" s="334">
        <f t="shared" si="34"/>
        <v>0</v>
      </c>
      <c r="K375" s="326"/>
    </row>
    <row r="376" spans="1:11">
      <c r="A376" s="971"/>
      <c r="B376" s="971"/>
      <c r="C376" s="327" t="str">
        <f t="shared" si="33"/>
        <v>Sales Force</v>
      </c>
      <c r="D376" s="328">
        <f t="shared" si="33"/>
        <v>11</v>
      </c>
      <c r="E376" s="637">
        <f t="shared" si="32"/>
        <v>0</v>
      </c>
      <c r="F376" s="624">
        <f t="shared" si="32"/>
        <v>0</v>
      </c>
      <c r="G376" s="624">
        <f t="shared" si="32"/>
        <v>0</v>
      </c>
      <c r="H376" s="624">
        <f t="shared" si="32"/>
        <v>0</v>
      </c>
      <c r="I376" s="638">
        <f t="shared" si="32"/>
        <v>0</v>
      </c>
      <c r="J376" s="334">
        <f t="shared" si="34"/>
        <v>0</v>
      </c>
      <c r="K376" s="326"/>
    </row>
    <row r="377" spans="1:11">
      <c r="A377" s="971"/>
      <c r="B377" s="971"/>
      <c r="C377" s="327" t="str">
        <f t="shared" si="33"/>
        <v>Driver 7</v>
      </c>
      <c r="D377" s="328">
        <f t="shared" si="33"/>
        <v>0</v>
      </c>
      <c r="E377" s="637">
        <f t="shared" si="32"/>
        <v>0</v>
      </c>
      <c r="F377" s="624">
        <f t="shared" si="32"/>
        <v>0</v>
      </c>
      <c r="G377" s="624">
        <f t="shared" si="32"/>
        <v>0</v>
      </c>
      <c r="H377" s="624">
        <f t="shared" si="32"/>
        <v>0</v>
      </c>
      <c r="I377" s="638">
        <f t="shared" si="32"/>
        <v>0</v>
      </c>
      <c r="J377" s="334">
        <f t="shared" si="34"/>
        <v>0</v>
      </c>
      <c r="K377" s="326"/>
    </row>
    <row r="378" spans="1:11">
      <c r="A378" s="971"/>
      <c r="B378" s="971"/>
      <c r="C378" s="327" t="str">
        <f t="shared" si="33"/>
        <v>Driver 8</v>
      </c>
      <c r="D378" s="328">
        <f t="shared" si="33"/>
        <v>0</v>
      </c>
      <c r="E378" s="637">
        <f t="shared" si="32"/>
        <v>0</v>
      </c>
      <c r="F378" s="624">
        <f t="shared" si="32"/>
        <v>0</v>
      </c>
      <c r="G378" s="624">
        <f t="shared" si="32"/>
        <v>0</v>
      </c>
      <c r="H378" s="624">
        <f t="shared" si="32"/>
        <v>0</v>
      </c>
      <c r="I378" s="638">
        <f t="shared" si="32"/>
        <v>0</v>
      </c>
      <c r="J378" s="334">
        <f t="shared" si="34"/>
        <v>0</v>
      </c>
      <c r="K378" s="326"/>
    </row>
    <row r="379" spans="1:11">
      <c r="A379" s="971"/>
      <c r="B379" s="971"/>
      <c r="C379" s="327" t="str">
        <f t="shared" si="33"/>
        <v>Driver 9</v>
      </c>
      <c r="D379" s="328">
        <f t="shared" si="33"/>
        <v>0</v>
      </c>
      <c r="E379" s="637">
        <f t="shared" si="32"/>
        <v>0</v>
      </c>
      <c r="F379" s="624">
        <f t="shared" si="32"/>
        <v>0</v>
      </c>
      <c r="G379" s="624">
        <f t="shared" si="32"/>
        <v>0</v>
      </c>
      <c r="H379" s="624">
        <f t="shared" si="32"/>
        <v>0</v>
      </c>
      <c r="I379" s="638">
        <f t="shared" si="32"/>
        <v>0</v>
      </c>
      <c r="J379" s="334">
        <f t="shared" si="34"/>
        <v>0</v>
      </c>
      <c r="K379" s="326"/>
    </row>
    <row r="380" spans="1:11">
      <c r="A380" s="971"/>
      <c r="B380" s="971"/>
      <c r="C380" s="327" t="str">
        <f t="shared" si="33"/>
        <v>Driver 10</v>
      </c>
      <c r="D380" s="328">
        <f t="shared" si="33"/>
        <v>0</v>
      </c>
      <c r="E380" s="637">
        <f t="shared" si="32"/>
        <v>0</v>
      </c>
      <c r="F380" s="624">
        <f t="shared" si="32"/>
        <v>0</v>
      </c>
      <c r="G380" s="624">
        <f t="shared" si="32"/>
        <v>0</v>
      </c>
      <c r="H380" s="624">
        <f t="shared" si="32"/>
        <v>0</v>
      </c>
      <c r="I380" s="638">
        <f t="shared" si="32"/>
        <v>0</v>
      </c>
      <c r="J380" s="334">
        <f t="shared" si="34"/>
        <v>0</v>
      </c>
      <c r="K380" s="326"/>
    </row>
    <row r="381" spans="1:11">
      <c r="A381" s="971"/>
      <c r="B381" s="971"/>
      <c r="C381" s="335" t="str">
        <f t="shared" si="33"/>
        <v>Special Programs</v>
      </c>
      <c r="D381" s="328">
        <f t="shared" si="33"/>
        <v>0</v>
      </c>
      <c r="E381" s="639">
        <f t="shared" si="32"/>
        <v>0</v>
      </c>
      <c r="F381" s="640">
        <f t="shared" si="32"/>
        <v>0</v>
      </c>
      <c r="G381" s="640">
        <f t="shared" si="32"/>
        <v>0</v>
      </c>
      <c r="H381" s="640">
        <f t="shared" si="32"/>
        <v>0</v>
      </c>
      <c r="I381" s="641">
        <f t="shared" si="32"/>
        <v>0</v>
      </c>
      <c r="J381" s="334">
        <f t="shared" si="34"/>
        <v>0</v>
      </c>
      <c r="K381" s="326"/>
    </row>
    <row r="382" spans="1:11">
      <c r="A382" s="971"/>
      <c r="B382" s="971"/>
      <c r="C382" s="327" t="str">
        <f>C342</f>
        <v>Total Effect</v>
      </c>
      <c r="D382" s="150"/>
      <c r="E382" s="1232">
        <f>SUM(E371:E381)</f>
        <v>0</v>
      </c>
      <c r="F382" s="1233">
        <f>SUM(F371:F381)</f>
        <v>0</v>
      </c>
      <c r="G382" s="1233">
        <f>SUM(G371:G381)</f>
        <v>0</v>
      </c>
      <c r="H382" s="1233">
        <f>SUM(H371:H381)</f>
        <v>0</v>
      </c>
      <c r="I382" s="1234">
        <f>SUM(I371:I381)</f>
        <v>0</v>
      </c>
      <c r="J382" s="331">
        <f t="shared" si="34"/>
        <v>0</v>
      </c>
      <c r="K382" s="326"/>
    </row>
    <row r="383" spans="1:11" ht="12" thickBot="1">
      <c r="A383" s="971"/>
      <c r="B383" s="971"/>
      <c r="C383" s="327" t="str">
        <f>C343</f>
        <v>Rank</v>
      </c>
      <c r="D383" s="150"/>
      <c r="E383" s="705">
        <f>E343</f>
        <v>1</v>
      </c>
      <c r="F383" s="705">
        <f>F343</f>
        <v>1</v>
      </c>
      <c r="G383" s="705">
        <f>G343</f>
        <v>1</v>
      </c>
      <c r="H383" s="705">
        <f>H343</f>
        <v>1</v>
      </c>
      <c r="I383" s="705">
        <f>I343</f>
        <v>1</v>
      </c>
      <c r="J383" s="684" t="s">
        <v>2227</v>
      </c>
      <c r="K383" s="326"/>
    </row>
    <row r="384" spans="1:11">
      <c r="A384" s="971"/>
      <c r="B384" s="971"/>
      <c r="C384" s="627" t="s">
        <v>3201</v>
      </c>
      <c r="D384" s="628"/>
      <c r="E384" s="666">
        <f t="shared" ref="E384:J384" si="35">E304</f>
        <v>0</v>
      </c>
      <c r="F384" s="666">
        <f t="shared" si="35"/>
        <v>0</v>
      </c>
      <c r="G384" s="666">
        <f t="shared" si="35"/>
        <v>0</v>
      </c>
      <c r="H384" s="666">
        <f t="shared" si="35"/>
        <v>0</v>
      </c>
      <c r="I384" s="666">
        <f t="shared" si="35"/>
        <v>0</v>
      </c>
      <c r="J384" s="648">
        <f t="shared" si="35"/>
        <v>1</v>
      </c>
      <c r="K384" s="630"/>
    </row>
    <row r="385" spans="1:11" ht="12" thickBot="1">
      <c r="A385" s="971"/>
      <c r="B385" s="971"/>
      <c r="C385" s="134" t="s">
        <v>1999</v>
      </c>
      <c r="D385" s="135"/>
      <c r="E385" s="625">
        <f t="shared" ref="E385:J385" si="36">E305</f>
        <v>0.2</v>
      </c>
      <c r="F385" s="625">
        <f t="shared" si="36"/>
        <v>0.2</v>
      </c>
      <c r="G385" s="625">
        <f t="shared" si="36"/>
        <v>0.2</v>
      </c>
      <c r="H385" s="625">
        <f t="shared" si="36"/>
        <v>0.2</v>
      </c>
      <c r="I385" s="625">
        <f t="shared" si="36"/>
        <v>0.2</v>
      </c>
      <c r="J385" s="665">
        <f t="shared" si="36"/>
        <v>0</v>
      </c>
      <c r="K385" s="136"/>
    </row>
    <row r="386" spans="1:11" ht="12" thickBot="1">
      <c r="A386" s="971"/>
      <c r="B386" s="971"/>
      <c r="C386" s="631" t="s">
        <v>2830</v>
      </c>
      <c r="D386" s="371"/>
      <c r="E386" s="665">
        <f t="shared" ref="E386:J386" si="37">E306</f>
        <v>0</v>
      </c>
      <c r="F386" s="665">
        <f t="shared" si="37"/>
        <v>0</v>
      </c>
      <c r="G386" s="665">
        <f t="shared" si="37"/>
        <v>0</v>
      </c>
      <c r="H386" s="665">
        <f t="shared" si="37"/>
        <v>0</v>
      </c>
      <c r="I386" s="665">
        <f t="shared" si="37"/>
        <v>0</v>
      </c>
      <c r="J386" s="633">
        <f t="shared" si="37"/>
        <v>1</v>
      </c>
      <c r="K386" s="136" t="s">
        <v>2327</v>
      </c>
    </row>
    <row r="387" spans="1:11" ht="12" thickBot="1">
      <c r="A387" s="971"/>
      <c r="B387" s="971"/>
    </row>
    <row r="388" spans="1:11" ht="12" thickBot="1">
      <c r="A388" s="971"/>
      <c r="B388" s="971"/>
      <c r="C388" s="340" t="str">
        <f>C308</f>
        <v>Market Model Calculation Segment 2 *Nitro Nachos</v>
      </c>
      <c r="D388" s="315"/>
      <c r="E388" s="316"/>
      <c r="F388" s="316"/>
      <c r="G388" s="317"/>
      <c r="H388" s="317"/>
      <c r="I388" s="317"/>
      <c r="J388" s="317"/>
      <c r="K388" s="318"/>
    </row>
    <row r="389" spans="1:11" ht="12" thickBot="1">
      <c r="A389" s="971"/>
      <c r="B389" s="971"/>
      <c r="C389" s="314" t="s">
        <v>2672</v>
      </c>
      <c r="D389" s="322">
        <f>D309</f>
        <v>4</v>
      </c>
      <c r="E389" s="315"/>
      <c r="F389" s="319"/>
      <c r="G389" s="315"/>
      <c r="H389" s="320"/>
      <c r="I389" s="321" t="s">
        <v>2673</v>
      </c>
      <c r="J389" s="322">
        <f>J309</f>
        <v>1</v>
      </c>
      <c r="K389" s="318"/>
    </row>
    <row r="390" spans="1:11">
      <c r="A390" s="971"/>
      <c r="B390" s="971"/>
      <c r="C390" s="323" t="s">
        <v>2958</v>
      </c>
      <c r="D390" s="324"/>
      <c r="E390" s="325" t="s">
        <v>1834</v>
      </c>
      <c r="F390" s="325" t="s">
        <v>1835</v>
      </c>
      <c r="G390" s="325" t="s">
        <v>1836</v>
      </c>
      <c r="H390" s="325" t="s">
        <v>1837</v>
      </c>
      <c r="I390" s="325" t="s">
        <v>1838</v>
      </c>
      <c r="J390" s="325"/>
      <c r="K390" s="326"/>
    </row>
    <row r="391" spans="1:11">
      <c r="A391" s="971"/>
      <c r="B391" s="971"/>
      <c r="C391" s="327" t="str">
        <f t="shared" ref="C391:D401" si="38">C311</f>
        <v>Price</v>
      </c>
      <c r="D391" s="328">
        <f t="shared" si="38"/>
        <v>15</v>
      </c>
      <c r="E391" s="634">
        <f t="shared" ref="E391:I401" si="39">IF(E311=0,0,(E311-($J311/xxNumOfTeams))/$J$322)</f>
        <v>0</v>
      </c>
      <c r="F391" s="635">
        <f t="shared" si="39"/>
        <v>0</v>
      </c>
      <c r="G391" s="635">
        <f t="shared" si="39"/>
        <v>0</v>
      </c>
      <c r="H391" s="635">
        <f t="shared" si="39"/>
        <v>0</v>
      </c>
      <c r="I391" s="636">
        <f t="shared" si="39"/>
        <v>0</v>
      </c>
      <c r="J391" s="331">
        <f>J311</f>
        <v>0</v>
      </c>
      <c r="K391" s="326"/>
    </row>
    <row r="392" spans="1:11">
      <c r="A392" s="971"/>
      <c r="B392" s="971"/>
      <c r="C392" s="327" t="str">
        <f t="shared" si="38"/>
        <v>Range Of Producs</v>
      </c>
      <c r="D392" s="328">
        <f t="shared" si="38"/>
        <v>9</v>
      </c>
      <c r="E392" s="637">
        <f t="shared" si="39"/>
        <v>0</v>
      </c>
      <c r="F392" s="624">
        <f t="shared" si="39"/>
        <v>0</v>
      </c>
      <c r="G392" s="624">
        <f t="shared" si="39"/>
        <v>0</v>
      </c>
      <c r="H392" s="624">
        <f t="shared" si="39"/>
        <v>0</v>
      </c>
      <c r="I392" s="638">
        <f t="shared" si="39"/>
        <v>0</v>
      </c>
      <c r="J392" s="334">
        <f t="shared" ref="J392:J402" si="40">J312</f>
        <v>0</v>
      </c>
      <c r="K392" s="326"/>
    </row>
    <row r="393" spans="1:11">
      <c r="A393" s="971"/>
      <c r="B393" s="971"/>
      <c r="C393" s="327" t="str">
        <f t="shared" si="38"/>
        <v>Brands</v>
      </c>
      <c r="D393" s="328">
        <f t="shared" si="38"/>
        <v>0</v>
      </c>
      <c r="E393" s="637">
        <f t="shared" si="39"/>
        <v>0</v>
      </c>
      <c r="F393" s="624">
        <f t="shared" si="39"/>
        <v>0</v>
      </c>
      <c r="G393" s="624">
        <f t="shared" si="39"/>
        <v>0</v>
      </c>
      <c r="H393" s="624">
        <f t="shared" si="39"/>
        <v>0</v>
      </c>
      <c r="I393" s="638">
        <f t="shared" si="39"/>
        <v>0</v>
      </c>
      <c r="J393" s="334">
        <f t="shared" si="40"/>
        <v>0</v>
      </c>
      <c r="K393" s="326"/>
    </row>
    <row r="394" spans="1:11">
      <c r="A394" s="971"/>
      <c r="B394" s="971"/>
      <c r="C394" s="327" t="str">
        <f t="shared" si="38"/>
        <v>Advertising</v>
      </c>
      <c r="D394" s="328">
        <f t="shared" si="38"/>
        <v>10</v>
      </c>
      <c r="E394" s="637">
        <f t="shared" si="39"/>
        <v>0</v>
      </c>
      <c r="F394" s="624">
        <f t="shared" si="39"/>
        <v>0</v>
      </c>
      <c r="G394" s="624">
        <f t="shared" si="39"/>
        <v>0</v>
      </c>
      <c r="H394" s="624">
        <f t="shared" si="39"/>
        <v>0</v>
      </c>
      <c r="I394" s="638">
        <f t="shared" si="39"/>
        <v>0</v>
      </c>
      <c r="J394" s="334">
        <f t="shared" si="40"/>
        <v>0</v>
      </c>
      <c r="K394" s="326"/>
    </row>
    <row r="395" spans="1:11">
      <c r="A395" s="971"/>
      <c r="B395" s="971"/>
      <c r="C395" s="327" t="str">
        <f t="shared" si="38"/>
        <v>Promotion</v>
      </c>
      <c r="D395" s="328">
        <f t="shared" si="38"/>
        <v>12</v>
      </c>
      <c r="E395" s="637">
        <f t="shared" si="39"/>
        <v>0</v>
      </c>
      <c r="F395" s="624">
        <f t="shared" si="39"/>
        <v>0</v>
      </c>
      <c r="G395" s="624">
        <f t="shared" si="39"/>
        <v>0</v>
      </c>
      <c r="H395" s="624">
        <f t="shared" si="39"/>
        <v>0</v>
      </c>
      <c r="I395" s="638">
        <f t="shared" si="39"/>
        <v>0</v>
      </c>
      <c r="J395" s="334">
        <f t="shared" si="40"/>
        <v>0</v>
      </c>
      <c r="K395" s="326"/>
    </row>
    <row r="396" spans="1:11">
      <c r="A396" s="971"/>
      <c r="B396" s="971"/>
      <c r="C396" s="327" t="str">
        <f t="shared" si="38"/>
        <v>Sales Force</v>
      </c>
      <c r="D396" s="328">
        <f t="shared" si="38"/>
        <v>11</v>
      </c>
      <c r="E396" s="637">
        <f t="shared" si="39"/>
        <v>0</v>
      </c>
      <c r="F396" s="624">
        <f t="shared" si="39"/>
        <v>0</v>
      </c>
      <c r="G396" s="624">
        <f t="shared" si="39"/>
        <v>0</v>
      </c>
      <c r="H396" s="624">
        <f t="shared" si="39"/>
        <v>0</v>
      </c>
      <c r="I396" s="638">
        <f t="shared" si="39"/>
        <v>0</v>
      </c>
      <c r="J396" s="334">
        <f t="shared" si="40"/>
        <v>0</v>
      </c>
      <c r="K396" s="326"/>
    </row>
    <row r="397" spans="1:11">
      <c r="A397" s="971"/>
      <c r="B397" s="971"/>
      <c r="C397" s="327" t="str">
        <f t="shared" si="38"/>
        <v>Driver 7</v>
      </c>
      <c r="D397" s="328">
        <f t="shared" si="38"/>
        <v>0</v>
      </c>
      <c r="E397" s="637">
        <f t="shared" si="39"/>
        <v>0</v>
      </c>
      <c r="F397" s="624">
        <f t="shared" si="39"/>
        <v>0</v>
      </c>
      <c r="G397" s="624">
        <f t="shared" si="39"/>
        <v>0</v>
      </c>
      <c r="H397" s="624">
        <f t="shared" si="39"/>
        <v>0</v>
      </c>
      <c r="I397" s="638">
        <f t="shared" si="39"/>
        <v>0</v>
      </c>
      <c r="J397" s="334">
        <f t="shared" si="40"/>
        <v>0</v>
      </c>
      <c r="K397" s="326"/>
    </row>
    <row r="398" spans="1:11">
      <c r="A398" s="971"/>
      <c r="B398" s="971"/>
      <c r="C398" s="327" t="str">
        <f t="shared" si="38"/>
        <v>Driver 8</v>
      </c>
      <c r="D398" s="328">
        <f t="shared" si="38"/>
        <v>0</v>
      </c>
      <c r="E398" s="637">
        <f t="shared" si="39"/>
        <v>0</v>
      </c>
      <c r="F398" s="624">
        <f t="shared" si="39"/>
        <v>0</v>
      </c>
      <c r="G398" s="624">
        <f t="shared" si="39"/>
        <v>0</v>
      </c>
      <c r="H398" s="624">
        <f t="shared" si="39"/>
        <v>0</v>
      </c>
      <c r="I398" s="638">
        <f t="shared" si="39"/>
        <v>0</v>
      </c>
      <c r="J398" s="334">
        <f t="shared" si="40"/>
        <v>0</v>
      </c>
      <c r="K398" s="326"/>
    </row>
    <row r="399" spans="1:11">
      <c r="A399" s="971"/>
      <c r="B399" s="971"/>
      <c r="C399" s="327" t="str">
        <f t="shared" si="38"/>
        <v>Driver 9</v>
      </c>
      <c r="D399" s="328">
        <f t="shared" si="38"/>
        <v>0</v>
      </c>
      <c r="E399" s="637">
        <f t="shared" si="39"/>
        <v>0</v>
      </c>
      <c r="F399" s="624">
        <f t="shared" si="39"/>
        <v>0</v>
      </c>
      <c r="G399" s="624">
        <f t="shared" si="39"/>
        <v>0</v>
      </c>
      <c r="H399" s="624">
        <f t="shared" si="39"/>
        <v>0</v>
      </c>
      <c r="I399" s="638">
        <f t="shared" si="39"/>
        <v>0</v>
      </c>
      <c r="J399" s="334">
        <f t="shared" si="40"/>
        <v>0</v>
      </c>
      <c r="K399" s="326"/>
    </row>
    <row r="400" spans="1:11">
      <c r="A400" s="971"/>
      <c r="B400" s="971"/>
      <c r="C400" s="327" t="str">
        <f t="shared" si="38"/>
        <v>Driver 10</v>
      </c>
      <c r="D400" s="328">
        <f t="shared" si="38"/>
        <v>0</v>
      </c>
      <c r="E400" s="637">
        <f t="shared" si="39"/>
        <v>0</v>
      </c>
      <c r="F400" s="624">
        <f t="shared" si="39"/>
        <v>0</v>
      </c>
      <c r="G400" s="624">
        <f t="shared" si="39"/>
        <v>0</v>
      </c>
      <c r="H400" s="624">
        <f t="shared" si="39"/>
        <v>0</v>
      </c>
      <c r="I400" s="638">
        <f t="shared" si="39"/>
        <v>0</v>
      </c>
      <c r="J400" s="334">
        <f t="shared" si="40"/>
        <v>0</v>
      </c>
      <c r="K400" s="326"/>
    </row>
    <row r="401" spans="1:11">
      <c r="A401" s="971"/>
      <c r="B401" s="971"/>
      <c r="C401" s="335" t="str">
        <f t="shared" si="38"/>
        <v>Special Programs</v>
      </c>
      <c r="D401" s="328">
        <f t="shared" si="38"/>
        <v>0</v>
      </c>
      <c r="E401" s="639">
        <f t="shared" si="39"/>
        <v>0</v>
      </c>
      <c r="F401" s="640">
        <f t="shared" si="39"/>
        <v>0</v>
      </c>
      <c r="G401" s="640">
        <f t="shared" si="39"/>
        <v>0</v>
      </c>
      <c r="H401" s="640">
        <f t="shared" si="39"/>
        <v>0</v>
      </c>
      <c r="I401" s="641">
        <f t="shared" si="39"/>
        <v>0</v>
      </c>
      <c r="J401" s="334">
        <f t="shared" si="40"/>
        <v>0</v>
      </c>
      <c r="K401" s="326"/>
    </row>
    <row r="402" spans="1:11">
      <c r="A402" s="971"/>
      <c r="B402" s="971"/>
      <c r="C402" s="327" t="str">
        <f>C362</f>
        <v>Total Effect</v>
      </c>
      <c r="D402" s="150"/>
      <c r="E402" s="1232">
        <f>SUM(E391:E401)</f>
        <v>0</v>
      </c>
      <c r="F402" s="1233">
        <f>SUM(F391:F401)</f>
        <v>0</v>
      </c>
      <c r="G402" s="1233">
        <f>SUM(G391:G401)</f>
        <v>0</v>
      </c>
      <c r="H402" s="1233">
        <f>SUM(H391:H401)</f>
        <v>0</v>
      </c>
      <c r="I402" s="1234">
        <f>SUM(I391:I401)</f>
        <v>0</v>
      </c>
      <c r="J402" s="331">
        <f t="shared" si="40"/>
        <v>0</v>
      </c>
      <c r="K402" s="326"/>
    </row>
    <row r="403" spans="1:11" ht="12" thickBot="1">
      <c r="A403" s="971"/>
      <c r="B403" s="971"/>
      <c r="C403" s="327" t="str">
        <f>C363</f>
        <v>Rank</v>
      </c>
      <c r="D403" s="150"/>
      <c r="E403" s="705">
        <f>E363</f>
        <v>1</v>
      </c>
      <c r="F403" s="705">
        <f>F363</f>
        <v>1</v>
      </c>
      <c r="G403" s="705">
        <f>G363</f>
        <v>1</v>
      </c>
      <c r="H403" s="705">
        <f>H363</f>
        <v>1</v>
      </c>
      <c r="I403" s="705">
        <f>I363</f>
        <v>1</v>
      </c>
      <c r="J403" s="684" t="s">
        <v>2227</v>
      </c>
      <c r="K403" s="326"/>
    </row>
    <row r="404" spans="1:11">
      <c r="A404" s="971"/>
      <c r="B404" s="971"/>
      <c r="C404" s="627" t="s">
        <v>3201</v>
      </c>
      <c r="D404" s="628"/>
      <c r="E404" s="666">
        <f t="shared" ref="E404:J404" si="41">E324</f>
        <v>0</v>
      </c>
      <c r="F404" s="666">
        <f t="shared" si="41"/>
        <v>0</v>
      </c>
      <c r="G404" s="666">
        <f t="shared" si="41"/>
        <v>0</v>
      </c>
      <c r="H404" s="666">
        <f t="shared" si="41"/>
        <v>0</v>
      </c>
      <c r="I404" s="666">
        <f t="shared" si="41"/>
        <v>0</v>
      </c>
      <c r="J404" s="648">
        <f t="shared" si="41"/>
        <v>1</v>
      </c>
      <c r="K404" s="630"/>
    </row>
    <row r="405" spans="1:11" ht="12" thickBot="1">
      <c r="A405" s="971"/>
      <c r="B405" s="971"/>
      <c r="C405" s="134" t="s">
        <v>1999</v>
      </c>
      <c r="D405" s="135"/>
      <c r="E405" s="625">
        <f t="shared" ref="E405:J405" si="42">E325</f>
        <v>0.2</v>
      </c>
      <c r="F405" s="625">
        <f t="shared" si="42"/>
        <v>0.2</v>
      </c>
      <c r="G405" s="625">
        <f t="shared" si="42"/>
        <v>0.2</v>
      </c>
      <c r="H405" s="625">
        <f t="shared" si="42"/>
        <v>0.2</v>
      </c>
      <c r="I405" s="625">
        <f t="shared" si="42"/>
        <v>0.2</v>
      </c>
      <c r="J405" s="665">
        <f t="shared" si="42"/>
        <v>0</v>
      </c>
      <c r="K405" s="136"/>
    </row>
    <row r="406" spans="1:11" ht="12" thickBot="1">
      <c r="A406" s="971"/>
      <c r="B406" s="971"/>
      <c r="C406" s="631" t="s">
        <v>2830</v>
      </c>
      <c r="D406" s="371"/>
      <c r="E406" s="665">
        <f t="shared" ref="E406:J406" si="43">E326</f>
        <v>0</v>
      </c>
      <c r="F406" s="665">
        <f t="shared" si="43"/>
        <v>0</v>
      </c>
      <c r="G406" s="665">
        <f t="shared" si="43"/>
        <v>0</v>
      </c>
      <c r="H406" s="665">
        <f t="shared" si="43"/>
        <v>0</v>
      </c>
      <c r="I406" s="665">
        <f t="shared" si="43"/>
        <v>0</v>
      </c>
      <c r="J406" s="633">
        <f t="shared" si="43"/>
        <v>1</v>
      </c>
      <c r="K406" s="136" t="s">
        <v>2327</v>
      </c>
    </row>
    <row r="407" spans="1:11" ht="12" thickBot="1">
      <c r="A407" s="971"/>
      <c r="B407" s="971"/>
    </row>
    <row r="408" spans="1:11" ht="12" thickBot="1">
      <c r="A408" s="971"/>
      <c r="B408" s="971"/>
      <c r="C408" s="340" t="str">
        <f>C328</f>
        <v>Market Model Calculation Segment 3 *Home Fountain</v>
      </c>
      <c r="D408" s="315"/>
      <c r="E408" s="316"/>
      <c r="F408" s="316"/>
      <c r="G408" s="317"/>
      <c r="H408" s="317"/>
      <c r="I408" s="317"/>
      <c r="J408" s="317"/>
      <c r="K408" s="318"/>
    </row>
    <row r="409" spans="1:11" ht="12" thickBot="1">
      <c r="A409" s="971"/>
      <c r="B409" s="971"/>
      <c r="C409" s="314" t="s">
        <v>2672</v>
      </c>
      <c r="D409" s="322">
        <f>D329</f>
        <v>4</v>
      </c>
      <c r="E409" s="315"/>
      <c r="F409" s="319"/>
      <c r="G409" s="315"/>
      <c r="H409" s="320"/>
      <c r="I409" s="321" t="s">
        <v>2673</v>
      </c>
      <c r="J409" s="322">
        <f>J329</f>
        <v>1</v>
      </c>
      <c r="K409" s="318"/>
    </row>
    <row r="410" spans="1:11">
      <c r="A410" s="971"/>
      <c r="B410" s="971"/>
      <c r="C410" s="323" t="s">
        <v>2958</v>
      </c>
      <c r="D410" s="324"/>
      <c r="E410" s="325" t="s">
        <v>1834</v>
      </c>
      <c r="F410" s="325" t="s">
        <v>1835</v>
      </c>
      <c r="G410" s="325" t="s">
        <v>1836</v>
      </c>
      <c r="H410" s="325" t="s">
        <v>1837</v>
      </c>
      <c r="I410" s="325" t="s">
        <v>1838</v>
      </c>
      <c r="J410" s="325"/>
      <c r="K410" s="326"/>
    </row>
    <row r="411" spans="1:11">
      <c r="A411" s="971"/>
      <c r="B411" s="971"/>
      <c r="C411" s="327" t="str">
        <f t="shared" ref="C411:D421" si="44">C331</f>
        <v>Price</v>
      </c>
      <c r="D411" s="328">
        <f t="shared" si="44"/>
        <v>15</v>
      </c>
      <c r="E411" s="634">
        <f t="shared" ref="E411:I421" si="45">IF(E331=0,0,(E331-($J331/xxNumOfTeams))/$J$342)</f>
        <v>0</v>
      </c>
      <c r="F411" s="635">
        <f t="shared" si="45"/>
        <v>0</v>
      </c>
      <c r="G411" s="635">
        <f t="shared" si="45"/>
        <v>0</v>
      </c>
      <c r="H411" s="635">
        <f t="shared" si="45"/>
        <v>0</v>
      </c>
      <c r="I411" s="636">
        <f t="shared" si="45"/>
        <v>0</v>
      </c>
      <c r="J411" s="331">
        <f>J331</f>
        <v>0</v>
      </c>
      <c r="K411" s="326"/>
    </row>
    <row r="412" spans="1:11">
      <c r="A412" s="971"/>
      <c r="B412" s="971"/>
      <c r="C412" s="327" t="str">
        <f t="shared" si="44"/>
        <v>Range Of Producs</v>
      </c>
      <c r="D412" s="328">
        <f t="shared" si="44"/>
        <v>7</v>
      </c>
      <c r="E412" s="637">
        <f t="shared" si="45"/>
        <v>0</v>
      </c>
      <c r="F412" s="624">
        <f t="shared" si="45"/>
        <v>0</v>
      </c>
      <c r="G412" s="624">
        <f t="shared" si="45"/>
        <v>0</v>
      </c>
      <c r="H412" s="624">
        <f t="shared" si="45"/>
        <v>0</v>
      </c>
      <c r="I412" s="638">
        <f t="shared" si="45"/>
        <v>0</v>
      </c>
      <c r="J412" s="334">
        <f t="shared" ref="J412:J422" si="46">J332</f>
        <v>0</v>
      </c>
      <c r="K412" s="326"/>
    </row>
    <row r="413" spans="1:11">
      <c r="A413" s="971"/>
      <c r="B413" s="971"/>
      <c r="C413" s="327" t="str">
        <f t="shared" si="44"/>
        <v>Brands</v>
      </c>
      <c r="D413" s="328">
        <f t="shared" si="44"/>
        <v>0</v>
      </c>
      <c r="E413" s="637">
        <f t="shared" si="45"/>
        <v>0</v>
      </c>
      <c r="F413" s="624">
        <f t="shared" si="45"/>
        <v>0</v>
      </c>
      <c r="G413" s="624">
        <f t="shared" si="45"/>
        <v>0</v>
      </c>
      <c r="H413" s="624">
        <f t="shared" si="45"/>
        <v>0</v>
      </c>
      <c r="I413" s="638">
        <f t="shared" si="45"/>
        <v>0</v>
      </c>
      <c r="J413" s="334">
        <f t="shared" si="46"/>
        <v>0</v>
      </c>
      <c r="K413" s="326"/>
    </row>
    <row r="414" spans="1:11">
      <c r="A414" s="971"/>
      <c r="B414" s="971"/>
      <c r="C414" s="327" t="str">
        <f t="shared" si="44"/>
        <v>Advertising</v>
      </c>
      <c r="D414" s="328">
        <f t="shared" si="44"/>
        <v>12</v>
      </c>
      <c r="E414" s="637">
        <f t="shared" si="45"/>
        <v>0</v>
      </c>
      <c r="F414" s="624">
        <f t="shared" si="45"/>
        <v>0</v>
      </c>
      <c r="G414" s="624">
        <f t="shared" si="45"/>
        <v>0</v>
      </c>
      <c r="H414" s="624">
        <f t="shared" si="45"/>
        <v>0</v>
      </c>
      <c r="I414" s="638">
        <f t="shared" si="45"/>
        <v>0</v>
      </c>
      <c r="J414" s="334">
        <f t="shared" si="46"/>
        <v>0</v>
      </c>
      <c r="K414" s="326"/>
    </row>
    <row r="415" spans="1:11">
      <c r="A415" s="971"/>
      <c r="B415" s="971"/>
      <c r="C415" s="327" t="str">
        <f t="shared" si="44"/>
        <v>Promotion</v>
      </c>
      <c r="D415" s="328">
        <f t="shared" si="44"/>
        <v>10</v>
      </c>
      <c r="E415" s="637">
        <f t="shared" si="45"/>
        <v>0</v>
      </c>
      <c r="F415" s="624">
        <f t="shared" si="45"/>
        <v>0</v>
      </c>
      <c r="G415" s="624">
        <f t="shared" si="45"/>
        <v>0</v>
      </c>
      <c r="H415" s="624">
        <f t="shared" si="45"/>
        <v>0</v>
      </c>
      <c r="I415" s="638">
        <f t="shared" si="45"/>
        <v>0</v>
      </c>
      <c r="J415" s="334">
        <f t="shared" si="46"/>
        <v>0</v>
      </c>
      <c r="K415" s="326"/>
    </row>
    <row r="416" spans="1:11">
      <c r="A416" s="971"/>
      <c r="B416" s="971"/>
      <c r="C416" s="327" t="str">
        <f t="shared" si="44"/>
        <v>Sales Force</v>
      </c>
      <c r="D416" s="328">
        <f t="shared" si="44"/>
        <v>11</v>
      </c>
      <c r="E416" s="637">
        <f t="shared" si="45"/>
        <v>0</v>
      </c>
      <c r="F416" s="624">
        <f t="shared" si="45"/>
        <v>0</v>
      </c>
      <c r="G416" s="624">
        <f t="shared" si="45"/>
        <v>0</v>
      </c>
      <c r="H416" s="624">
        <f t="shared" si="45"/>
        <v>0</v>
      </c>
      <c r="I416" s="638">
        <f t="shared" si="45"/>
        <v>0</v>
      </c>
      <c r="J416" s="334">
        <f t="shared" si="46"/>
        <v>0</v>
      </c>
      <c r="K416" s="326"/>
    </row>
    <row r="417" spans="1:11">
      <c r="A417" s="971"/>
      <c r="B417" s="971"/>
      <c r="C417" s="327" t="str">
        <f t="shared" si="44"/>
        <v>Driver 7</v>
      </c>
      <c r="D417" s="328">
        <f t="shared" si="44"/>
        <v>0</v>
      </c>
      <c r="E417" s="637">
        <f t="shared" si="45"/>
        <v>0</v>
      </c>
      <c r="F417" s="624">
        <f t="shared" si="45"/>
        <v>0</v>
      </c>
      <c r="G417" s="624">
        <f t="shared" si="45"/>
        <v>0</v>
      </c>
      <c r="H417" s="624">
        <f t="shared" si="45"/>
        <v>0</v>
      </c>
      <c r="I417" s="638">
        <f t="shared" si="45"/>
        <v>0</v>
      </c>
      <c r="J417" s="334">
        <f t="shared" si="46"/>
        <v>0</v>
      </c>
      <c r="K417" s="326"/>
    </row>
    <row r="418" spans="1:11">
      <c r="A418" s="971"/>
      <c r="B418" s="971"/>
      <c r="C418" s="327" t="str">
        <f t="shared" si="44"/>
        <v>Driver 8</v>
      </c>
      <c r="D418" s="328">
        <f t="shared" si="44"/>
        <v>0</v>
      </c>
      <c r="E418" s="637">
        <f t="shared" si="45"/>
        <v>0</v>
      </c>
      <c r="F418" s="624">
        <f t="shared" si="45"/>
        <v>0</v>
      </c>
      <c r="G418" s="624">
        <f t="shared" si="45"/>
        <v>0</v>
      </c>
      <c r="H418" s="624">
        <f t="shared" si="45"/>
        <v>0</v>
      </c>
      <c r="I418" s="638">
        <f t="shared" si="45"/>
        <v>0</v>
      </c>
      <c r="J418" s="334">
        <f t="shared" si="46"/>
        <v>0</v>
      </c>
      <c r="K418" s="326"/>
    </row>
    <row r="419" spans="1:11">
      <c r="A419" s="971"/>
      <c r="B419" s="971"/>
      <c r="C419" s="327" t="str">
        <f t="shared" si="44"/>
        <v>Driver 9</v>
      </c>
      <c r="D419" s="328">
        <f t="shared" si="44"/>
        <v>0</v>
      </c>
      <c r="E419" s="637">
        <f t="shared" si="45"/>
        <v>0</v>
      </c>
      <c r="F419" s="624">
        <f t="shared" si="45"/>
        <v>0</v>
      </c>
      <c r="G419" s="624">
        <f t="shared" si="45"/>
        <v>0</v>
      </c>
      <c r="H419" s="624">
        <f t="shared" si="45"/>
        <v>0</v>
      </c>
      <c r="I419" s="638">
        <f t="shared" si="45"/>
        <v>0</v>
      </c>
      <c r="J419" s="334">
        <f t="shared" si="46"/>
        <v>0</v>
      </c>
      <c r="K419" s="326"/>
    </row>
    <row r="420" spans="1:11">
      <c r="A420" s="971"/>
      <c r="B420" s="971"/>
      <c r="C420" s="327" t="str">
        <f t="shared" si="44"/>
        <v>Driver 10</v>
      </c>
      <c r="D420" s="328">
        <f t="shared" si="44"/>
        <v>0</v>
      </c>
      <c r="E420" s="637">
        <f t="shared" si="45"/>
        <v>0</v>
      </c>
      <c r="F420" s="624">
        <f t="shared" si="45"/>
        <v>0</v>
      </c>
      <c r="G420" s="624">
        <f t="shared" si="45"/>
        <v>0</v>
      </c>
      <c r="H420" s="624">
        <f t="shared" si="45"/>
        <v>0</v>
      </c>
      <c r="I420" s="638">
        <f t="shared" si="45"/>
        <v>0</v>
      </c>
      <c r="J420" s="334">
        <f t="shared" si="46"/>
        <v>0</v>
      </c>
      <c r="K420" s="326"/>
    </row>
    <row r="421" spans="1:11">
      <c r="A421" s="971"/>
      <c r="B421" s="971"/>
      <c r="C421" s="335" t="str">
        <f t="shared" si="44"/>
        <v>Special Programs</v>
      </c>
      <c r="D421" s="328">
        <f t="shared" si="44"/>
        <v>0</v>
      </c>
      <c r="E421" s="639">
        <f t="shared" si="45"/>
        <v>0</v>
      </c>
      <c r="F421" s="640">
        <f t="shared" si="45"/>
        <v>0</v>
      </c>
      <c r="G421" s="640">
        <f t="shared" si="45"/>
        <v>0</v>
      </c>
      <c r="H421" s="640">
        <f t="shared" si="45"/>
        <v>0</v>
      </c>
      <c r="I421" s="641">
        <f t="shared" si="45"/>
        <v>0</v>
      </c>
      <c r="J421" s="334">
        <f t="shared" si="46"/>
        <v>0</v>
      </c>
      <c r="K421" s="326"/>
    </row>
    <row r="422" spans="1:11">
      <c r="A422" s="971"/>
      <c r="B422" s="971"/>
      <c r="C422" s="327" t="str">
        <f>C382</f>
        <v>Total Effect</v>
      </c>
      <c r="D422" s="150"/>
      <c r="E422" s="1232">
        <f>SUM(E411:E421)</f>
        <v>0</v>
      </c>
      <c r="F422" s="1233">
        <f>SUM(F411:F421)</f>
        <v>0</v>
      </c>
      <c r="G422" s="1233">
        <f>SUM(G411:G421)</f>
        <v>0</v>
      </c>
      <c r="H422" s="1233">
        <f>SUM(H411:H421)</f>
        <v>0</v>
      </c>
      <c r="I422" s="1234">
        <f>SUM(I411:I421)</f>
        <v>0</v>
      </c>
      <c r="J422" s="331">
        <f t="shared" si="46"/>
        <v>0</v>
      </c>
      <c r="K422" s="326"/>
    </row>
    <row r="423" spans="1:11" ht="12" thickBot="1">
      <c r="A423" s="971"/>
      <c r="B423" s="971"/>
      <c r="C423" s="327" t="str">
        <f>C383</f>
        <v>Rank</v>
      </c>
      <c r="D423" s="150"/>
      <c r="E423" s="705">
        <f>E383</f>
        <v>1</v>
      </c>
      <c r="F423" s="705">
        <f>F383</f>
        <v>1</v>
      </c>
      <c r="G423" s="705">
        <f>G383</f>
        <v>1</v>
      </c>
      <c r="H423" s="705">
        <f>H383</f>
        <v>1</v>
      </c>
      <c r="I423" s="705">
        <f>I383</f>
        <v>1</v>
      </c>
      <c r="J423" s="684" t="s">
        <v>2227</v>
      </c>
      <c r="K423" s="326"/>
    </row>
    <row r="424" spans="1:11">
      <c r="A424" s="971"/>
      <c r="B424" s="971"/>
      <c r="C424" s="627" t="s">
        <v>3201</v>
      </c>
      <c r="D424" s="628"/>
      <c r="E424" s="666">
        <f t="shared" ref="E424:J424" si="47">E344</f>
        <v>0</v>
      </c>
      <c r="F424" s="666">
        <f t="shared" si="47"/>
        <v>0</v>
      </c>
      <c r="G424" s="666">
        <f t="shared" si="47"/>
        <v>0</v>
      </c>
      <c r="H424" s="666">
        <f t="shared" si="47"/>
        <v>0</v>
      </c>
      <c r="I424" s="666">
        <f t="shared" si="47"/>
        <v>0</v>
      </c>
      <c r="J424" s="648">
        <f t="shared" si="47"/>
        <v>1</v>
      </c>
      <c r="K424" s="630"/>
    </row>
    <row r="425" spans="1:11" ht="12" thickBot="1">
      <c r="A425" s="971"/>
      <c r="B425" s="971"/>
      <c r="C425" s="134" t="s">
        <v>1999</v>
      </c>
      <c r="D425" s="135"/>
      <c r="E425" s="625">
        <f t="shared" ref="E425:J425" si="48">E345</f>
        <v>0.2</v>
      </c>
      <c r="F425" s="625">
        <f t="shared" si="48"/>
        <v>0.2</v>
      </c>
      <c r="G425" s="625">
        <f t="shared" si="48"/>
        <v>0.2</v>
      </c>
      <c r="H425" s="625">
        <f t="shared" si="48"/>
        <v>0.2</v>
      </c>
      <c r="I425" s="625">
        <f t="shared" si="48"/>
        <v>0.2</v>
      </c>
      <c r="J425" s="665">
        <f t="shared" si="48"/>
        <v>0</v>
      </c>
      <c r="K425" s="136"/>
    </row>
    <row r="426" spans="1:11" ht="12" thickBot="1">
      <c r="A426" s="971"/>
      <c r="B426" s="971"/>
      <c r="C426" s="631" t="s">
        <v>2830</v>
      </c>
      <c r="D426" s="371"/>
      <c r="E426" s="665">
        <f t="shared" ref="E426:J426" si="49">E346</f>
        <v>0</v>
      </c>
      <c r="F426" s="665">
        <f t="shared" si="49"/>
        <v>0</v>
      </c>
      <c r="G426" s="665">
        <f t="shared" si="49"/>
        <v>0</v>
      </c>
      <c r="H426" s="665">
        <f t="shared" si="49"/>
        <v>0</v>
      </c>
      <c r="I426" s="665">
        <f t="shared" si="49"/>
        <v>0</v>
      </c>
      <c r="J426" s="633">
        <f t="shared" si="49"/>
        <v>1</v>
      </c>
      <c r="K426" s="136" t="s">
        <v>2327</v>
      </c>
    </row>
    <row r="427" spans="1:11" ht="12" thickBot="1">
      <c r="A427" s="971"/>
      <c r="B427" s="971"/>
    </row>
    <row r="428" spans="1:11" ht="12" thickBot="1">
      <c r="A428" s="971"/>
      <c r="B428" s="971"/>
      <c r="C428" s="340" t="str">
        <f>C348</f>
        <v>Market Model Calculation Segment 4 *CentrePlate</v>
      </c>
      <c r="D428" s="315"/>
      <c r="E428" s="316"/>
      <c r="F428" s="316"/>
      <c r="G428" s="317"/>
      <c r="H428" s="317"/>
      <c r="I428" s="317"/>
      <c r="J428" s="317"/>
      <c r="K428" s="318"/>
    </row>
    <row r="429" spans="1:11" ht="12" thickBot="1">
      <c r="A429" s="971"/>
      <c r="B429" s="971"/>
      <c r="C429" s="314" t="s">
        <v>2672</v>
      </c>
      <c r="D429" s="322">
        <f>D349</f>
        <v>4</v>
      </c>
      <c r="E429" s="315"/>
      <c r="F429" s="319"/>
      <c r="G429" s="315"/>
      <c r="H429" s="320"/>
      <c r="I429" s="321" t="s">
        <v>2673</v>
      </c>
      <c r="J429" s="322">
        <f>J349</f>
        <v>1</v>
      </c>
      <c r="K429" s="318"/>
    </row>
    <row r="430" spans="1:11">
      <c r="A430" s="971"/>
      <c r="B430" s="971"/>
      <c r="C430" s="323" t="s">
        <v>2958</v>
      </c>
      <c r="D430" s="324"/>
      <c r="E430" s="325" t="s">
        <v>1834</v>
      </c>
      <c r="F430" s="325" t="s">
        <v>1835</v>
      </c>
      <c r="G430" s="325" t="s">
        <v>1836</v>
      </c>
      <c r="H430" s="325" t="s">
        <v>1837</v>
      </c>
      <c r="I430" s="325" t="s">
        <v>1838</v>
      </c>
      <c r="J430" s="325"/>
      <c r="K430" s="326"/>
    </row>
    <row r="431" spans="1:11">
      <c r="A431" s="971"/>
      <c r="B431" s="971"/>
      <c r="C431" s="327" t="str">
        <f t="shared" ref="C431:D441" si="50">C351</f>
        <v>Price</v>
      </c>
      <c r="D431" s="328">
        <f t="shared" si="50"/>
        <v>15</v>
      </c>
      <c r="E431" s="634">
        <f t="shared" ref="E431:I441" si="51">IF(E351=0,0,(E351-($J351/xxNumOfTeams))/$J$362)</f>
        <v>0</v>
      </c>
      <c r="F431" s="635">
        <f t="shared" si="51"/>
        <v>0</v>
      </c>
      <c r="G431" s="635">
        <f t="shared" si="51"/>
        <v>0</v>
      </c>
      <c r="H431" s="635">
        <f t="shared" si="51"/>
        <v>0</v>
      </c>
      <c r="I431" s="636">
        <f t="shared" si="51"/>
        <v>0</v>
      </c>
      <c r="J431" s="331">
        <f>J351</f>
        <v>0</v>
      </c>
      <c r="K431" s="326"/>
    </row>
    <row r="432" spans="1:11">
      <c r="A432" s="971"/>
      <c r="B432" s="971"/>
      <c r="C432" s="327" t="str">
        <f t="shared" si="50"/>
        <v>Range Of Producs</v>
      </c>
      <c r="D432" s="328">
        <f t="shared" si="50"/>
        <v>9</v>
      </c>
      <c r="E432" s="637">
        <f t="shared" si="51"/>
        <v>0</v>
      </c>
      <c r="F432" s="624">
        <f t="shared" si="51"/>
        <v>0</v>
      </c>
      <c r="G432" s="624">
        <f t="shared" si="51"/>
        <v>0</v>
      </c>
      <c r="H432" s="624">
        <f t="shared" si="51"/>
        <v>0</v>
      </c>
      <c r="I432" s="638">
        <f t="shared" si="51"/>
        <v>0</v>
      </c>
      <c r="J432" s="334">
        <f t="shared" ref="J432:J442" si="52">J352</f>
        <v>0</v>
      </c>
      <c r="K432" s="326"/>
    </row>
    <row r="433" spans="1:11">
      <c r="A433" s="971"/>
      <c r="B433" s="971"/>
      <c r="C433" s="327" t="str">
        <f t="shared" si="50"/>
        <v>Brands</v>
      </c>
      <c r="D433" s="328">
        <f t="shared" si="50"/>
        <v>0</v>
      </c>
      <c r="E433" s="637">
        <f t="shared" si="51"/>
        <v>0</v>
      </c>
      <c r="F433" s="624">
        <f t="shared" si="51"/>
        <v>0</v>
      </c>
      <c r="G433" s="624">
        <f t="shared" si="51"/>
        <v>0</v>
      </c>
      <c r="H433" s="624">
        <f t="shared" si="51"/>
        <v>0</v>
      </c>
      <c r="I433" s="638">
        <f t="shared" si="51"/>
        <v>0</v>
      </c>
      <c r="J433" s="334">
        <f t="shared" si="52"/>
        <v>0</v>
      </c>
      <c r="K433" s="326"/>
    </row>
    <row r="434" spans="1:11">
      <c r="A434" s="971"/>
      <c r="B434" s="971"/>
      <c r="C434" s="327" t="str">
        <f t="shared" si="50"/>
        <v>Advertising</v>
      </c>
      <c r="D434" s="328">
        <f t="shared" si="50"/>
        <v>12</v>
      </c>
      <c r="E434" s="637">
        <f t="shared" si="51"/>
        <v>0</v>
      </c>
      <c r="F434" s="624">
        <f t="shared" si="51"/>
        <v>0</v>
      </c>
      <c r="G434" s="624">
        <f t="shared" si="51"/>
        <v>0</v>
      </c>
      <c r="H434" s="624">
        <f t="shared" si="51"/>
        <v>0</v>
      </c>
      <c r="I434" s="638">
        <f t="shared" si="51"/>
        <v>0</v>
      </c>
      <c r="J434" s="334">
        <f t="shared" si="52"/>
        <v>0</v>
      </c>
      <c r="K434" s="326"/>
    </row>
    <row r="435" spans="1:11">
      <c r="A435" s="971"/>
      <c r="B435" s="971"/>
      <c r="C435" s="327" t="str">
        <f t="shared" si="50"/>
        <v>Promotion</v>
      </c>
      <c r="D435" s="328">
        <f t="shared" si="50"/>
        <v>10</v>
      </c>
      <c r="E435" s="637">
        <f t="shared" si="51"/>
        <v>0</v>
      </c>
      <c r="F435" s="624">
        <f t="shared" si="51"/>
        <v>0</v>
      </c>
      <c r="G435" s="624">
        <f t="shared" si="51"/>
        <v>0</v>
      </c>
      <c r="H435" s="624">
        <f t="shared" si="51"/>
        <v>0</v>
      </c>
      <c r="I435" s="638">
        <f t="shared" si="51"/>
        <v>0</v>
      </c>
      <c r="J435" s="334">
        <f t="shared" si="52"/>
        <v>0</v>
      </c>
      <c r="K435" s="326"/>
    </row>
    <row r="436" spans="1:11">
      <c r="A436" s="971"/>
      <c r="B436" s="971"/>
      <c r="C436" s="327" t="str">
        <f t="shared" si="50"/>
        <v>Sales Force</v>
      </c>
      <c r="D436" s="328">
        <f t="shared" si="50"/>
        <v>11</v>
      </c>
      <c r="E436" s="637">
        <f t="shared" si="51"/>
        <v>0</v>
      </c>
      <c r="F436" s="624">
        <f t="shared" si="51"/>
        <v>0</v>
      </c>
      <c r="G436" s="624">
        <f t="shared" si="51"/>
        <v>0</v>
      </c>
      <c r="H436" s="624">
        <f t="shared" si="51"/>
        <v>0</v>
      </c>
      <c r="I436" s="638">
        <f t="shared" si="51"/>
        <v>0</v>
      </c>
      <c r="J436" s="334">
        <f t="shared" si="52"/>
        <v>0</v>
      </c>
      <c r="K436" s="326"/>
    </row>
    <row r="437" spans="1:11">
      <c r="A437" s="971"/>
      <c r="B437" s="971"/>
      <c r="C437" s="327" t="str">
        <f t="shared" si="50"/>
        <v>Driver 7</v>
      </c>
      <c r="D437" s="328">
        <f t="shared" si="50"/>
        <v>0</v>
      </c>
      <c r="E437" s="637">
        <f t="shared" si="51"/>
        <v>0</v>
      </c>
      <c r="F437" s="624">
        <f t="shared" si="51"/>
        <v>0</v>
      </c>
      <c r="G437" s="624">
        <f t="shared" si="51"/>
        <v>0</v>
      </c>
      <c r="H437" s="624">
        <f t="shared" si="51"/>
        <v>0</v>
      </c>
      <c r="I437" s="638">
        <f t="shared" si="51"/>
        <v>0</v>
      </c>
      <c r="J437" s="334">
        <f t="shared" si="52"/>
        <v>0</v>
      </c>
      <c r="K437" s="326"/>
    </row>
    <row r="438" spans="1:11">
      <c r="A438" s="971"/>
      <c r="B438" s="971"/>
      <c r="C438" s="327" t="str">
        <f t="shared" si="50"/>
        <v>Driver 8</v>
      </c>
      <c r="D438" s="328">
        <f t="shared" si="50"/>
        <v>0</v>
      </c>
      <c r="E438" s="637">
        <f t="shared" si="51"/>
        <v>0</v>
      </c>
      <c r="F438" s="624">
        <f t="shared" si="51"/>
        <v>0</v>
      </c>
      <c r="G438" s="624">
        <f t="shared" si="51"/>
        <v>0</v>
      </c>
      <c r="H438" s="624">
        <f t="shared" si="51"/>
        <v>0</v>
      </c>
      <c r="I438" s="638">
        <f t="shared" si="51"/>
        <v>0</v>
      </c>
      <c r="J438" s="334">
        <f t="shared" si="52"/>
        <v>0</v>
      </c>
      <c r="K438" s="326"/>
    </row>
    <row r="439" spans="1:11">
      <c r="A439" s="971"/>
      <c r="B439" s="971"/>
      <c r="C439" s="327" t="str">
        <f t="shared" si="50"/>
        <v>Driver 9</v>
      </c>
      <c r="D439" s="328">
        <f t="shared" si="50"/>
        <v>0</v>
      </c>
      <c r="E439" s="637">
        <f t="shared" si="51"/>
        <v>0</v>
      </c>
      <c r="F439" s="624">
        <f t="shared" si="51"/>
        <v>0</v>
      </c>
      <c r="G439" s="624">
        <f t="shared" si="51"/>
        <v>0</v>
      </c>
      <c r="H439" s="624">
        <f t="shared" si="51"/>
        <v>0</v>
      </c>
      <c r="I439" s="638">
        <f t="shared" si="51"/>
        <v>0</v>
      </c>
      <c r="J439" s="334">
        <f t="shared" si="52"/>
        <v>0</v>
      </c>
      <c r="K439" s="326"/>
    </row>
    <row r="440" spans="1:11">
      <c r="A440" s="971"/>
      <c r="B440" s="971"/>
      <c r="C440" s="327" t="str">
        <f t="shared" si="50"/>
        <v>Driver 10</v>
      </c>
      <c r="D440" s="328">
        <f t="shared" si="50"/>
        <v>0</v>
      </c>
      <c r="E440" s="637">
        <f t="shared" si="51"/>
        <v>0</v>
      </c>
      <c r="F440" s="624">
        <f t="shared" si="51"/>
        <v>0</v>
      </c>
      <c r="G440" s="624">
        <f t="shared" si="51"/>
        <v>0</v>
      </c>
      <c r="H440" s="624">
        <f t="shared" si="51"/>
        <v>0</v>
      </c>
      <c r="I440" s="638">
        <f t="shared" si="51"/>
        <v>0</v>
      </c>
      <c r="J440" s="334">
        <f t="shared" si="52"/>
        <v>0</v>
      </c>
      <c r="K440" s="326"/>
    </row>
    <row r="441" spans="1:11">
      <c r="A441" s="971"/>
      <c r="B441" s="971"/>
      <c r="C441" s="335" t="str">
        <f t="shared" si="50"/>
        <v>Special Programs</v>
      </c>
      <c r="D441" s="328">
        <f t="shared" si="50"/>
        <v>0</v>
      </c>
      <c r="E441" s="639">
        <f t="shared" si="51"/>
        <v>0</v>
      </c>
      <c r="F441" s="640">
        <f t="shared" si="51"/>
        <v>0</v>
      </c>
      <c r="G441" s="640">
        <f t="shared" si="51"/>
        <v>0</v>
      </c>
      <c r="H441" s="640">
        <f t="shared" si="51"/>
        <v>0</v>
      </c>
      <c r="I441" s="641">
        <f t="shared" si="51"/>
        <v>0</v>
      </c>
      <c r="J441" s="334">
        <f t="shared" si="52"/>
        <v>0</v>
      </c>
      <c r="K441" s="326"/>
    </row>
    <row r="442" spans="1:11">
      <c r="A442" s="971"/>
      <c r="B442" s="971"/>
      <c r="C442" s="327" t="str">
        <f>C402</f>
        <v>Total Effect</v>
      </c>
      <c r="D442" s="150"/>
      <c r="E442" s="1232">
        <f>SUM(E431:E441)</f>
        <v>0</v>
      </c>
      <c r="F442" s="1233">
        <f>SUM(F431:F441)</f>
        <v>0</v>
      </c>
      <c r="G442" s="1233">
        <f>SUM(G431:G441)</f>
        <v>0</v>
      </c>
      <c r="H442" s="1233">
        <f>SUM(H431:H441)</f>
        <v>0</v>
      </c>
      <c r="I442" s="1234">
        <f>SUM(I431:I441)</f>
        <v>0</v>
      </c>
      <c r="J442" s="331">
        <f t="shared" si="52"/>
        <v>0</v>
      </c>
      <c r="K442" s="326"/>
    </row>
    <row r="443" spans="1:11" ht="12" thickBot="1">
      <c r="A443" s="971"/>
      <c r="B443" s="971"/>
      <c r="C443" s="327" t="str">
        <f>C403</f>
        <v>Rank</v>
      </c>
      <c r="D443" s="150"/>
      <c r="E443" s="705">
        <f>E403</f>
        <v>1</v>
      </c>
      <c r="F443" s="705">
        <f>F403</f>
        <v>1</v>
      </c>
      <c r="G443" s="705">
        <f>G403</f>
        <v>1</v>
      </c>
      <c r="H443" s="705">
        <f>H403</f>
        <v>1</v>
      </c>
      <c r="I443" s="705">
        <f>I403</f>
        <v>1</v>
      </c>
      <c r="J443" s="684" t="s">
        <v>2227</v>
      </c>
      <c r="K443" s="326"/>
    </row>
    <row r="444" spans="1:11">
      <c r="A444" s="971"/>
      <c r="B444" s="971"/>
      <c r="C444" s="627" t="s">
        <v>3201</v>
      </c>
      <c r="D444" s="628"/>
      <c r="E444" s="666">
        <f t="shared" ref="E444:J444" si="53">E364</f>
        <v>0</v>
      </c>
      <c r="F444" s="666">
        <f t="shared" si="53"/>
        <v>0</v>
      </c>
      <c r="G444" s="666">
        <f t="shared" si="53"/>
        <v>0</v>
      </c>
      <c r="H444" s="666">
        <f t="shared" si="53"/>
        <v>0</v>
      </c>
      <c r="I444" s="666">
        <f t="shared" si="53"/>
        <v>0</v>
      </c>
      <c r="J444" s="648">
        <f t="shared" si="53"/>
        <v>1</v>
      </c>
      <c r="K444" s="630"/>
    </row>
    <row r="445" spans="1:11" ht="12" thickBot="1">
      <c r="A445" s="971"/>
      <c r="B445" s="971"/>
      <c r="C445" s="134" t="s">
        <v>1999</v>
      </c>
      <c r="D445" s="135"/>
      <c r="E445" s="625">
        <f t="shared" ref="E445:J445" si="54">E365</f>
        <v>0.2</v>
      </c>
      <c r="F445" s="625">
        <f t="shared" si="54"/>
        <v>0.2</v>
      </c>
      <c r="G445" s="625">
        <f t="shared" si="54"/>
        <v>0.2</v>
      </c>
      <c r="H445" s="625">
        <f t="shared" si="54"/>
        <v>0.2</v>
      </c>
      <c r="I445" s="625">
        <f t="shared" si="54"/>
        <v>0.2</v>
      </c>
      <c r="J445" s="665">
        <f t="shared" si="54"/>
        <v>0</v>
      </c>
      <c r="K445" s="136"/>
    </row>
    <row r="446" spans="1:11" ht="12" thickBot="1">
      <c r="A446" s="971"/>
      <c r="B446" s="971"/>
      <c r="C446" s="631" t="s">
        <v>2830</v>
      </c>
      <c r="D446" s="371"/>
      <c r="E446" s="665">
        <f t="shared" ref="E446:J446" si="55">E366</f>
        <v>0</v>
      </c>
      <c r="F446" s="665">
        <f t="shared" si="55"/>
        <v>0</v>
      </c>
      <c r="G446" s="665">
        <f t="shared" si="55"/>
        <v>0</v>
      </c>
      <c r="H446" s="665">
        <f t="shared" si="55"/>
        <v>0</v>
      </c>
      <c r="I446" s="665">
        <f t="shared" si="55"/>
        <v>0</v>
      </c>
      <c r="J446" s="633">
        <f t="shared" si="55"/>
        <v>1</v>
      </c>
      <c r="K446" s="136" t="s">
        <v>2327</v>
      </c>
    </row>
  </sheetData>
  <phoneticPr fontId="0" type="noConversion"/>
  <dataValidations count="1">
    <dataValidation type="decimal" allowBlank="1" showInputMessage="1" showErrorMessage="1" sqref="E241:I241 E202:I206 E226:I226 E271:I271 E256:I256">
      <formula1>-1</formula1>
      <formula2>1</formula2>
    </dataValidation>
  </dataValidations>
  <pageMargins left="0.5" right="0.5" top="0.5" bottom="0.5" header="0.5" footer="0.5"/>
  <pageSetup orientation="portrait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MProd3">
    <tabColor indexed="10"/>
  </sheetPr>
  <dimension ref="A1:M329"/>
  <sheetViews>
    <sheetView showGridLines="0" zoomScaleNormal="100" zoomScaleSheetLayoutView="100" workbookViewId="0">
      <pane ySplit="1" topLeftCell="A314" activePane="bottomLeft" state="frozen"/>
      <selection activeCell="C269" sqref="C269:K287"/>
      <selection pane="bottomLeft" activeCell="C269" sqref="C269:K287"/>
    </sheetView>
  </sheetViews>
  <sheetFormatPr defaultRowHeight="11.25"/>
  <cols>
    <col min="1" max="1" width="1.83203125" customWidth="1"/>
    <col min="2" max="2" width="18.5" customWidth="1"/>
    <col min="3" max="3" width="16.5" customWidth="1"/>
    <col min="4" max="4" width="18.5" customWidth="1"/>
    <col min="5" max="5" width="18.6640625" customWidth="1"/>
    <col min="6" max="9" width="16.1640625" bestFit="1" customWidth="1"/>
    <col min="10" max="10" width="17.5" bestFit="1" customWidth="1"/>
    <col min="11" max="11" width="11.5" customWidth="1"/>
    <col min="12" max="12" width="11.1640625" customWidth="1"/>
  </cols>
  <sheetData>
    <row r="1" spans="1:11" s="145" customFormat="1" ht="15.75">
      <c r="A1" s="148" t="str">
        <f>"Market Model "&amp; DataNameProd3</f>
        <v>Market Model NCB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1">
      <c r="A2" s="968"/>
      <c r="B2" s="968"/>
      <c r="C2" s="3"/>
      <c r="D2" s="3"/>
      <c r="E2" s="3"/>
      <c r="F2" s="3"/>
      <c r="G2" s="3"/>
      <c r="H2" s="3"/>
      <c r="I2" s="3"/>
      <c r="J2" s="3"/>
      <c r="K2" s="3"/>
    </row>
    <row r="3" spans="1:11">
      <c r="A3" s="968"/>
      <c r="B3" s="968"/>
      <c r="C3" s="77" t="s">
        <v>1132</v>
      </c>
      <c r="D3" s="2">
        <v>-1</v>
      </c>
      <c r="E3" s="2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3"/>
    </row>
    <row r="4" spans="1:11">
      <c r="A4" s="968"/>
      <c r="B4" s="968"/>
      <c r="C4" s="25" t="str">
        <f>DataNameProd3Seg1</f>
        <v>Vetera</v>
      </c>
      <c r="D4" s="216">
        <f t="shared" ref="D4:J4" si="0">xxMMProd3Seg1Units</f>
        <v>1694800000</v>
      </c>
      <c r="E4" s="216">
        <f t="shared" si="0"/>
        <v>1784000000</v>
      </c>
      <c r="F4" s="216">
        <f t="shared" si="0"/>
        <v>1873200000</v>
      </c>
      <c r="G4" s="216">
        <f t="shared" si="0"/>
        <v>1962400000.0000002</v>
      </c>
      <c r="H4" s="216">
        <f t="shared" si="0"/>
        <v>2051599999.9999998</v>
      </c>
      <c r="I4" s="216">
        <f t="shared" si="0"/>
        <v>2140800000</v>
      </c>
      <c r="J4" s="216">
        <f t="shared" si="0"/>
        <v>0</v>
      </c>
      <c r="K4" s="3"/>
    </row>
    <row r="5" spans="1:11">
      <c r="A5" s="968"/>
      <c r="B5" s="968"/>
      <c r="C5" s="25" t="str">
        <f>DataNameProd3Seg2</f>
        <v>Escendia</v>
      </c>
      <c r="D5" s="216">
        <f t="shared" ref="D5:J5" si="1">xxMMProd3Seg2Units</f>
        <v>1078000000</v>
      </c>
      <c r="E5" s="216">
        <f t="shared" si="1"/>
        <v>1225000000</v>
      </c>
      <c r="F5" s="216">
        <f t="shared" si="1"/>
        <v>1347500000</v>
      </c>
      <c r="G5" s="216">
        <f t="shared" si="1"/>
        <v>1482250000</v>
      </c>
      <c r="H5" s="216">
        <f t="shared" si="1"/>
        <v>1617000000</v>
      </c>
      <c r="I5" s="216">
        <f t="shared" si="1"/>
        <v>1776250000</v>
      </c>
      <c r="J5" s="216">
        <f t="shared" si="1"/>
        <v>0</v>
      </c>
      <c r="K5" s="3"/>
    </row>
    <row r="6" spans="1:11">
      <c r="A6" s="968"/>
      <c r="B6" s="968"/>
      <c r="C6" s="25" t="str">
        <f>DataNameProd3Seg3</f>
        <v>Segment 3</v>
      </c>
      <c r="D6" s="216">
        <f t="shared" ref="D6:J6" si="2">xxMMProd3Seg3Units</f>
        <v>0</v>
      </c>
      <c r="E6" s="216">
        <f t="shared" si="2"/>
        <v>0</v>
      </c>
      <c r="F6" s="216">
        <f t="shared" si="2"/>
        <v>0</v>
      </c>
      <c r="G6" s="216">
        <f t="shared" si="2"/>
        <v>0</v>
      </c>
      <c r="H6" s="216">
        <f t="shared" si="2"/>
        <v>0</v>
      </c>
      <c r="I6" s="216">
        <f t="shared" si="2"/>
        <v>0</v>
      </c>
      <c r="J6" s="216">
        <f t="shared" si="2"/>
        <v>0</v>
      </c>
      <c r="K6" s="3"/>
    </row>
    <row r="7" spans="1:11">
      <c r="A7" s="968"/>
      <c r="B7" s="968"/>
      <c r="C7" s="25" t="str">
        <f>DataNameProd3Seg4</f>
        <v>Segment 4</v>
      </c>
      <c r="D7" s="216">
        <f t="shared" ref="D7:J7" si="3">xxMMProd3Seg4Units</f>
        <v>0</v>
      </c>
      <c r="E7" s="216">
        <f t="shared" si="3"/>
        <v>0</v>
      </c>
      <c r="F7" s="216">
        <f t="shared" si="3"/>
        <v>0</v>
      </c>
      <c r="G7" s="216">
        <f t="shared" si="3"/>
        <v>0</v>
      </c>
      <c r="H7" s="216">
        <f t="shared" si="3"/>
        <v>0</v>
      </c>
      <c r="I7" s="216">
        <f t="shared" si="3"/>
        <v>0</v>
      </c>
      <c r="J7" s="216">
        <f t="shared" si="3"/>
        <v>0</v>
      </c>
      <c r="K7" s="3"/>
    </row>
    <row r="8" spans="1:11">
      <c r="A8" s="968"/>
      <c r="B8" s="968"/>
      <c r="C8" s="25" t="str">
        <f>DataNameProd3Seg5</f>
        <v>Segment 5</v>
      </c>
      <c r="D8" s="216">
        <f t="shared" ref="D8:J8" si="4">xxMMProd3Seg5Units</f>
        <v>0</v>
      </c>
      <c r="E8" s="216">
        <f t="shared" si="4"/>
        <v>0</v>
      </c>
      <c r="F8" s="216">
        <f t="shared" si="4"/>
        <v>0</v>
      </c>
      <c r="G8" s="216">
        <f t="shared" si="4"/>
        <v>0</v>
      </c>
      <c r="H8" s="216">
        <f t="shared" si="4"/>
        <v>0</v>
      </c>
      <c r="I8" s="216">
        <f t="shared" si="4"/>
        <v>0</v>
      </c>
      <c r="J8" s="216">
        <f t="shared" si="4"/>
        <v>0</v>
      </c>
      <c r="K8" s="3"/>
    </row>
    <row r="9" spans="1:11">
      <c r="A9" s="968"/>
      <c r="B9" s="968"/>
      <c r="C9" s="3"/>
      <c r="D9" s="85"/>
      <c r="E9" s="85"/>
      <c r="F9" s="85"/>
      <c r="G9" s="85"/>
      <c r="H9" s="85"/>
      <c r="I9" s="85"/>
      <c r="J9" s="85"/>
      <c r="K9" s="3"/>
    </row>
    <row r="10" spans="1:11">
      <c r="A10" s="968"/>
      <c r="B10" s="968"/>
      <c r="C10" s="2" t="s">
        <v>2671</v>
      </c>
      <c r="D10" s="279">
        <v>2</v>
      </c>
      <c r="E10" s="280" t="s">
        <v>2325</v>
      </c>
      <c r="F10" s="3"/>
      <c r="G10" s="3"/>
      <c r="H10" s="3"/>
      <c r="I10" s="3"/>
      <c r="J10" s="3"/>
      <c r="K10" s="3"/>
    </row>
    <row r="11" spans="1:11">
      <c r="A11" s="968"/>
      <c r="B11" s="968"/>
      <c r="C11" s="2"/>
      <c r="D11" s="88"/>
      <c r="E11" s="3"/>
      <c r="F11" s="3"/>
      <c r="G11" s="3"/>
      <c r="H11" s="3"/>
      <c r="I11" s="3"/>
      <c r="J11" s="3"/>
      <c r="K11" s="3"/>
    </row>
    <row r="12" spans="1:11" ht="12" thickBot="1">
      <c r="A12" s="968"/>
      <c r="B12" s="968"/>
      <c r="C12" s="2" t="s">
        <v>3788</v>
      </c>
      <c r="D12" s="3"/>
      <c r="E12" s="3"/>
      <c r="F12" s="3"/>
      <c r="G12" s="3"/>
      <c r="H12" s="3"/>
      <c r="I12" s="3"/>
      <c r="J12" s="3"/>
      <c r="K12" s="3"/>
    </row>
    <row r="13" spans="1:11" ht="12" thickBot="1">
      <c r="A13" s="968"/>
      <c r="B13" s="968"/>
      <c r="C13" s="276" t="str">
        <f>C4</f>
        <v>Vetera</v>
      </c>
      <c r="D13" s="270">
        <f>INDEX($D4:$J4,xxYear+2)</f>
        <v>1873200000</v>
      </c>
      <c r="E13" s="3"/>
      <c r="F13" s="3"/>
      <c r="G13" s="3"/>
      <c r="H13" s="3"/>
      <c r="I13" s="3"/>
      <c r="J13" s="3"/>
      <c r="K13" s="3"/>
    </row>
    <row r="14" spans="1:11" ht="12" thickBot="1">
      <c r="A14" s="968"/>
      <c r="B14" s="968"/>
      <c r="C14" s="276" t="str">
        <f>C5</f>
        <v>Escendia</v>
      </c>
      <c r="D14" s="270">
        <f>INDEX($D5:$J5,xxYear+2)</f>
        <v>1347500000</v>
      </c>
      <c r="E14" s="3"/>
      <c r="F14" s="3"/>
      <c r="G14" s="3"/>
      <c r="H14" s="3"/>
      <c r="I14" s="3"/>
      <c r="J14" s="3"/>
      <c r="K14" s="3"/>
    </row>
    <row r="15" spans="1:11" ht="12" thickBot="1">
      <c r="A15" s="968"/>
      <c r="B15" s="968"/>
      <c r="C15" s="276" t="str">
        <f>C6</f>
        <v>Segment 3</v>
      </c>
      <c r="D15" s="270">
        <f>INDEX($D6:$J6,xxYear+2)</f>
        <v>0</v>
      </c>
      <c r="E15" s="3"/>
      <c r="F15" s="3"/>
      <c r="G15" s="3"/>
      <c r="H15" s="3"/>
      <c r="I15" s="3"/>
      <c r="J15" s="3"/>
      <c r="K15" s="3"/>
    </row>
    <row r="16" spans="1:11" ht="12" thickBot="1">
      <c r="A16" s="968"/>
      <c r="B16" s="968"/>
      <c r="C16" s="276" t="str">
        <f>C7</f>
        <v>Segment 4</v>
      </c>
      <c r="D16" s="270">
        <f>INDEX($D7:$J7,xxYear+2)</f>
        <v>0</v>
      </c>
      <c r="E16" s="3"/>
      <c r="F16" s="3"/>
      <c r="G16" s="3"/>
      <c r="H16" s="3"/>
      <c r="I16" s="3"/>
      <c r="J16" s="3"/>
      <c r="K16" s="3"/>
    </row>
    <row r="17" spans="1:13" ht="12" thickBot="1">
      <c r="A17" s="968"/>
      <c r="B17" s="968"/>
      <c r="C17" s="276" t="str">
        <f>C8</f>
        <v>Segment 5</v>
      </c>
      <c r="D17" s="270">
        <f>INDEX($D8:$J8,xxYear+2)</f>
        <v>0</v>
      </c>
      <c r="E17" s="3"/>
      <c r="F17" s="3"/>
      <c r="G17" s="3"/>
      <c r="H17" s="3"/>
      <c r="I17" s="3"/>
      <c r="J17" s="3"/>
      <c r="K17" s="3"/>
    </row>
    <row r="18" spans="1:13" ht="12" thickBot="1">
      <c r="A18" s="968"/>
      <c r="B18" s="968"/>
      <c r="C18" s="269"/>
      <c r="D18" s="271"/>
      <c r="E18" s="3"/>
      <c r="F18" s="3"/>
      <c r="G18" s="3"/>
      <c r="H18" s="3"/>
      <c r="I18" s="3"/>
      <c r="J18" s="3"/>
      <c r="K18" s="3"/>
    </row>
    <row r="19" spans="1:13" ht="12" thickBot="1">
      <c r="A19" s="968"/>
      <c r="B19" s="968"/>
      <c r="C19" s="2" t="s">
        <v>3749</v>
      </c>
      <c r="D19" s="270">
        <f>SUM(D13:D17)</f>
        <v>3220700000</v>
      </c>
      <c r="E19" s="3"/>
      <c r="F19" s="3"/>
      <c r="G19" s="3"/>
      <c r="H19" s="3"/>
      <c r="I19" s="3"/>
      <c r="J19" s="3"/>
    </row>
    <row r="20" spans="1:13" ht="12" thickBot="1">
      <c r="A20" s="968"/>
      <c r="B20" s="968"/>
      <c r="C20" s="2"/>
      <c r="D20" s="2"/>
      <c r="E20" s="2"/>
      <c r="F20" s="3"/>
      <c r="G20" s="3"/>
      <c r="H20" s="3"/>
      <c r="I20" s="3"/>
      <c r="J20" s="3"/>
      <c r="K20" s="3"/>
    </row>
    <row r="21" spans="1:13" ht="12" thickBot="1">
      <c r="A21" s="968"/>
      <c r="B21" s="968"/>
      <c r="C21" s="2" t="s">
        <v>3753</v>
      </c>
      <c r="D21" s="278">
        <f>COUNTIF(D13:D18,"&gt;0")</f>
        <v>2</v>
      </c>
      <c r="E21" s="281" t="s">
        <v>2326</v>
      </c>
      <c r="F21" s="85"/>
      <c r="G21" s="85"/>
      <c r="H21" s="85"/>
      <c r="I21" s="85"/>
      <c r="J21" s="85"/>
    </row>
    <row r="22" spans="1:13" ht="12" thickBot="1">
      <c r="A22" s="968"/>
      <c r="B22" s="968"/>
      <c r="C22" s="2" t="s">
        <v>23</v>
      </c>
      <c r="D22" s="278" t="str">
        <f>INDEX(C13:C18,MMSegCurrent)</f>
        <v>Escendia</v>
      </c>
      <c r="E22" s="281" t="s">
        <v>22</v>
      </c>
      <c r="F22" s="85"/>
      <c r="G22" s="85"/>
      <c r="H22" s="85"/>
      <c r="I22" s="85"/>
      <c r="J22" s="85"/>
    </row>
    <row r="23" spans="1:13">
      <c r="A23" s="968"/>
      <c r="B23" s="968"/>
      <c r="C23" s="2"/>
      <c r="D23" s="151"/>
      <c r="E23" s="85"/>
      <c r="F23" s="85"/>
      <c r="G23" s="85"/>
      <c r="H23" s="85"/>
      <c r="I23" s="85"/>
      <c r="J23" s="85"/>
    </row>
    <row r="24" spans="1:13">
      <c r="A24" s="968"/>
      <c r="B24" s="968"/>
      <c r="C24" s="34" t="s">
        <v>61</v>
      </c>
      <c r="D24" s="35"/>
      <c r="E24" s="277" t="b">
        <v>1</v>
      </c>
      <c r="F24" s="277" t="b">
        <v>1</v>
      </c>
      <c r="G24" s="277" t="b">
        <v>1</v>
      </c>
      <c r="H24" s="277" t="b">
        <v>1</v>
      </c>
      <c r="I24" s="277" t="b">
        <v>1</v>
      </c>
      <c r="J24" s="36">
        <f>COUNTIF(E24:I24,TRUE)</f>
        <v>5</v>
      </c>
      <c r="K24" s="3" t="s">
        <v>2331</v>
      </c>
    </row>
    <row r="25" spans="1:13">
      <c r="A25" s="968"/>
      <c r="B25" s="968"/>
      <c r="C25" s="2"/>
      <c r="D25" s="151"/>
      <c r="E25" s="85"/>
      <c r="F25" s="85"/>
      <c r="G25" s="85"/>
      <c r="H25" s="85"/>
      <c r="I25" s="85"/>
      <c r="J25" s="85"/>
    </row>
    <row r="26" spans="1:13">
      <c r="A26" s="968"/>
      <c r="B26" s="969" t="s">
        <v>2380</v>
      </c>
      <c r="C26" s="230" t="str">
        <f>xxMMProd1Driver1&amp;" - "&amp;DataNameProd1Seg1</f>
        <v>Price - Vetera</v>
      </c>
      <c r="D26" s="231"/>
      <c r="E26" s="217">
        <f>capProd3Reg1Price</f>
        <v>15</v>
      </c>
      <c r="F26" s="217">
        <f>capProd3Reg1Price</f>
        <v>15</v>
      </c>
      <c r="G26" s="217">
        <f>capProd3Reg1Price</f>
        <v>15</v>
      </c>
      <c r="H26" s="217">
        <f>capProd3Reg1Price</f>
        <v>15</v>
      </c>
      <c r="I26" s="217">
        <f>capProd3Reg1Price</f>
        <v>15</v>
      </c>
      <c r="J26" s="154"/>
      <c r="L26" s="240" t="s">
        <v>3209</v>
      </c>
      <c r="M26" s="240" t="s">
        <v>3210</v>
      </c>
    </row>
    <row r="27" spans="1:13">
      <c r="A27" s="969" t="s">
        <v>166</v>
      </c>
      <c r="B27" s="970">
        <f>E160</f>
        <v>30</v>
      </c>
      <c r="C27" s="349" t="str">
        <f>xxMMProd1Driver1&amp;" - "&amp;DataNameProd1Seg2</f>
        <v>Price - Escendia</v>
      </c>
      <c r="D27" s="177"/>
      <c r="E27" s="228">
        <f>capProd3Reg2Price</f>
        <v>10</v>
      </c>
      <c r="F27" s="228">
        <f>capProd3Reg2Price</f>
        <v>10</v>
      </c>
      <c r="G27" s="228">
        <f>capProd3Reg2Price</f>
        <v>10</v>
      </c>
      <c r="H27" s="228">
        <f>capProd3Reg2Price</f>
        <v>10</v>
      </c>
      <c r="I27" s="228">
        <f>capProd3Reg2Price</f>
        <v>10</v>
      </c>
      <c r="J27" s="333"/>
      <c r="K27" s="241">
        <v>0</v>
      </c>
      <c r="L27" s="14">
        <f t="shared" ref="L27:L33" si="5">K27*$J$32</f>
        <v>0</v>
      </c>
      <c r="M27" s="261">
        <f t="shared" ref="M27:M33" si="6">1-NORMDIST(L27,$J$32,$D$32,TRUE)</f>
        <v>1</v>
      </c>
    </row>
    <row r="28" spans="1:13">
      <c r="A28" s="969" t="s">
        <v>167</v>
      </c>
      <c r="B28" s="970">
        <f>F160</f>
        <v>50</v>
      </c>
      <c r="C28" s="349"/>
      <c r="D28" s="177"/>
      <c r="E28" s="228"/>
      <c r="F28" s="228"/>
      <c r="G28" s="228"/>
      <c r="H28" s="228"/>
      <c r="I28" s="228"/>
      <c r="J28" s="333"/>
      <c r="K28" s="241">
        <v>0.33</v>
      </c>
      <c r="L28" s="14">
        <f t="shared" si="5"/>
        <v>3.3000000000000003</v>
      </c>
      <c r="M28" s="261">
        <f t="shared" si="6"/>
        <v>0.999999999989579</v>
      </c>
    </row>
    <row r="29" spans="1:13">
      <c r="A29" s="968"/>
      <c r="B29" s="968"/>
      <c r="C29" s="37" t="s">
        <v>62</v>
      </c>
      <c r="D29" s="41"/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0"/>
      <c r="K29" s="241">
        <v>0.66</v>
      </c>
      <c r="L29" s="14">
        <f t="shared" si="5"/>
        <v>6.6000000000000005</v>
      </c>
      <c r="M29" s="261">
        <f t="shared" si="6"/>
        <v>0.99966307073432314</v>
      </c>
    </row>
    <row r="30" spans="1:13">
      <c r="A30" s="968"/>
      <c r="B30" s="968"/>
      <c r="C30" s="37" t="s">
        <v>63</v>
      </c>
      <c r="D30" s="41">
        <v>0.1</v>
      </c>
      <c r="E30" s="42">
        <f>INDEX(E26:E27,MMSegCurrent)</f>
        <v>10</v>
      </c>
      <c r="F30" s="42">
        <f>INDEX(F26:F27,MMSegCurrent)</f>
        <v>10</v>
      </c>
      <c r="G30" s="42">
        <f>INDEX(G26:G27,MMSegCurrent)</f>
        <v>10</v>
      </c>
      <c r="H30" s="42">
        <f>INDEX(H26:H27,MMSegCurrent)</f>
        <v>10</v>
      </c>
      <c r="I30" s="42">
        <f>INDEX(I26:I27,MMSegCurrent)</f>
        <v>10</v>
      </c>
      <c r="J30" s="40"/>
      <c r="K30" s="241">
        <v>1</v>
      </c>
      <c r="L30" s="14">
        <f t="shared" si="5"/>
        <v>10</v>
      </c>
      <c r="M30" s="261">
        <f t="shared" si="6"/>
        <v>0.5</v>
      </c>
    </row>
    <row r="31" spans="1:13">
      <c r="A31" s="968"/>
      <c r="B31" s="968"/>
      <c r="C31" s="37" t="s">
        <v>965</v>
      </c>
      <c r="D31" s="48">
        <v>2</v>
      </c>
      <c r="E31" s="39">
        <f>IF(MMInMarket=TRUE,E30,0)</f>
        <v>10</v>
      </c>
      <c r="F31" s="39">
        <f>IF(MMInMarket=TRUE,F30,0)</f>
        <v>10</v>
      </c>
      <c r="G31" s="39">
        <f>IF(MMInMarket=TRUE,G30,0)</f>
        <v>10</v>
      </c>
      <c r="H31" s="39">
        <f>IF(MMInMarket=TRUE,H30,0)</f>
        <v>10</v>
      </c>
      <c r="I31" s="39">
        <f>IF(MMInMarket=TRUE,I30,0)</f>
        <v>10</v>
      </c>
      <c r="J31" s="40"/>
      <c r="K31" s="241">
        <v>1.33</v>
      </c>
      <c r="L31" s="14">
        <f t="shared" si="5"/>
        <v>13.3</v>
      </c>
      <c r="M31" s="261">
        <f t="shared" si="6"/>
        <v>4.8342414238378151E-4</v>
      </c>
    </row>
    <row r="32" spans="1:13">
      <c r="A32" s="968"/>
      <c r="B32" s="968"/>
      <c r="C32" s="43" t="s">
        <v>966</v>
      </c>
      <c r="D32" s="42">
        <f>STDEVP(E31:I31)*D31+(STDEVP(E31:I31)=0)</f>
        <v>1</v>
      </c>
      <c r="E32" s="71">
        <f>IF(E31=0,0,(1-NORMDIST(E31,$J32,$D32,TRUE)))*(MMInMarket=TRUE)</f>
        <v>0.5</v>
      </c>
      <c r="F32" s="71">
        <f>IF(F31=0,0,(1-NORMDIST(F31,$J32,$D32,TRUE)))*(MMInMarket=TRUE)</f>
        <v>0.5</v>
      </c>
      <c r="G32" s="71">
        <f>IF(G31=0,0,(1-NORMDIST(G31,$J32,$D32,TRUE)))*(MMInMarket=TRUE)</f>
        <v>0.5</v>
      </c>
      <c r="H32" s="71">
        <f>IF(H31=0,0,(1-NORMDIST(H31,$J32,$D32,TRUE)))*(MMInMarket=TRUE)</f>
        <v>0.5</v>
      </c>
      <c r="I32" s="71">
        <f>IF(I31=0,0,(1-NORMDIST(I31,$J32,$D32,TRUE)))*(MMInMarket=TRUE)</f>
        <v>0.5</v>
      </c>
      <c r="J32" s="201">
        <f>IF($J$24=0,0,SUM(E31:I31)/$J$24)</f>
        <v>10</v>
      </c>
      <c r="K32" s="241">
        <v>1.66</v>
      </c>
      <c r="L32" s="14">
        <f t="shared" si="5"/>
        <v>16.599999999999998</v>
      </c>
      <c r="M32" s="261">
        <f t="shared" si="6"/>
        <v>2.0557888724681561E-11</v>
      </c>
    </row>
    <row r="33" spans="1:13">
      <c r="A33" s="968"/>
      <c r="B33" s="968"/>
      <c r="C33" s="2"/>
      <c r="D33" s="39"/>
      <c r="E33" s="3"/>
      <c r="F33" s="3"/>
      <c r="G33" s="3"/>
      <c r="H33" s="3"/>
      <c r="I33" s="3"/>
      <c r="J33" s="3"/>
      <c r="K33" s="241">
        <v>2</v>
      </c>
      <c r="L33" s="14">
        <f t="shared" si="5"/>
        <v>20</v>
      </c>
      <c r="M33" s="261">
        <f t="shared" si="6"/>
        <v>0</v>
      </c>
    </row>
    <row r="34" spans="1:13">
      <c r="A34" s="968"/>
      <c r="B34" s="968"/>
      <c r="C34" s="2"/>
      <c r="D34" s="39"/>
      <c r="E34" s="3"/>
      <c r="F34" s="3"/>
      <c r="G34" s="3"/>
      <c r="H34" s="3"/>
      <c r="I34" s="3"/>
      <c r="J34" s="3"/>
      <c r="L34" s="14"/>
      <c r="M34" s="241"/>
    </row>
    <row r="35" spans="1:13">
      <c r="A35" s="968"/>
      <c r="B35" s="968"/>
      <c r="C35" s="2"/>
      <c r="D35" s="39"/>
      <c r="E35" s="3"/>
      <c r="F35" s="3"/>
      <c r="G35" s="3"/>
      <c r="H35" s="3"/>
      <c r="I35" s="3"/>
      <c r="J35" s="3"/>
    </row>
    <row r="36" spans="1:13">
      <c r="A36" s="968"/>
      <c r="B36" s="968"/>
      <c r="C36" s="2"/>
      <c r="D36" s="39"/>
      <c r="E36" s="3"/>
      <c r="F36" s="3"/>
      <c r="G36" s="3"/>
      <c r="H36" s="3"/>
      <c r="I36" s="3"/>
      <c r="J36" s="3"/>
    </row>
    <row r="37" spans="1:13">
      <c r="A37" s="968"/>
      <c r="B37" s="968"/>
      <c r="C37" s="2"/>
      <c r="D37" s="39"/>
      <c r="E37" s="3"/>
      <c r="F37" s="3"/>
      <c r="G37" s="3"/>
      <c r="H37" s="3"/>
      <c r="I37" s="3"/>
      <c r="J37" s="3"/>
    </row>
    <row r="38" spans="1:13">
      <c r="A38" s="968"/>
      <c r="B38" s="968"/>
      <c r="C38" s="2"/>
      <c r="D38" s="39"/>
      <c r="E38" s="38"/>
      <c r="F38" s="38"/>
      <c r="G38" s="38"/>
      <c r="H38" s="38"/>
      <c r="I38" s="38"/>
      <c r="J38" s="38"/>
      <c r="L38" s="240" t="s">
        <v>3209</v>
      </c>
      <c r="M38" s="240" t="s">
        <v>3210</v>
      </c>
    </row>
    <row r="39" spans="1:13">
      <c r="A39" s="968"/>
      <c r="B39" s="968"/>
      <c r="C39" s="2"/>
      <c r="D39" s="39"/>
      <c r="E39" s="38"/>
      <c r="F39" s="38"/>
      <c r="G39" s="38"/>
      <c r="H39" s="38"/>
      <c r="I39" s="38"/>
      <c r="J39" s="38"/>
      <c r="K39" s="241">
        <v>0</v>
      </c>
      <c r="L39" s="14">
        <f t="shared" ref="L39:L45" si="7">K39*$J$44</f>
        <v>0</v>
      </c>
      <c r="M39" s="261">
        <f t="shared" ref="M39:M45" si="8">NORMDIST(L39,$J$44,$D$44,TRUE)</f>
        <v>3.1671241833119857E-5</v>
      </c>
    </row>
    <row r="40" spans="1:13">
      <c r="A40" s="971"/>
      <c r="B40" s="969" t="s">
        <v>2381</v>
      </c>
      <c r="C40" s="230" t="str">
        <f>xxMMProd3Driver2</f>
        <v>Range Of Products</v>
      </c>
      <c r="D40" s="231"/>
      <c r="E40" s="218">
        <f>capProd3Ftr4Level</f>
        <v>4</v>
      </c>
      <c r="F40" s="218">
        <f>capProd3Ftr4Level</f>
        <v>4</v>
      </c>
      <c r="G40" s="218">
        <f>capProd3Ftr4Level</f>
        <v>4</v>
      </c>
      <c r="H40" s="218">
        <f>capProd3Ftr4Level</f>
        <v>4</v>
      </c>
      <c r="I40" s="218">
        <f>capProd3Ftr4Level</f>
        <v>4</v>
      </c>
      <c r="J40" s="154"/>
      <c r="K40" s="241">
        <v>0.33</v>
      </c>
      <c r="L40" s="14">
        <f t="shared" si="7"/>
        <v>1.32</v>
      </c>
      <c r="M40" s="261">
        <f t="shared" si="8"/>
        <v>3.6811080091749822E-3</v>
      </c>
    </row>
    <row r="41" spans="1:13">
      <c r="A41" s="969" t="s">
        <v>166</v>
      </c>
      <c r="B41" s="970">
        <f>E161</f>
        <v>7</v>
      </c>
      <c r="C41" s="37"/>
      <c r="D41" s="38"/>
      <c r="E41" s="39"/>
      <c r="F41" s="39"/>
      <c r="G41" s="39"/>
      <c r="H41" s="39"/>
      <c r="I41" s="39"/>
      <c r="J41" s="40"/>
      <c r="K41" s="241">
        <v>0.66</v>
      </c>
      <c r="L41" s="14">
        <f t="shared" si="7"/>
        <v>2.64</v>
      </c>
      <c r="M41" s="261">
        <f t="shared" si="8"/>
        <v>8.6914961947085034E-2</v>
      </c>
    </row>
    <row r="42" spans="1:13">
      <c r="A42" s="969" t="s">
        <v>167</v>
      </c>
      <c r="B42" s="970">
        <f>F161</f>
        <v>8</v>
      </c>
      <c r="C42" s="37" t="s">
        <v>1137</v>
      </c>
      <c r="D42" s="38"/>
      <c r="E42" s="87">
        <f>E40</f>
        <v>4</v>
      </c>
      <c r="F42" s="87">
        <f>F40</f>
        <v>4</v>
      </c>
      <c r="G42" s="87">
        <f>G40</f>
        <v>4</v>
      </c>
      <c r="H42" s="87">
        <f>H40</f>
        <v>4</v>
      </c>
      <c r="I42" s="87">
        <f>I40</f>
        <v>4</v>
      </c>
      <c r="J42" s="40"/>
      <c r="K42" s="241">
        <v>1</v>
      </c>
      <c r="L42" s="14">
        <f t="shared" si="7"/>
        <v>4</v>
      </c>
      <c r="M42" s="261">
        <f t="shared" si="8"/>
        <v>0.5</v>
      </c>
    </row>
    <row r="43" spans="1:13">
      <c r="A43" s="971"/>
      <c r="B43" s="971"/>
      <c r="C43" s="37" t="s">
        <v>965</v>
      </c>
      <c r="D43" s="48">
        <v>2</v>
      </c>
      <c r="E43" s="39">
        <f>IF(MMInMarket=TRUE,E42,0)</f>
        <v>4</v>
      </c>
      <c r="F43" s="39">
        <f>IF(MMInMarket=TRUE,F42,0)</f>
        <v>4</v>
      </c>
      <c r="G43" s="39">
        <f>IF(MMInMarket=TRUE,G42,0)</f>
        <v>4</v>
      </c>
      <c r="H43" s="39">
        <f>IF(MMInMarket=TRUE,H42,0)</f>
        <v>4</v>
      </c>
      <c r="I43" s="39">
        <f>IF(MMInMarket=TRUE,I42,0)</f>
        <v>4</v>
      </c>
      <c r="J43" s="40"/>
      <c r="K43" s="241">
        <v>1.33</v>
      </c>
      <c r="L43" s="14">
        <f t="shared" si="7"/>
        <v>5.32</v>
      </c>
      <c r="M43" s="261">
        <f t="shared" si="8"/>
        <v>0.90658249100652832</v>
      </c>
    </row>
    <row r="44" spans="1:13">
      <c r="A44" s="971"/>
      <c r="B44" s="971"/>
      <c r="C44" s="43" t="s">
        <v>967</v>
      </c>
      <c r="D44" s="42">
        <f>STDEVP(E43:I43)*D43+(STDEVP(E43:I43)=0)</f>
        <v>1</v>
      </c>
      <c r="E44" s="71">
        <f>IF(E43=0,0,NORMDIST(E43,$J44,$D44,TRUE))*(MMInMarket=TRUE)</f>
        <v>0.5</v>
      </c>
      <c r="F44" s="71">
        <f>IF(F43=0,0,NORMDIST(F43,$J44,$D44,TRUE))*(MMInMarket=TRUE)</f>
        <v>0.5</v>
      </c>
      <c r="G44" s="71">
        <f>IF(G43=0,0,NORMDIST(G43,$J44,$D44,TRUE))*(MMInMarket=TRUE)</f>
        <v>0.5</v>
      </c>
      <c r="H44" s="71">
        <f>IF(H43=0,0,NORMDIST(H43,$J44,$D44,TRUE))*(MMInMarket=TRUE)</f>
        <v>0.5</v>
      </c>
      <c r="I44" s="71">
        <f>IF(I43=0,0,NORMDIST(I43,$J44,$D44,TRUE))*(MMInMarket=TRUE)</f>
        <v>0.5</v>
      </c>
      <c r="J44" s="201">
        <f>IF($J$24=0,0,SUM(E43:I43)/$J$24)</f>
        <v>4</v>
      </c>
      <c r="K44" s="241">
        <v>1.66</v>
      </c>
      <c r="L44" s="14">
        <f t="shared" si="7"/>
        <v>6.64</v>
      </c>
      <c r="M44" s="261">
        <f t="shared" si="8"/>
        <v>0.99585469863896392</v>
      </c>
    </row>
    <row r="45" spans="1:13">
      <c r="A45" s="968"/>
      <c r="B45" s="971"/>
      <c r="C45" s="2"/>
      <c r="D45" s="39"/>
      <c r="E45" s="3"/>
      <c r="F45" s="3"/>
      <c r="G45" s="3"/>
      <c r="H45" s="3"/>
      <c r="I45" s="3"/>
      <c r="J45" s="3"/>
      <c r="K45" s="241">
        <v>2</v>
      </c>
      <c r="L45" s="14">
        <f t="shared" si="7"/>
        <v>8</v>
      </c>
      <c r="M45" s="261">
        <f t="shared" si="8"/>
        <v>0.99996832875816688</v>
      </c>
    </row>
    <row r="46" spans="1:13">
      <c r="A46" s="968"/>
      <c r="B46" s="971"/>
      <c r="C46" s="2"/>
      <c r="D46" s="39"/>
      <c r="E46" s="3"/>
      <c r="F46" s="3"/>
      <c r="G46" s="3"/>
      <c r="H46" s="3"/>
      <c r="I46" s="3"/>
      <c r="J46" s="3"/>
      <c r="L46" s="14"/>
      <c r="M46" s="241"/>
    </row>
    <row r="47" spans="1:13">
      <c r="A47" s="968"/>
      <c r="B47" s="971"/>
      <c r="C47" s="2"/>
      <c r="D47" s="39"/>
      <c r="E47" s="3"/>
      <c r="F47" s="3"/>
      <c r="G47" s="3"/>
      <c r="H47" s="3"/>
      <c r="I47" s="3"/>
      <c r="J47" s="3"/>
    </row>
    <row r="48" spans="1:13">
      <c r="A48" s="968"/>
      <c r="B48" s="971"/>
      <c r="C48" s="2"/>
      <c r="D48" s="39"/>
      <c r="E48" s="3"/>
      <c r="F48" s="3"/>
      <c r="G48" s="3"/>
      <c r="H48" s="3"/>
      <c r="I48" s="3"/>
      <c r="J48" s="3"/>
    </row>
    <row r="49" spans="1:13">
      <c r="A49" s="968"/>
      <c r="B49" s="968"/>
      <c r="C49" s="2"/>
      <c r="D49" s="39"/>
      <c r="E49" s="3"/>
      <c r="F49" s="3"/>
      <c r="G49" s="3"/>
      <c r="H49" s="3"/>
      <c r="I49" s="3"/>
      <c r="J49" s="3"/>
    </row>
    <row r="50" spans="1:13">
      <c r="A50" s="968"/>
      <c r="B50" s="968"/>
      <c r="C50" s="2"/>
      <c r="D50" s="39"/>
      <c r="E50" s="3"/>
      <c r="F50" s="3"/>
      <c r="G50" s="3"/>
      <c r="H50" s="3"/>
      <c r="I50" s="3"/>
      <c r="J50" s="3"/>
    </row>
    <row r="51" spans="1:13">
      <c r="A51" s="968"/>
      <c r="B51" s="968"/>
      <c r="C51" s="2"/>
      <c r="D51" s="39"/>
      <c r="E51" s="3"/>
      <c r="F51" s="3"/>
      <c r="G51" s="3"/>
      <c r="H51" s="3"/>
      <c r="I51" s="3"/>
      <c r="J51" s="3"/>
    </row>
    <row r="52" spans="1:13">
      <c r="A52" s="971"/>
      <c r="B52" s="969" t="s">
        <v>2315</v>
      </c>
      <c r="C52" s="230" t="str">
        <f>xxMMProd3Driver3</f>
        <v>Brands</v>
      </c>
      <c r="D52" s="231"/>
      <c r="E52" s="218"/>
      <c r="F52" s="218"/>
      <c r="G52" s="218"/>
      <c r="H52" s="218"/>
      <c r="I52" s="218"/>
      <c r="J52" s="594" t="s">
        <v>2227</v>
      </c>
    </row>
    <row r="53" spans="1:13">
      <c r="A53" s="969" t="s">
        <v>166</v>
      </c>
      <c r="B53" s="970">
        <f>E162</f>
        <v>0</v>
      </c>
      <c r="C53" s="349" t="s">
        <v>2226</v>
      </c>
      <c r="D53" s="177"/>
      <c r="E53" s="596">
        <f>decProd3Ftr1Level*$J$53</f>
        <v>0</v>
      </c>
      <c r="F53" s="596">
        <f>decProd3Ftr1Level*$J$53</f>
        <v>0</v>
      </c>
      <c r="G53" s="596">
        <f>decProd3Ftr1Level*$J$53</f>
        <v>0</v>
      </c>
      <c r="H53" s="596">
        <f>decProd3Ftr1Level*$J$53</f>
        <v>0</v>
      </c>
      <c r="I53" s="596">
        <f>decProd3Ftr1Level*$J$53</f>
        <v>0</v>
      </c>
      <c r="J53" s="595">
        <v>1</v>
      </c>
      <c r="L53" s="240" t="s">
        <v>3209</v>
      </c>
      <c r="M53" s="240" t="s">
        <v>3210</v>
      </c>
    </row>
    <row r="54" spans="1:13">
      <c r="A54" s="969" t="s">
        <v>167</v>
      </c>
      <c r="B54" s="970">
        <f>F162</f>
        <v>0</v>
      </c>
      <c r="C54" s="349" t="s">
        <v>1055</v>
      </c>
      <c r="D54" s="177"/>
      <c r="E54" s="596">
        <f>decProd3Ftr2Level*$J$54</f>
        <v>0</v>
      </c>
      <c r="F54" s="596">
        <f>decProd3Ftr2Level*$J$54</f>
        <v>0</v>
      </c>
      <c r="G54" s="596">
        <f>decProd3Ftr2Level*$J$54</f>
        <v>0</v>
      </c>
      <c r="H54" s="596">
        <f>decProd3Ftr2Level*$J$54</f>
        <v>0</v>
      </c>
      <c r="I54" s="596">
        <f>decProd3Ftr2Level*$J$54</f>
        <v>0</v>
      </c>
      <c r="J54" s="595">
        <v>1</v>
      </c>
      <c r="K54" s="241">
        <v>0</v>
      </c>
      <c r="L54" s="14">
        <f t="shared" ref="L54:L60" si="9">K54*$J$59</f>
        <v>0</v>
      </c>
      <c r="M54" s="261">
        <f t="shared" ref="M54:M60" si="10">NORMDIST(L54,$J$59,$D$59,TRUE)</f>
        <v>2.2750131948179191E-2</v>
      </c>
    </row>
    <row r="55" spans="1:13">
      <c r="A55" s="971"/>
      <c r="B55" s="971"/>
      <c r="C55" s="600" t="s">
        <v>2228</v>
      </c>
      <c r="D55" s="601"/>
      <c r="E55" s="602">
        <v>2</v>
      </c>
      <c r="F55" s="602">
        <v>2</v>
      </c>
      <c r="G55" s="602">
        <v>2</v>
      </c>
      <c r="H55" s="602">
        <v>2</v>
      </c>
      <c r="I55" s="602">
        <v>2</v>
      </c>
      <c r="J55" s="595">
        <v>2</v>
      </c>
      <c r="K55" s="241">
        <v>0.33</v>
      </c>
      <c r="L55" s="14">
        <f t="shared" si="9"/>
        <v>0.66</v>
      </c>
      <c r="M55" s="261">
        <f t="shared" si="10"/>
        <v>9.0122672464452477E-2</v>
      </c>
    </row>
    <row r="56" spans="1:13">
      <c r="A56" s="971"/>
      <c r="B56" s="971"/>
      <c r="C56" s="37"/>
      <c r="D56" s="38"/>
      <c r="E56" s="39"/>
      <c r="F56" s="39"/>
      <c r="G56" s="39"/>
      <c r="H56" s="39"/>
      <c r="I56" s="39"/>
      <c r="J56" s="40"/>
      <c r="K56" s="241">
        <v>0.66</v>
      </c>
      <c r="L56" s="14">
        <f t="shared" si="9"/>
        <v>1.32</v>
      </c>
      <c r="M56" s="261">
        <f t="shared" si="10"/>
        <v>0.24825223045357048</v>
      </c>
    </row>
    <row r="57" spans="1:13">
      <c r="A57" s="971"/>
      <c r="B57" s="971"/>
      <c r="C57" s="37" t="s">
        <v>2383</v>
      </c>
      <c r="D57" s="38"/>
      <c r="E57" s="87">
        <f>SUM(E53:E55)</f>
        <v>2</v>
      </c>
      <c r="F57" s="87">
        <f>SUM(F53:F55)</f>
        <v>2</v>
      </c>
      <c r="G57" s="87">
        <f>SUM(G53:G55)</f>
        <v>2</v>
      </c>
      <c r="H57" s="87">
        <f>SUM(H53:H55)</f>
        <v>2</v>
      </c>
      <c r="I57" s="87">
        <f>SUM(I53:I55)</f>
        <v>2</v>
      </c>
      <c r="J57" s="40"/>
      <c r="K57" s="241">
        <v>1</v>
      </c>
      <c r="L57" s="14">
        <f t="shared" si="9"/>
        <v>2</v>
      </c>
      <c r="M57" s="261">
        <f t="shared" si="10"/>
        <v>0.5</v>
      </c>
    </row>
    <row r="58" spans="1:13">
      <c r="A58" s="971"/>
      <c r="B58" s="971"/>
      <c r="C58" s="37" t="s">
        <v>965</v>
      </c>
      <c r="D58" s="48">
        <v>2</v>
      </c>
      <c r="E58" s="87">
        <f>IF(MMInMarket=TRUE,E57,0)</f>
        <v>2</v>
      </c>
      <c r="F58" s="87">
        <f>IF(MMInMarket=TRUE,F57,0)</f>
        <v>2</v>
      </c>
      <c r="G58" s="87">
        <f>IF(MMInMarket=TRUE,G57,0)</f>
        <v>2</v>
      </c>
      <c r="H58" s="87">
        <f>IF(MMInMarket=TRUE,H57,0)</f>
        <v>2</v>
      </c>
      <c r="I58" s="87">
        <f>IF(MMInMarket=TRUE,I57,0)</f>
        <v>2</v>
      </c>
      <c r="J58" s="40"/>
      <c r="K58" s="241">
        <v>1.33</v>
      </c>
      <c r="L58" s="14">
        <f t="shared" si="9"/>
        <v>2.66</v>
      </c>
      <c r="M58" s="261">
        <f t="shared" si="10"/>
        <v>0.74537308532866398</v>
      </c>
    </row>
    <row r="59" spans="1:13">
      <c r="A59" s="971"/>
      <c r="B59" s="971"/>
      <c r="C59" s="43" t="s">
        <v>968</v>
      </c>
      <c r="D59" s="42">
        <f>STDEVP(E58:I58)*D58+(STDEVP(E58:I58)=0)</f>
        <v>1</v>
      </c>
      <c r="E59" s="71">
        <f>IF(E58=0,0,NORMDIST(E58,$J59,$D59,TRUE))*(MMInMarket=TRUE)</f>
        <v>0.5</v>
      </c>
      <c r="F59" s="71">
        <f>IF(F58=0,0,NORMDIST(F58,$J59,$D59,TRUE))*(MMInMarket=TRUE)</f>
        <v>0.5</v>
      </c>
      <c r="G59" s="71">
        <f>IF(G58=0,0,NORMDIST(G58,$J59,$D59,TRUE))*(MMInMarket=TRUE)</f>
        <v>0.5</v>
      </c>
      <c r="H59" s="71">
        <f>IF(H58=0,0,NORMDIST(H58,$J59,$D59,TRUE))*(MMInMarket=TRUE)</f>
        <v>0.5</v>
      </c>
      <c r="I59" s="71">
        <f>IF(I58=0,0,NORMDIST(I58,$J59,$D59,TRUE))*(MMInMarket=TRUE)</f>
        <v>0.5</v>
      </c>
      <c r="J59" s="603">
        <f>IF($J$24=0,0,SUM(E58:I58)/$J$24)</f>
        <v>2</v>
      </c>
      <c r="K59" s="241">
        <v>1.66</v>
      </c>
      <c r="L59" s="14">
        <f t="shared" si="9"/>
        <v>3.32</v>
      </c>
      <c r="M59" s="261">
        <f t="shared" si="10"/>
        <v>0.90658249100652821</v>
      </c>
    </row>
    <row r="60" spans="1:13">
      <c r="A60" s="968"/>
      <c r="B60" s="971"/>
      <c r="C60" s="2"/>
      <c r="D60" s="39"/>
      <c r="E60" s="3"/>
      <c r="F60" s="3"/>
      <c r="G60" s="3"/>
      <c r="H60" s="3"/>
      <c r="I60" s="3"/>
      <c r="J60" s="3"/>
      <c r="K60" s="241">
        <v>2</v>
      </c>
      <c r="L60" s="14">
        <f t="shared" si="9"/>
        <v>4</v>
      </c>
      <c r="M60" s="261">
        <f t="shared" si="10"/>
        <v>0.97724986805182079</v>
      </c>
    </row>
    <row r="61" spans="1:13">
      <c r="A61" s="968"/>
      <c r="B61" s="971"/>
      <c r="C61" s="2"/>
      <c r="D61" s="39"/>
      <c r="E61" s="3"/>
      <c r="F61" s="3"/>
      <c r="G61" s="3"/>
      <c r="H61" s="3"/>
      <c r="I61" s="3"/>
      <c r="K61" s="3"/>
    </row>
    <row r="62" spans="1:13">
      <c r="A62" s="968"/>
      <c r="B62" s="971"/>
      <c r="C62" s="2"/>
      <c r="D62" s="39"/>
      <c r="E62" s="3"/>
      <c r="F62" s="3"/>
      <c r="G62" s="3"/>
      <c r="H62" s="3"/>
      <c r="I62" s="3"/>
      <c r="J62" s="604" t="s">
        <v>1848</v>
      </c>
      <c r="K62" s="3"/>
    </row>
    <row r="63" spans="1:13">
      <c r="A63" s="968"/>
      <c r="B63" s="968"/>
      <c r="C63" s="2"/>
      <c r="D63" s="39"/>
      <c r="E63" s="3"/>
      <c r="F63" s="3"/>
      <c r="G63" s="3"/>
      <c r="H63" s="3"/>
      <c r="I63" s="3"/>
      <c r="J63" s="3"/>
    </row>
    <row r="64" spans="1:13">
      <c r="A64" s="968"/>
      <c r="B64" s="968"/>
      <c r="C64" s="2"/>
      <c r="D64" s="39"/>
      <c r="E64" s="3"/>
      <c r="F64" s="3"/>
      <c r="G64" s="3"/>
      <c r="H64" s="3"/>
      <c r="I64" s="3"/>
      <c r="J64" s="3"/>
    </row>
    <row r="65" spans="1:13">
      <c r="A65" s="968"/>
      <c r="B65" s="972"/>
      <c r="C65" s="62"/>
      <c r="D65" s="39"/>
      <c r="E65" s="38"/>
      <c r="F65" s="38"/>
      <c r="G65" s="38"/>
      <c r="H65" s="38"/>
      <c r="I65" s="38"/>
      <c r="J65" s="38"/>
    </row>
    <row r="66" spans="1:13" ht="14.25" customHeight="1">
      <c r="A66" s="969"/>
      <c r="B66" s="969" t="s">
        <v>2316</v>
      </c>
      <c r="C66" s="230" t="str">
        <f>xxMMProd1Driver4&amp;" - "&amp;DataNameProd1Seg1</f>
        <v>Advertising - Vetera</v>
      </c>
      <c r="D66" s="836"/>
      <c r="E66" s="830">
        <f>capProd3Adv</f>
        <v>495000000</v>
      </c>
      <c r="F66" s="830">
        <f>capProd3Adv</f>
        <v>495000000</v>
      </c>
      <c r="G66" s="830">
        <f>capProd3Adv</f>
        <v>495000000</v>
      </c>
      <c r="H66" s="830">
        <f>capProd3Adv</f>
        <v>495000000</v>
      </c>
      <c r="I66" s="830">
        <f>capProd3Adv</f>
        <v>495000000</v>
      </c>
      <c r="J66" s="828"/>
      <c r="L66" s="240" t="s">
        <v>3209</v>
      </c>
      <c r="M66" s="240" t="s">
        <v>3210</v>
      </c>
    </row>
    <row r="67" spans="1:13" ht="14.25" customHeight="1">
      <c r="A67" s="969" t="s">
        <v>166</v>
      </c>
      <c r="B67" s="970">
        <f>E163</f>
        <v>11</v>
      </c>
      <c r="C67" s="349" t="str">
        <f>xxMMProd1Driver4&amp;" - "&amp;DataNameProd1Seg2</f>
        <v>Advertising - Escendia</v>
      </c>
      <c r="D67" s="978"/>
      <c r="E67" s="975">
        <f>capProd3AdvR2</f>
        <v>65000000</v>
      </c>
      <c r="F67" s="975">
        <f>capProd3AdvR2</f>
        <v>65000000</v>
      </c>
      <c r="G67" s="975">
        <f>capProd3AdvR2</f>
        <v>65000000</v>
      </c>
      <c r="H67" s="975">
        <f>capProd3AdvR2</f>
        <v>65000000</v>
      </c>
      <c r="I67" s="975">
        <f>capProd3AdvR2</f>
        <v>65000000</v>
      </c>
      <c r="J67" s="779"/>
      <c r="K67" s="241">
        <v>0</v>
      </c>
      <c r="L67" s="14">
        <f t="shared" ref="L67:L73" si="11">K67*$J$72</f>
        <v>0</v>
      </c>
      <c r="M67" s="261">
        <f t="shared" ref="M67:M73" si="12">NORMDIST(L67,$J$72,$D$72,TRUE)</f>
        <v>0</v>
      </c>
    </row>
    <row r="68" spans="1:13">
      <c r="A68" s="969" t="s">
        <v>167</v>
      </c>
      <c r="B68" s="970">
        <f>F163</f>
        <v>7</v>
      </c>
      <c r="C68" s="833" t="s">
        <v>164</v>
      </c>
      <c r="D68" s="837"/>
      <c r="E68" s="219">
        <f>IF(MMSegCurrent=1,capProd3Adv*paramReg1Prod3CommSpendEffect,capProd3AdvR2*paramReg2Prod3CommSpendEffect)</f>
        <v>65000000</v>
      </c>
      <c r="F68" s="219">
        <f>IF(MMSegCurrent=1,capProd3Adv*paramReg1Prod3CommSpendEffect,capProd3AdvR2*paramReg2Prod3CommSpendEffect)</f>
        <v>65000000</v>
      </c>
      <c r="G68" s="219">
        <f>IF(MMSegCurrent=1,capProd3Adv*paramReg1Prod3CommSpendEffect,capProd3AdvR2*paramReg2Prod3CommSpendEffect)</f>
        <v>65000000</v>
      </c>
      <c r="H68" s="219">
        <f>IF(MMSegCurrent=1,capProd3Adv*paramReg1Prod3CommSpendEffect,capProd3AdvR2*paramReg2Prod3CommSpendEffect)</f>
        <v>65000000</v>
      </c>
      <c r="I68" s="219">
        <f>IF(MMSegCurrent=1,capProd3Adv*paramReg1Prod3CommSpendEffect,capProd3AdvR2*paramReg2Prod3CommSpendEffect)</f>
        <v>65000000</v>
      </c>
      <c r="J68" s="333"/>
      <c r="K68" s="241">
        <v>0.33</v>
      </c>
      <c r="L68" s="14">
        <f t="shared" si="11"/>
        <v>21450000</v>
      </c>
      <c r="M68" s="261">
        <f t="shared" si="12"/>
        <v>0</v>
      </c>
    </row>
    <row r="69" spans="1:13">
      <c r="A69" s="971"/>
      <c r="B69" s="971"/>
      <c r="C69" s="37"/>
      <c r="D69" s="38"/>
      <c r="E69" s="39"/>
      <c r="F69" s="39"/>
      <c r="G69" s="39"/>
      <c r="H69" s="39"/>
      <c r="I69" s="39"/>
      <c r="J69" s="40"/>
      <c r="K69" s="241">
        <v>0.66</v>
      </c>
      <c r="L69" s="14">
        <f t="shared" si="11"/>
        <v>42900000</v>
      </c>
      <c r="M69" s="261">
        <f t="shared" si="12"/>
        <v>0</v>
      </c>
    </row>
    <row r="70" spans="1:13">
      <c r="A70" s="971"/>
      <c r="B70" s="971"/>
      <c r="C70" s="37" t="s">
        <v>2382</v>
      </c>
      <c r="D70" s="38"/>
      <c r="E70" s="87">
        <f>E68</f>
        <v>65000000</v>
      </c>
      <c r="F70" s="87">
        <f>F68</f>
        <v>65000000</v>
      </c>
      <c r="G70" s="87">
        <f>G68</f>
        <v>65000000</v>
      </c>
      <c r="H70" s="87">
        <f>H68</f>
        <v>65000000</v>
      </c>
      <c r="I70" s="87">
        <f>I68</f>
        <v>65000000</v>
      </c>
      <c r="J70" s="40"/>
      <c r="K70" s="241">
        <v>1</v>
      </c>
      <c r="L70" s="14">
        <f t="shared" si="11"/>
        <v>65000000</v>
      </c>
      <c r="M70" s="261">
        <f t="shared" si="12"/>
        <v>0.5</v>
      </c>
    </row>
    <row r="71" spans="1:13">
      <c r="A71" s="971"/>
      <c r="B71" s="971"/>
      <c r="C71" s="37" t="s">
        <v>965</v>
      </c>
      <c r="D71" s="48">
        <v>2</v>
      </c>
      <c r="E71" s="87">
        <f>IF(MMInMarket=TRUE,E70,0)</f>
        <v>65000000</v>
      </c>
      <c r="F71" s="87">
        <f>IF(MMInMarket=TRUE,F70,0)</f>
        <v>65000000</v>
      </c>
      <c r="G71" s="87">
        <f>IF(MMInMarket=TRUE,G70,0)</f>
        <v>65000000</v>
      </c>
      <c r="H71" s="87">
        <f>IF(MMInMarket=TRUE,H70,0)</f>
        <v>65000000</v>
      </c>
      <c r="I71" s="87">
        <f>IF(MMInMarket=TRUE,I70,0)</f>
        <v>65000000</v>
      </c>
      <c r="J71" s="40"/>
      <c r="K71" s="241">
        <v>1.33</v>
      </c>
      <c r="L71" s="14">
        <f t="shared" si="11"/>
        <v>86450000</v>
      </c>
      <c r="M71" s="261">
        <f t="shared" si="12"/>
        <v>1</v>
      </c>
    </row>
    <row r="72" spans="1:13">
      <c r="A72" s="971"/>
      <c r="B72" s="971"/>
      <c r="C72" s="43" t="s">
        <v>969</v>
      </c>
      <c r="D72" s="716">
        <f>STDEVP(E71:I71)*D71+(STDEVP(E71:I71)=0)</f>
        <v>1</v>
      </c>
      <c r="E72" s="71">
        <f>IF(E71=0,0,NORMDIST(E71,$J72,$D72,TRUE))*(MMInMarket=TRUE)</f>
        <v>0.5</v>
      </c>
      <c r="F72" s="71">
        <f>IF(F71=0,0,NORMDIST(F71,$J72,$D72,TRUE))*(MMInMarket=TRUE)</f>
        <v>0.5</v>
      </c>
      <c r="G72" s="71">
        <f>IF(G71=0,0,NORMDIST(G71,$J72,$D72,TRUE))*(MMInMarket=TRUE)</f>
        <v>0.5</v>
      </c>
      <c r="H72" s="71">
        <f>IF(H71=0,0,NORMDIST(H71,$J72,$D72,TRUE))*(MMInMarket=TRUE)</f>
        <v>0.5</v>
      </c>
      <c r="I72" s="71">
        <f>IF(I71=0,0,NORMDIST(I71,$J72,$D72,TRUE))*(MMInMarket=TRUE)</f>
        <v>0.5</v>
      </c>
      <c r="J72" s="44">
        <f>IF($J$24=0,0,SUM(E71:I71)/$J$24)</f>
        <v>65000000</v>
      </c>
      <c r="K72" s="241">
        <v>1.66</v>
      </c>
      <c r="L72" s="14">
        <f t="shared" si="11"/>
        <v>107900000</v>
      </c>
      <c r="M72" s="261">
        <f t="shared" si="12"/>
        <v>1</v>
      </c>
    </row>
    <row r="73" spans="1:13">
      <c r="A73" s="968"/>
      <c r="B73" s="971"/>
      <c r="C73" s="2"/>
      <c r="D73" s="39"/>
      <c r="E73" s="3"/>
      <c r="F73" s="3"/>
      <c r="G73" s="3"/>
      <c r="H73" s="3"/>
      <c r="I73" s="3"/>
      <c r="J73" s="3"/>
      <c r="K73" s="241">
        <v>2</v>
      </c>
      <c r="L73" s="14">
        <f t="shared" si="11"/>
        <v>130000000</v>
      </c>
      <c r="M73" s="261">
        <f t="shared" si="12"/>
        <v>1</v>
      </c>
    </row>
    <row r="74" spans="1:13">
      <c r="A74" s="968"/>
      <c r="B74" s="971"/>
      <c r="C74" s="2"/>
      <c r="D74" s="39"/>
      <c r="E74" s="3"/>
      <c r="F74" s="3"/>
      <c r="G74" s="3"/>
      <c r="H74" s="3"/>
      <c r="I74" s="3"/>
      <c r="J74" s="3"/>
      <c r="K74" s="3"/>
    </row>
    <row r="75" spans="1:13">
      <c r="A75" s="968"/>
      <c r="B75" s="968"/>
      <c r="C75" s="2"/>
      <c r="D75" s="39"/>
      <c r="E75" s="3"/>
      <c r="F75" s="3"/>
      <c r="G75" s="3"/>
      <c r="H75" s="3"/>
      <c r="I75" s="3"/>
      <c r="J75" s="3"/>
      <c r="K75" s="3"/>
    </row>
    <row r="76" spans="1:13">
      <c r="A76" s="968"/>
      <c r="B76" s="968"/>
      <c r="C76" s="2"/>
      <c r="D76" s="39"/>
      <c r="E76" s="3"/>
      <c r="F76" s="3"/>
      <c r="G76" s="3"/>
      <c r="H76" s="3"/>
      <c r="I76" s="3"/>
      <c r="J76" s="3"/>
    </row>
    <row r="77" spans="1:13">
      <c r="A77" s="968"/>
      <c r="B77" s="968"/>
      <c r="C77" s="2"/>
      <c r="D77" s="39"/>
      <c r="E77" s="3"/>
      <c r="F77" s="3"/>
      <c r="G77" s="3"/>
      <c r="H77" s="3"/>
      <c r="I77" s="3"/>
      <c r="J77" s="3"/>
    </row>
    <row r="78" spans="1:13">
      <c r="A78" s="968"/>
      <c r="B78" s="968"/>
      <c r="C78" s="2"/>
      <c r="D78" s="39"/>
      <c r="E78" s="3"/>
      <c r="F78" s="3"/>
      <c r="G78" s="3"/>
      <c r="H78" s="3"/>
      <c r="I78" s="3"/>
      <c r="J78" s="3"/>
    </row>
    <row r="79" spans="1:13">
      <c r="A79" s="969"/>
      <c r="B79" s="969" t="s">
        <v>2317</v>
      </c>
      <c r="C79" s="230" t="str">
        <f>xxMMProd1Driver5&amp;" - "&amp;DataNameProd1Seg1</f>
        <v>Promotion - Vetera</v>
      </c>
      <c r="D79" s="832"/>
      <c r="E79" s="830">
        <f>capProd3Promo</f>
        <v>855000000</v>
      </c>
      <c r="F79" s="830">
        <f>capProd3Promo</f>
        <v>855000000</v>
      </c>
      <c r="G79" s="830">
        <f>capProd3Promo</f>
        <v>855000000</v>
      </c>
      <c r="H79" s="830">
        <f>capProd3Promo</f>
        <v>855000000</v>
      </c>
      <c r="I79" s="830">
        <f>capProd3Promo</f>
        <v>855000000</v>
      </c>
      <c r="J79" s="831"/>
      <c r="L79" s="240" t="s">
        <v>3209</v>
      </c>
      <c r="M79" s="240" t="s">
        <v>3210</v>
      </c>
    </row>
    <row r="80" spans="1:13">
      <c r="A80" s="969" t="s">
        <v>166</v>
      </c>
      <c r="B80" s="970">
        <f>E164</f>
        <v>13</v>
      </c>
      <c r="C80" s="349" t="str">
        <f>xxMMProd1Driver5&amp;" - "&amp;DataNameProd1Seg2</f>
        <v>Promotion - Escendia</v>
      </c>
      <c r="D80" s="976"/>
      <c r="E80" s="975">
        <f>capProd3PromoR2</f>
        <v>165000000</v>
      </c>
      <c r="F80" s="975">
        <f>capProd3PromoR2</f>
        <v>165000000</v>
      </c>
      <c r="G80" s="975">
        <f>capProd3PromoR2</f>
        <v>165000000</v>
      </c>
      <c r="H80" s="975">
        <f>capProd3PromoR2</f>
        <v>165000000</v>
      </c>
      <c r="I80" s="975">
        <f>capProd3PromoR2</f>
        <v>165000000</v>
      </c>
      <c r="J80" s="977"/>
      <c r="K80" s="241">
        <v>0</v>
      </c>
      <c r="L80" s="14">
        <f t="shared" ref="L80:L86" si="13">K80*$J$85</f>
        <v>0</v>
      </c>
      <c r="M80" s="261">
        <f t="shared" ref="M80:M86" si="14">NORMDIST(L80,$J$85,$D$85,TRUE)</f>
        <v>0</v>
      </c>
    </row>
    <row r="81" spans="1:13">
      <c r="A81" s="969" t="s">
        <v>167</v>
      </c>
      <c r="B81" s="970">
        <f>F164</f>
        <v>10</v>
      </c>
      <c r="C81" s="833" t="s">
        <v>165</v>
      </c>
      <c r="D81" s="177"/>
      <c r="E81" s="219">
        <f>IF(MMSegCurrent=1,capProd3Promo*paramReg1Prod3CommSpendEffect,capProd3PromoR2*paramReg2Prod3CommSpendEffect)</f>
        <v>165000000</v>
      </c>
      <c r="F81" s="219">
        <f>IF(MMSegCurrent=1,capProd3Promo*paramReg1Prod3CommSpendEffect,capProd3PromoR2*paramReg2Prod3CommSpendEffect)</f>
        <v>165000000</v>
      </c>
      <c r="G81" s="219">
        <f>IF(MMSegCurrent=1,capProd3Promo*paramReg1Prod3CommSpendEffect,capProd3PromoR2*paramReg2Prod3CommSpendEffect)</f>
        <v>165000000</v>
      </c>
      <c r="H81" s="219">
        <f>IF(MMSegCurrent=1,capProd3Promo*paramReg1Prod3CommSpendEffect,capProd3PromoR2*paramReg2Prod3CommSpendEffect)</f>
        <v>165000000</v>
      </c>
      <c r="I81" s="219">
        <f>IF(MMSegCurrent=1,capProd3Promo*paramReg1Prod3CommSpendEffect,capProd3PromoR2*paramReg2Prod3CommSpendEffect)</f>
        <v>165000000</v>
      </c>
      <c r="J81" s="333"/>
      <c r="K81" s="241">
        <v>0.33</v>
      </c>
      <c r="L81" s="14">
        <f t="shared" si="13"/>
        <v>54450000</v>
      </c>
      <c r="M81" s="261">
        <f t="shared" si="14"/>
        <v>0</v>
      </c>
    </row>
    <row r="82" spans="1:13">
      <c r="A82" s="971"/>
      <c r="B82" s="971"/>
      <c r="C82" s="37"/>
      <c r="D82" s="38"/>
      <c r="E82" s="39"/>
      <c r="F82" s="39"/>
      <c r="G82" s="39"/>
      <c r="H82" s="39"/>
      <c r="I82" s="39"/>
      <c r="J82" s="40"/>
      <c r="K82" s="241">
        <v>0.66</v>
      </c>
      <c r="L82" s="14">
        <f t="shared" si="13"/>
        <v>108900000</v>
      </c>
      <c r="M82" s="261">
        <f t="shared" si="14"/>
        <v>0</v>
      </c>
    </row>
    <row r="83" spans="1:13">
      <c r="A83" s="971"/>
      <c r="B83" s="971"/>
      <c r="C83" s="37" t="s">
        <v>2382</v>
      </c>
      <c r="D83" s="38"/>
      <c r="E83" s="87">
        <f>E81</f>
        <v>165000000</v>
      </c>
      <c r="F83" s="87">
        <f>F81</f>
        <v>165000000</v>
      </c>
      <c r="G83" s="87">
        <f>G81</f>
        <v>165000000</v>
      </c>
      <c r="H83" s="87">
        <f>H81</f>
        <v>165000000</v>
      </c>
      <c r="I83" s="87">
        <f>I81</f>
        <v>165000000</v>
      </c>
      <c r="J83" s="40"/>
      <c r="K83" s="241">
        <v>1</v>
      </c>
      <c r="L83" s="14">
        <f t="shared" si="13"/>
        <v>165000000</v>
      </c>
      <c r="M83" s="261">
        <f t="shared" si="14"/>
        <v>0.5</v>
      </c>
    </row>
    <row r="84" spans="1:13">
      <c r="A84" s="971"/>
      <c r="B84" s="971"/>
      <c r="C84" s="37" t="s">
        <v>965</v>
      </c>
      <c r="D84" s="48">
        <v>2</v>
      </c>
      <c r="E84" s="87">
        <f>IF(MMInMarket=TRUE,E83,0)</f>
        <v>165000000</v>
      </c>
      <c r="F84" s="87">
        <f>IF(MMInMarket=TRUE,F83,0)</f>
        <v>165000000</v>
      </c>
      <c r="G84" s="87">
        <f>IF(MMInMarket=TRUE,G83,0)</f>
        <v>165000000</v>
      </c>
      <c r="H84" s="87">
        <f>IF(MMInMarket=TRUE,H83,0)</f>
        <v>165000000</v>
      </c>
      <c r="I84" s="87">
        <f>IF(MMInMarket=TRUE,I83,0)</f>
        <v>165000000</v>
      </c>
      <c r="J84" s="40"/>
      <c r="K84" s="241">
        <v>1.33</v>
      </c>
      <c r="L84" s="14">
        <f t="shared" si="13"/>
        <v>219450000</v>
      </c>
      <c r="M84" s="261">
        <f t="shared" si="14"/>
        <v>1</v>
      </c>
    </row>
    <row r="85" spans="1:13">
      <c r="A85" s="971"/>
      <c r="B85" s="971"/>
      <c r="C85" s="43" t="s">
        <v>970</v>
      </c>
      <c r="D85" s="716">
        <f>STDEVP(E84:I84)*D84+(STDEVP(E84:I84)=0)</f>
        <v>1</v>
      </c>
      <c r="E85" s="71">
        <f>IF(E84=0,0,NORMDIST(E84,$J85,$D85,TRUE))*(MMInMarket=TRUE)</f>
        <v>0.5</v>
      </c>
      <c r="F85" s="71">
        <f>IF(F84=0,0,NORMDIST(F84,$J85,$D85,TRUE))*(MMInMarket=TRUE)</f>
        <v>0.5</v>
      </c>
      <c r="G85" s="71">
        <f>IF(G84=0,0,NORMDIST(G84,$J85,$D85,TRUE))*(MMInMarket=TRUE)</f>
        <v>0.5</v>
      </c>
      <c r="H85" s="71">
        <f>IF(H84=0,0,NORMDIST(H84,$J85,$D85,TRUE))*(MMInMarket=TRUE)</f>
        <v>0.5</v>
      </c>
      <c r="I85" s="71">
        <f>IF(I84=0,0,NORMDIST(I84,$J85,$D85,TRUE))*(MMInMarket=TRUE)</f>
        <v>0.5</v>
      </c>
      <c r="J85" s="44">
        <f>IF($J$24=0,0,SUM(E84:I84)/$J$24)</f>
        <v>165000000</v>
      </c>
      <c r="K85" s="241">
        <v>1.66</v>
      </c>
      <c r="L85" s="14">
        <f t="shared" si="13"/>
        <v>273900000</v>
      </c>
      <c r="M85" s="261">
        <f t="shared" si="14"/>
        <v>1</v>
      </c>
    </row>
    <row r="86" spans="1:13">
      <c r="A86" s="968"/>
      <c r="B86" s="971"/>
      <c r="C86" s="2"/>
      <c r="D86" s="39"/>
      <c r="E86" s="3"/>
      <c r="F86" s="3"/>
      <c r="G86" s="3"/>
      <c r="H86" s="3"/>
      <c r="I86" s="3"/>
      <c r="J86" s="3"/>
      <c r="K86" s="241">
        <v>2</v>
      </c>
      <c r="L86" s="14">
        <f t="shared" si="13"/>
        <v>330000000</v>
      </c>
      <c r="M86" s="261">
        <f t="shared" si="14"/>
        <v>1</v>
      </c>
    </row>
    <row r="87" spans="1:13">
      <c r="A87" s="968"/>
      <c r="B87" s="968"/>
      <c r="C87" s="2"/>
      <c r="D87" s="39"/>
      <c r="E87" s="3"/>
      <c r="F87" s="3"/>
      <c r="G87" s="3"/>
      <c r="H87" s="3"/>
      <c r="I87" s="3"/>
      <c r="J87" s="3"/>
      <c r="K87" s="3"/>
    </row>
    <row r="88" spans="1:13">
      <c r="A88" s="968"/>
      <c r="B88" s="968"/>
      <c r="C88" s="2"/>
      <c r="D88" s="39"/>
      <c r="E88" s="3"/>
      <c r="F88" s="3"/>
      <c r="G88" s="3"/>
      <c r="H88" s="3"/>
      <c r="I88" s="3"/>
      <c r="J88" s="3"/>
    </row>
    <row r="89" spans="1:13">
      <c r="A89" s="968"/>
      <c r="B89" s="968"/>
      <c r="C89" s="2"/>
      <c r="D89" s="39"/>
      <c r="E89" s="3"/>
      <c r="F89" s="3"/>
      <c r="G89" s="3"/>
      <c r="H89" s="3"/>
      <c r="I89" s="3"/>
      <c r="J89" s="3"/>
    </row>
    <row r="90" spans="1:13">
      <c r="A90" s="968"/>
      <c r="B90" s="968"/>
      <c r="C90" s="2"/>
      <c r="D90" s="39"/>
      <c r="E90" s="3"/>
      <c r="F90" s="3"/>
      <c r="G90" s="3"/>
      <c r="H90" s="3"/>
      <c r="I90" s="3"/>
      <c r="J90" s="3"/>
    </row>
    <row r="91" spans="1:13">
      <c r="A91" s="968"/>
      <c r="B91" s="968"/>
      <c r="C91" s="2"/>
      <c r="D91" s="39"/>
      <c r="E91" s="3"/>
      <c r="F91" s="3"/>
      <c r="G91" s="3"/>
      <c r="H91" s="3"/>
      <c r="I91" s="3"/>
      <c r="J91" s="3"/>
      <c r="L91" s="240" t="s">
        <v>3209</v>
      </c>
      <c r="M91" s="240" t="s">
        <v>3210</v>
      </c>
    </row>
    <row r="92" spans="1:13">
      <c r="A92" s="969"/>
      <c r="B92" s="969" t="s">
        <v>2318</v>
      </c>
      <c r="C92" s="230" t="str">
        <f>xxMMProd1Driver6&amp;" - "&amp;DataNameProd1Seg1</f>
        <v>Sales Force - Vetera</v>
      </c>
      <c r="D92" s="832"/>
      <c r="E92" s="231">
        <f>cbalEmp1</f>
        <v>4000</v>
      </c>
      <c r="F92" s="231">
        <f>cbalEmp1</f>
        <v>4000</v>
      </c>
      <c r="G92" s="231">
        <f>cbalEmp1</f>
        <v>4000</v>
      </c>
      <c r="H92" s="231">
        <f>cbalEmp1</f>
        <v>4000</v>
      </c>
      <c r="I92" s="231">
        <f>cbalEmp1</f>
        <v>4000</v>
      </c>
      <c r="J92" s="831"/>
      <c r="K92" s="241">
        <v>0</v>
      </c>
      <c r="L92" s="14">
        <f t="shared" ref="L92:L98" si="15">K92*$J$97</f>
        <v>0</v>
      </c>
      <c r="M92" s="261">
        <f t="shared" ref="M92:M98" si="16">NORMDIST(L92,$J$97,$D$97,TRUE)</f>
        <v>0</v>
      </c>
    </row>
    <row r="93" spans="1:13">
      <c r="A93" s="969" t="s">
        <v>166</v>
      </c>
      <c r="B93" s="970">
        <f>E165</f>
        <v>9</v>
      </c>
      <c r="C93" s="349" t="str">
        <f>xxMMProd1Driver6&amp;" - "&amp;DataNameProd1Seg2</f>
        <v>Sales Force - Escendia</v>
      </c>
      <c r="D93" s="177"/>
      <c r="E93" s="834">
        <f>cbalEmp2</f>
        <v>2100</v>
      </c>
      <c r="F93" s="834">
        <f>cbalEmp2</f>
        <v>2100</v>
      </c>
      <c r="G93" s="834">
        <f>cbalEmp2</f>
        <v>2100</v>
      </c>
      <c r="H93" s="834">
        <f>cbalEmp2</f>
        <v>2100</v>
      </c>
      <c r="I93" s="834">
        <f>cbalEmp2</f>
        <v>2100</v>
      </c>
      <c r="J93" s="333"/>
      <c r="K93" s="241">
        <v>0.33</v>
      </c>
      <c r="L93" s="14">
        <f t="shared" si="15"/>
        <v>693</v>
      </c>
      <c r="M93" s="261">
        <f t="shared" si="16"/>
        <v>0</v>
      </c>
    </row>
    <row r="94" spans="1:13">
      <c r="A94" s="969" t="s">
        <v>167</v>
      </c>
      <c r="B94" s="970">
        <f>F165</f>
        <v>13</v>
      </c>
      <c r="C94" s="37"/>
      <c r="D94" s="38"/>
      <c r="E94" s="39"/>
      <c r="F94" s="39"/>
      <c r="G94" s="39"/>
      <c r="H94" s="39"/>
      <c r="I94" s="39"/>
      <c r="J94" s="40"/>
      <c r="K94" s="241">
        <v>0.66</v>
      </c>
      <c r="L94" s="14">
        <f t="shared" si="15"/>
        <v>1386</v>
      </c>
      <c r="M94" s="261">
        <f t="shared" si="16"/>
        <v>0</v>
      </c>
    </row>
    <row r="95" spans="1:13">
      <c r="A95" s="971"/>
      <c r="B95" s="971"/>
      <c r="C95" s="37" t="s">
        <v>2383</v>
      </c>
      <c r="D95" s="38"/>
      <c r="E95" s="835">
        <f>IF(MMSegCurrent=1,cbalEmp1*(1+capReg1ChanLevel/20),cbalEmp2)</f>
        <v>2100</v>
      </c>
      <c r="F95" s="835">
        <f>IF(MMSegCurrent=1,cbalEmp1*(1+capReg1ChanLevel/20),cbalEmp2)</f>
        <v>2100</v>
      </c>
      <c r="G95" s="835">
        <f>IF(MMSegCurrent=1,cbalEmp1*(1+capReg1ChanLevel/20),cbalEmp2)</f>
        <v>2100</v>
      </c>
      <c r="H95" s="835">
        <f>IF(MMSegCurrent=1,cbalEmp1*(1+capReg1ChanLevel/20),cbalEmp2)</f>
        <v>2100</v>
      </c>
      <c r="I95" s="835">
        <f>IF(MMSegCurrent=1,cbalEmp1*(1+capReg1ChanLevel/20),cbalEmp2)</f>
        <v>2100</v>
      </c>
      <c r="J95" s="40"/>
      <c r="K95" s="241">
        <v>1</v>
      </c>
      <c r="L95" s="14">
        <f t="shared" si="15"/>
        <v>2100</v>
      </c>
      <c r="M95" s="261">
        <f t="shared" si="16"/>
        <v>0.5</v>
      </c>
    </row>
    <row r="96" spans="1:13">
      <c r="A96" s="971"/>
      <c r="B96" s="971"/>
      <c r="C96" s="37" t="s">
        <v>965</v>
      </c>
      <c r="D96" s="48">
        <v>2</v>
      </c>
      <c r="E96" s="87">
        <f>IF(MMInMarket=TRUE,E95,0)</f>
        <v>2100</v>
      </c>
      <c r="F96" s="87">
        <f>IF(MMInMarket=TRUE,F95,0)</f>
        <v>2100</v>
      </c>
      <c r="G96" s="87">
        <f>IF(MMInMarket=TRUE,G95,0)</f>
        <v>2100</v>
      </c>
      <c r="H96" s="87">
        <f>IF(MMInMarket=TRUE,H95,0)</f>
        <v>2100</v>
      </c>
      <c r="I96" s="87">
        <f>IF(MMInMarket=TRUE,I95,0)</f>
        <v>2100</v>
      </c>
      <c r="J96" s="40"/>
      <c r="K96" s="241">
        <v>1.33</v>
      </c>
      <c r="L96" s="14">
        <f t="shared" si="15"/>
        <v>2793</v>
      </c>
      <c r="M96" s="261">
        <f t="shared" si="16"/>
        <v>1</v>
      </c>
    </row>
    <row r="97" spans="1:13">
      <c r="A97" s="971"/>
      <c r="B97" s="971"/>
      <c r="C97" s="43" t="s">
        <v>971</v>
      </c>
      <c r="D97" s="42">
        <f>STDEVP(E96:I96)*D96+(STDEVP(E96:I96)=0)</f>
        <v>1</v>
      </c>
      <c r="E97" s="71">
        <f>IF(E96=0,0,NORMDIST(E96,$J97,$D97,TRUE))*(MMInMarket=TRUE)</f>
        <v>0.5</v>
      </c>
      <c r="F97" s="71">
        <f>IF(F96=0,0,NORMDIST(F96,$J97,$D97,TRUE))*(MMInMarket=TRUE)</f>
        <v>0.5</v>
      </c>
      <c r="G97" s="71">
        <f>IF(G96=0,0,NORMDIST(G96,$J97,$D97,TRUE))*(MMInMarket=TRUE)</f>
        <v>0.5</v>
      </c>
      <c r="H97" s="71">
        <f>IF(H96=0,0,NORMDIST(H96,$J97,$D97,TRUE))*(MMInMarket=TRUE)</f>
        <v>0.5</v>
      </c>
      <c r="I97" s="71">
        <f>IF(I96=0,0,NORMDIST(I96,$J97,$D97,TRUE))*(MMInMarket=TRUE)</f>
        <v>0.5</v>
      </c>
      <c r="J97" s="44">
        <f>IF($J$24=0,0,SUM(E96:I96)/$J$24)</f>
        <v>2100</v>
      </c>
      <c r="K97" s="241">
        <v>1.66</v>
      </c>
      <c r="L97" s="14">
        <f t="shared" si="15"/>
        <v>3486</v>
      </c>
      <c r="M97" s="261">
        <f t="shared" si="16"/>
        <v>1</v>
      </c>
    </row>
    <row r="98" spans="1:13">
      <c r="A98" s="968"/>
      <c r="B98" s="968"/>
      <c r="C98" s="2"/>
      <c r="D98" s="39"/>
      <c r="E98" s="3"/>
      <c r="F98" s="3"/>
      <c r="G98" s="3"/>
      <c r="H98" s="3"/>
      <c r="I98" s="3"/>
      <c r="J98" s="3"/>
      <c r="K98" s="241">
        <v>2</v>
      </c>
      <c r="L98" s="14">
        <f t="shared" si="15"/>
        <v>4200</v>
      </c>
      <c r="M98" s="261">
        <f t="shared" si="16"/>
        <v>1</v>
      </c>
    </row>
    <row r="99" spans="1:13">
      <c r="A99" s="968"/>
      <c r="B99" s="968"/>
      <c r="C99" s="2"/>
      <c r="D99" s="39"/>
      <c r="E99" s="3"/>
      <c r="F99" s="3"/>
      <c r="G99" s="3"/>
      <c r="H99" s="3"/>
      <c r="I99" s="3"/>
      <c r="J99" s="3"/>
      <c r="L99" s="14"/>
      <c r="M99" s="241"/>
    </row>
    <row r="100" spans="1:13">
      <c r="A100" s="968"/>
      <c r="B100" s="968"/>
      <c r="C100" s="2"/>
      <c r="D100" s="39"/>
      <c r="E100" s="3"/>
      <c r="F100" s="3"/>
      <c r="G100" s="3"/>
      <c r="H100" s="3"/>
      <c r="I100" s="3"/>
      <c r="J100" s="3"/>
    </row>
    <row r="101" spans="1:13">
      <c r="A101" s="968"/>
      <c r="B101" s="968"/>
      <c r="C101" s="2"/>
      <c r="D101" s="39"/>
      <c r="E101" s="3"/>
      <c r="F101" s="3"/>
      <c r="G101" s="3"/>
      <c r="H101" s="3"/>
      <c r="I101" s="3"/>
      <c r="J101" s="3"/>
    </row>
    <row r="102" spans="1:13">
      <c r="A102" s="968"/>
      <c r="B102" s="968"/>
      <c r="C102" s="2"/>
      <c r="D102" s="39"/>
      <c r="E102" s="3"/>
      <c r="F102" s="3"/>
      <c r="G102" s="3"/>
      <c r="H102" s="3"/>
      <c r="I102" s="3"/>
      <c r="J102" s="3"/>
    </row>
    <row r="103" spans="1:13">
      <c r="A103" s="968"/>
      <c r="B103" s="968"/>
      <c r="C103" s="2"/>
      <c r="D103" s="39"/>
      <c r="E103" s="3"/>
      <c r="F103" s="3"/>
      <c r="G103" s="3"/>
      <c r="H103" s="3"/>
      <c r="I103" s="3"/>
      <c r="J103" s="3"/>
      <c r="L103" s="240" t="s">
        <v>3209</v>
      </c>
      <c r="M103" s="240" t="s">
        <v>3210</v>
      </c>
    </row>
    <row r="104" spans="1:13">
      <c r="A104" s="968"/>
      <c r="B104" s="968"/>
      <c r="C104" s="2"/>
      <c r="D104" s="39"/>
      <c r="E104" s="3"/>
      <c r="F104" s="3"/>
      <c r="G104" s="3"/>
      <c r="H104" s="3"/>
      <c r="I104" s="3"/>
      <c r="J104" s="3"/>
      <c r="K104" s="241">
        <v>0</v>
      </c>
      <c r="L104" s="14">
        <f t="shared" ref="L104:L110" si="17">K104*$J$109</f>
        <v>0</v>
      </c>
      <c r="M104" s="261">
        <f t="shared" ref="M104:M110" si="18">NORMDIST(L104,$J$109,$D$109,TRUE)</f>
        <v>0.5</v>
      </c>
    </row>
    <row r="105" spans="1:13">
      <c r="A105" s="971"/>
      <c r="B105" s="969" t="s">
        <v>2319</v>
      </c>
      <c r="C105" s="230" t="str">
        <f>xxMMProd1Driver7</f>
        <v>Innovation</v>
      </c>
      <c r="D105" s="231"/>
      <c r="E105" s="1016">
        <f>IF(MMSegCurrent=1,paramProd3InnovReg1,paramProd3InnovReg2)</f>
        <v>0</v>
      </c>
      <c r="F105" s="1016">
        <f>IF(MMSegCurrent=1,paramProd3InnovReg1,paramProd3InnovReg2)</f>
        <v>0</v>
      </c>
      <c r="G105" s="1016">
        <f>IF(MMSegCurrent=1,paramProd3InnovReg1,paramProd3InnovReg2)</f>
        <v>0</v>
      </c>
      <c r="H105" s="1016">
        <f>IF(MMSegCurrent=1,paramProd3InnovReg1,paramProd3InnovReg2)</f>
        <v>0</v>
      </c>
      <c r="I105" s="1016">
        <f>IF(MMSegCurrent=1,paramProd3InnovReg1,paramProd3InnovReg2)</f>
        <v>0</v>
      </c>
      <c r="J105" s="1016"/>
      <c r="K105" s="241">
        <v>0.33</v>
      </c>
      <c r="L105" s="14">
        <f t="shared" si="17"/>
        <v>0</v>
      </c>
      <c r="M105" s="261">
        <f t="shared" si="18"/>
        <v>0.5</v>
      </c>
    </row>
    <row r="106" spans="1:13">
      <c r="A106" s="971"/>
      <c r="B106" s="969"/>
      <c r="C106" s="477"/>
      <c r="D106" s="176"/>
      <c r="E106" s="478"/>
      <c r="F106" s="478"/>
      <c r="G106" s="478"/>
      <c r="H106" s="478"/>
      <c r="I106" s="478"/>
      <c r="J106" s="333"/>
      <c r="K106" s="241">
        <v>0.66</v>
      </c>
      <c r="L106" s="14">
        <f t="shared" si="17"/>
        <v>0</v>
      </c>
      <c r="M106" s="261">
        <f t="shared" si="18"/>
        <v>0.5</v>
      </c>
    </row>
    <row r="107" spans="1:13">
      <c r="A107" s="971"/>
      <c r="B107" s="971"/>
      <c r="C107" s="37" t="s">
        <v>2383</v>
      </c>
      <c r="D107" s="38"/>
      <c r="E107" s="1015">
        <f>E105/paramRnDttmCoeff</f>
        <v>0</v>
      </c>
      <c r="F107" s="1015">
        <f>F105/paramRnDttmCoeff</f>
        <v>0</v>
      </c>
      <c r="G107" s="1015">
        <f>G105/paramRnDttmCoeff</f>
        <v>0</v>
      </c>
      <c r="H107" s="1015">
        <f>H105/paramRnDttmCoeff</f>
        <v>0</v>
      </c>
      <c r="I107" s="1015">
        <f>I105/paramRnDttmCoeff</f>
        <v>0</v>
      </c>
      <c r="J107" s="40"/>
      <c r="K107" s="241">
        <v>1</v>
      </c>
      <c r="L107" s="14">
        <f t="shared" si="17"/>
        <v>0</v>
      </c>
      <c r="M107" s="261">
        <f t="shared" si="18"/>
        <v>0.5</v>
      </c>
    </row>
    <row r="108" spans="1:13">
      <c r="A108" s="971"/>
      <c r="B108" s="971"/>
      <c r="C108" s="37" t="s">
        <v>965</v>
      </c>
      <c r="D108" s="48">
        <v>1</v>
      </c>
      <c r="E108" s="1015">
        <f>IF(MMInMarket=TRUE,E107,0)</f>
        <v>0</v>
      </c>
      <c r="F108" s="1015">
        <f>IF(MMInMarket=TRUE,F107,0)</f>
        <v>0</v>
      </c>
      <c r="G108" s="1015">
        <f>IF(MMInMarket=TRUE,G107,0)</f>
        <v>0</v>
      </c>
      <c r="H108" s="1015">
        <f>IF(MMInMarket=TRUE,H107,0)</f>
        <v>0</v>
      </c>
      <c r="I108" s="1015">
        <f>IF(MMInMarket=TRUE,I107,0)</f>
        <v>0</v>
      </c>
      <c r="J108" s="40"/>
      <c r="K108" s="241">
        <v>1.33</v>
      </c>
      <c r="L108" s="14">
        <f t="shared" si="17"/>
        <v>0</v>
      </c>
      <c r="M108" s="261">
        <f t="shared" si="18"/>
        <v>0.5</v>
      </c>
    </row>
    <row r="109" spans="1:13">
      <c r="A109" s="971"/>
      <c r="B109" s="971"/>
      <c r="C109" s="43" t="s">
        <v>972</v>
      </c>
      <c r="D109" s="42">
        <f>STDEVP(E108:I108)*D108+(STDEVP(E108:I108)=0)</f>
        <v>1</v>
      </c>
      <c r="E109" s="71">
        <f>IF(E108=0,0,NORMDIST(E108,$J109,$D109,TRUE))*(MMInMarket=TRUE)</f>
        <v>0</v>
      </c>
      <c r="F109" s="71">
        <f>IF(F108=0,0,NORMDIST(F108,$J109,$D109,TRUE))*(MMInMarket=TRUE)</f>
        <v>0</v>
      </c>
      <c r="G109" s="71">
        <f>IF(G108=0,0,NORMDIST(G108,$J109,$D109,TRUE))*(MMInMarket=TRUE)</f>
        <v>0</v>
      </c>
      <c r="H109" s="71">
        <f>IF(H108=0,0,NORMDIST(H108,$J109,$D109,TRUE))*(MMInMarket=TRUE)</f>
        <v>0</v>
      </c>
      <c r="I109" s="71">
        <f>IF(I108=0,0,NORMDIST(I108,$J109,$D109,TRUE))*(MMInMarket=TRUE)</f>
        <v>0</v>
      </c>
      <c r="J109" s="44">
        <f>IF($J$24=0,0,SUM(E108:I108)/$J$24)</f>
        <v>0</v>
      </c>
      <c r="K109" s="241">
        <v>1.66</v>
      </c>
      <c r="L109" s="14">
        <f t="shared" si="17"/>
        <v>0</v>
      </c>
      <c r="M109" s="261">
        <f t="shared" si="18"/>
        <v>0.5</v>
      </c>
    </row>
    <row r="110" spans="1:13">
      <c r="A110" s="968"/>
      <c r="B110" s="968"/>
      <c r="C110" s="2"/>
      <c r="D110" s="39"/>
      <c r="E110" s="3"/>
      <c r="F110" s="3"/>
      <c r="G110" s="3"/>
      <c r="H110" s="3"/>
      <c r="I110" s="3"/>
      <c r="J110" s="3"/>
      <c r="K110" s="241">
        <v>2</v>
      </c>
      <c r="L110" s="14">
        <f t="shared" si="17"/>
        <v>0</v>
      </c>
      <c r="M110" s="261">
        <f t="shared" si="18"/>
        <v>0.5</v>
      </c>
    </row>
    <row r="111" spans="1:13">
      <c r="A111" s="968"/>
      <c r="B111" s="968"/>
      <c r="C111" s="2"/>
      <c r="D111" s="39"/>
      <c r="E111" s="3"/>
      <c r="F111" s="3"/>
      <c r="G111" s="3"/>
      <c r="H111" s="3"/>
      <c r="I111" s="3"/>
      <c r="J111" s="3"/>
      <c r="K111" s="3"/>
    </row>
    <row r="112" spans="1:13">
      <c r="A112" s="968"/>
      <c r="B112" s="968"/>
      <c r="C112" s="2"/>
      <c r="D112" s="39"/>
      <c r="E112" s="3"/>
      <c r="F112" s="3"/>
      <c r="G112" s="3"/>
      <c r="H112" s="3"/>
      <c r="I112" s="3"/>
      <c r="J112" s="3"/>
    </row>
    <row r="113" spans="1:13">
      <c r="A113" s="968"/>
      <c r="B113" s="968"/>
      <c r="C113" s="2"/>
      <c r="D113" s="39"/>
      <c r="E113" s="3"/>
      <c r="F113" s="3"/>
      <c r="G113" s="3"/>
      <c r="H113" s="3"/>
      <c r="I113" s="3"/>
      <c r="J113" s="3"/>
    </row>
    <row r="114" spans="1:13">
      <c r="A114" s="968"/>
      <c r="B114" s="968"/>
      <c r="C114" s="2"/>
      <c r="D114" s="39"/>
      <c r="E114" s="3"/>
      <c r="F114" s="3"/>
      <c r="G114" s="3"/>
      <c r="H114" s="3"/>
      <c r="I114" s="3"/>
      <c r="J114" s="3"/>
    </row>
    <row r="115" spans="1:13">
      <c r="A115" s="968"/>
      <c r="B115" s="968"/>
      <c r="C115" s="2"/>
      <c r="D115" s="39"/>
      <c r="E115" s="3"/>
      <c r="F115" s="3"/>
      <c r="G115" s="3"/>
      <c r="H115" s="3"/>
      <c r="I115" s="3"/>
      <c r="J115" s="3"/>
      <c r="L115" s="240" t="s">
        <v>3209</v>
      </c>
      <c r="M115" s="240" t="s">
        <v>3210</v>
      </c>
    </row>
    <row r="116" spans="1:13">
      <c r="A116" s="968"/>
      <c r="B116" s="968"/>
      <c r="C116" s="2"/>
      <c r="D116" s="39"/>
      <c r="E116" s="3"/>
      <c r="F116" s="3"/>
      <c r="G116" s="3"/>
      <c r="H116" s="3"/>
      <c r="I116" s="3"/>
      <c r="J116" s="3"/>
      <c r="K116" s="241">
        <v>0</v>
      </c>
      <c r="L116" s="14">
        <f t="shared" ref="L116:L122" si="19">K116*$J$121</f>
        <v>0</v>
      </c>
      <c r="M116" s="261">
        <f t="shared" ref="M116:M122" si="20">NORMDIST(L116,$J$121,$D$121,TRUE)</f>
        <v>1.3498980316300933E-3</v>
      </c>
    </row>
    <row r="117" spans="1:13">
      <c r="A117" s="971"/>
      <c r="B117" s="969" t="s">
        <v>2320</v>
      </c>
      <c r="C117" s="230" t="str">
        <f>xxMMProd3Driver8</f>
        <v>Channel Penetration</v>
      </c>
      <c r="D117" s="231"/>
      <c r="E117" s="1016">
        <f>IF(MMSegCurrent=2,capReg2ChanLevel,0)</f>
        <v>3</v>
      </c>
      <c r="F117" s="1016">
        <f>IF(MMSegCurrent=2,capReg2ChanLevel,0)</f>
        <v>3</v>
      </c>
      <c r="G117" s="1016">
        <f>IF(MMSegCurrent=2,capReg2ChanLevel,0)</f>
        <v>3</v>
      </c>
      <c r="H117" s="1016">
        <f>IF(MMSegCurrent=2,capReg2ChanLevel,0)</f>
        <v>3</v>
      </c>
      <c r="I117" s="1016">
        <f>IF(MMSegCurrent=2,capReg2ChanLevel,0)</f>
        <v>3</v>
      </c>
      <c r="J117" s="154"/>
      <c r="K117" s="241">
        <v>0.33</v>
      </c>
      <c r="L117" s="14">
        <f t="shared" si="19"/>
        <v>0.99</v>
      </c>
      <c r="M117" s="261">
        <f t="shared" si="20"/>
        <v>2.2215594429431475E-2</v>
      </c>
    </row>
    <row r="118" spans="1:13">
      <c r="A118" s="971"/>
      <c r="B118" s="971"/>
      <c r="C118" s="37"/>
      <c r="D118" s="38"/>
      <c r="E118" s="39"/>
      <c r="F118" s="39"/>
      <c r="G118" s="39"/>
      <c r="H118" s="39"/>
      <c r="I118" s="39"/>
      <c r="J118" s="40"/>
      <c r="K118" s="241">
        <v>0.66</v>
      </c>
      <c r="L118" s="14">
        <f t="shared" si="19"/>
        <v>1.98</v>
      </c>
      <c r="M118" s="261">
        <f t="shared" si="20"/>
        <v>0.15386423037273483</v>
      </c>
    </row>
    <row r="119" spans="1:13">
      <c r="A119" s="971"/>
      <c r="B119" s="971"/>
      <c r="C119" s="37" t="s">
        <v>2383</v>
      </c>
      <c r="D119" s="38"/>
      <c r="E119" s="87">
        <f>E117</f>
        <v>3</v>
      </c>
      <c r="F119" s="87">
        <f>F117</f>
        <v>3</v>
      </c>
      <c r="G119" s="87">
        <f>G117</f>
        <v>3</v>
      </c>
      <c r="H119" s="87">
        <f>H117</f>
        <v>3</v>
      </c>
      <c r="I119" s="87">
        <f>I117</f>
        <v>3</v>
      </c>
      <c r="J119" s="40"/>
      <c r="K119" s="241">
        <v>1</v>
      </c>
      <c r="L119" s="14">
        <f t="shared" si="19"/>
        <v>3</v>
      </c>
      <c r="M119" s="261">
        <f t="shared" si="20"/>
        <v>0.5</v>
      </c>
    </row>
    <row r="120" spans="1:13">
      <c r="A120" s="971"/>
      <c r="B120" s="971"/>
      <c r="C120" s="37" t="s">
        <v>965</v>
      </c>
      <c r="D120" s="48">
        <v>1</v>
      </c>
      <c r="E120" s="87">
        <f>IF(MMInMarket=TRUE,E119,0)</f>
        <v>3</v>
      </c>
      <c r="F120" s="87">
        <f>IF(MMInMarket=TRUE,F119,0)</f>
        <v>3</v>
      </c>
      <c r="G120" s="87">
        <f>IF(MMInMarket=TRUE,G119,0)</f>
        <v>3</v>
      </c>
      <c r="H120" s="87">
        <f>IF(MMInMarket=TRUE,H119,0)</f>
        <v>3</v>
      </c>
      <c r="I120" s="87">
        <f>IF(MMInMarket=TRUE,I119,0)</f>
        <v>3</v>
      </c>
      <c r="J120" s="40"/>
      <c r="K120" s="241">
        <v>1.33</v>
      </c>
      <c r="L120" s="14">
        <f t="shared" si="19"/>
        <v>3.99</v>
      </c>
      <c r="M120" s="261">
        <f t="shared" si="20"/>
        <v>0.8389129404891692</v>
      </c>
    </row>
    <row r="121" spans="1:13">
      <c r="A121" s="971"/>
      <c r="B121" s="971"/>
      <c r="C121" s="43" t="s">
        <v>2385</v>
      </c>
      <c r="D121" s="42">
        <f>STDEVP(E120:I120)*D120+(STDEVP(E120:I120)=0)</f>
        <v>1</v>
      </c>
      <c r="E121" s="71">
        <f>IF(E120=0,0,NORMDIST(E120,$J121,$D121,TRUE))*(MMInMarket=TRUE)</f>
        <v>0.5</v>
      </c>
      <c r="F121" s="71">
        <f>IF(F120=0,0,NORMDIST(F120,$J121,$D121,TRUE))*(MMInMarket=TRUE)</f>
        <v>0.5</v>
      </c>
      <c r="G121" s="71">
        <f>IF(G120=0,0,NORMDIST(G120,$J121,$D121,TRUE))*(MMInMarket=TRUE)</f>
        <v>0.5</v>
      </c>
      <c r="H121" s="71">
        <f>IF(H120=0,0,NORMDIST(H120,$J121,$D121,TRUE))*(MMInMarket=TRUE)</f>
        <v>0.5</v>
      </c>
      <c r="I121" s="71">
        <f>IF(I120=0,0,NORMDIST(I120,$J121,$D121,TRUE))*(MMInMarket=TRUE)</f>
        <v>0.5</v>
      </c>
      <c r="J121" s="44">
        <f>IF($J$24=0,0,SUM(E120:I120)/$J$24)</f>
        <v>3</v>
      </c>
      <c r="K121" s="241">
        <v>1.66</v>
      </c>
      <c r="L121" s="14">
        <f t="shared" si="19"/>
        <v>4.9799999999999995</v>
      </c>
      <c r="M121" s="261">
        <f t="shared" si="20"/>
        <v>0.97614823565849151</v>
      </c>
    </row>
    <row r="122" spans="1:13">
      <c r="A122" s="968"/>
      <c r="B122" s="968"/>
      <c r="C122" s="2"/>
      <c r="D122" s="39"/>
      <c r="E122" s="3"/>
      <c r="F122" s="3"/>
      <c r="G122" s="3"/>
      <c r="H122" s="3"/>
      <c r="I122" s="3"/>
      <c r="J122" s="3"/>
      <c r="K122" s="241">
        <v>2</v>
      </c>
      <c r="L122" s="14">
        <f t="shared" si="19"/>
        <v>6</v>
      </c>
      <c r="M122" s="261">
        <f t="shared" si="20"/>
        <v>0.9986501019683699</v>
      </c>
    </row>
    <row r="123" spans="1:13">
      <c r="A123" s="968"/>
      <c r="B123" s="968"/>
      <c r="C123" s="2"/>
      <c r="D123" s="39"/>
      <c r="E123" s="3"/>
      <c r="F123" s="3"/>
      <c r="G123" s="3"/>
      <c r="H123" s="3"/>
      <c r="I123" s="3"/>
      <c r="J123" s="3"/>
      <c r="L123" s="14"/>
      <c r="M123" s="241"/>
    </row>
    <row r="124" spans="1:13">
      <c r="A124" s="968"/>
      <c r="B124" s="968"/>
      <c r="C124" s="2"/>
      <c r="D124" s="39"/>
      <c r="E124" s="3"/>
      <c r="F124" s="3"/>
      <c r="G124" s="3"/>
      <c r="H124" s="3"/>
      <c r="I124" s="3"/>
      <c r="J124" s="3"/>
    </row>
    <row r="125" spans="1:13">
      <c r="A125" s="968"/>
      <c r="B125" s="968"/>
      <c r="C125" s="2"/>
      <c r="D125" s="39"/>
      <c r="E125" s="3"/>
      <c r="F125" s="3"/>
      <c r="G125" s="3"/>
      <c r="H125" s="3"/>
      <c r="I125" s="3"/>
      <c r="J125" s="3"/>
    </row>
    <row r="126" spans="1:13">
      <c r="A126" s="968"/>
      <c r="B126" s="968"/>
      <c r="C126" s="2"/>
      <c r="D126" s="39"/>
      <c r="E126" s="3"/>
      <c r="F126" s="3"/>
      <c r="G126" s="3"/>
      <c r="H126" s="3"/>
      <c r="I126" s="3"/>
      <c r="J126" s="3"/>
    </row>
    <row r="127" spans="1:13">
      <c r="A127" s="968"/>
      <c r="B127" s="968"/>
      <c r="C127" s="2"/>
      <c r="D127" s="39"/>
      <c r="E127" s="3"/>
      <c r="F127" s="3"/>
      <c r="G127" s="3"/>
      <c r="H127" s="3"/>
      <c r="I127" s="3"/>
      <c r="J127" s="3"/>
      <c r="L127" s="240" t="s">
        <v>3209</v>
      </c>
      <c r="M127" s="240" t="s">
        <v>3210</v>
      </c>
    </row>
    <row r="128" spans="1:13">
      <c r="A128" s="968"/>
      <c r="B128" s="968"/>
      <c r="C128" s="2"/>
      <c r="D128" s="39"/>
      <c r="E128" s="3"/>
      <c r="F128" s="3"/>
      <c r="G128" s="3"/>
      <c r="H128" s="3"/>
      <c r="I128" s="3"/>
      <c r="J128" s="3"/>
      <c r="K128" s="241">
        <v>0</v>
      </c>
      <c r="L128" s="14">
        <f t="shared" ref="L128:L134" si="21">K128*$J$133</f>
        <v>0</v>
      </c>
      <c r="M128" s="261">
        <f t="shared" ref="M128:M134" si="22">NORMDIST(L128,$J$133,$D$121,TRUE)</f>
        <v>0.5</v>
      </c>
    </row>
    <row r="129" spans="1:13">
      <c r="A129" s="971"/>
      <c r="B129" s="969" t="s">
        <v>2321</v>
      </c>
      <c r="C129" s="230" t="str">
        <f>xxMMProd3Driver9</f>
        <v>GTM Digitization</v>
      </c>
      <c r="D129" s="231"/>
      <c r="E129" s="1016">
        <f>IF(MMSegCurrent=1,capReg1ChanLevel,0)</f>
        <v>0</v>
      </c>
      <c r="F129" s="218">
        <f>IF(MMSegCurrent=1,capReg1ChanLevel,0)</f>
        <v>0</v>
      </c>
      <c r="G129" s="218">
        <f>IF(MMSegCurrent=1,capReg1ChanLevel,0)</f>
        <v>0</v>
      </c>
      <c r="H129" s="218">
        <f>IF(MMSegCurrent=1,capReg1ChanLevel,0)</f>
        <v>0</v>
      </c>
      <c r="I129" s="218">
        <f>IF(MMSegCurrent=1,capReg1ChanLevel,0)</f>
        <v>0</v>
      </c>
      <c r="J129" s="154"/>
      <c r="K129" s="241">
        <v>0.33</v>
      </c>
      <c r="L129" s="14">
        <f t="shared" si="21"/>
        <v>0</v>
      </c>
      <c r="M129" s="261">
        <f t="shared" si="22"/>
        <v>0.5</v>
      </c>
    </row>
    <row r="130" spans="1:13">
      <c r="A130" s="971"/>
      <c r="B130" s="971"/>
      <c r="C130" s="37"/>
      <c r="D130" s="38"/>
      <c r="E130" s="39"/>
      <c r="F130" s="39"/>
      <c r="G130" s="39"/>
      <c r="H130" s="39"/>
      <c r="I130" s="39"/>
      <c r="J130" s="40"/>
      <c r="K130" s="241">
        <v>0.66</v>
      </c>
      <c r="L130" s="14">
        <f t="shared" si="21"/>
        <v>0</v>
      </c>
      <c r="M130" s="261">
        <f t="shared" si="22"/>
        <v>0.5</v>
      </c>
    </row>
    <row r="131" spans="1:13">
      <c r="A131" s="971"/>
      <c r="B131" s="971"/>
      <c r="C131" s="37" t="s">
        <v>2383</v>
      </c>
      <c r="D131" s="38"/>
      <c r="E131" s="87">
        <f>E129</f>
        <v>0</v>
      </c>
      <c r="F131" s="87">
        <f>F129</f>
        <v>0</v>
      </c>
      <c r="G131" s="87">
        <f>G129</f>
        <v>0</v>
      </c>
      <c r="H131" s="87">
        <f>H129</f>
        <v>0</v>
      </c>
      <c r="I131" s="87">
        <f>I129</f>
        <v>0</v>
      </c>
      <c r="J131" s="40"/>
      <c r="K131" s="241">
        <v>1</v>
      </c>
      <c r="L131" s="14">
        <f t="shared" si="21"/>
        <v>0</v>
      </c>
      <c r="M131" s="261">
        <f t="shared" si="22"/>
        <v>0.5</v>
      </c>
    </row>
    <row r="132" spans="1:13">
      <c r="A132" s="971"/>
      <c r="B132" s="971"/>
      <c r="C132" s="37" t="s">
        <v>965</v>
      </c>
      <c r="D132" s="48">
        <v>1</v>
      </c>
      <c r="E132" s="87">
        <f>IF(MMInMarket=TRUE,E131,0)</f>
        <v>0</v>
      </c>
      <c r="F132" s="87">
        <f>IF(MMInMarket=TRUE,F131,0)</f>
        <v>0</v>
      </c>
      <c r="G132" s="87">
        <f>IF(MMInMarket=TRUE,G131,0)</f>
        <v>0</v>
      </c>
      <c r="H132" s="87">
        <f>IF(MMInMarket=TRUE,H131,0)</f>
        <v>0</v>
      </c>
      <c r="I132" s="87">
        <f>IF(MMInMarket=TRUE,I131,0)</f>
        <v>0</v>
      </c>
      <c r="J132" s="40"/>
      <c r="K132" s="241">
        <v>1.33</v>
      </c>
      <c r="L132" s="14">
        <f t="shared" si="21"/>
        <v>0</v>
      </c>
      <c r="M132" s="261">
        <f t="shared" si="22"/>
        <v>0.5</v>
      </c>
    </row>
    <row r="133" spans="1:13">
      <c r="A133" s="971"/>
      <c r="B133" s="971"/>
      <c r="C133" s="43" t="s">
        <v>2955</v>
      </c>
      <c r="D133" s="42">
        <f>STDEVP(E132:I132)*D132+(STDEVP(E132:I132)=0)</f>
        <v>1</v>
      </c>
      <c r="E133" s="71">
        <f>IF(E132=0,0,NORMDIST(E132,$J133,$D133,TRUE))*(MMInMarket=TRUE)</f>
        <v>0</v>
      </c>
      <c r="F133" s="71">
        <f>IF(F132=0,0,NORMDIST(F132,$J133,$D133,TRUE))*(MMInMarket=TRUE)</f>
        <v>0</v>
      </c>
      <c r="G133" s="71">
        <f>IF(G132=0,0,NORMDIST(G132,$J133,$D133,TRUE))*(MMInMarket=TRUE)</f>
        <v>0</v>
      </c>
      <c r="H133" s="71">
        <f>IF(H132=0,0,NORMDIST(H132,$J133,$D133,TRUE))*(MMInMarket=TRUE)</f>
        <v>0</v>
      </c>
      <c r="I133" s="71">
        <f>IF(I132=0,0,NORMDIST(I132,$J133,$D133,TRUE))*(MMInMarket=TRUE)</f>
        <v>0</v>
      </c>
      <c r="J133" s="44">
        <f>IF($J$24=0,0,SUM(E132:I132)/$J$24)</f>
        <v>0</v>
      </c>
      <c r="K133" s="241">
        <v>1.66</v>
      </c>
      <c r="L133" s="14">
        <f t="shared" si="21"/>
        <v>0</v>
      </c>
      <c r="M133" s="261">
        <f t="shared" si="22"/>
        <v>0.5</v>
      </c>
    </row>
    <row r="134" spans="1:13">
      <c r="A134" s="968"/>
      <c r="B134" s="968"/>
      <c r="C134" s="2"/>
      <c r="D134" s="39"/>
      <c r="E134" s="3"/>
      <c r="F134" s="3"/>
      <c r="G134" s="3"/>
      <c r="H134" s="3"/>
      <c r="I134" s="3"/>
      <c r="J134" s="3"/>
      <c r="K134" s="241">
        <v>2</v>
      </c>
      <c r="L134" s="14">
        <f t="shared" si="21"/>
        <v>0</v>
      </c>
      <c r="M134" s="261">
        <f t="shared" si="22"/>
        <v>0.5</v>
      </c>
    </row>
    <row r="135" spans="1:13">
      <c r="A135" s="968"/>
      <c r="B135" s="968"/>
      <c r="C135" s="2"/>
      <c r="D135" s="39"/>
      <c r="E135" s="3"/>
      <c r="F135" s="3"/>
      <c r="G135" s="3"/>
      <c r="H135" s="3"/>
      <c r="I135" s="3"/>
      <c r="J135" s="3"/>
      <c r="L135" s="14"/>
      <c r="M135" s="241"/>
    </row>
    <row r="136" spans="1:13" hidden="1">
      <c r="A136" s="968"/>
      <c r="B136" s="968"/>
      <c r="C136" s="2"/>
      <c r="D136" s="39"/>
      <c r="E136" s="3"/>
      <c r="F136" s="3"/>
      <c r="G136" s="3"/>
      <c r="H136" s="3"/>
      <c r="I136" s="3"/>
      <c r="J136" s="3"/>
    </row>
    <row r="137" spans="1:13" hidden="1">
      <c r="A137" s="968"/>
      <c r="B137" s="968"/>
      <c r="C137" s="2"/>
      <c r="D137" s="39"/>
      <c r="E137" s="3"/>
      <c r="F137" s="3"/>
      <c r="G137" s="3"/>
      <c r="H137" s="3"/>
      <c r="I137" s="3"/>
      <c r="J137" s="3"/>
    </row>
    <row r="138" spans="1:13" hidden="1">
      <c r="A138" s="968"/>
      <c r="B138" s="968"/>
      <c r="C138" s="2"/>
      <c r="D138" s="39"/>
      <c r="E138" s="3"/>
      <c r="F138" s="3"/>
      <c r="G138" s="3"/>
      <c r="H138" s="3"/>
      <c r="I138" s="3"/>
      <c r="J138" s="3"/>
      <c r="L138" s="240" t="s">
        <v>3209</v>
      </c>
      <c r="M138" s="240" t="s">
        <v>3210</v>
      </c>
    </row>
    <row r="139" spans="1:13" hidden="1">
      <c r="A139" s="968"/>
      <c r="B139" s="968"/>
      <c r="C139" s="2"/>
      <c r="D139" s="39"/>
      <c r="E139" s="3"/>
      <c r="F139" s="3"/>
      <c r="G139" s="3"/>
      <c r="H139" s="3"/>
      <c r="I139" s="3"/>
      <c r="J139" s="3"/>
      <c r="K139" s="241">
        <v>0</v>
      </c>
      <c r="L139" s="14">
        <f t="shared" ref="L139:L145" si="23">K139*$J$145</f>
        <v>0</v>
      </c>
      <c r="M139" s="261">
        <f t="shared" ref="M139:M145" si="24">NORMDIST(L139,$J$145,$D$121,TRUE)</f>
        <v>0.5</v>
      </c>
    </row>
    <row r="140" spans="1:13" hidden="1">
      <c r="A140" s="968"/>
      <c r="B140" s="968"/>
      <c r="C140" s="2"/>
      <c r="D140" s="39"/>
      <c r="E140" s="3"/>
      <c r="F140" s="3"/>
      <c r="G140" s="3"/>
      <c r="H140" s="3"/>
      <c r="I140" s="3"/>
      <c r="J140" s="3"/>
      <c r="K140" s="241">
        <v>0.33</v>
      </c>
      <c r="L140" s="14">
        <f t="shared" si="23"/>
        <v>0</v>
      </c>
      <c r="M140" s="261">
        <f t="shared" si="24"/>
        <v>0.5</v>
      </c>
    </row>
    <row r="141" spans="1:13" hidden="1">
      <c r="A141" s="971"/>
      <c r="B141" s="969" t="s">
        <v>2322</v>
      </c>
      <c r="C141" s="230" t="str">
        <f>xxMMProd3Driver10</f>
        <v>Driver 10</v>
      </c>
      <c r="D141" s="231"/>
      <c r="E141" s="218"/>
      <c r="F141" s="218"/>
      <c r="G141" s="218"/>
      <c r="H141" s="218"/>
      <c r="I141" s="218"/>
      <c r="J141" s="154"/>
      <c r="K141" s="241">
        <v>0.66</v>
      </c>
      <c r="L141" s="14">
        <f t="shared" si="23"/>
        <v>0</v>
      </c>
      <c r="M141" s="261">
        <f t="shared" si="24"/>
        <v>0.5</v>
      </c>
    </row>
    <row r="142" spans="1:13" hidden="1">
      <c r="A142" s="971"/>
      <c r="B142" s="971"/>
      <c r="C142" s="37"/>
      <c r="D142" s="38"/>
      <c r="E142" s="39"/>
      <c r="F142" s="39"/>
      <c r="G142" s="39"/>
      <c r="H142" s="39"/>
      <c r="I142" s="39"/>
      <c r="J142" s="40"/>
      <c r="K142" s="241">
        <v>1</v>
      </c>
      <c r="L142" s="14">
        <f t="shared" si="23"/>
        <v>0</v>
      </c>
      <c r="M142" s="261">
        <f t="shared" si="24"/>
        <v>0.5</v>
      </c>
    </row>
    <row r="143" spans="1:13" hidden="1">
      <c r="A143" s="971"/>
      <c r="B143" s="971"/>
      <c r="C143" s="37" t="s">
        <v>2383</v>
      </c>
      <c r="D143" s="38"/>
      <c r="E143" s="87">
        <f>E141</f>
        <v>0</v>
      </c>
      <c r="F143" s="87">
        <f>F141</f>
        <v>0</v>
      </c>
      <c r="G143" s="87">
        <f>G141</f>
        <v>0</v>
      </c>
      <c r="H143" s="87">
        <f>H141</f>
        <v>0</v>
      </c>
      <c r="I143" s="87">
        <f>I141</f>
        <v>0</v>
      </c>
      <c r="J143" s="40"/>
      <c r="K143" s="241">
        <v>1.33</v>
      </c>
      <c r="L143" s="14">
        <f t="shared" si="23"/>
        <v>0</v>
      </c>
      <c r="M143" s="261">
        <f t="shared" si="24"/>
        <v>0.5</v>
      </c>
    </row>
    <row r="144" spans="1:13" hidden="1">
      <c r="A144" s="971"/>
      <c r="B144" s="971"/>
      <c r="C144" s="37" t="s">
        <v>965</v>
      </c>
      <c r="D144" s="48">
        <v>1</v>
      </c>
      <c r="E144" s="87">
        <f>IF(MMInMarket=TRUE,E143,0)</f>
        <v>0</v>
      </c>
      <c r="F144" s="87">
        <f>IF(MMInMarket=TRUE,F143,0)</f>
        <v>0</v>
      </c>
      <c r="G144" s="87">
        <f>IF(MMInMarket=TRUE,G143,0)</f>
        <v>0</v>
      </c>
      <c r="H144" s="87">
        <f>IF(MMInMarket=TRUE,H143,0)</f>
        <v>0</v>
      </c>
      <c r="I144" s="87">
        <f>IF(MMInMarket=TRUE,I143,0)</f>
        <v>0</v>
      </c>
      <c r="J144" s="40"/>
      <c r="K144" s="241">
        <v>1.66</v>
      </c>
      <c r="L144" s="14">
        <f t="shared" si="23"/>
        <v>0</v>
      </c>
      <c r="M144" s="261">
        <f t="shared" si="24"/>
        <v>0.5</v>
      </c>
    </row>
    <row r="145" spans="1:13" hidden="1">
      <c r="A145" s="971"/>
      <c r="B145" s="971"/>
      <c r="C145" s="43" t="s">
        <v>2957</v>
      </c>
      <c r="D145" s="42">
        <f>STDEVP(E144:I144)*D144+(STDEVP(E144:I144)=0)</f>
        <v>1</v>
      </c>
      <c r="E145" s="71">
        <f>IF(E144=0,0,NORMDIST(E144,$J145,$D145,TRUE))*(MMInMarket=TRUE)</f>
        <v>0</v>
      </c>
      <c r="F145" s="71">
        <f>IF(F144=0,0,NORMDIST(F144,$J145,$D145,TRUE))*(MMInMarket=TRUE)</f>
        <v>0</v>
      </c>
      <c r="G145" s="71">
        <f>IF(G144=0,0,NORMDIST(G144,$J145,$D145,TRUE))*(MMInMarket=TRUE)</f>
        <v>0</v>
      </c>
      <c r="H145" s="71">
        <f>IF(H144=0,0,NORMDIST(H144,$J145,$D145,TRUE))*(MMInMarket=TRUE)</f>
        <v>0</v>
      </c>
      <c r="I145" s="71">
        <f>IF(I144=0,0,NORMDIST(I144,$J145,$D145,TRUE))*(MMInMarket=TRUE)</f>
        <v>0</v>
      </c>
      <c r="J145" s="44">
        <f>IF($J$24=0,0,SUM(E144:I144)/$J$24)</f>
        <v>0</v>
      </c>
      <c r="K145" s="241">
        <v>2</v>
      </c>
      <c r="L145" s="14">
        <f t="shared" si="23"/>
        <v>0</v>
      </c>
      <c r="M145" s="261">
        <f t="shared" si="24"/>
        <v>0.5</v>
      </c>
    </row>
    <row r="146" spans="1:13" hidden="1">
      <c r="A146" s="971"/>
      <c r="B146" s="971"/>
      <c r="C146" s="156"/>
      <c r="D146" s="39"/>
      <c r="E146" s="3"/>
      <c r="F146" s="3"/>
      <c r="G146" s="3"/>
      <c r="H146" s="3"/>
      <c r="I146" s="3"/>
      <c r="J146" s="3"/>
    </row>
    <row r="147" spans="1:13" hidden="1">
      <c r="A147" s="971"/>
      <c r="B147" s="971"/>
      <c r="C147" s="156"/>
      <c r="D147" s="39"/>
      <c r="E147" s="3"/>
      <c r="F147" s="3"/>
      <c r="G147" s="3"/>
      <c r="H147" s="3"/>
      <c r="I147" s="3"/>
      <c r="J147" s="3"/>
      <c r="K147" s="3"/>
    </row>
    <row r="148" spans="1:13" hidden="1">
      <c r="A148" s="971"/>
      <c r="B148" s="971"/>
      <c r="C148" s="156"/>
      <c r="D148" s="39"/>
      <c r="E148" s="3"/>
      <c r="F148" s="3"/>
      <c r="G148" s="3"/>
      <c r="H148" s="3"/>
      <c r="I148" s="3"/>
      <c r="J148" s="3"/>
      <c r="K148" s="3"/>
    </row>
    <row r="149" spans="1:13">
      <c r="A149" s="971"/>
      <c r="B149" s="971"/>
      <c r="C149" s="156"/>
      <c r="D149" s="39"/>
      <c r="E149" s="3"/>
      <c r="F149" s="3"/>
      <c r="G149" s="3"/>
      <c r="H149" s="3"/>
      <c r="I149" s="3"/>
      <c r="J149" s="3"/>
    </row>
    <row r="150" spans="1:13">
      <c r="A150" s="971"/>
      <c r="B150" s="971"/>
      <c r="C150" s="156"/>
      <c r="D150" s="39"/>
      <c r="E150" s="3"/>
      <c r="F150" s="3"/>
      <c r="G150" s="3"/>
      <c r="H150" s="3"/>
      <c r="I150" s="3"/>
      <c r="J150" s="3"/>
    </row>
    <row r="151" spans="1:13">
      <c r="A151" s="971"/>
      <c r="B151" s="971" t="s">
        <v>1828</v>
      </c>
      <c r="C151" s="64"/>
      <c r="D151" s="42"/>
      <c r="E151" s="67"/>
      <c r="F151" s="67"/>
      <c r="G151" s="67"/>
      <c r="H151" s="67"/>
      <c r="I151" s="67"/>
      <c r="J151" s="67"/>
    </row>
    <row r="152" spans="1:13">
      <c r="A152" s="971"/>
      <c r="B152" s="973"/>
      <c r="C152" s="2"/>
      <c r="D152" s="39"/>
      <c r="E152" s="3"/>
      <c r="F152" s="3"/>
      <c r="G152" s="3"/>
      <c r="H152" s="3"/>
      <c r="I152" s="3"/>
      <c r="J152" s="3"/>
    </row>
    <row r="153" spans="1:13">
      <c r="A153" s="968"/>
      <c r="B153" s="969"/>
      <c r="C153" s="45" t="s">
        <v>1828</v>
      </c>
      <c r="D153" s="46"/>
      <c r="E153" s="469">
        <f>IF(MMSegCurrent=1,paramSpecProgReg1Prod3Sales, paramSpecProgReg2Prod3Sales)</f>
        <v>0</v>
      </c>
      <c r="F153" s="469">
        <f>IF(MMSegCurrent=1,paramSpecProgReg1Prod3Sales, paramSpecProgReg2Prod3Sales)</f>
        <v>0</v>
      </c>
      <c r="G153" s="469">
        <f>IF(MMSegCurrent=1,paramSpecProgReg1Prod3Sales, paramSpecProgReg2Prod3Sales)</f>
        <v>0</v>
      </c>
      <c r="H153" s="469">
        <f>IF(MMSegCurrent=1,paramSpecProgReg1Prod3Sales, paramSpecProgReg2Prod3Sales)</f>
        <v>0</v>
      </c>
      <c r="I153" s="469">
        <f>IF(MMSegCurrent=1,paramSpecProgReg1Prod3Sales, paramSpecProgReg2Prod3Sales)</f>
        <v>0</v>
      </c>
      <c r="J153" s="154"/>
    </row>
    <row r="154" spans="1:13">
      <c r="A154" s="968"/>
      <c r="B154" s="969"/>
      <c r="C154" s="37"/>
      <c r="D154" s="38"/>
      <c r="E154" s="48"/>
      <c r="F154" s="48"/>
      <c r="G154" s="48"/>
      <c r="H154" s="48"/>
      <c r="I154" s="48"/>
      <c r="J154" s="40"/>
    </row>
    <row r="155" spans="1:13">
      <c r="A155" s="971"/>
      <c r="B155" s="971"/>
      <c r="C155" s="37" t="s">
        <v>2383</v>
      </c>
      <c r="D155" s="38"/>
      <c r="E155" s="48">
        <f>E153</f>
        <v>0</v>
      </c>
      <c r="F155" s="48">
        <f>F153</f>
        <v>0</v>
      </c>
      <c r="G155" s="48">
        <f>G153</f>
        <v>0</v>
      </c>
      <c r="H155" s="48">
        <f>H153</f>
        <v>0</v>
      </c>
      <c r="I155" s="48">
        <f>I153</f>
        <v>0</v>
      </c>
      <c r="J155" s="40"/>
    </row>
    <row r="156" spans="1:13">
      <c r="A156" s="971"/>
      <c r="B156" s="971"/>
      <c r="C156" s="37" t="s">
        <v>965</v>
      </c>
      <c r="D156" s="38"/>
      <c r="E156" s="48">
        <f>IF(MMInMarket=TRUE,E155,0)</f>
        <v>0</v>
      </c>
      <c r="F156" s="48">
        <f>IF(MMInMarket=TRUE,F155,0)</f>
        <v>0</v>
      </c>
      <c r="G156" s="48">
        <f>IF(MMInMarket=TRUE,G155,0)</f>
        <v>0</v>
      </c>
      <c r="H156" s="48">
        <f>IF(MMInMarket=TRUE,H155,0)</f>
        <v>0</v>
      </c>
      <c r="I156" s="48">
        <f>IF(MMInMarket=TRUE,I155,0)</f>
        <v>0</v>
      </c>
      <c r="J156" s="40"/>
    </row>
    <row r="157" spans="1:13">
      <c r="A157" s="971"/>
      <c r="B157" s="971"/>
      <c r="C157" s="169" t="s">
        <v>1828</v>
      </c>
      <c r="D157" s="42"/>
      <c r="E157" s="71">
        <f>E156</f>
        <v>0</v>
      </c>
      <c r="F157" s="71">
        <f>F156</f>
        <v>0</v>
      </c>
      <c r="G157" s="71">
        <f>G156</f>
        <v>0</v>
      </c>
      <c r="H157" s="71">
        <f>H156</f>
        <v>0</v>
      </c>
      <c r="I157" s="71">
        <f>I156</f>
        <v>0</v>
      </c>
      <c r="J157" s="44"/>
    </row>
    <row r="158" spans="1:13">
      <c r="A158" s="971"/>
      <c r="B158" s="971"/>
    </row>
    <row r="159" spans="1:13">
      <c r="A159" s="971"/>
      <c r="B159" s="971"/>
      <c r="C159" s="64" t="s">
        <v>2323</v>
      </c>
      <c r="D159" s="42"/>
      <c r="E159" s="68" t="s">
        <v>129</v>
      </c>
      <c r="F159" s="68" t="s">
        <v>130</v>
      </c>
      <c r="G159" s="68" t="s">
        <v>131</v>
      </c>
      <c r="H159" s="68" t="s">
        <v>1133</v>
      </c>
      <c r="I159" s="68" t="s">
        <v>1134</v>
      </c>
      <c r="J159" s="3"/>
      <c r="K159" s="3"/>
    </row>
    <row r="160" spans="1:13">
      <c r="A160" s="968"/>
      <c r="B160" s="968"/>
      <c r="C160" s="228" t="str">
        <f>xxMMProd3Driver1</f>
        <v>Price</v>
      </c>
      <c r="D160" s="25"/>
      <c r="E160" s="229">
        <f>xxMMProd3Driver1</f>
        <v>30</v>
      </c>
      <c r="F160" s="229">
        <f>xxMMProd3Driver1</f>
        <v>50</v>
      </c>
      <c r="G160" s="229">
        <f>xxMMProd3Driver1</f>
        <v>0</v>
      </c>
      <c r="H160" s="229">
        <f>xxMMProd3Driver1</f>
        <v>0</v>
      </c>
      <c r="I160" s="229">
        <f>xxMMProd3Driver1</f>
        <v>0</v>
      </c>
      <c r="J160" s="3"/>
      <c r="K160" s="3"/>
    </row>
    <row r="161" spans="1:11">
      <c r="A161" s="968"/>
      <c r="B161" s="968"/>
      <c r="C161" s="228" t="str">
        <f>xxMMProd3Driver2</f>
        <v>Range Of Products</v>
      </c>
      <c r="D161" s="25"/>
      <c r="E161" s="229">
        <f>xxMMProd3Driver2</f>
        <v>7</v>
      </c>
      <c r="F161" s="229">
        <f>xxMMProd3Driver2</f>
        <v>8</v>
      </c>
      <c r="G161" s="229">
        <f>xxMMProd3Driver2</f>
        <v>0</v>
      </c>
      <c r="H161" s="229">
        <f>xxMMProd3Driver2</f>
        <v>0</v>
      </c>
      <c r="I161" s="229">
        <f>xxMMProd3Driver2</f>
        <v>0</v>
      </c>
      <c r="J161" s="3"/>
      <c r="K161" s="3"/>
    </row>
    <row r="162" spans="1:11">
      <c r="A162" s="968"/>
      <c r="B162" s="968"/>
      <c r="C162" s="228" t="str">
        <f>xxMMProd3Driver3</f>
        <v>Brands</v>
      </c>
      <c r="D162" s="25"/>
      <c r="E162" s="229">
        <f>xxMMProd3Driver3</f>
        <v>0</v>
      </c>
      <c r="F162" s="229">
        <f>xxMMProd3Driver3</f>
        <v>0</v>
      </c>
      <c r="G162" s="229">
        <f>xxMMProd3Driver3</f>
        <v>0</v>
      </c>
      <c r="H162" s="229">
        <f>xxMMProd3Driver3</f>
        <v>0</v>
      </c>
      <c r="I162" s="229">
        <f>xxMMProd3Driver3</f>
        <v>0</v>
      </c>
      <c r="J162" s="3"/>
      <c r="K162" s="3"/>
    </row>
    <row r="163" spans="1:11">
      <c r="A163" s="968"/>
      <c r="B163" s="968"/>
      <c r="C163" s="228" t="str">
        <f>xxMMProd3Driver4</f>
        <v>Advertising</v>
      </c>
      <c r="D163" s="25"/>
      <c r="E163" s="229">
        <f>xxMMProd3Driver4</f>
        <v>11</v>
      </c>
      <c r="F163" s="229">
        <f>xxMMProd3Driver4</f>
        <v>7</v>
      </c>
      <c r="G163" s="229">
        <f>xxMMProd3Driver4</f>
        <v>0</v>
      </c>
      <c r="H163" s="229">
        <f>xxMMProd3Driver4</f>
        <v>0</v>
      </c>
      <c r="I163" s="229">
        <f>xxMMProd3Driver4</f>
        <v>0</v>
      </c>
      <c r="J163" s="3"/>
      <c r="K163" s="3"/>
    </row>
    <row r="164" spans="1:11">
      <c r="A164" s="968"/>
      <c r="B164" s="968"/>
      <c r="C164" s="228" t="str">
        <f>xxMMProd3Driver5</f>
        <v>Promotion</v>
      </c>
      <c r="D164" s="25"/>
      <c r="E164" s="229">
        <f>xxMMProd3Driver5</f>
        <v>13</v>
      </c>
      <c r="F164" s="229">
        <f>xxMMProd3Driver5</f>
        <v>10</v>
      </c>
      <c r="G164" s="229">
        <f>xxMMProd3Driver5</f>
        <v>0</v>
      </c>
      <c r="H164" s="229">
        <f>xxMMProd3Driver5</f>
        <v>0</v>
      </c>
      <c r="I164" s="229">
        <f>xxMMProd3Driver5</f>
        <v>0</v>
      </c>
      <c r="J164" s="3"/>
      <c r="K164" s="3"/>
    </row>
    <row r="165" spans="1:11">
      <c r="A165" s="968"/>
      <c r="B165" s="968"/>
      <c r="C165" s="228" t="str">
        <f>xxMMProd3Driver6</f>
        <v>Sales Force</v>
      </c>
      <c r="D165" s="25"/>
      <c r="E165" s="229">
        <f>xxMMProd3Driver6</f>
        <v>9</v>
      </c>
      <c r="F165" s="229">
        <f>xxMMProd3Driver6</f>
        <v>13</v>
      </c>
      <c r="G165" s="229">
        <f>xxMMProd3Driver6</f>
        <v>0</v>
      </c>
      <c r="H165" s="229">
        <f>xxMMProd3Driver6</f>
        <v>0</v>
      </c>
      <c r="I165" s="229">
        <f>xxMMProd3Driver6</f>
        <v>0</v>
      </c>
      <c r="J165" s="3"/>
      <c r="K165" s="3"/>
    </row>
    <row r="166" spans="1:11">
      <c r="A166" s="968"/>
      <c r="B166" s="968"/>
      <c r="C166" s="228" t="str">
        <f>xxMMProd3Driver7</f>
        <v>Innovation</v>
      </c>
      <c r="D166" s="25"/>
      <c r="E166" s="229">
        <f>xxMMProd3Driver7</f>
        <v>16</v>
      </c>
      <c r="F166" s="229">
        <f>xxMMProd3Driver7</f>
        <v>15</v>
      </c>
      <c r="G166" s="229">
        <f>xxMMProd3Driver7</f>
        <v>0</v>
      </c>
      <c r="H166" s="229">
        <f>xxMMProd3Driver7</f>
        <v>0</v>
      </c>
      <c r="I166" s="229">
        <f>xxMMProd3Driver7</f>
        <v>0</v>
      </c>
      <c r="J166" s="3"/>
      <c r="K166" s="3"/>
    </row>
    <row r="167" spans="1:11">
      <c r="A167" s="968"/>
      <c r="B167" s="968"/>
      <c r="C167" s="228" t="str">
        <f>xxMMProd3Driver8</f>
        <v>Channel Penetration</v>
      </c>
      <c r="D167" s="25"/>
      <c r="E167" s="229">
        <f>xxMMProd3Driver8</f>
        <v>0</v>
      </c>
      <c r="F167" s="229">
        <f>xxMMProd3Driver8</f>
        <v>18</v>
      </c>
      <c r="G167" s="229">
        <f>xxMMProd3Driver8</f>
        <v>0</v>
      </c>
      <c r="H167" s="229">
        <f>xxMMProd3Driver8</f>
        <v>0</v>
      </c>
      <c r="I167" s="229">
        <f>xxMMProd3Driver8</f>
        <v>0</v>
      </c>
      <c r="J167" s="3"/>
      <c r="K167" s="3"/>
    </row>
    <row r="168" spans="1:11">
      <c r="A168" s="968"/>
      <c r="B168" s="968"/>
      <c r="C168" s="228" t="str">
        <f>xxMMProd3Driver9</f>
        <v>GTM Digitization</v>
      </c>
      <c r="D168" s="25"/>
      <c r="E168" s="229">
        <f>xxMMProd3Driver9</f>
        <v>14</v>
      </c>
      <c r="F168" s="229">
        <f>xxMMProd3Driver9</f>
        <v>0</v>
      </c>
      <c r="G168" s="229">
        <f>xxMMProd3Driver9</f>
        <v>0</v>
      </c>
      <c r="H168" s="229">
        <f>xxMMProd3Driver9</f>
        <v>0</v>
      </c>
      <c r="I168" s="229">
        <f>xxMMProd3Driver9</f>
        <v>0</v>
      </c>
      <c r="J168" s="3"/>
      <c r="K168" s="3"/>
    </row>
    <row r="169" spans="1:11">
      <c r="A169" s="968"/>
      <c r="B169" s="968"/>
      <c r="C169" s="228" t="str">
        <f>xxMMProd3Driver10</f>
        <v>Driver 10</v>
      </c>
      <c r="D169" s="25"/>
      <c r="E169" s="229">
        <f>xxMMProd3Driver10</f>
        <v>0</v>
      </c>
      <c r="F169" s="229">
        <f>xxMMProd3Driver10</f>
        <v>0</v>
      </c>
      <c r="G169" s="229">
        <f>xxMMProd3Driver10</f>
        <v>0</v>
      </c>
      <c r="H169" s="229">
        <f>xxMMProd3Driver10</f>
        <v>0</v>
      </c>
      <c r="I169" s="229">
        <f>xxMMProd3Driver10</f>
        <v>0</v>
      </c>
      <c r="J169" s="3"/>
      <c r="K169" s="3"/>
    </row>
    <row r="170" spans="1:11">
      <c r="A170" s="968"/>
      <c r="B170" s="968"/>
      <c r="C170" s="3"/>
      <c r="D170" s="39"/>
      <c r="E170" s="86"/>
      <c r="F170" s="86"/>
      <c r="G170" s="86"/>
      <c r="H170" s="86"/>
      <c r="I170" s="86"/>
      <c r="J170" s="3"/>
      <c r="K170" s="3"/>
    </row>
    <row r="171" spans="1:11" ht="12" thickBot="1">
      <c r="A171" s="968"/>
      <c r="B171" s="968"/>
      <c r="C171" s="2"/>
      <c r="D171" s="39"/>
      <c r="E171" s="3"/>
      <c r="F171" s="3"/>
      <c r="G171" s="3"/>
      <c r="H171" s="3"/>
      <c r="I171" s="3"/>
      <c r="J171" s="3"/>
      <c r="K171" s="3"/>
    </row>
    <row r="172" spans="1:11" ht="12" thickBot="1">
      <c r="A172" s="968"/>
      <c r="B172" s="968"/>
      <c r="C172" s="282" t="str">
        <f>"Market Model Calculation Segment " &amp;MMSegCurrent &amp; " " &amp; MMSegName</f>
        <v>Market Model Calculation Segment 2 Escendia</v>
      </c>
      <c r="D172" s="283"/>
      <c r="E172" s="284"/>
      <c r="F172" s="284"/>
      <c r="G172" s="285"/>
      <c r="H172" s="285"/>
      <c r="I172" s="285"/>
      <c r="J172" s="285"/>
      <c r="K172" s="286"/>
    </row>
    <row r="173" spans="1:11" ht="12" thickBot="1">
      <c r="A173" s="971"/>
      <c r="B173" s="971"/>
      <c r="C173" s="282" t="s">
        <v>2672</v>
      </c>
      <c r="D173" s="685">
        <f>D19</f>
        <v>3220700000</v>
      </c>
      <c r="E173" s="283"/>
      <c r="F173" s="287"/>
      <c r="G173" s="283"/>
      <c r="H173" s="288"/>
      <c r="I173" s="289" t="s">
        <v>2673</v>
      </c>
      <c r="J173" s="290">
        <f>INDEX(D13:D17,$D$10)</f>
        <v>1347500000</v>
      </c>
      <c r="K173" s="286"/>
    </row>
    <row r="174" spans="1:11">
      <c r="A174" s="971"/>
      <c r="B174" s="971"/>
      <c r="C174" s="291" t="s">
        <v>2958</v>
      </c>
      <c r="D174" s="292"/>
      <c r="E174" s="293" t="s">
        <v>1834</v>
      </c>
      <c r="F174" s="293" t="s">
        <v>1835</v>
      </c>
      <c r="G174" s="293" t="s">
        <v>1836</v>
      </c>
      <c r="H174" s="293" t="s">
        <v>1837</v>
      </c>
      <c r="I174" s="293" t="s">
        <v>1838</v>
      </c>
      <c r="J174" s="293"/>
      <c r="K174" s="294"/>
    </row>
    <row r="175" spans="1:11">
      <c r="A175" s="971"/>
      <c r="B175" s="971"/>
      <c r="C175" s="295" t="str">
        <f t="shared" ref="C175:C184" si="25">C160</f>
        <v>Price</v>
      </c>
      <c r="D175" s="296">
        <f t="shared" ref="D175:D184" si="26">INDEX(E160:I160,,MMSegCurrent)</f>
        <v>50</v>
      </c>
      <c r="E175" s="297">
        <f>$D175*E32</f>
        <v>25</v>
      </c>
      <c r="F175" s="298">
        <f>$D175*F32</f>
        <v>25</v>
      </c>
      <c r="G175" s="298">
        <f>$D175*G32</f>
        <v>25</v>
      </c>
      <c r="H175" s="298">
        <f>$D175*H32</f>
        <v>25</v>
      </c>
      <c r="I175" s="299">
        <f>$D175*I32</f>
        <v>25</v>
      </c>
      <c r="J175" s="300">
        <f t="shared" ref="J175:J185" si="27">SUM(E175:I175)</f>
        <v>125</v>
      </c>
      <c r="K175" s="294"/>
    </row>
    <row r="176" spans="1:11">
      <c r="A176" s="971"/>
      <c r="B176" s="971"/>
      <c r="C176" s="295" t="str">
        <f t="shared" si="25"/>
        <v>Range Of Products</v>
      </c>
      <c r="D176" s="296">
        <f t="shared" si="26"/>
        <v>8</v>
      </c>
      <c r="E176" s="301">
        <f>$D176*E44</f>
        <v>4</v>
      </c>
      <c r="F176" s="296">
        <f>$D176*F44</f>
        <v>4</v>
      </c>
      <c r="G176" s="296">
        <f>$D176*G44</f>
        <v>4</v>
      </c>
      <c r="H176" s="296">
        <f>$D176*H44</f>
        <v>4</v>
      </c>
      <c r="I176" s="302">
        <f>$D176*I44</f>
        <v>4</v>
      </c>
      <c r="J176" s="303">
        <f t="shared" si="27"/>
        <v>20</v>
      </c>
      <c r="K176" s="294"/>
    </row>
    <row r="177" spans="1:11">
      <c r="A177" s="971"/>
      <c r="B177" s="971"/>
      <c r="C177" s="295" t="str">
        <f t="shared" si="25"/>
        <v>Brands</v>
      </c>
      <c r="D177" s="296">
        <f t="shared" si="26"/>
        <v>0</v>
      </c>
      <c r="E177" s="301">
        <f>$D177*E59</f>
        <v>0</v>
      </c>
      <c r="F177" s="296">
        <f>$D177*F59</f>
        <v>0</v>
      </c>
      <c r="G177" s="296">
        <f>$D177*G59</f>
        <v>0</v>
      </c>
      <c r="H177" s="296">
        <f>$D177*H59</f>
        <v>0</v>
      </c>
      <c r="I177" s="302">
        <f>$D177*I59</f>
        <v>0</v>
      </c>
      <c r="J177" s="303">
        <f t="shared" si="27"/>
        <v>0</v>
      </c>
      <c r="K177" s="294"/>
    </row>
    <row r="178" spans="1:11">
      <c r="A178" s="971"/>
      <c r="B178" s="971"/>
      <c r="C178" s="295" t="str">
        <f t="shared" si="25"/>
        <v>Advertising</v>
      </c>
      <c r="D178" s="296">
        <f t="shared" si="26"/>
        <v>7</v>
      </c>
      <c r="E178" s="301">
        <f>$D178*E72</f>
        <v>3.5</v>
      </c>
      <c r="F178" s="296">
        <f>$D178*F72</f>
        <v>3.5</v>
      </c>
      <c r="G178" s="296">
        <f>$D178*G72</f>
        <v>3.5</v>
      </c>
      <c r="H178" s="296">
        <f>$D178*H72</f>
        <v>3.5</v>
      </c>
      <c r="I178" s="302">
        <f>$D178*I72</f>
        <v>3.5</v>
      </c>
      <c r="J178" s="303">
        <f t="shared" si="27"/>
        <v>17.5</v>
      </c>
      <c r="K178" s="294"/>
    </row>
    <row r="179" spans="1:11">
      <c r="A179" s="971"/>
      <c r="B179" s="971"/>
      <c r="C179" s="295" t="str">
        <f t="shared" si="25"/>
        <v>Promotion</v>
      </c>
      <c r="D179" s="296">
        <f t="shared" si="26"/>
        <v>10</v>
      </c>
      <c r="E179" s="301">
        <f>$D179*E85</f>
        <v>5</v>
      </c>
      <c r="F179" s="296">
        <f>$D179*F85</f>
        <v>5</v>
      </c>
      <c r="G179" s="296">
        <f>$D179*G85</f>
        <v>5</v>
      </c>
      <c r="H179" s="296">
        <f>$D179*H85</f>
        <v>5</v>
      </c>
      <c r="I179" s="302">
        <f>$D179*I85</f>
        <v>5</v>
      </c>
      <c r="J179" s="303">
        <f t="shared" si="27"/>
        <v>25</v>
      </c>
      <c r="K179" s="294"/>
    </row>
    <row r="180" spans="1:11">
      <c r="A180" s="971"/>
      <c r="B180" s="971"/>
      <c r="C180" s="295" t="str">
        <f t="shared" si="25"/>
        <v>Sales Force</v>
      </c>
      <c r="D180" s="296">
        <f t="shared" si="26"/>
        <v>13</v>
      </c>
      <c r="E180" s="301">
        <f>$D180*E97</f>
        <v>6.5</v>
      </c>
      <c r="F180" s="296">
        <f>$D180*F97</f>
        <v>6.5</v>
      </c>
      <c r="G180" s="296">
        <f>$D180*G97</f>
        <v>6.5</v>
      </c>
      <c r="H180" s="296">
        <f>$D180*H97</f>
        <v>6.5</v>
      </c>
      <c r="I180" s="302">
        <f>$D180*I97</f>
        <v>6.5</v>
      </c>
      <c r="J180" s="303">
        <f t="shared" si="27"/>
        <v>32.5</v>
      </c>
      <c r="K180" s="294"/>
    </row>
    <row r="181" spans="1:11">
      <c r="A181" s="971"/>
      <c r="B181" s="971"/>
      <c r="C181" s="295" t="str">
        <f t="shared" si="25"/>
        <v>Innovation</v>
      </c>
      <c r="D181" s="296">
        <f t="shared" si="26"/>
        <v>15</v>
      </c>
      <c r="E181" s="301">
        <f>$D181*E109</f>
        <v>0</v>
      </c>
      <c r="F181" s="296">
        <f>$D181*F109</f>
        <v>0</v>
      </c>
      <c r="G181" s="296">
        <f>$D181*G109</f>
        <v>0</v>
      </c>
      <c r="H181" s="296">
        <f>$D181*H109</f>
        <v>0</v>
      </c>
      <c r="I181" s="302">
        <f>$D181*I109</f>
        <v>0</v>
      </c>
      <c r="J181" s="303">
        <f t="shared" si="27"/>
        <v>0</v>
      </c>
      <c r="K181" s="294"/>
    </row>
    <row r="182" spans="1:11">
      <c r="A182" s="971"/>
      <c r="B182" s="971"/>
      <c r="C182" s="295" t="str">
        <f t="shared" si="25"/>
        <v>Channel Penetration</v>
      </c>
      <c r="D182" s="296">
        <f t="shared" si="26"/>
        <v>18</v>
      </c>
      <c r="E182" s="301">
        <f>$D182*E121</f>
        <v>9</v>
      </c>
      <c r="F182" s="296">
        <f>$D182*F121</f>
        <v>9</v>
      </c>
      <c r="G182" s="296">
        <f>$D182*G121</f>
        <v>9</v>
      </c>
      <c r="H182" s="296">
        <f>$D182*H121</f>
        <v>9</v>
      </c>
      <c r="I182" s="302">
        <f>$D182*I121</f>
        <v>9</v>
      </c>
      <c r="J182" s="303">
        <f t="shared" si="27"/>
        <v>45</v>
      </c>
      <c r="K182" s="294"/>
    </row>
    <row r="183" spans="1:11">
      <c r="A183" s="971"/>
      <c r="B183" s="971"/>
      <c r="C183" s="295" t="str">
        <f t="shared" si="25"/>
        <v>GTM Digitization</v>
      </c>
      <c r="D183" s="296">
        <f t="shared" si="26"/>
        <v>0</v>
      </c>
      <c r="E183" s="301">
        <f>$D183*E133</f>
        <v>0</v>
      </c>
      <c r="F183" s="296">
        <f>$D183*F133</f>
        <v>0</v>
      </c>
      <c r="G183" s="296">
        <f>$D183*G133</f>
        <v>0</v>
      </c>
      <c r="H183" s="296">
        <f>$D183*H133</f>
        <v>0</v>
      </c>
      <c r="I183" s="302">
        <f>$D183*I133</f>
        <v>0</v>
      </c>
      <c r="J183" s="303">
        <f t="shared" si="27"/>
        <v>0</v>
      </c>
      <c r="K183" s="294"/>
    </row>
    <row r="184" spans="1:11">
      <c r="A184" s="971"/>
      <c r="B184" s="971"/>
      <c r="C184" s="295" t="str">
        <f t="shared" si="25"/>
        <v>Driver 10</v>
      </c>
      <c r="D184" s="296">
        <f t="shared" si="26"/>
        <v>0</v>
      </c>
      <c r="E184" s="301">
        <f>$D184*E145</f>
        <v>0</v>
      </c>
      <c r="F184" s="296">
        <f>$D184*F145</f>
        <v>0</v>
      </c>
      <c r="G184" s="296">
        <f>$D184*G145</f>
        <v>0</v>
      </c>
      <c r="H184" s="296">
        <f>$D184*H145</f>
        <v>0</v>
      </c>
      <c r="I184" s="302">
        <f>$D184*I145</f>
        <v>0</v>
      </c>
      <c r="J184" s="303">
        <f t="shared" si="27"/>
        <v>0</v>
      </c>
      <c r="K184" s="294"/>
    </row>
    <row r="185" spans="1:11">
      <c r="A185" s="971"/>
      <c r="B185" s="971"/>
      <c r="C185" s="304" t="s">
        <v>1828</v>
      </c>
      <c r="D185" s="273"/>
      <c r="E185" s="305">
        <f>E157*SUM($E$175:$I$184)</f>
        <v>0</v>
      </c>
      <c r="F185" s="306">
        <f>F157*SUM($E$175:$I$184)</f>
        <v>0</v>
      </c>
      <c r="G185" s="306">
        <f>G157*SUM($E$175:$I$184)</f>
        <v>0</v>
      </c>
      <c r="H185" s="306">
        <f>H157*SUM($E$175:$I$184)</f>
        <v>0</v>
      </c>
      <c r="I185" s="307">
        <f>I157*SUM($E$175:$I$184)</f>
        <v>0</v>
      </c>
      <c r="J185" s="303">
        <f t="shared" si="27"/>
        <v>0</v>
      </c>
      <c r="K185" s="294"/>
    </row>
    <row r="186" spans="1:11" ht="12" thickBot="1">
      <c r="A186" s="971"/>
      <c r="B186" s="971"/>
      <c r="C186" s="295" t="s">
        <v>2959</v>
      </c>
      <c r="D186" s="273"/>
      <c r="E186" s="308">
        <f t="shared" ref="E186:J186" si="28">SUM(E175:E185)</f>
        <v>53</v>
      </c>
      <c r="F186" s="309">
        <f t="shared" si="28"/>
        <v>53</v>
      </c>
      <c r="G186" s="309">
        <f t="shared" si="28"/>
        <v>53</v>
      </c>
      <c r="H186" s="309">
        <f t="shared" si="28"/>
        <v>53</v>
      </c>
      <c r="I186" s="310">
        <f t="shared" si="28"/>
        <v>53</v>
      </c>
      <c r="J186" s="311">
        <f t="shared" si="28"/>
        <v>265</v>
      </c>
      <c r="K186" s="294"/>
    </row>
    <row r="187" spans="1:11">
      <c r="A187" s="971"/>
      <c r="B187" s="971"/>
      <c r="C187" s="295" t="s">
        <v>974</v>
      </c>
      <c r="D187" s="273"/>
      <c r="E187" s="273">
        <f>RANK(E186,$E186:$I186)</f>
        <v>1</v>
      </c>
      <c r="F187" s="273">
        <f>RANK(F186,$E186:$I186)</f>
        <v>1</v>
      </c>
      <c r="G187" s="273">
        <f>RANK(G186,$E186:$I186)</f>
        <v>1</v>
      </c>
      <c r="H187" s="273">
        <f>RANK(H186,$E186:$I186)</f>
        <v>1</v>
      </c>
      <c r="I187" s="273">
        <f>RANK(I186,$E186:$I186)</f>
        <v>1</v>
      </c>
      <c r="J187" s="623" t="s">
        <v>2227</v>
      </c>
      <c r="K187" s="294"/>
    </row>
    <row r="188" spans="1:11" s="33" customFormat="1">
      <c r="A188" s="971"/>
      <c r="B188" s="971"/>
      <c r="C188" s="295" t="s">
        <v>3201</v>
      </c>
      <c r="D188" s="273"/>
      <c r="E188" s="621">
        <f>E186/SUM($E186:$I186)</f>
        <v>0.2</v>
      </c>
      <c r="F188" s="621">
        <f>F186/SUM($E186:$I186)</f>
        <v>0.2</v>
      </c>
      <c r="G188" s="621">
        <f>G186/SUM($E186:$I186)</f>
        <v>0.2</v>
      </c>
      <c r="H188" s="621">
        <f>H186/SUM($E186:$I186)</f>
        <v>0.2</v>
      </c>
      <c r="I188" s="621">
        <f>I186/SUM($E186:$I186)</f>
        <v>0.2</v>
      </c>
      <c r="J188" s="622">
        <v>0.6</v>
      </c>
      <c r="K188" s="294"/>
    </row>
    <row r="189" spans="1:11" s="33" customFormat="1">
      <c r="A189" s="971"/>
      <c r="B189" s="971"/>
      <c r="C189" s="295" t="s">
        <v>1999</v>
      </c>
      <c r="D189" s="273"/>
      <c r="E189" s="620">
        <f>1/xxNumOfTeams</f>
        <v>0.2</v>
      </c>
      <c r="F189" s="620">
        <f>1/xxNumOfTeams</f>
        <v>0.2</v>
      </c>
      <c r="G189" s="620">
        <f>1/xxNumOfTeams</f>
        <v>0.2</v>
      </c>
      <c r="H189" s="620">
        <f>1/xxNumOfTeams</f>
        <v>0.2</v>
      </c>
      <c r="I189" s="620">
        <f>1/xxNumOfTeams</f>
        <v>0.2</v>
      </c>
      <c r="J189" s="622">
        <f>1-J188</f>
        <v>0.4</v>
      </c>
      <c r="K189" s="294"/>
    </row>
    <row r="190" spans="1:11" ht="12" thickBot="1">
      <c r="A190" s="971"/>
      <c r="B190" s="971"/>
      <c r="C190" s="312" t="s">
        <v>2830</v>
      </c>
      <c r="D190" s="313"/>
      <c r="E190" s="366">
        <f>SUMPRODUCT(E188:E189,$J$188:$J$189)</f>
        <v>0.2</v>
      </c>
      <c r="F190" s="366">
        <f>SUMPRODUCT(F188:F189,$J$188:$J$189)</f>
        <v>0.2</v>
      </c>
      <c r="G190" s="366">
        <f>SUMPRODUCT(G188:G189,$J$188:$J$189)</f>
        <v>0.2</v>
      </c>
      <c r="H190" s="366">
        <f>SUMPRODUCT(H188:H189,$J$188:$J$189)</f>
        <v>0.2</v>
      </c>
      <c r="I190" s="366">
        <f>SUMPRODUCT(I188:I189,$J$188:$J$189)</f>
        <v>0.2</v>
      </c>
      <c r="J190" s="612">
        <f>J173</f>
        <v>1347500000</v>
      </c>
      <c r="K190" s="368" t="s">
        <v>2327</v>
      </c>
    </row>
    <row r="191" spans="1:11">
      <c r="A191" s="971"/>
      <c r="B191" s="971"/>
      <c r="C191" s="2"/>
      <c r="D191" s="39"/>
      <c r="E191" s="3"/>
      <c r="F191" s="3"/>
      <c r="G191" s="3"/>
      <c r="H191" s="3"/>
      <c r="I191" s="3"/>
      <c r="J191" s="3"/>
      <c r="K191" s="30"/>
    </row>
    <row r="192" spans="1:11">
      <c r="A192" s="968"/>
      <c r="B192" s="968"/>
      <c r="C192" s="49" t="s">
        <v>2830</v>
      </c>
      <c r="D192" s="95"/>
      <c r="E192" s="95"/>
      <c r="F192" s="95"/>
      <c r="G192" s="95"/>
      <c r="H192" s="95"/>
      <c r="I192" s="95"/>
      <c r="J192" s="96"/>
      <c r="K192" s="30"/>
    </row>
    <row r="193" spans="1:11">
      <c r="A193" s="971"/>
      <c r="B193" s="971"/>
      <c r="C193" s="91" t="s">
        <v>129</v>
      </c>
      <c r="D193" s="359" t="s">
        <v>2329</v>
      </c>
      <c r="E193" s="670">
        <v>0.2</v>
      </c>
      <c r="F193" s="671">
        <v>0.2</v>
      </c>
      <c r="G193" s="671">
        <v>0.2</v>
      </c>
      <c r="H193" s="671">
        <v>0.2</v>
      </c>
      <c r="I193" s="671">
        <v>0.2</v>
      </c>
      <c r="J193" s="362">
        <v>1784000000</v>
      </c>
      <c r="K193" s="363" t="s">
        <v>2328</v>
      </c>
    </row>
    <row r="194" spans="1:11">
      <c r="A194" s="971"/>
      <c r="B194" s="971"/>
      <c r="C194" s="91" t="s">
        <v>130</v>
      </c>
      <c r="D194" s="364"/>
      <c r="E194" s="671">
        <v>0.2</v>
      </c>
      <c r="F194" s="671">
        <v>0.2</v>
      </c>
      <c r="G194" s="671">
        <v>0.2</v>
      </c>
      <c r="H194" s="671">
        <v>0.2</v>
      </c>
      <c r="I194" s="671">
        <v>0.2</v>
      </c>
      <c r="J194" s="362">
        <v>1225000000</v>
      </c>
      <c r="K194" s="365"/>
    </row>
    <row r="195" spans="1:11">
      <c r="A195" s="971"/>
      <c r="B195" s="971"/>
      <c r="C195" s="91" t="s">
        <v>131</v>
      </c>
      <c r="D195" s="364"/>
      <c r="E195" s="361"/>
      <c r="F195" s="361"/>
      <c r="G195" s="361"/>
      <c r="H195" s="361"/>
      <c r="I195" s="361"/>
      <c r="J195" s="362"/>
      <c r="K195" s="365"/>
    </row>
    <row r="196" spans="1:11">
      <c r="A196" s="971"/>
      <c r="B196" s="971"/>
      <c r="C196" s="91" t="s">
        <v>1133</v>
      </c>
      <c r="D196" s="364"/>
      <c r="E196" s="361"/>
      <c r="F196" s="361"/>
      <c r="G196" s="361"/>
      <c r="H196" s="361"/>
      <c r="I196" s="361"/>
      <c r="J196" s="362"/>
      <c r="K196" s="365"/>
    </row>
    <row r="197" spans="1:11">
      <c r="A197" s="971"/>
      <c r="B197" s="971"/>
      <c r="C197" s="91" t="s">
        <v>1134</v>
      </c>
      <c r="D197" s="364"/>
      <c r="E197" s="361"/>
      <c r="F197" s="361"/>
      <c r="G197" s="361"/>
      <c r="H197" s="361"/>
      <c r="I197" s="361"/>
      <c r="J197" s="362"/>
      <c r="K197" s="365"/>
    </row>
    <row r="198" spans="1:11">
      <c r="A198" s="971"/>
      <c r="B198" s="971"/>
      <c r="C198" s="206"/>
      <c r="D198" s="207"/>
      <c r="E198" s="242"/>
      <c r="F198" s="242"/>
      <c r="G198" s="242"/>
      <c r="H198" s="242"/>
      <c r="I198" s="242"/>
      <c r="J198" s="243"/>
    </row>
    <row r="199" spans="1:11">
      <c r="A199" s="971"/>
      <c r="B199" s="971"/>
    </row>
    <row r="200" spans="1:11">
      <c r="A200" s="971"/>
      <c r="B200" s="971"/>
      <c r="C200" s="49" t="s">
        <v>3939</v>
      </c>
      <c r="D200" s="95"/>
      <c r="E200" s="60" t="s">
        <v>3119</v>
      </c>
      <c r="F200" s="60"/>
      <c r="G200" s="60"/>
      <c r="H200" s="60"/>
      <c r="I200" s="60"/>
      <c r="J200" s="96"/>
    </row>
    <row r="201" spans="1:11">
      <c r="A201" s="971"/>
      <c r="B201" s="971"/>
      <c r="C201" s="91" t="s">
        <v>129</v>
      </c>
      <c r="D201" s="21"/>
      <c r="E201" s="847"/>
      <c r="F201" s="847"/>
      <c r="G201" s="847"/>
      <c r="H201" s="918"/>
      <c r="I201" s="847"/>
      <c r="J201" s="97"/>
    </row>
    <row r="202" spans="1:11">
      <c r="A202" s="971"/>
      <c r="B202" s="971"/>
      <c r="C202" s="91" t="s">
        <v>130</v>
      </c>
      <c r="D202" s="21"/>
      <c r="E202" s="214"/>
      <c r="F202" s="847"/>
      <c r="G202" s="847"/>
      <c r="H202" s="918"/>
      <c r="I202" s="214"/>
      <c r="J202" s="97"/>
    </row>
    <row r="203" spans="1:11">
      <c r="A203" s="971"/>
      <c r="B203" s="971"/>
      <c r="C203" s="91" t="s">
        <v>131</v>
      </c>
      <c r="D203" s="21"/>
      <c r="E203" s="904"/>
      <c r="F203" s="904"/>
      <c r="G203" s="904"/>
      <c r="H203" s="904"/>
      <c r="I203" s="904"/>
      <c r="J203" s="97"/>
    </row>
    <row r="204" spans="1:11">
      <c r="A204" s="971"/>
      <c r="B204" s="971"/>
      <c r="C204" s="91" t="s">
        <v>1133</v>
      </c>
      <c r="D204" s="21"/>
      <c r="E204" s="904"/>
      <c r="F204" s="904"/>
      <c r="G204" s="904"/>
      <c r="H204" s="904"/>
      <c r="I204" s="904"/>
      <c r="J204" s="97"/>
    </row>
    <row r="205" spans="1:11">
      <c r="A205" s="971"/>
      <c r="B205" s="971"/>
      <c r="C205" s="91" t="s">
        <v>1134</v>
      </c>
      <c r="D205" s="21"/>
      <c r="E205" s="904"/>
      <c r="F205" s="904"/>
      <c r="G205" s="904"/>
      <c r="H205" s="904"/>
      <c r="I205" s="904"/>
      <c r="J205" s="97"/>
    </row>
    <row r="206" spans="1:11">
      <c r="A206" s="971"/>
      <c r="B206" s="971"/>
      <c r="C206" s="206"/>
      <c r="D206" s="207"/>
      <c r="E206" s="207"/>
      <c r="F206" s="207"/>
      <c r="G206" s="207"/>
      <c r="H206" s="207"/>
      <c r="I206" s="207"/>
      <c r="J206" s="208"/>
    </row>
    <row r="207" spans="1:11">
      <c r="A207" s="971"/>
      <c r="B207" s="971"/>
    </row>
    <row r="208" spans="1:11">
      <c r="A208" s="971"/>
      <c r="B208" s="971"/>
      <c r="C208" s="49" t="s">
        <v>3744</v>
      </c>
      <c r="D208" s="95"/>
      <c r="E208" s="95"/>
      <c r="F208" s="95"/>
      <c r="G208" s="95"/>
      <c r="H208" s="95"/>
      <c r="I208" s="95"/>
      <c r="J208" s="96" t="s">
        <v>1403</v>
      </c>
    </row>
    <row r="209" spans="1:11">
      <c r="A209" s="971"/>
      <c r="B209" s="971"/>
      <c r="C209" s="91" t="s">
        <v>129</v>
      </c>
      <c r="D209" s="21"/>
      <c r="E209" s="678">
        <f t="shared" ref="E209:I210" si="29">E193+E201</f>
        <v>0.2</v>
      </c>
      <c r="F209" s="678">
        <f t="shared" si="29"/>
        <v>0.2</v>
      </c>
      <c r="G209" s="678">
        <f t="shared" si="29"/>
        <v>0.2</v>
      </c>
      <c r="H209" s="678">
        <f t="shared" si="29"/>
        <v>0.2</v>
      </c>
      <c r="I209" s="678">
        <f t="shared" si="29"/>
        <v>0.2</v>
      </c>
      <c r="J209" s="101">
        <f>J193</f>
        <v>1784000000</v>
      </c>
    </row>
    <row r="210" spans="1:11">
      <c r="A210" s="971"/>
      <c r="B210" s="971"/>
      <c r="C210" s="91" t="s">
        <v>130</v>
      </c>
      <c r="D210" s="21"/>
      <c r="E210" s="678">
        <f t="shared" si="29"/>
        <v>0.2</v>
      </c>
      <c r="F210" s="678">
        <f t="shared" si="29"/>
        <v>0.2</v>
      </c>
      <c r="G210" s="678">
        <f t="shared" si="29"/>
        <v>0.2</v>
      </c>
      <c r="H210" s="678">
        <f t="shared" si="29"/>
        <v>0.2</v>
      </c>
      <c r="I210" s="678">
        <f t="shared" si="29"/>
        <v>0.2</v>
      </c>
      <c r="J210" s="101">
        <f>J194</f>
        <v>1225000000</v>
      </c>
    </row>
    <row r="211" spans="1:11">
      <c r="A211" s="971"/>
      <c r="B211" s="971"/>
      <c r="C211" s="91" t="s">
        <v>131</v>
      </c>
      <c r="D211" s="21"/>
      <c r="E211" s="244">
        <f t="shared" ref="E211:I213" si="30">IF(ISBLANK(E203),E195,E203)</f>
        <v>0</v>
      </c>
      <c r="F211" s="244">
        <f t="shared" si="30"/>
        <v>0</v>
      </c>
      <c r="G211" s="244">
        <f t="shared" si="30"/>
        <v>0</v>
      </c>
      <c r="H211" s="244">
        <f t="shared" si="30"/>
        <v>0</v>
      </c>
      <c r="I211" s="244">
        <f t="shared" si="30"/>
        <v>0</v>
      </c>
      <c r="J211" s="101">
        <f>J195</f>
        <v>0</v>
      </c>
    </row>
    <row r="212" spans="1:11">
      <c r="A212" s="971"/>
      <c r="B212" s="971"/>
      <c r="C212" s="91" t="s">
        <v>1133</v>
      </c>
      <c r="D212" s="21"/>
      <c r="E212" s="244">
        <f t="shared" si="30"/>
        <v>0</v>
      </c>
      <c r="F212" s="244">
        <f t="shared" si="30"/>
        <v>0</v>
      </c>
      <c r="G212" s="244">
        <f t="shared" si="30"/>
        <v>0</v>
      </c>
      <c r="H212" s="244">
        <f t="shared" si="30"/>
        <v>0</v>
      </c>
      <c r="I212" s="244">
        <f t="shared" si="30"/>
        <v>0</v>
      </c>
      <c r="J212" s="101">
        <f>J196</f>
        <v>0</v>
      </c>
    </row>
    <row r="213" spans="1:11">
      <c r="A213" s="971"/>
      <c r="B213" s="971"/>
      <c r="C213" s="91" t="s">
        <v>1134</v>
      </c>
      <c r="D213" s="21"/>
      <c r="E213" s="244">
        <f t="shared" si="30"/>
        <v>0</v>
      </c>
      <c r="F213" s="244">
        <f t="shared" si="30"/>
        <v>0</v>
      </c>
      <c r="G213" s="244">
        <f t="shared" si="30"/>
        <v>0</v>
      </c>
      <c r="H213" s="244">
        <f t="shared" si="30"/>
        <v>0</v>
      </c>
      <c r="I213" s="244">
        <f t="shared" si="30"/>
        <v>0</v>
      </c>
      <c r="J213" s="101">
        <f>J197</f>
        <v>0</v>
      </c>
    </row>
    <row r="214" spans="1:11">
      <c r="A214" s="971"/>
      <c r="B214" s="971"/>
      <c r="C214" s="206"/>
      <c r="D214" s="207"/>
      <c r="E214" s="242"/>
      <c r="F214" s="242"/>
      <c r="G214" s="242"/>
      <c r="H214" s="242"/>
      <c r="I214" s="242"/>
      <c r="J214" s="208"/>
    </row>
    <row r="215" spans="1:11">
      <c r="A215" s="971"/>
      <c r="B215" s="971"/>
      <c r="C215" s="93" t="s">
        <v>1136</v>
      </c>
      <c r="D215" s="94"/>
      <c r="E215" s="245">
        <f>SUMPRODUCT(E209:E214,$J$209:$J$214)</f>
        <v>601800000</v>
      </c>
      <c r="F215" s="245">
        <f>SUMPRODUCT(F209:F214,$J$209:$J$214)</f>
        <v>601800000</v>
      </c>
      <c r="G215" s="245">
        <f>SUMPRODUCT(G209:G214,$J$209:$J$214)</f>
        <v>601800000</v>
      </c>
      <c r="H215" s="245">
        <f>SUMPRODUCT(H209:H214,$J$209:$J$214)</f>
        <v>601800000</v>
      </c>
      <c r="I215" s="245">
        <f>SUMPRODUCT(I209:I214,$J$209:$J$214)</f>
        <v>601800000</v>
      </c>
      <c r="J215" s="103">
        <f>SUM(E215:I215)</f>
        <v>3009000000</v>
      </c>
    </row>
    <row r="216" spans="1:11">
      <c r="A216" s="971"/>
      <c r="B216" s="971"/>
      <c r="C216" s="30" t="s">
        <v>2830</v>
      </c>
      <c r="D216" s="30"/>
      <c r="E216" s="679">
        <f>E215/$J$215</f>
        <v>0.2</v>
      </c>
      <c r="F216" s="679">
        <f>F215/$J$215</f>
        <v>0.2</v>
      </c>
      <c r="G216" s="679">
        <f>G215/$J$215</f>
        <v>0.2</v>
      </c>
      <c r="H216" s="679">
        <f>H215/$J$215</f>
        <v>0.2</v>
      </c>
      <c r="I216" s="679">
        <f>I215/$J$215</f>
        <v>0.2</v>
      </c>
    </row>
    <row r="217" spans="1:11">
      <c r="A217" s="971"/>
      <c r="B217" s="971"/>
      <c r="C217" s="2"/>
      <c r="D217" s="39"/>
      <c r="E217" s="3"/>
      <c r="F217" s="3"/>
      <c r="G217" s="3"/>
      <c r="H217" s="3"/>
      <c r="I217" s="3"/>
      <c r="J217" s="3"/>
      <c r="K217" s="3"/>
    </row>
    <row r="218" spans="1:11">
      <c r="A218" s="968"/>
      <c r="B218" s="968"/>
      <c r="C218" s="2" t="s">
        <v>947</v>
      </c>
      <c r="D218" s="3"/>
      <c r="E218" s="72">
        <f>E209</f>
        <v>0.2</v>
      </c>
      <c r="F218" s="72">
        <f>F209</f>
        <v>0.2</v>
      </c>
      <c r="G218" s="72">
        <f>G209</f>
        <v>0.2</v>
      </c>
      <c r="H218" s="72">
        <f>H209</f>
        <v>0.2</v>
      </c>
      <c r="I218" s="72">
        <f>I209</f>
        <v>0.2</v>
      </c>
      <c r="J218" s="3"/>
      <c r="K218" s="3" t="s">
        <v>1546</v>
      </c>
    </row>
    <row r="219" spans="1:11">
      <c r="A219" s="968"/>
      <c r="B219" s="968"/>
      <c r="C219" s="73" t="s">
        <v>976</v>
      </c>
      <c r="D219" s="61"/>
      <c r="E219" s="197">
        <f>ROUNDDOWN(E209*$J209,0)</f>
        <v>356800000</v>
      </c>
      <c r="F219" s="197">
        <f>ROUNDDOWN(F209*$J209,0)</f>
        <v>356800000</v>
      </c>
      <c r="G219" s="197">
        <f>ROUNDDOWN(G209*$J209,0)</f>
        <v>356800000</v>
      </c>
      <c r="H219" s="197">
        <f>ROUNDDOWN(H209*$J209,0)</f>
        <v>356800000</v>
      </c>
      <c r="I219" s="197">
        <f>ROUNDDOWN(I209*$J209,0)</f>
        <v>356800000</v>
      </c>
      <c r="J219" s="199">
        <f>SUM(E219:I219)</f>
        <v>1784000000</v>
      </c>
      <c r="K219" s="37"/>
    </row>
    <row r="220" spans="1:11">
      <c r="A220" s="968"/>
      <c r="B220" s="968"/>
      <c r="C220" s="233" t="s">
        <v>977</v>
      </c>
      <c r="D220" s="150"/>
      <c r="E220" s="232">
        <f>capProd3Reg1Units</f>
        <v>373703400</v>
      </c>
      <c r="F220" s="232">
        <f>capProd3Reg1Units</f>
        <v>373703400</v>
      </c>
      <c r="G220" s="232">
        <f>capProd3Reg1Units</f>
        <v>373703400</v>
      </c>
      <c r="H220" s="232">
        <f>capProd3Reg1Units</f>
        <v>373703400</v>
      </c>
      <c r="I220" s="232">
        <f>capProd3Reg1Units</f>
        <v>373703400</v>
      </c>
      <c r="J220" s="198">
        <f>SUM(E220:I220)</f>
        <v>1868517000</v>
      </c>
      <c r="K220" s="37"/>
    </row>
    <row r="221" spans="1:11">
      <c r="A221" s="968"/>
      <c r="B221" s="968"/>
      <c r="C221" s="37" t="s">
        <v>3325</v>
      </c>
      <c r="D221" s="38"/>
      <c r="E221" s="87">
        <f>E220-E219</f>
        <v>16903400</v>
      </c>
      <c r="F221" s="87">
        <f>F220-F219</f>
        <v>16903400</v>
      </c>
      <c r="G221" s="87">
        <f>G220-G219</f>
        <v>16903400</v>
      </c>
      <c r="H221" s="87">
        <f>H220-H219</f>
        <v>16903400</v>
      </c>
      <c r="I221" s="87">
        <f>I220-I219</f>
        <v>16903400</v>
      </c>
      <c r="J221" s="200">
        <f>SUM(E221:I221)-SUMPRODUCT(E221:I221,E222:I222)</f>
        <v>0</v>
      </c>
      <c r="K221" s="37"/>
    </row>
    <row r="222" spans="1:11">
      <c r="A222" s="968"/>
      <c r="B222" s="968"/>
      <c r="C222" s="37" t="s">
        <v>1068</v>
      </c>
      <c r="D222" s="38"/>
      <c r="E222" s="38">
        <f>1*(E221&gt;0)</f>
        <v>1</v>
      </c>
      <c r="F222" s="38">
        <f>1*(F221&gt;0)</f>
        <v>1</v>
      </c>
      <c r="G222" s="38">
        <f>1*(G221&gt;0)</f>
        <v>1</v>
      </c>
      <c r="H222" s="38">
        <f>1*(H221&gt;0)</f>
        <v>1</v>
      </c>
      <c r="I222" s="38">
        <f>1*(I221&gt;0)</f>
        <v>1</v>
      </c>
      <c r="J222" s="37">
        <f>SUM(E222:I222)</f>
        <v>5</v>
      </c>
      <c r="K222" s="37"/>
    </row>
    <row r="223" spans="1:11">
      <c r="A223" s="968"/>
      <c r="B223" s="968"/>
      <c r="C223" s="37" t="s">
        <v>1069</v>
      </c>
      <c r="D223" s="38"/>
      <c r="E223" s="48">
        <f>IF(AND(E222&gt;0,E219&gt;0),+E218*E222/SUMPRODUCT($E218:$I218,$E222:$I222),0)</f>
        <v>0.2</v>
      </c>
      <c r="F223" s="48">
        <f>IF(AND(F222&gt;0,F219&gt;0),+F218*F222/SUMPRODUCT($E218:$I218,$E222:$I222),0)</f>
        <v>0.2</v>
      </c>
      <c r="G223" s="48">
        <f>IF(AND(G222&gt;0,G219&gt;0),+G218*G222/SUMPRODUCT($E218:$I218,$E222:$I222),0)</f>
        <v>0.2</v>
      </c>
      <c r="H223" s="48">
        <f>IF(AND(H222&gt;0,H219&gt;0),+H218*H222/SUMPRODUCT($E218:$I218,$E222:$I222),0)</f>
        <v>0.2</v>
      </c>
      <c r="I223" s="48">
        <f>IF(AND(I222&gt;0,I219&gt;0),+I218*I222/SUMPRODUCT($E218:$I218,$E222:$I222),0)</f>
        <v>0.2</v>
      </c>
      <c r="J223" s="37"/>
      <c r="K223" s="37"/>
    </row>
    <row r="224" spans="1:11">
      <c r="A224" s="968"/>
      <c r="B224" s="968"/>
      <c r="C224" s="37" t="s">
        <v>3782</v>
      </c>
      <c r="D224" s="38"/>
      <c r="E224" s="39">
        <f>-MAX(-E221,ROUND(E223*$J221,0))*E222</f>
        <v>0</v>
      </c>
      <c r="F224" s="39">
        <f>-MAX(-F221,ROUND(F223*$J221,0))*F222</f>
        <v>0</v>
      </c>
      <c r="G224" s="39">
        <f>-MAX(-G221,ROUND(G223*$J221,0))*G222</f>
        <v>0</v>
      </c>
      <c r="H224" s="39">
        <f>-MAX(-H221,ROUND(H223*$J221,0))*H222</f>
        <v>0</v>
      </c>
      <c r="I224" s="39">
        <f>-MAX(-I221,ROUND(I223*$J221,0))*I222</f>
        <v>0</v>
      </c>
      <c r="J224" s="37">
        <f>ROUND(SUM(E224:I224),0)</f>
        <v>0</v>
      </c>
      <c r="K224" s="37"/>
    </row>
    <row r="225" spans="1:11">
      <c r="A225" s="968"/>
      <c r="B225" s="968"/>
      <c r="C225" s="37" t="s">
        <v>2324</v>
      </c>
      <c r="D225" s="38"/>
      <c r="E225" s="236"/>
      <c r="F225" s="236"/>
      <c r="G225" s="236"/>
      <c r="H225" s="236"/>
      <c r="I225" s="236"/>
      <c r="J225" s="37"/>
      <c r="K225" s="37"/>
    </row>
    <row r="226" spans="1:11">
      <c r="A226" s="968"/>
      <c r="B226" s="968"/>
      <c r="C226" s="37" t="s">
        <v>3783</v>
      </c>
      <c r="D226" s="38"/>
      <c r="E226" s="353"/>
      <c r="F226" s="353"/>
      <c r="G226" s="353"/>
      <c r="H226" s="353"/>
      <c r="I226" s="353"/>
      <c r="J226" s="37"/>
      <c r="K226" s="37"/>
    </row>
    <row r="227" spans="1:11">
      <c r="A227" s="968"/>
      <c r="B227" s="968"/>
      <c r="C227" s="37" t="s">
        <v>3784</v>
      </c>
      <c r="D227" s="38"/>
      <c r="E227" s="87">
        <f>MIN(E220,E221-E226-E224-E225*$J219)</f>
        <v>16903400</v>
      </c>
      <c r="F227" s="87">
        <f>MIN(F220,F221-F226-F224-F225*$J219)</f>
        <v>16903400</v>
      </c>
      <c r="G227" s="87">
        <f>MIN(G220,G221-G226-G224-G225*$J219)</f>
        <v>16903400</v>
      </c>
      <c r="H227" s="87">
        <f>MIN(H220,H221-H226-H224-H225*$J219)</f>
        <v>16903400</v>
      </c>
      <c r="I227" s="87">
        <f>MIN(I220,I221-I226-I224-I225*$J219)</f>
        <v>16903400</v>
      </c>
      <c r="J227" s="198"/>
      <c r="K227" s="37"/>
    </row>
    <row r="228" spans="1:11">
      <c r="A228" s="968"/>
      <c r="B228" s="968"/>
      <c r="C228" s="37" t="s">
        <v>3785</v>
      </c>
      <c r="D228" s="38"/>
      <c r="E228" s="87">
        <f>MAX(E227,0)</f>
        <v>16903400</v>
      </c>
      <c r="F228" s="87">
        <f>MAX(F227,0)</f>
        <v>16903400</v>
      </c>
      <c r="G228" s="87">
        <f>MAX(G227,0)</f>
        <v>16903400</v>
      </c>
      <c r="H228" s="87">
        <f>MAX(H227,0)</f>
        <v>16903400</v>
      </c>
      <c r="I228" s="87">
        <f>MAX(I227,0)</f>
        <v>16903400</v>
      </c>
      <c r="J228" s="198"/>
      <c r="K228" s="37"/>
    </row>
    <row r="229" spans="1:11">
      <c r="A229" s="968"/>
      <c r="B229" s="968"/>
      <c r="C229" s="74" t="s">
        <v>3786</v>
      </c>
      <c r="D229" s="38"/>
      <c r="E229" s="178">
        <f>MAX(0,MIN(E219+E224+E226+E225*$J219,E220))</f>
        <v>356800000</v>
      </c>
      <c r="F229" s="178">
        <f>MAX(0,MIN(F219+F224+F226+F225*$J219,F220))</f>
        <v>356800000</v>
      </c>
      <c r="G229" s="178">
        <f>MAX(0,MIN(G219+G224+G226+G225*$J219,G220))</f>
        <v>356800000</v>
      </c>
      <c r="H229" s="178">
        <f>MAX(0,MIN(H219+H224+H226+H225*$J219,H220))</f>
        <v>356800000</v>
      </c>
      <c r="I229" s="178">
        <f>MAX(0,MIN(I219+I224+I226+I225*$J219,I220))</f>
        <v>356800000</v>
      </c>
      <c r="J229" s="198">
        <f>SUM(E229:I229)</f>
        <v>1784000000</v>
      </c>
      <c r="K229" s="198" t="s">
        <v>949</v>
      </c>
    </row>
    <row r="230" spans="1:11">
      <c r="A230" s="968"/>
      <c r="B230" s="968"/>
      <c r="C230" s="63" t="s">
        <v>3787</v>
      </c>
      <c r="D230" s="67"/>
      <c r="E230" s="672">
        <f>E229/MAX(1,$J229)</f>
        <v>0.2</v>
      </c>
      <c r="F230" s="672">
        <f>F229/MAX(1,$J229)</f>
        <v>0.2</v>
      </c>
      <c r="G230" s="672">
        <f>G229/MAX(1,$J229)</f>
        <v>0.2</v>
      </c>
      <c r="H230" s="672">
        <f>H229/MAX(1,$J229)</f>
        <v>0.2</v>
      </c>
      <c r="I230" s="672">
        <f>I229/MAX(1,$J229)</f>
        <v>0.2</v>
      </c>
      <c r="J230" s="198">
        <f>J219-J229</f>
        <v>0</v>
      </c>
      <c r="K230" s="198" t="s">
        <v>1547</v>
      </c>
    </row>
    <row r="231" spans="1:11">
      <c r="A231" s="968"/>
      <c r="B231" s="968"/>
      <c r="C231" s="75" t="s">
        <v>974</v>
      </c>
      <c r="D231" s="35"/>
      <c r="E231" s="35">
        <f>RANK(E230,$E230:$I230)</f>
        <v>1</v>
      </c>
      <c r="F231" s="35">
        <f>RANK(F230,$E230:$I230)</f>
        <v>1</v>
      </c>
      <c r="G231" s="35">
        <f>RANK(G230,$E230:$I230)</f>
        <v>1</v>
      </c>
      <c r="H231" s="35">
        <f>RANK(H230,$E230:$I230)</f>
        <v>1</v>
      </c>
      <c r="I231" s="35">
        <f>RANK(I230,$E230:$I230)</f>
        <v>1</v>
      </c>
      <c r="J231" s="63"/>
      <c r="K231" s="37"/>
    </row>
    <row r="232" spans="1:11">
      <c r="A232" s="968"/>
      <c r="B232" s="968"/>
      <c r="C232" s="2"/>
      <c r="D232" s="39"/>
      <c r="E232" s="3"/>
      <c r="F232" s="3"/>
      <c r="G232" s="3"/>
      <c r="H232" s="3"/>
      <c r="I232" s="3"/>
      <c r="J232" s="3"/>
      <c r="K232" s="3"/>
    </row>
    <row r="233" spans="1:11">
      <c r="A233" s="968"/>
      <c r="B233" s="968"/>
      <c r="C233" s="2" t="s">
        <v>948</v>
      </c>
      <c r="D233" s="3"/>
      <c r="E233" s="72">
        <f>E210</f>
        <v>0.2</v>
      </c>
      <c r="F233" s="72">
        <f>F210</f>
        <v>0.2</v>
      </c>
      <c r="G233" s="72">
        <f>G210</f>
        <v>0.2</v>
      </c>
      <c r="H233" s="72">
        <f>H210</f>
        <v>0.2</v>
      </c>
      <c r="I233" s="72">
        <f>I210</f>
        <v>0.2</v>
      </c>
      <c r="J233" s="3"/>
      <c r="K233" s="3" t="s">
        <v>1548</v>
      </c>
    </row>
    <row r="234" spans="1:11">
      <c r="A234" s="968"/>
      <c r="B234" s="968"/>
      <c r="C234" s="73" t="s">
        <v>976</v>
      </c>
      <c r="D234" s="61"/>
      <c r="E234" s="197">
        <f>ROUNDDOWN(E210*$J210,0)</f>
        <v>245000000</v>
      </c>
      <c r="F234" s="197">
        <f>ROUNDDOWN(F210*$J210,0)</f>
        <v>245000000</v>
      </c>
      <c r="G234" s="197">
        <f>ROUNDDOWN(G210*$J210,0)</f>
        <v>245000000</v>
      </c>
      <c r="H234" s="197">
        <f>ROUNDDOWN(H210*$J210,0)</f>
        <v>245000000</v>
      </c>
      <c r="I234" s="197">
        <f>ROUNDDOWN(I210*$J210,0)</f>
        <v>245000000</v>
      </c>
      <c r="J234" s="199">
        <f>SUM(E234:I234)</f>
        <v>1225000000</v>
      </c>
      <c r="K234" s="198"/>
    </row>
    <row r="235" spans="1:11">
      <c r="A235" s="968"/>
      <c r="B235" s="968"/>
      <c r="C235" s="233" t="s">
        <v>977</v>
      </c>
      <c r="D235" s="150"/>
      <c r="E235" s="232">
        <f>capProd3Reg2Units</f>
        <v>260876000</v>
      </c>
      <c r="F235" s="232">
        <f>capProd3Reg2Units</f>
        <v>260876000</v>
      </c>
      <c r="G235" s="232">
        <f>capProd3Reg2Units</f>
        <v>260876000</v>
      </c>
      <c r="H235" s="232">
        <f>capProd3Reg2Units</f>
        <v>260876000</v>
      </c>
      <c r="I235" s="232">
        <f>capProd3Reg2Units</f>
        <v>260876000</v>
      </c>
      <c r="J235" s="198">
        <f>SUM(E235:I235)</f>
        <v>1304380000</v>
      </c>
      <c r="K235" s="37"/>
    </row>
    <row r="236" spans="1:11">
      <c r="A236" s="968"/>
      <c r="B236" s="968"/>
      <c r="C236" s="37" t="s">
        <v>3325</v>
      </c>
      <c r="D236" s="38"/>
      <c r="E236" s="87">
        <f>E235-E234</f>
        <v>15876000</v>
      </c>
      <c r="F236" s="87">
        <f>F235-F234</f>
        <v>15876000</v>
      </c>
      <c r="G236" s="87">
        <f>G235-G234</f>
        <v>15876000</v>
      </c>
      <c r="H236" s="87">
        <f>H235-H234</f>
        <v>15876000</v>
      </c>
      <c r="I236" s="87">
        <f>I235-I234</f>
        <v>15876000</v>
      </c>
      <c r="J236" s="200">
        <f>SUM(E236:I236)-SUMPRODUCT(E236:I236,E237:I237)</f>
        <v>0</v>
      </c>
      <c r="K236" s="37"/>
    </row>
    <row r="237" spans="1:11">
      <c r="A237" s="968"/>
      <c r="B237" s="968"/>
      <c r="C237" s="37" t="s">
        <v>1068</v>
      </c>
      <c r="D237" s="38"/>
      <c r="E237" s="38">
        <f>1*(E236&gt;0)</f>
        <v>1</v>
      </c>
      <c r="F237" s="38">
        <f>1*(F236&gt;0)</f>
        <v>1</v>
      </c>
      <c r="G237" s="38">
        <f>1*(G236&gt;0)</f>
        <v>1</v>
      </c>
      <c r="H237" s="38">
        <f>1*(H236&gt;0)</f>
        <v>1</v>
      </c>
      <c r="I237" s="38">
        <f>1*(I236&gt;0)</f>
        <v>1</v>
      </c>
      <c r="J237" s="37">
        <f>SUM(E237:I237)</f>
        <v>5</v>
      </c>
      <c r="K237" s="37"/>
    </row>
    <row r="238" spans="1:11">
      <c r="A238" s="968"/>
      <c r="B238" s="968"/>
      <c r="C238" s="37" t="s">
        <v>1069</v>
      </c>
      <c r="D238" s="38"/>
      <c r="E238" s="48">
        <f>IF(AND(E237&gt;0,E234&gt;0),+E233*E237/SUMPRODUCT($E233:$I233,$E237:$I237),0)</f>
        <v>0.2</v>
      </c>
      <c r="F238" s="48">
        <f>IF(AND(F237&gt;0,F234&gt;0),+F233*F237/SUMPRODUCT($E233:$I233,$E237:$I237),0)</f>
        <v>0.2</v>
      </c>
      <c r="G238" s="48">
        <f>IF(AND(G237&gt;0,G234&gt;0),+G233*G237/SUMPRODUCT($E233:$I233,$E237:$I237),0)</f>
        <v>0.2</v>
      </c>
      <c r="H238" s="48">
        <f>IF(AND(H237&gt;0,H234&gt;0),+H233*H237/SUMPRODUCT($E233:$I233,$E237:$I237),0)</f>
        <v>0.2</v>
      </c>
      <c r="I238" s="48">
        <f>IF(AND(I237&gt;0,I234&gt;0),+I233*I237/SUMPRODUCT($E233:$I233,$E237:$I237),0)</f>
        <v>0.2</v>
      </c>
      <c r="J238" s="37"/>
      <c r="K238" s="37"/>
    </row>
    <row r="239" spans="1:11">
      <c r="A239" s="968"/>
      <c r="B239" s="968"/>
      <c r="C239" s="37" t="s">
        <v>3782</v>
      </c>
      <c r="D239" s="38"/>
      <c r="E239" s="39">
        <f>-MAX(-E236,ROUND(E238*$J236,0))*E237</f>
        <v>0</v>
      </c>
      <c r="F239" s="39">
        <f>-MAX(-F236,ROUND(F238*$J236,0))*F237</f>
        <v>0</v>
      </c>
      <c r="G239" s="39">
        <f>-MAX(-G236,ROUND(G238*$J236,0))*G237</f>
        <v>0</v>
      </c>
      <c r="H239" s="39">
        <f>-MAX(-H236,ROUND(H238*$J236,0))*H237</f>
        <v>0</v>
      </c>
      <c r="I239" s="39">
        <f>-MAX(-I236,ROUND(I238*$J236,0))*I237</f>
        <v>0</v>
      </c>
      <c r="J239" s="37">
        <f>ROUND(SUM(E239:I239),0)</f>
        <v>0</v>
      </c>
      <c r="K239" s="37"/>
    </row>
    <row r="240" spans="1:11">
      <c r="A240" s="968"/>
      <c r="B240" s="968"/>
      <c r="C240" s="37" t="s">
        <v>2324</v>
      </c>
      <c r="D240" s="38"/>
      <c r="E240" s="912"/>
      <c r="F240" s="912"/>
      <c r="G240" s="912"/>
      <c r="H240" s="912"/>
      <c r="I240" s="912"/>
      <c r="J240" s="37"/>
      <c r="K240" s="37"/>
    </row>
    <row r="241" spans="1:11">
      <c r="A241" s="968"/>
      <c r="B241" s="968"/>
      <c r="C241" s="37" t="s">
        <v>3783</v>
      </c>
      <c r="D241" s="38"/>
      <c r="E241" s="914"/>
      <c r="F241" s="914"/>
      <c r="G241" s="914"/>
      <c r="H241" s="914"/>
      <c r="I241" s="914"/>
      <c r="J241" s="37"/>
      <c r="K241" s="37"/>
    </row>
    <row r="242" spans="1:11">
      <c r="A242" s="968"/>
      <c r="B242" s="968"/>
      <c r="C242" s="37" t="s">
        <v>3784</v>
      </c>
      <c r="D242" s="38"/>
      <c r="E242" s="87">
        <f>MIN(E235,E236-E241-E239-E240*$J234)</f>
        <v>15876000</v>
      </c>
      <c r="F242" s="87">
        <f>MIN(F235,F236-F241-F239-F240*$J234)</f>
        <v>15876000</v>
      </c>
      <c r="G242" s="87">
        <f>MIN(G235,G236-G241-G239-G240*$J234)</f>
        <v>15876000</v>
      </c>
      <c r="H242" s="87">
        <f>MIN(H235,H236-H241-H239-H240*$J234)</f>
        <v>15876000</v>
      </c>
      <c r="I242" s="87">
        <f>MIN(I235,I236-I241-I239-I240*$J234)</f>
        <v>15876000</v>
      </c>
      <c r="J242" s="198"/>
      <c r="K242" s="37"/>
    </row>
    <row r="243" spans="1:11">
      <c r="A243" s="968"/>
      <c r="B243" s="968"/>
      <c r="C243" s="37" t="s">
        <v>3785</v>
      </c>
      <c r="D243" s="38"/>
      <c r="E243" s="87">
        <f>MAX(E242,0)</f>
        <v>15876000</v>
      </c>
      <c r="F243" s="87">
        <f>MAX(F242,0)</f>
        <v>15876000</v>
      </c>
      <c r="G243" s="87">
        <f>MAX(G242,0)</f>
        <v>15876000</v>
      </c>
      <c r="H243" s="87">
        <f>MAX(H242,0)</f>
        <v>15876000</v>
      </c>
      <c r="I243" s="87">
        <f>MAX(I242,0)</f>
        <v>15876000</v>
      </c>
      <c r="J243" s="198"/>
      <c r="K243" s="37"/>
    </row>
    <row r="244" spans="1:11">
      <c r="A244" s="968"/>
      <c r="B244" s="968"/>
      <c r="C244" s="74" t="s">
        <v>3786</v>
      </c>
      <c r="D244" s="38"/>
      <c r="E244" s="178">
        <f>MAX(0,MIN(E234+E239+E241+E240*$J234,E235))</f>
        <v>245000000</v>
      </c>
      <c r="F244" s="178">
        <f>MAX(0,MIN(F234+F239+F241+F240*$J234,F235))</f>
        <v>245000000</v>
      </c>
      <c r="G244" s="178">
        <f>MAX(0,MIN(G234+G239+G241+G240*$J234,G235))</f>
        <v>245000000</v>
      </c>
      <c r="H244" s="178">
        <f>MAX(0,MIN(H234+H239+H241+H240*$J234,H235))</f>
        <v>245000000</v>
      </c>
      <c r="I244" s="178">
        <f>MAX(0,MIN(I234+I239+I241+I240*$J234,I235))</f>
        <v>245000000</v>
      </c>
      <c r="J244" s="198">
        <f>SUM(E244:I244)</f>
        <v>1225000000</v>
      </c>
      <c r="K244" s="198" t="s">
        <v>950</v>
      </c>
    </row>
    <row r="245" spans="1:11">
      <c r="A245" s="968"/>
      <c r="B245" s="968"/>
      <c r="C245" s="63" t="s">
        <v>3787</v>
      </c>
      <c r="D245" s="67"/>
      <c r="E245" s="672">
        <f>E244/MAX(1,$J244)</f>
        <v>0.2</v>
      </c>
      <c r="F245" s="672">
        <f>F244/MAX(1,$J244)</f>
        <v>0.2</v>
      </c>
      <c r="G245" s="672">
        <f>G244/MAX(1,$J244)</f>
        <v>0.2</v>
      </c>
      <c r="H245" s="672">
        <f>H244/MAX(1,$J244)</f>
        <v>0.2</v>
      </c>
      <c r="I245" s="672">
        <f>I244/MAX(1,$J244)</f>
        <v>0.2</v>
      </c>
      <c r="J245" s="198">
        <f>J234-J244</f>
        <v>0</v>
      </c>
      <c r="K245" s="198" t="s">
        <v>3151</v>
      </c>
    </row>
    <row r="246" spans="1:11">
      <c r="A246" s="968"/>
      <c r="B246" s="968"/>
      <c r="C246" s="75" t="s">
        <v>974</v>
      </c>
      <c r="D246" s="35"/>
      <c r="E246" s="35">
        <f>RANK(E245,$E245:$I245)</f>
        <v>1</v>
      </c>
      <c r="F246" s="35">
        <f>RANK(F245,$E245:$I245)</f>
        <v>1</v>
      </c>
      <c r="G246" s="35">
        <f>RANK(G245,$E245:$I245)</f>
        <v>1</v>
      </c>
      <c r="H246" s="35">
        <f>RANK(H245,$E245:$I245)</f>
        <v>1</v>
      </c>
      <c r="I246" s="35">
        <f>RANK(I245,$E245:$I245)</f>
        <v>1</v>
      </c>
      <c r="J246" s="63"/>
      <c r="K246" s="37"/>
    </row>
    <row r="247" spans="1:11" ht="12" thickBot="1">
      <c r="A247" s="968"/>
      <c r="B247" s="968"/>
      <c r="C247" s="38"/>
      <c r="D247" s="38"/>
      <c r="E247" s="38"/>
      <c r="F247" s="38"/>
      <c r="G247" s="38"/>
      <c r="H247" s="38"/>
      <c r="I247" s="38"/>
      <c r="J247" s="38"/>
      <c r="K247" s="38"/>
    </row>
    <row r="248" spans="1:11" ht="12" thickBot="1">
      <c r="A248" s="968"/>
      <c r="B248" s="968" t="s">
        <v>2332</v>
      </c>
      <c r="C248" s="340" t="s">
        <v>2055</v>
      </c>
      <c r="D248" s="162"/>
      <c r="E248" s="158"/>
      <c r="F248" s="158"/>
      <c r="G248" s="159"/>
      <c r="H248" s="159"/>
      <c r="I248" s="159"/>
      <c r="J248" s="159"/>
      <c r="K248" s="51"/>
    </row>
    <row r="249" spans="1:11" ht="12" thickBot="1">
      <c r="A249" s="971"/>
      <c r="B249" s="971"/>
      <c r="C249" s="160" t="s">
        <v>2672</v>
      </c>
      <c r="D249" s="689">
        <v>3009000000</v>
      </c>
      <c r="E249" s="162"/>
      <c r="F249" s="164"/>
      <c r="G249" s="162"/>
      <c r="H249" s="165"/>
      <c r="I249" s="157" t="s">
        <v>2673</v>
      </c>
      <c r="J249" s="698">
        <v>1784000000</v>
      </c>
      <c r="K249" s="51"/>
    </row>
    <row r="250" spans="1:11">
      <c r="A250" s="971"/>
      <c r="B250" s="971"/>
      <c r="C250" s="167" t="s">
        <v>2958</v>
      </c>
      <c r="D250" s="168"/>
      <c r="E250" s="161" t="s">
        <v>1834</v>
      </c>
      <c r="F250" s="161" t="s">
        <v>1835</v>
      </c>
      <c r="G250" s="161" t="s">
        <v>1836</v>
      </c>
      <c r="H250" s="161" t="s">
        <v>1837</v>
      </c>
      <c r="I250" s="161" t="s">
        <v>1838</v>
      </c>
      <c r="J250" s="161"/>
      <c r="K250" s="54"/>
    </row>
    <row r="251" spans="1:11">
      <c r="A251" s="971"/>
      <c r="B251" s="971"/>
      <c r="C251" s="52" t="s">
        <v>1402</v>
      </c>
      <c r="D251" s="39">
        <v>30</v>
      </c>
      <c r="E251" s="507">
        <v>15</v>
      </c>
      <c r="F251" s="508">
        <v>15</v>
      </c>
      <c r="G251" s="508">
        <v>15</v>
      </c>
      <c r="H251" s="508">
        <v>15</v>
      </c>
      <c r="I251" s="509">
        <v>15</v>
      </c>
      <c r="J251" s="53">
        <v>75</v>
      </c>
      <c r="K251" s="54"/>
    </row>
    <row r="252" spans="1:11">
      <c r="A252" s="971"/>
      <c r="B252" s="971"/>
      <c r="C252" s="52" t="s">
        <v>2745</v>
      </c>
      <c r="D252" s="39">
        <v>7</v>
      </c>
      <c r="E252" s="510">
        <v>3.5</v>
      </c>
      <c r="F252" s="511">
        <v>3.5</v>
      </c>
      <c r="G252" s="511">
        <v>3.5</v>
      </c>
      <c r="H252" s="511">
        <v>3.5</v>
      </c>
      <c r="I252" s="512">
        <v>3.5</v>
      </c>
      <c r="J252" s="55">
        <v>17.5</v>
      </c>
      <c r="K252" s="54"/>
    </row>
    <row r="253" spans="1:11">
      <c r="A253" s="971"/>
      <c r="B253" s="971"/>
      <c r="C253" s="52" t="s">
        <v>3442</v>
      </c>
      <c r="D253" s="39">
        <v>0</v>
      </c>
      <c r="E253" s="510">
        <v>0</v>
      </c>
      <c r="F253" s="511">
        <v>0</v>
      </c>
      <c r="G253" s="511">
        <v>0</v>
      </c>
      <c r="H253" s="511">
        <v>0</v>
      </c>
      <c r="I253" s="512">
        <v>0</v>
      </c>
      <c r="J253" s="55">
        <v>0</v>
      </c>
      <c r="K253" s="54"/>
    </row>
    <row r="254" spans="1:11">
      <c r="A254" s="971"/>
      <c r="B254" s="971"/>
      <c r="C254" s="52" t="s">
        <v>1404</v>
      </c>
      <c r="D254" s="39">
        <v>11</v>
      </c>
      <c r="E254" s="510">
        <v>5.5</v>
      </c>
      <c r="F254" s="511">
        <v>5.5</v>
      </c>
      <c r="G254" s="511">
        <v>5.5</v>
      </c>
      <c r="H254" s="511">
        <v>5.5</v>
      </c>
      <c r="I254" s="512">
        <v>5.5</v>
      </c>
      <c r="J254" s="55">
        <v>27.5</v>
      </c>
      <c r="K254" s="54"/>
    </row>
    <row r="255" spans="1:11">
      <c r="A255" s="971"/>
      <c r="B255" s="971"/>
      <c r="C255" s="52" t="s">
        <v>175</v>
      </c>
      <c r="D255" s="39">
        <v>13</v>
      </c>
      <c r="E255" s="510">
        <v>6.5</v>
      </c>
      <c r="F255" s="511">
        <v>6.5</v>
      </c>
      <c r="G255" s="511">
        <v>6.5</v>
      </c>
      <c r="H255" s="511">
        <v>6.5</v>
      </c>
      <c r="I255" s="512">
        <v>6.5</v>
      </c>
      <c r="J255" s="55">
        <v>32.5</v>
      </c>
      <c r="K255" s="54"/>
    </row>
    <row r="256" spans="1:11">
      <c r="A256" s="971"/>
      <c r="B256" s="971"/>
      <c r="C256" s="52" t="s">
        <v>2579</v>
      </c>
      <c r="D256" s="39">
        <v>9</v>
      </c>
      <c r="E256" s="510">
        <v>4.5</v>
      </c>
      <c r="F256" s="511">
        <v>4.5</v>
      </c>
      <c r="G256" s="511">
        <v>4.5</v>
      </c>
      <c r="H256" s="511">
        <v>4.5</v>
      </c>
      <c r="I256" s="512">
        <v>4.5</v>
      </c>
      <c r="J256" s="55">
        <v>22.5</v>
      </c>
      <c r="K256" s="54"/>
    </row>
    <row r="257" spans="1:11">
      <c r="A257" s="971"/>
      <c r="B257" s="971"/>
      <c r="C257" s="52" t="s">
        <v>1108</v>
      </c>
      <c r="D257" s="39">
        <v>16</v>
      </c>
      <c r="E257" s="510">
        <v>0</v>
      </c>
      <c r="F257" s="511">
        <v>0</v>
      </c>
      <c r="G257" s="511">
        <v>0</v>
      </c>
      <c r="H257" s="511">
        <v>0</v>
      </c>
      <c r="I257" s="512">
        <v>0</v>
      </c>
      <c r="J257" s="55">
        <v>0</v>
      </c>
      <c r="K257" s="54"/>
    </row>
    <row r="258" spans="1:11">
      <c r="A258" s="971"/>
      <c r="B258" s="971"/>
      <c r="C258" s="52" t="s">
        <v>1722</v>
      </c>
      <c r="D258" s="39">
        <v>0</v>
      </c>
      <c r="E258" s="510">
        <v>0</v>
      </c>
      <c r="F258" s="511">
        <v>0</v>
      </c>
      <c r="G258" s="511">
        <v>0</v>
      </c>
      <c r="H258" s="511">
        <v>0</v>
      </c>
      <c r="I258" s="512">
        <v>0</v>
      </c>
      <c r="J258" s="55">
        <v>0</v>
      </c>
      <c r="K258" s="54"/>
    </row>
    <row r="259" spans="1:11">
      <c r="A259" s="971"/>
      <c r="B259" s="971"/>
      <c r="C259" s="52" t="s">
        <v>4734</v>
      </c>
      <c r="D259" s="39">
        <v>14</v>
      </c>
      <c r="E259" s="510">
        <v>7</v>
      </c>
      <c r="F259" s="511">
        <v>7</v>
      </c>
      <c r="G259" s="511">
        <v>7</v>
      </c>
      <c r="H259" s="511">
        <v>7</v>
      </c>
      <c r="I259" s="512">
        <v>7</v>
      </c>
      <c r="J259" s="55">
        <v>35</v>
      </c>
      <c r="K259" s="54"/>
    </row>
    <row r="260" spans="1:11">
      <c r="A260" s="971"/>
      <c r="B260" s="971"/>
      <c r="C260" s="52" t="s">
        <v>2956</v>
      </c>
      <c r="D260" s="39">
        <v>0</v>
      </c>
      <c r="E260" s="510">
        <v>0</v>
      </c>
      <c r="F260" s="511">
        <v>0</v>
      </c>
      <c r="G260" s="511">
        <v>0</v>
      </c>
      <c r="H260" s="511">
        <v>0</v>
      </c>
      <c r="I260" s="512">
        <v>0</v>
      </c>
      <c r="J260" s="55">
        <v>0</v>
      </c>
      <c r="K260" s="54"/>
    </row>
    <row r="261" spans="1:11">
      <c r="A261" s="971"/>
      <c r="B261" s="971"/>
      <c r="C261" s="153" t="s">
        <v>1828</v>
      </c>
      <c r="D261" s="38"/>
      <c r="E261" s="513">
        <v>0</v>
      </c>
      <c r="F261" s="514">
        <v>0</v>
      </c>
      <c r="G261" s="514">
        <v>0</v>
      </c>
      <c r="H261" s="514">
        <v>0</v>
      </c>
      <c r="I261" s="515">
        <v>0</v>
      </c>
      <c r="J261" s="55">
        <v>0</v>
      </c>
      <c r="K261" s="54"/>
    </row>
    <row r="262" spans="1:11">
      <c r="A262" s="971"/>
      <c r="B262" s="971"/>
      <c r="C262" s="52" t="s">
        <v>2959</v>
      </c>
      <c r="D262" s="38"/>
      <c r="E262" s="686">
        <v>42</v>
      </c>
      <c r="F262" s="687">
        <v>42</v>
      </c>
      <c r="G262" s="687">
        <v>42</v>
      </c>
      <c r="H262" s="687">
        <v>42</v>
      </c>
      <c r="I262" s="688">
        <v>42</v>
      </c>
      <c r="J262" s="155">
        <v>210</v>
      </c>
      <c r="K262" s="54"/>
    </row>
    <row r="263" spans="1:11" ht="12" thickBot="1">
      <c r="A263" s="971"/>
      <c r="B263" s="971"/>
      <c r="C263" s="52" t="s">
        <v>974</v>
      </c>
      <c r="D263" s="38"/>
      <c r="E263" s="38">
        <v>1</v>
      </c>
      <c r="F263" s="38">
        <v>1</v>
      </c>
      <c r="G263" s="38">
        <v>1</v>
      </c>
      <c r="H263" s="38">
        <v>1</v>
      </c>
      <c r="I263" s="38">
        <v>1</v>
      </c>
      <c r="J263" s="652" t="s">
        <v>2227</v>
      </c>
      <c r="K263" s="54"/>
    </row>
    <row r="264" spans="1:11">
      <c r="A264" s="971"/>
      <c r="B264" s="971"/>
      <c r="C264" s="378" t="s">
        <v>3201</v>
      </c>
      <c r="D264" s="645"/>
      <c r="E264" s="646">
        <v>0.2</v>
      </c>
      <c r="F264" s="646">
        <v>0.2</v>
      </c>
      <c r="G264" s="646">
        <v>0.2</v>
      </c>
      <c r="H264" s="646">
        <v>0.2</v>
      </c>
      <c r="I264" s="646">
        <v>0.2</v>
      </c>
      <c r="J264" s="648">
        <v>0.6</v>
      </c>
      <c r="K264" s="647"/>
    </row>
    <row r="265" spans="1:11" ht="12" thickBot="1">
      <c r="A265" s="971"/>
      <c r="B265" s="971"/>
      <c r="C265" s="132" t="s">
        <v>1999</v>
      </c>
      <c r="D265" s="21"/>
      <c r="E265" s="106">
        <v>0.2</v>
      </c>
      <c r="F265" s="106">
        <v>0.2</v>
      </c>
      <c r="G265" s="106">
        <v>0.2</v>
      </c>
      <c r="H265" s="106">
        <v>0.2</v>
      </c>
      <c r="I265" s="106">
        <v>0.2</v>
      </c>
      <c r="J265" s="649">
        <v>0.4</v>
      </c>
      <c r="K265" s="133"/>
    </row>
    <row r="266" spans="1:11" ht="12" thickBot="1">
      <c r="A266" s="971"/>
      <c r="B266" s="971"/>
      <c r="C266" s="655" t="s">
        <v>2830</v>
      </c>
      <c r="D266" s="656"/>
      <c r="E266" s="659">
        <v>0.2</v>
      </c>
      <c r="F266" s="659">
        <v>0.2</v>
      </c>
      <c r="G266" s="659">
        <v>0.2</v>
      </c>
      <c r="H266" s="659">
        <v>0.2</v>
      </c>
      <c r="I266" s="659">
        <v>0.2</v>
      </c>
      <c r="J266" s="658">
        <v>1784000000</v>
      </c>
      <c r="K266" s="8" t="s">
        <v>2327</v>
      </c>
    </row>
    <row r="267" spans="1:11">
      <c r="A267" s="971"/>
      <c r="B267" s="971"/>
    </row>
    <row r="268" spans="1:11" ht="12" thickBot="1">
      <c r="A268" s="971"/>
      <c r="B268" s="971"/>
    </row>
    <row r="269" spans="1:11" ht="12" thickBot="1">
      <c r="A269" s="971"/>
      <c r="B269" s="971" t="s">
        <v>2336</v>
      </c>
      <c r="C269" s="340" t="s">
        <v>549</v>
      </c>
      <c r="D269" s="162"/>
      <c r="E269" s="158"/>
      <c r="F269" s="158"/>
      <c r="G269" s="159"/>
      <c r="H269" s="159"/>
      <c r="I269" s="159"/>
      <c r="J269" s="159"/>
      <c r="K269" s="51"/>
    </row>
    <row r="270" spans="1:11" ht="12" thickBot="1">
      <c r="A270" s="971"/>
      <c r="B270" s="971"/>
      <c r="C270" s="160" t="s">
        <v>2672</v>
      </c>
      <c r="D270" s="689">
        <v>3009000000</v>
      </c>
      <c r="E270" s="162"/>
      <c r="F270" s="164"/>
      <c r="G270" s="162"/>
      <c r="H270" s="165"/>
      <c r="I270" s="157" t="s">
        <v>2673</v>
      </c>
      <c r="J270" s="698">
        <v>1225000000</v>
      </c>
      <c r="K270" s="51"/>
    </row>
    <row r="271" spans="1:11">
      <c r="A271" s="971"/>
      <c r="B271" s="971"/>
      <c r="C271" s="167" t="s">
        <v>2958</v>
      </c>
      <c r="D271" s="168"/>
      <c r="E271" s="161" t="s">
        <v>1834</v>
      </c>
      <c r="F271" s="161" t="s">
        <v>1835</v>
      </c>
      <c r="G271" s="161" t="s">
        <v>1836</v>
      </c>
      <c r="H271" s="161" t="s">
        <v>1837</v>
      </c>
      <c r="I271" s="161" t="s">
        <v>1838</v>
      </c>
      <c r="J271" s="161"/>
      <c r="K271" s="54"/>
    </row>
    <row r="272" spans="1:11">
      <c r="A272" s="971"/>
      <c r="B272" s="971"/>
      <c r="C272" s="52" t="s">
        <v>1402</v>
      </c>
      <c r="D272" s="39">
        <v>50</v>
      </c>
      <c r="E272" s="507">
        <v>25</v>
      </c>
      <c r="F272" s="508">
        <v>25</v>
      </c>
      <c r="G272" s="508">
        <v>25</v>
      </c>
      <c r="H272" s="508">
        <v>25</v>
      </c>
      <c r="I272" s="509">
        <v>25</v>
      </c>
      <c r="J272" s="53">
        <v>125</v>
      </c>
      <c r="K272" s="54"/>
    </row>
    <row r="273" spans="1:11">
      <c r="A273" s="971"/>
      <c r="B273" s="971"/>
      <c r="C273" s="52" t="s">
        <v>2745</v>
      </c>
      <c r="D273" s="39">
        <v>8</v>
      </c>
      <c r="E273" s="510">
        <v>4</v>
      </c>
      <c r="F273" s="511">
        <v>4</v>
      </c>
      <c r="G273" s="511">
        <v>4</v>
      </c>
      <c r="H273" s="511">
        <v>4</v>
      </c>
      <c r="I273" s="512">
        <v>4</v>
      </c>
      <c r="J273" s="55">
        <v>20</v>
      </c>
      <c r="K273" s="54"/>
    </row>
    <row r="274" spans="1:11">
      <c r="A274" s="971"/>
      <c r="B274" s="971"/>
      <c r="C274" s="52" t="s">
        <v>3442</v>
      </c>
      <c r="D274" s="39">
        <v>0</v>
      </c>
      <c r="E274" s="510">
        <v>0</v>
      </c>
      <c r="F274" s="511">
        <v>0</v>
      </c>
      <c r="G274" s="511">
        <v>0</v>
      </c>
      <c r="H274" s="511">
        <v>0</v>
      </c>
      <c r="I274" s="512">
        <v>0</v>
      </c>
      <c r="J274" s="55">
        <v>0</v>
      </c>
      <c r="K274" s="54"/>
    </row>
    <row r="275" spans="1:11">
      <c r="A275" s="971"/>
      <c r="B275" s="971"/>
      <c r="C275" s="52" t="s">
        <v>1404</v>
      </c>
      <c r="D275" s="39">
        <v>7</v>
      </c>
      <c r="E275" s="510">
        <v>3.5</v>
      </c>
      <c r="F275" s="511">
        <v>3.5</v>
      </c>
      <c r="G275" s="511">
        <v>3.5</v>
      </c>
      <c r="H275" s="511">
        <v>3.5</v>
      </c>
      <c r="I275" s="512">
        <v>3.5</v>
      </c>
      <c r="J275" s="55">
        <v>17.5</v>
      </c>
      <c r="K275" s="54"/>
    </row>
    <row r="276" spans="1:11">
      <c r="A276" s="971"/>
      <c r="B276" s="971"/>
      <c r="C276" s="52" t="s">
        <v>175</v>
      </c>
      <c r="D276" s="39">
        <v>10</v>
      </c>
      <c r="E276" s="510">
        <v>5</v>
      </c>
      <c r="F276" s="511">
        <v>5</v>
      </c>
      <c r="G276" s="511">
        <v>5</v>
      </c>
      <c r="H276" s="511">
        <v>5</v>
      </c>
      <c r="I276" s="512">
        <v>5</v>
      </c>
      <c r="J276" s="55">
        <v>25</v>
      </c>
      <c r="K276" s="54"/>
    </row>
    <row r="277" spans="1:11">
      <c r="A277" s="971"/>
      <c r="B277" s="971"/>
      <c r="C277" s="52" t="s">
        <v>2579</v>
      </c>
      <c r="D277" s="39">
        <v>13</v>
      </c>
      <c r="E277" s="510">
        <v>6.5</v>
      </c>
      <c r="F277" s="511">
        <v>6.5</v>
      </c>
      <c r="G277" s="511">
        <v>6.5</v>
      </c>
      <c r="H277" s="511">
        <v>6.5</v>
      </c>
      <c r="I277" s="512">
        <v>6.5</v>
      </c>
      <c r="J277" s="55">
        <v>32.5</v>
      </c>
      <c r="K277" s="54"/>
    </row>
    <row r="278" spans="1:11">
      <c r="A278" s="971"/>
      <c r="B278" s="971"/>
      <c r="C278" s="52" t="s">
        <v>1108</v>
      </c>
      <c r="D278" s="39">
        <v>15</v>
      </c>
      <c r="E278" s="510">
        <v>0</v>
      </c>
      <c r="F278" s="511">
        <v>0</v>
      </c>
      <c r="G278" s="511">
        <v>0</v>
      </c>
      <c r="H278" s="511">
        <v>0</v>
      </c>
      <c r="I278" s="512">
        <v>0</v>
      </c>
      <c r="J278" s="55">
        <v>0</v>
      </c>
      <c r="K278" s="54"/>
    </row>
    <row r="279" spans="1:11">
      <c r="A279" s="971"/>
      <c r="B279" s="971"/>
      <c r="C279" s="52" t="s">
        <v>1722</v>
      </c>
      <c r="D279" s="39">
        <v>18</v>
      </c>
      <c r="E279" s="510">
        <v>9</v>
      </c>
      <c r="F279" s="511">
        <v>9</v>
      </c>
      <c r="G279" s="511">
        <v>9</v>
      </c>
      <c r="H279" s="511">
        <v>9</v>
      </c>
      <c r="I279" s="512">
        <v>9</v>
      </c>
      <c r="J279" s="55">
        <v>45</v>
      </c>
      <c r="K279" s="54"/>
    </row>
    <row r="280" spans="1:11">
      <c r="A280" s="971"/>
      <c r="B280" s="971"/>
      <c r="C280" s="52" t="s">
        <v>4734</v>
      </c>
      <c r="D280" s="39">
        <v>0</v>
      </c>
      <c r="E280" s="510">
        <v>0</v>
      </c>
      <c r="F280" s="511">
        <v>0</v>
      </c>
      <c r="G280" s="511">
        <v>0</v>
      </c>
      <c r="H280" s="511">
        <v>0</v>
      </c>
      <c r="I280" s="512">
        <v>0</v>
      </c>
      <c r="J280" s="55">
        <v>0</v>
      </c>
      <c r="K280" s="54"/>
    </row>
    <row r="281" spans="1:11">
      <c r="A281" s="971"/>
      <c r="B281" s="971"/>
      <c r="C281" s="52" t="s">
        <v>2956</v>
      </c>
      <c r="D281" s="39">
        <v>0</v>
      </c>
      <c r="E281" s="510">
        <v>0</v>
      </c>
      <c r="F281" s="511">
        <v>0</v>
      </c>
      <c r="G281" s="511">
        <v>0</v>
      </c>
      <c r="H281" s="511">
        <v>0</v>
      </c>
      <c r="I281" s="512">
        <v>0</v>
      </c>
      <c r="J281" s="55">
        <v>0</v>
      </c>
      <c r="K281" s="54"/>
    </row>
    <row r="282" spans="1:11">
      <c r="A282" s="971"/>
      <c r="B282" s="971"/>
      <c r="C282" s="153" t="s">
        <v>1828</v>
      </c>
      <c r="D282" s="38"/>
      <c r="E282" s="513">
        <v>0</v>
      </c>
      <c r="F282" s="514">
        <v>0</v>
      </c>
      <c r="G282" s="514">
        <v>0</v>
      </c>
      <c r="H282" s="514">
        <v>0</v>
      </c>
      <c r="I282" s="515">
        <v>0</v>
      </c>
      <c r="J282" s="55">
        <v>0</v>
      </c>
      <c r="K282" s="54"/>
    </row>
    <row r="283" spans="1:11">
      <c r="A283" s="971"/>
      <c r="B283" s="971"/>
      <c r="C283" s="52" t="s">
        <v>2959</v>
      </c>
      <c r="D283" s="38"/>
      <c r="E283" s="686">
        <v>53</v>
      </c>
      <c r="F283" s="687">
        <v>53</v>
      </c>
      <c r="G283" s="687">
        <v>53</v>
      </c>
      <c r="H283" s="687">
        <v>53</v>
      </c>
      <c r="I283" s="688">
        <v>53</v>
      </c>
      <c r="J283" s="155">
        <v>265</v>
      </c>
      <c r="K283" s="54"/>
    </row>
    <row r="284" spans="1:11" ht="12" thickBot="1">
      <c r="A284" s="971"/>
      <c r="B284" s="971"/>
      <c r="C284" s="56" t="s">
        <v>974</v>
      </c>
      <c r="D284" s="50"/>
      <c r="E284" s="50">
        <v>1</v>
      </c>
      <c r="F284" s="50">
        <v>1</v>
      </c>
      <c r="G284" s="50">
        <v>1</v>
      </c>
      <c r="H284" s="50">
        <v>1</v>
      </c>
      <c r="I284" s="50">
        <v>1</v>
      </c>
      <c r="J284" s="652" t="s">
        <v>2227</v>
      </c>
      <c r="K284" s="54"/>
    </row>
    <row r="285" spans="1:11">
      <c r="A285" s="971"/>
      <c r="B285" s="971"/>
      <c r="C285" s="52" t="s">
        <v>3201</v>
      </c>
      <c r="D285" s="38"/>
      <c r="E285" s="653">
        <v>0.2</v>
      </c>
      <c r="F285" s="653">
        <v>0.2</v>
      </c>
      <c r="G285" s="653">
        <v>0.2</v>
      </c>
      <c r="H285" s="653">
        <v>0.2</v>
      </c>
      <c r="I285" s="653">
        <v>0.2</v>
      </c>
      <c r="J285" s="654">
        <v>0.6</v>
      </c>
      <c r="K285" s="54"/>
    </row>
    <row r="286" spans="1:11" ht="12" thickBot="1">
      <c r="A286" s="971"/>
      <c r="B286" s="971"/>
      <c r="C286" s="132" t="s">
        <v>1999</v>
      </c>
      <c r="D286" s="21"/>
      <c r="E286" s="109">
        <v>0.2</v>
      </c>
      <c r="F286" s="109">
        <v>0.2</v>
      </c>
      <c r="G286" s="109">
        <v>0.2</v>
      </c>
      <c r="H286" s="109">
        <v>0.2</v>
      </c>
      <c r="I286" s="109">
        <v>0.2</v>
      </c>
      <c r="J286" s="649">
        <v>0.4</v>
      </c>
      <c r="K286" s="133"/>
    </row>
    <row r="287" spans="1:11" ht="12" thickBot="1">
      <c r="A287" s="971"/>
      <c r="B287" s="971"/>
      <c r="C287" s="655" t="s">
        <v>2830</v>
      </c>
      <c r="D287" s="656"/>
      <c r="E287" s="657">
        <v>0.2</v>
      </c>
      <c r="F287" s="657">
        <v>0.2</v>
      </c>
      <c r="G287" s="657">
        <v>0.2</v>
      </c>
      <c r="H287" s="657">
        <v>0.2</v>
      </c>
      <c r="I287" s="657">
        <v>0.2</v>
      </c>
      <c r="J287" s="658">
        <v>1225000000</v>
      </c>
      <c r="K287" s="8" t="s">
        <v>2327</v>
      </c>
    </row>
    <row r="288" spans="1:11" ht="12" thickBot="1">
      <c r="A288" s="971"/>
      <c r="B288" s="971"/>
    </row>
    <row r="289" spans="1:11" ht="12" thickBot="1">
      <c r="A289" s="971"/>
      <c r="B289" s="971"/>
      <c r="C289" s="340" t="s">
        <v>150</v>
      </c>
      <c r="D289" s="162"/>
      <c r="E289" s="158"/>
      <c r="F289" s="158"/>
      <c r="G289" s="159"/>
      <c r="H289" s="159"/>
      <c r="I289" s="159"/>
      <c r="J289" s="159"/>
      <c r="K289" s="51"/>
    </row>
    <row r="290" spans="1:11" ht="12" thickBot="1">
      <c r="A290" s="971"/>
      <c r="B290" s="971"/>
      <c r="C290" s="160" t="s">
        <v>2672</v>
      </c>
      <c r="D290" s="689">
        <f>D249</f>
        <v>3009000000</v>
      </c>
      <c r="E290" s="162"/>
      <c r="F290" s="164"/>
      <c r="G290" s="162"/>
      <c r="H290" s="165"/>
      <c r="I290" s="157" t="s">
        <v>2673</v>
      </c>
      <c r="J290" s="697">
        <f>J249</f>
        <v>1784000000</v>
      </c>
      <c r="K290" s="51"/>
    </row>
    <row r="291" spans="1:11">
      <c r="A291" s="971"/>
      <c r="B291" s="971"/>
      <c r="C291" s="167" t="s">
        <v>2958</v>
      </c>
      <c r="D291" s="168"/>
      <c r="E291" s="673" t="s">
        <v>1834</v>
      </c>
      <c r="F291" s="674" t="s">
        <v>1835</v>
      </c>
      <c r="G291" s="674" t="s">
        <v>1836</v>
      </c>
      <c r="H291" s="674" t="s">
        <v>1837</v>
      </c>
      <c r="I291" s="674" t="s">
        <v>1838</v>
      </c>
      <c r="J291" s="675"/>
      <c r="K291" s="54"/>
    </row>
    <row r="292" spans="1:11">
      <c r="A292" s="971"/>
      <c r="B292" s="971"/>
      <c r="C292" s="52" t="str">
        <f>C251</f>
        <v>Price</v>
      </c>
      <c r="D292" s="39">
        <f>D251</f>
        <v>30</v>
      </c>
      <c r="E292" s="660">
        <f t="shared" ref="E292:I300" si="31">(E251-($J251/xxNumOfTeams))/$J$262</f>
        <v>0</v>
      </c>
      <c r="F292" s="616">
        <f t="shared" si="31"/>
        <v>0</v>
      </c>
      <c r="G292" s="616">
        <f t="shared" si="31"/>
        <v>0</v>
      </c>
      <c r="H292" s="616">
        <f t="shared" si="31"/>
        <v>0</v>
      </c>
      <c r="I292" s="661">
        <f t="shared" si="31"/>
        <v>0</v>
      </c>
      <c r="J292" s="55">
        <f>J251</f>
        <v>75</v>
      </c>
      <c r="K292" s="54"/>
    </row>
    <row r="293" spans="1:11">
      <c r="A293" s="971"/>
      <c r="B293" s="971"/>
      <c r="C293" s="52" t="str">
        <f t="shared" ref="C293:C302" si="32">C252</f>
        <v>Range Of Products</v>
      </c>
      <c r="D293" s="39">
        <f t="shared" ref="D293:D301" si="33">D252</f>
        <v>7</v>
      </c>
      <c r="E293" s="660">
        <f t="shared" si="31"/>
        <v>0</v>
      </c>
      <c r="F293" s="616">
        <f t="shared" si="31"/>
        <v>0</v>
      </c>
      <c r="G293" s="616">
        <f t="shared" si="31"/>
        <v>0</v>
      </c>
      <c r="H293" s="616">
        <f t="shared" si="31"/>
        <v>0</v>
      </c>
      <c r="I293" s="661">
        <f t="shared" si="31"/>
        <v>0</v>
      </c>
      <c r="J293" s="55">
        <f t="shared" ref="J293:J301" si="34">J252</f>
        <v>17.5</v>
      </c>
      <c r="K293" s="54"/>
    </row>
    <row r="294" spans="1:11">
      <c r="A294" s="971"/>
      <c r="B294" s="971"/>
      <c r="C294" s="52" t="str">
        <f t="shared" si="32"/>
        <v>Brands</v>
      </c>
      <c r="D294" s="39">
        <f t="shared" si="33"/>
        <v>0</v>
      </c>
      <c r="E294" s="660">
        <f t="shared" si="31"/>
        <v>0</v>
      </c>
      <c r="F294" s="616">
        <f t="shared" si="31"/>
        <v>0</v>
      </c>
      <c r="G294" s="616">
        <f t="shared" si="31"/>
        <v>0</v>
      </c>
      <c r="H294" s="616">
        <f t="shared" si="31"/>
        <v>0</v>
      </c>
      <c r="I294" s="661">
        <f t="shared" si="31"/>
        <v>0</v>
      </c>
      <c r="J294" s="55">
        <f t="shared" si="34"/>
        <v>0</v>
      </c>
      <c r="K294" s="54"/>
    </row>
    <row r="295" spans="1:11">
      <c r="A295" s="971"/>
      <c r="B295" s="971"/>
      <c r="C295" s="52" t="str">
        <f t="shared" si="32"/>
        <v>Advertising</v>
      </c>
      <c r="D295" s="39">
        <f t="shared" si="33"/>
        <v>11</v>
      </c>
      <c r="E295" s="660">
        <f t="shared" si="31"/>
        <v>0</v>
      </c>
      <c r="F295" s="616">
        <f t="shared" si="31"/>
        <v>0</v>
      </c>
      <c r="G295" s="616">
        <f t="shared" si="31"/>
        <v>0</v>
      </c>
      <c r="H295" s="616">
        <f t="shared" si="31"/>
        <v>0</v>
      </c>
      <c r="I295" s="661">
        <f t="shared" si="31"/>
        <v>0</v>
      </c>
      <c r="J295" s="55">
        <f t="shared" si="34"/>
        <v>27.5</v>
      </c>
      <c r="K295" s="54"/>
    </row>
    <row r="296" spans="1:11">
      <c r="A296" s="971"/>
      <c r="B296" s="971"/>
      <c r="C296" s="52" t="str">
        <f t="shared" si="32"/>
        <v>Promotion</v>
      </c>
      <c r="D296" s="39">
        <f t="shared" si="33"/>
        <v>13</v>
      </c>
      <c r="E296" s="660">
        <f t="shared" si="31"/>
        <v>0</v>
      </c>
      <c r="F296" s="616">
        <f t="shared" si="31"/>
        <v>0</v>
      </c>
      <c r="G296" s="616">
        <f t="shared" si="31"/>
        <v>0</v>
      </c>
      <c r="H296" s="616">
        <f t="shared" si="31"/>
        <v>0</v>
      </c>
      <c r="I296" s="661">
        <f t="shared" si="31"/>
        <v>0</v>
      </c>
      <c r="J296" s="55">
        <f t="shared" si="34"/>
        <v>32.5</v>
      </c>
      <c r="K296" s="54"/>
    </row>
    <row r="297" spans="1:11">
      <c r="A297" s="971"/>
      <c r="B297" s="971"/>
      <c r="C297" s="52" t="str">
        <f t="shared" si="32"/>
        <v>Sales Force</v>
      </c>
      <c r="D297" s="39">
        <f t="shared" si="33"/>
        <v>9</v>
      </c>
      <c r="E297" s="660">
        <f t="shared" si="31"/>
        <v>0</v>
      </c>
      <c r="F297" s="616">
        <f t="shared" si="31"/>
        <v>0</v>
      </c>
      <c r="G297" s="616">
        <f t="shared" si="31"/>
        <v>0</v>
      </c>
      <c r="H297" s="616">
        <f t="shared" si="31"/>
        <v>0</v>
      </c>
      <c r="I297" s="661">
        <f t="shared" si="31"/>
        <v>0</v>
      </c>
      <c r="J297" s="55">
        <f t="shared" si="34"/>
        <v>22.5</v>
      </c>
      <c r="K297" s="54"/>
    </row>
    <row r="298" spans="1:11">
      <c r="A298" s="971"/>
      <c r="B298" s="971"/>
      <c r="C298" s="52" t="str">
        <f t="shared" si="32"/>
        <v>Innovation</v>
      </c>
      <c r="D298" s="39">
        <f t="shared" si="33"/>
        <v>16</v>
      </c>
      <c r="E298" s="660">
        <f t="shared" si="31"/>
        <v>0</v>
      </c>
      <c r="F298" s="616">
        <f t="shared" si="31"/>
        <v>0</v>
      </c>
      <c r="G298" s="616">
        <f t="shared" si="31"/>
        <v>0</v>
      </c>
      <c r="H298" s="616">
        <f t="shared" si="31"/>
        <v>0</v>
      </c>
      <c r="I298" s="661">
        <f t="shared" si="31"/>
        <v>0</v>
      </c>
      <c r="J298" s="55">
        <f t="shared" si="34"/>
        <v>0</v>
      </c>
      <c r="K298" s="54"/>
    </row>
    <row r="299" spans="1:11">
      <c r="A299" s="971"/>
      <c r="B299" s="971"/>
      <c r="C299" s="52" t="str">
        <f t="shared" si="32"/>
        <v>Channel Penetration</v>
      </c>
      <c r="D299" s="39">
        <f t="shared" si="33"/>
        <v>0</v>
      </c>
      <c r="E299" s="660">
        <f t="shared" si="31"/>
        <v>0</v>
      </c>
      <c r="F299" s="616">
        <f t="shared" si="31"/>
        <v>0</v>
      </c>
      <c r="G299" s="616">
        <f t="shared" si="31"/>
        <v>0</v>
      </c>
      <c r="H299" s="616">
        <f t="shared" si="31"/>
        <v>0</v>
      </c>
      <c r="I299" s="661">
        <f t="shared" si="31"/>
        <v>0</v>
      </c>
      <c r="J299" s="55">
        <f t="shared" si="34"/>
        <v>0</v>
      </c>
      <c r="K299" s="54"/>
    </row>
    <row r="300" spans="1:11">
      <c r="A300" s="971"/>
      <c r="B300" s="971"/>
      <c r="C300" s="52" t="str">
        <f t="shared" si="32"/>
        <v>GTM Digitization</v>
      </c>
      <c r="D300" s="39">
        <f t="shared" si="33"/>
        <v>14</v>
      </c>
      <c r="E300" s="660">
        <f t="shared" si="31"/>
        <v>0</v>
      </c>
      <c r="F300" s="616">
        <f t="shared" si="31"/>
        <v>0</v>
      </c>
      <c r="G300" s="616">
        <f t="shared" si="31"/>
        <v>0</v>
      </c>
      <c r="H300" s="616">
        <f t="shared" si="31"/>
        <v>0</v>
      </c>
      <c r="I300" s="661">
        <f t="shared" si="31"/>
        <v>0</v>
      </c>
      <c r="J300" s="55">
        <f t="shared" si="34"/>
        <v>35</v>
      </c>
      <c r="K300" s="54"/>
    </row>
    <row r="301" spans="1:11">
      <c r="A301" s="971"/>
      <c r="B301" s="971"/>
      <c r="C301" s="52" t="str">
        <f t="shared" si="32"/>
        <v>Driver 10</v>
      </c>
      <c r="D301" s="39">
        <f t="shared" si="33"/>
        <v>0</v>
      </c>
      <c r="E301" s="660">
        <f t="shared" ref="E301:I302" si="35">(E260-($J260/xxNumOfTeams))/$J$262</f>
        <v>0</v>
      </c>
      <c r="F301" s="616">
        <f t="shared" si="35"/>
        <v>0</v>
      </c>
      <c r="G301" s="616">
        <f t="shared" si="35"/>
        <v>0</v>
      </c>
      <c r="H301" s="616">
        <f t="shared" si="35"/>
        <v>0</v>
      </c>
      <c r="I301" s="661">
        <f t="shared" si="35"/>
        <v>0</v>
      </c>
      <c r="J301" s="55">
        <f t="shared" si="34"/>
        <v>0</v>
      </c>
      <c r="K301" s="54"/>
    </row>
    <row r="302" spans="1:11">
      <c r="A302" s="971"/>
      <c r="B302" s="971"/>
      <c r="C302" s="52" t="str">
        <f t="shared" si="32"/>
        <v>Special Programs</v>
      </c>
      <c r="D302" s="38"/>
      <c r="E302" s="662">
        <f t="shared" si="35"/>
        <v>0</v>
      </c>
      <c r="F302" s="618">
        <f t="shared" si="35"/>
        <v>0</v>
      </c>
      <c r="G302" s="618">
        <f t="shared" si="35"/>
        <v>0</v>
      </c>
      <c r="H302" s="618">
        <f t="shared" si="35"/>
        <v>0</v>
      </c>
      <c r="I302" s="663">
        <f t="shared" si="35"/>
        <v>0</v>
      </c>
      <c r="J302" s="55"/>
      <c r="K302" s="54"/>
    </row>
    <row r="303" spans="1:11">
      <c r="A303" s="971"/>
      <c r="B303" s="971"/>
      <c r="C303" s="52" t="s">
        <v>2959</v>
      </c>
      <c r="D303" s="38"/>
      <c r="E303" s="1229">
        <f>SUM(E292:E302)</f>
        <v>0</v>
      </c>
      <c r="F303" s="1230">
        <f>SUM(F292:F302)</f>
        <v>0</v>
      </c>
      <c r="G303" s="1230">
        <f>SUM(G292:G302)</f>
        <v>0</v>
      </c>
      <c r="H303" s="1230">
        <f>SUM(H292:H302)</f>
        <v>0</v>
      </c>
      <c r="I303" s="1231">
        <f>SUM(I292:I302)</f>
        <v>0</v>
      </c>
      <c r="J303" s="53">
        <f>J261</f>
        <v>0</v>
      </c>
      <c r="K303" s="54"/>
    </row>
    <row r="304" spans="1:11" ht="12" thickBot="1">
      <c r="A304" s="971"/>
      <c r="B304" s="971"/>
      <c r="C304" s="52" t="s">
        <v>974</v>
      </c>
      <c r="D304" s="38"/>
      <c r="E304" s="664">
        <f t="shared" ref="E304:J305" si="36">E263</f>
        <v>1</v>
      </c>
      <c r="F304" s="664">
        <f t="shared" si="36"/>
        <v>1</v>
      </c>
      <c r="G304" s="664">
        <f t="shared" si="36"/>
        <v>1</v>
      </c>
      <c r="H304" s="664">
        <f t="shared" si="36"/>
        <v>1</v>
      </c>
      <c r="I304" s="664">
        <f t="shared" si="36"/>
        <v>1</v>
      </c>
      <c r="J304" s="652" t="str">
        <f t="shared" si="36"/>
        <v>Weight</v>
      </c>
      <c r="K304" s="54"/>
    </row>
    <row r="305" spans="1:11">
      <c r="A305" s="971"/>
      <c r="B305" s="971"/>
      <c r="C305" s="378" t="s">
        <v>3201</v>
      </c>
      <c r="D305" s="645"/>
      <c r="E305" s="646">
        <f t="shared" si="36"/>
        <v>0.2</v>
      </c>
      <c r="F305" s="646">
        <f t="shared" si="36"/>
        <v>0.2</v>
      </c>
      <c r="G305" s="646">
        <f t="shared" si="36"/>
        <v>0.2</v>
      </c>
      <c r="H305" s="646">
        <f t="shared" si="36"/>
        <v>0.2</v>
      </c>
      <c r="I305" s="646">
        <f t="shared" si="36"/>
        <v>0.2</v>
      </c>
      <c r="J305" s="654">
        <f t="shared" si="36"/>
        <v>0.6</v>
      </c>
      <c r="K305" s="647"/>
    </row>
    <row r="306" spans="1:11" ht="12" thickBot="1">
      <c r="A306" s="971"/>
      <c r="B306" s="971"/>
      <c r="C306" s="132" t="s">
        <v>1999</v>
      </c>
      <c r="D306" s="21"/>
      <c r="E306" s="57">
        <f>E265</f>
        <v>0.2</v>
      </c>
      <c r="F306" s="57">
        <f t="shared" ref="F306:I307" si="37">F265</f>
        <v>0.2</v>
      </c>
      <c r="G306" s="57">
        <f t="shared" si="37"/>
        <v>0.2</v>
      </c>
      <c r="H306" s="57">
        <f t="shared" si="37"/>
        <v>0.2</v>
      </c>
      <c r="I306" s="57">
        <f t="shared" si="37"/>
        <v>0.2</v>
      </c>
      <c r="J306" s="649">
        <f>J265</f>
        <v>0.4</v>
      </c>
      <c r="K306" s="133"/>
    </row>
    <row r="307" spans="1:11" ht="12" thickBot="1">
      <c r="A307" s="971"/>
      <c r="B307" s="971"/>
      <c r="C307" s="655" t="s">
        <v>2830</v>
      </c>
      <c r="D307" s="656"/>
      <c r="E307" s="659">
        <f>E266</f>
        <v>0.2</v>
      </c>
      <c r="F307" s="659">
        <f t="shared" si="37"/>
        <v>0.2</v>
      </c>
      <c r="G307" s="659">
        <f t="shared" si="37"/>
        <v>0.2</v>
      </c>
      <c r="H307" s="659">
        <f t="shared" si="37"/>
        <v>0.2</v>
      </c>
      <c r="I307" s="659">
        <f t="shared" si="37"/>
        <v>0.2</v>
      </c>
      <c r="J307" s="676">
        <f>J266</f>
        <v>1784000000</v>
      </c>
      <c r="K307" s="8" t="s">
        <v>2327</v>
      </c>
    </row>
    <row r="308" spans="1:11">
      <c r="A308" s="971"/>
      <c r="B308" s="971"/>
    </row>
    <row r="309" spans="1:11" ht="12" thickBot="1">
      <c r="A309" s="971"/>
      <c r="B309" s="971"/>
    </row>
    <row r="310" spans="1:11" ht="12" thickBot="1">
      <c r="A310" s="971"/>
      <c r="B310" s="971"/>
      <c r="C310" s="340" t="str">
        <f>C269</f>
        <v>Market Model Calculation Segment 2 Escendia</v>
      </c>
      <c r="D310" s="162"/>
      <c r="E310" s="158"/>
      <c r="F310" s="158"/>
      <c r="G310" s="159"/>
      <c r="H310" s="159"/>
      <c r="I310" s="159"/>
      <c r="J310" s="159"/>
      <c r="K310" s="51"/>
    </row>
    <row r="311" spans="1:11" ht="12" thickBot="1">
      <c r="A311" s="971"/>
      <c r="B311" s="971"/>
      <c r="C311" s="160" t="s">
        <v>2672</v>
      </c>
      <c r="D311" s="689">
        <f>D270</f>
        <v>3009000000</v>
      </c>
      <c r="E311" s="162"/>
      <c r="F311" s="164"/>
      <c r="G311" s="162"/>
      <c r="H311" s="165"/>
      <c r="I311" s="157" t="s">
        <v>2673</v>
      </c>
      <c r="J311" s="697">
        <f>J270</f>
        <v>1225000000</v>
      </c>
      <c r="K311" s="51"/>
    </row>
    <row r="312" spans="1:11">
      <c r="A312" s="971"/>
      <c r="B312" s="971"/>
      <c r="C312" s="167" t="s">
        <v>2958</v>
      </c>
      <c r="D312" s="168"/>
      <c r="E312" s="161" t="s">
        <v>1834</v>
      </c>
      <c r="F312" s="161" t="s">
        <v>1835</v>
      </c>
      <c r="G312" s="161" t="s">
        <v>1836</v>
      </c>
      <c r="H312" s="161" t="s">
        <v>1837</v>
      </c>
      <c r="I312" s="161" t="s">
        <v>1838</v>
      </c>
      <c r="J312" s="725"/>
      <c r="K312" s="54"/>
    </row>
    <row r="313" spans="1:11">
      <c r="A313" s="971"/>
      <c r="B313" s="971"/>
      <c r="C313" s="52" t="str">
        <f>C272</f>
        <v>Price</v>
      </c>
      <c r="D313" s="39">
        <f>D272</f>
        <v>50</v>
      </c>
      <c r="E313" s="667">
        <f t="shared" ref="E313:I321" si="38">(E272-($J272/xxNumOfTeams))/$J$283</f>
        <v>0</v>
      </c>
      <c r="F313" s="668">
        <f t="shared" si="38"/>
        <v>0</v>
      </c>
      <c r="G313" s="668">
        <f t="shared" si="38"/>
        <v>0</v>
      </c>
      <c r="H313" s="668">
        <f t="shared" si="38"/>
        <v>0</v>
      </c>
      <c r="I313" s="669">
        <f t="shared" si="38"/>
        <v>0</v>
      </c>
      <c r="J313" s="53">
        <f>J272</f>
        <v>125</v>
      </c>
      <c r="K313" s="54"/>
    </row>
    <row r="314" spans="1:11">
      <c r="A314" s="971"/>
      <c r="B314" s="971"/>
      <c r="C314" s="52" t="str">
        <f t="shared" ref="C314:D323" si="39">C273</f>
        <v>Range Of Products</v>
      </c>
      <c r="D314" s="39">
        <f t="shared" si="39"/>
        <v>8</v>
      </c>
      <c r="E314" s="660">
        <f t="shared" si="38"/>
        <v>0</v>
      </c>
      <c r="F314" s="616">
        <f t="shared" si="38"/>
        <v>0</v>
      </c>
      <c r="G314" s="616">
        <f t="shared" si="38"/>
        <v>0</v>
      </c>
      <c r="H314" s="616">
        <f t="shared" si="38"/>
        <v>0</v>
      </c>
      <c r="I314" s="661">
        <f t="shared" si="38"/>
        <v>0</v>
      </c>
      <c r="J314" s="55">
        <f t="shared" ref="J314:J324" si="40">J273</f>
        <v>20</v>
      </c>
      <c r="K314" s="54"/>
    </row>
    <row r="315" spans="1:11">
      <c r="A315" s="971"/>
      <c r="B315" s="971"/>
      <c r="C315" s="52" t="str">
        <f t="shared" si="39"/>
        <v>Brands</v>
      </c>
      <c r="D315" s="39">
        <f t="shared" si="39"/>
        <v>0</v>
      </c>
      <c r="E315" s="660">
        <f t="shared" si="38"/>
        <v>0</v>
      </c>
      <c r="F315" s="616">
        <f t="shared" si="38"/>
        <v>0</v>
      </c>
      <c r="G315" s="616">
        <f t="shared" si="38"/>
        <v>0</v>
      </c>
      <c r="H315" s="616">
        <f t="shared" si="38"/>
        <v>0</v>
      </c>
      <c r="I315" s="661">
        <f t="shared" si="38"/>
        <v>0</v>
      </c>
      <c r="J315" s="55">
        <f t="shared" si="40"/>
        <v>0</v>
      </c>
      <c r="K315" s="54"/>
    </row>
    <row r="316" spans="1:11">
      <c r="A316" s="971"/>
      <c r="B316" s="971"/>
      <c r="C316" s="52" t="str">
        <f t="shared" si="39"/>
        <v>Advertising</v>
      </c>
      <c r="D316" s="39">
        <f t="shared" si="39"/>
        <v>7</v>
      </c>
      <c r="E316" s="660">
        <f t="shared" si="38"/>
        <v>0</v>
      </c>
      <c r="F316" s="616">
        <f t="shared" si="38"/>
        <v>0</v>
      </c>
      <c r="G316" s="616">
        <f t="shared" si="38"/>
        <v>0</v>
      </c>
      <c r="H316" s="616">
        <f t="shared" si="38"/>
        <v>0</v>
      </c>
      <c r="I316" s="661">
        <f t="shared" si="38"/>
        <v>0</v>
      </c>
      <c r="J316" s="55">
        <f t="shared" si="40"/>
        <v>17.5</v>
      </c>
      <c r="K316" s="54"/>
    </row>
    <row r="317" spans="1:11">
      <c r="A317" s="971"/>
      <c r="B317" s="971"/>
      <c r="C317" s="52" t="str">
        <f t="shared" si="39"/>
        <v>Promotion</v>
      </c>
      <c r="D317" s="39">
        <f t="shared" si="39"/>
        <v>10</v>
      </c>
      <c r="E317" s="660">
        <f t="shared" si="38"/>
        <v>0</v>
      </c>
      <c r="F317" s="616">
        <f t="shared" si="38"/>
        <v>0</v>
      </c>
      <c r="G317" s="616">
        <f t="shared" si="38"/>
        <v>0</v>
      </c>
      <c r="H317" s="616">
        <f t="shared" si="38"/>
        <v>0</v>
      </c>
      <c r="I317" s="661">
        <f t="shared" si="38"/>
        <v>0</v>
      </c>
      <c r="J317" s="55">
        <f t="shared" si="40"/>
        <v>25</v>
      </c>
      <c r="K317" s="54"/>
    </row>
    <row r="318" spans="1:11">
      <c r="A318" s="971"/>
      <c r="B318" s="971"/>
      <c r="C318" s="52" t="str">
        <f t="shared" si="39"/>
        <v>Sales Force</v>
      </c>
      <c r="D318" s="39">
        <f t="shared" si="39"/>
        <v>13</v>
      </c>
      <c r="E318" s="660">
        <f t="shared" si="38"/>
        <v>0</v>
      </c>
      <c r="F318" s="616">
        <f t="shared" si="38"/>
        <v>0</v>
      </c>
      <c r="G318" s="616">
        <f t="shared" si="38"/>
        <v>0</v>
      </c>
      <c r="H318" s="616">
        <f t="shared" si="38"/>
        <v>0</v>
      </c>
      <c r="I318" s="661">
        <f t="shared" si="38"/>
        <v>0</v>
      </c>
      <c r="J318" s="55">
        <f t="shared" si="40"/>
        <v>32.5</v>
      </c>
      <c r="K318" s="54"/>
    </row>
    <row r="319" spans="1:11">
      <c r="A319" s="971"/>
      <c r="B319" s="971"/>
      <c r="C319" s="52" t="str">
        <f t="shared" si="39"/>
        <v>Innovation</v>
      </c>
      <c r="D319" s="39">
        <f t="shared" si="39"/>
        <v>15</v>
      </c>
      <c r="E319" s="660">
        <f t="shared" si="38"/>
        <v>0</v>
      </c>
      <c r="F319" s="616">
        <f t="shared" si="38"/>
        <v>0</v>
      </c>
      <c r="G319" s="616">
        <f t="shared" si="38"/>
        <v>0</v>
      </c>
      <c r="H319" s="616">
        <f t="shared" si="38"/>
        <v>0</v>
      </c>
      <c r="I319" s="661">
        <f t="shared" si="38"/>
        <v>0</v>
      </c>
      <c r="J319" s="55">
        <f t="shared" si="40"/>
        <v>0</v>
      </c>
      <c r="K319" s="54"/>
    </row>
    <row r="320" spans="1:11">
      <c r="A320" s="971"/>
      <c r="B320" s="971"/>
      <c r="C320" s="52" t="str">
        <f t="shared" si="39"/>
        <v>Channel Penetration</v>
      </c>
      <c r="D320" s="39">
        <f t="shared" si="39"/>
        <v>18</v>
      </c>
      <c r="E320" s="660">
        <f t="shared" si="38"/>
        <v>0</v>
      </c>
      <c r="F320" s="616">
        <f t="shared" si="38"/>
        <v>0</v>
      </c>
      <c r="G320" s="616">
        <f t="shared" si="38"/>
        <v>0</v>
      </c>
      <c r="H320" s="616">
        <f t="shared" si="38"/>
        <v>0</v>
      </c>
      <c r="I320" s="661">
        <f t="shared" si="38"/>
        <v>0</v>
      </c>
      <c r="J320" s="55">
        <f t="shared" si="40"/>
        <v>45</v>
      </c>
      <c r="K320" s="54"/>
    </row>
    <row r="321" spans="1:11">
      <c r="A321" s="971"/>
      <c r="B321" s="971"/>
      <c r="C321" s="52" t="str">
        <f t="shared" si="39"/>
        <v>GTM Digitization</v>
      </c>
      <c r="D321" s="39">
        <f t="shared" si="39"/>
        <v>0</v>
      </c>
      <c r="E321" s="660">
        <f t="shared" si="38"/>
        <v>0</v>
      </c>
      <c r="F321" s="616">
        <f t="shared" si="38"/>
        <v>0</v>
      </c>
      <c r="G321" s="616">
        <f t="shared" si="38"/>
        <v>0</v>
      </c>
      <c r="H321" s="616">
        <f t="shared" si="38"/>
        <v>0</v>
      </c>
      <c r="I321" s="661">
        <f t="shared" si="38"/>
        <v>0</v>
      </c>
      <c r="J321" s="55">
        <f t="shared" si="40"/>
        <v>0</v>
      </c>
      <c r="K321" s="54"/>
    </row>
    <row r="322" spans="1:11">
      <c r="A322" s="971"/>
      <c r="B322" s="971"/>
      <c r="C322" s="52" t="str">
        <f t="shared" si="39"/>
        <v>Driver 10</v>
      </c>
      <c r="D322" s="39">
        <f t="shared" si="39"/>
        <v>0</v>
      </c>
      <c r="E322" s="660">
        <f t="shared" ref="E322:I323" si="41">(E281-($J281/xxNumOfTeams))/$J$283</f>
        <v>0</v>
      </c>
      <c r="F322" s="616">
        <f t="shared" si="41"/>
        <v>0</v>
      </c>
      <c r="G322" s="616">
        <f t="shared" si="41"/>
        <v>0</v>
      </c>
      <c r="H322" s="616">
        <f t="shared" si="41"/>
        <v>0</v>
      </c>
      <c r="I322" s="661">
        <f t="shared" si="41"/>
        <v>0</v>
      </c>
      <c r="J322" s="55">
        <f t="shared" si="40"/>
        <v>0</v>
      </c>
      <c r="K322" s="54"/>
    </row>
    <row r="323" spans="1:11">
      <c r="A323" s="971"/>
      <c r="B323" s="971"/>
      <c r="C323" s="153" t="str">
        <f t="shared" si="39"/>
        <v>Special Programs</v>
      </c>
      <c r="D323" s="39">
        <f t="shared" si="39"/>
        <v>0</v>
      </c>
      <c r="E323" s="662">
        <f t="shared" si="41"/>
        <v>0</v>
      </c>
      <c r="F323" s="618">
        <f t="shared" si="41"/>
        <v>0</v>
      </c>
      <c r="G323" s="618">
        <f t="shared" si="41"/>
        <v>0</v>
      </c>
      <c r="H323" s="618">
        <f t="shared" si="41"/>
        <v>0</v>
      </c>
      <c r="I323" s="663">
        <f t="shared" si="41"/>
        <v>0</v>
      </c>
      <c r="J323" s="55">
        <f t="shared" si="40"/>
        <v>0</v>
      </c>
      <c r="K323" s="54"/>
    </row>
    <row r="324" spans="1:11">
      <c r="A324" s="971"/>
      <c r="B324" s="971"/>
      <c r="C324" s="52" t="s">
        <v>2959</v>
      </c>
      <c r="D324" s="38"/>
      <c r="E324" s="1229">
        <f>SUM(E313:E323)</f>
        <v>0</v>
      </c>
      <c r="F324" s="1230">
        <f>SUM(F313:F323)</f>
        <v>0</v>
      </c>
      <c r="G324" s="1230">
        <f>SUM(G313:G323)</f>
        <v>0</v>
      </c>
      <c r="H324" s="1230">
        <f>SUM(H313:H323)</f>
        <v>0</v>
      </c>
      <c r="I324" s="1231">
        <f>SUM(I313:I323)</f>
        <v>0</v>
      </c>
      <c r="J324" s="155">
        <f t="shared" si="40"/>
        <v>265</v>
      </c>
      <c r="K324" s="54"/>
    </row>
    <row r="325" spans="1:11" ht="12" thickBot="1">
      <c r="A325" s="971"/>
      <c r="B325" s="971"/>
      <c r="C325" s="56" t="s">
        <v>974</v>
      </c>
      <c r="D325" s="50"/>
      <c r="E325" s="50">
        <f t="shared" ref="E325:J326" si="42">E284</f>
        <v>1</v>
      </c>
      <c r="F325" s="50">
        <f t="shared" si="42"/>
        <v>1</v>
      </c>
      <c r="G325" s="50">
        <f t="shared" si="42"/>
        <v>1</v>
      </c>
      <c r="H325" s="50">
        <f t="shared" si="42"/>
        <v>1</v>
      </c>
      <c r="I325" s="50">
        <f t="shared" si="42"/>
        <v>1</v>
      </c>
      <c r="J325" s="652" t="str">
        <f t="shared" si="42"/>
        <v>Weight</v>
      </c>
      <c r="K325" s="54"/>
    </row>
    <row r="326" spans="1:11">
      <c r="A326" s="971"/>
      <c r="B326" s="971"/>
      <c r="C326" s="52" t="s">
        <v>3201</v>
      </c>
      <c r="D326" s="38"/>
      <c r="E326" s="653">
        <f t="shared" si="42"/>
        <v>0.2</v>
      </c>
      <c r="F326" s="653">
        <f t="shared" si="42"/>
        <v>0.2</v>
      </c>
      <c r="G326" s="653">
        <f t="shared" si="42"/>
        <v>0.2</v>
      </c>
      <c r="H326" s="653">
        <f t="shared" si="42"/>
        <v>0.2</v>
      </c>
      <c r="I326" s="653">
        <f t="shared" si="42"/>
        <v>0.2</v>
      </c>
      <c r="J326" s="654">
        <f t="shared" si="42"/>
        <v>0.6</v>
      </c>
      <c r="K326" s="54" t="s">
        <v>2327</v>
      </c>
    </row>
    <row r="327" spans="1:11" ht="12" thickBot="1">
      <c r="A327" s="971"/>
      <c r="B327" s="971"/>
      <c r="C327" s="132" t="s">
        <v>1999</v>
      </c>
      <c r="D327" s="21"/>
      <c r="E327" s="109">
        <f>E286</f>
        <v>0.2</v>
      </c>
      <c r="F327" s="109">
        <f t="shared" ref="F327:I328" si="43">F286</f>
        <v>0.2</v>
      </c>
      <c r="G327" s="109">
        <f t="shared" si="43"/>
        <v>0.2</v>
      </c>
      <c r="H327" s="109">
        <f t="shared" si="43"/>
        <v>0.2</v>
      </c>
      <c r="I327" s="109">
        <f t="shared" si="43"/>
        <v>0.2</v>
      </c>
      <c r="J327" s="654">
        <f>J286</f>
        <v>0.4</v>
      </c>
      <c r="K327" s="133"/>
    </row>
    <row r="328" spans="1:11" ht="12" thickBot="1">
      <c r="A328" s="971"/>
      <c r="B328" s="971"/>
      <c r="C328" s="655" t="s">
        <v>2830</v>
      </c>
      <c r="D328" s="656"/>
      <c r="E328" s="657">
        <f>E287</f>
        <v>0.2</v>
      </c>
      <c r="F328" s="657">
        <f t="shared" si="43"/>
        <v>0.2</v>
      </c>
      <c r="G328" s="657">
        <f t="shared" si="43"/>
        <v>0.2</v>
      </c>
      <c r="H328" s="657">
        <f t="shared" si="43"/>
        <v>0.2</v>
      </c>
      <c r="I328" s="657">
        <f t="shared" si="43"/>
        <v>0.2</v>
      </c>
      <c r="J328" s="677">
        <f>J287</f>
        <v>1225000000</v>
      </c>
      <c r="K328" s="8"/>
    </row>
    <row r="329" spans="1:11">
      <c r="A329" s="971"/>
      <c r="B329" s="971"/>
    </row>
  </sheetData>
  <phoneticPr fontId="0" type="noConversion"/>
  <dataValidations disablePrompts="1" count="1">
    <dataValidation type="decimal" allowBlank="1" showInputMessage="1" showErrorMessage="1" sqref="E240:I240 E225:I225 E201:I205">
      <formula1>-1</formula1>
      <formula2>1</formula2>
    </dataValidation>
  </dataValidations>
  <pageMargins left="0.5" right="0.5" top="0.5" bottom="0.5" header="0.5" footer="0.5"/>
  <pageSetup scale="62" orientation="portrait" r:id="rId1"/>
  <headerFooter alignWithMargins="0"/>
  <rowBreaks count="2" manualBreakCount="2">
    <brk id="158" max="16383" man="1"/>
    <brk id="246" max="16383" man="1"/>
  </rowBreaks>
  <colBreaks count="1" manualBreakCount="1">
    <brk id="11" max="1048575" man="1"/>
  </colBreaks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MProd4">
    <tabColor indexed="10"/>
  </sheetPr>
  <dimension ref="A1:M335"/>
  <sheetViews>
    <sheetView showGridLines="0" zoomScaleNormal="100" zoomScaleSheetLayoutView="100" workbookViewId="0">
      <pane ySplit="1" topLeftCell="A99" activePane="bottomLeft" state="frozen"/>
      <selection activeCell="C269" sqref="C269:K287"/>
      <selection pane="bottomLeft" activeCell="C273" sqref="C273:K291"/>
    </sheetView>
  </sheetViews>
  <sheetFormatPr defaultRowHeight="11.25"/>
  <cols>
    <col min="1" max="1" width="1.83203125" customWidth="1"/>
    <col min="2" max="2" width="18.5" customWidth="1"/>
    <col min="3" max="3" width="15.5" customWidth="1"/>
    <col min="4" max="4" width="18.5" customWidth="1"/>
    <col min="5" max="9" width="16.33203125" customWidth="1"/>
    <col min="10" max="10" width="17.5" bestFit="1" customWidth="1"/>
    <col min="11" max="11" width="11.5" customWidth="1"/>
    <col min="12" max="12" width="11.1640625" customWidth="1"/>
  </cols>
  <sheetData>
    <row r="1" spans="1:11" s="145" customFormat="1" ht="15.75">
      <c r="A1" s="148" t="str">
        <f>"Market Model "&amp; DataNameProd4</f>
        <v>Market Model F&amp;S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1">
      <c r="A2" s="968"/>
      <c r="B2" s="968"/>
      <c r="C2" s="3"/>
      <c r="D2" s="3"/>
      <c r="E2" s="3"/>
      <c r="F2" s="3"/>
      <c r="G2" s="3"/>
      <c r="H2" s="3"/>
      <c r="I2" s="3"/>
      <c r="J2" s="3"/>
      <c r="K2" s="3"/>
    </row>
    <row r="3" spans="1:11">
      <c r="A3" s="968"/>
      <c r="B3" s="968"/>
      <c r="C3" s="77" t="s">
        <v>1132</v>
      </c>
      <c r="D3" s="2">
        <v>-1</v>
      </c>
      <c r="E3" s="2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3"/>
    </row>
    <row r="4" spans="1:11">
      <c r="A4" s="968"/>
      <c r="B4" s="968"/>
      <c r="C4" s="25" t="str">
        <f>DataNameProd4Seg1</f>
        <v>Vetera</v>
      </c>
      <c r="D4" s="216">
        <f t="shared" ref="D4:J4" si="0">xxMMProd4Seg1Units</f>
        <v>2681415000</v>
      </c>
      <c r="E4" s="216">
        <f t="shared" si="0"/>
        <v>2708500000</v>
      </c>
      <c r="F4" s="216">
        <f t="shared" si="0"/>
        <v>2762670000</v>
      </c>
      <c r="G4" s="216">
        <f t="shared" si="0"/>
        <v>2816840000</v>
      </c>
      <c r="H4" s="216">
        <f t="shared" si="0"/>
        <v>2898095000</v>
      </c>
      <c r="I4" s="216">
        <f t="shared" si="0"/>
        <v>2898095000</v>
      </c>
      <c r="J4" s="216">
        <f t="shared" si="0"/>
        <v>0</v>
      </c>
      <c r="K4" s="3"/>
    </row>
    <row r="5" spans="1:11">
      <c r="A5" s="968"/>
      <c r="B5" s="968"/>
      <c r="C5" s="25" t="str">
        <f>DataNameProd4Seg2</f>
        <v>Escendia</v>
      </c>
      <c r="D5" s="216">
        <f t="shared" ref="D5:J5" si="1">xxMMProd4Seg2Units</f>
        <v>1046250000</v>
      </c>
      <c r="E5" s="216">
        <f t="shared" si="1"/>
        <v>1125000000</v>
      </c>
      <c r="F5" s="216">
        <f t="shared" si="1"/>
        <v>1215000000</v>
      </c>
      <c r="G5" s="216">
        <f t="shared" si="1"/>
        <v>1316250000</v>
      </c>
      <c r="H5" s="216">
        <f t="shared" si="1"/>
        <v>1440000000</v>
      </c>
      <c r="I5" s="216">
        <f t="shared" si="1"/>
        <v>1552499999.9999998</v>
      </c>
      <c r="J5" s="216">
        <f t="shared" si="1"/>
        <v>0</v>
      </c>
      <c r="K5" s="3"/>
    </row>
    <row r="6" spans="1:11">
      <c r="A6" s="968"/>
      <c r="B6" s="968"/>
      <c r="C6" s="25" t="str">
        <f>DataNameProd4Seg3</f>
        <v>Segment 3</v>
      </c>
      <c r="D6" s="216">
        <f t="shared" ref="D6:J6" si="2">xxMMProd4Seg3Units</f>
        <v>0</v>
      </c>
      <c r="E6" s="216">
        <f t="shared" si="2"/>
        <v>0</v>
      </c>
      <c r="F6" s="216">
        <f t="shared" si="2"/>
        <v>0</v>
      </c>
      <c r="G6" s="216">
        <f t="shared" si="2"/>
        <v>0</v>
      </c>
      <c r="H6" s="216">
        <f t="shared" si="2"/>
        <v>0</v>
      </c>
      <c r="I6" s="216">
        <f t="shared" si="2"/>
        <v>0</v>
      </c>
      <c r="J6" s="216">
        <f t="shared" si="2"/>
        <v>0</v>
      </c>
      <c r="K6" s="3"/>
    </row>
    <row r="7" spans="1:11">
      <c r="A7" s="968"/>
      <c r="B7" s="968"/>
      <c r="C7" s="25" t="str">
        <f>DataNameProd4Seg4</f>
        <v>Segment 4</v>
      </c>
      <c r="D7" s="216">
        <f t="shared" ref="D7:J7" si="3">xxMMProd4Seg4Units</f>
        <v>0</v>
      </c>
      <c r="E7" s="216">
        <f t="shared" si="3"/>
        <v>0</v>
      </c>
      <c r="F7" s="216">
        <f t="shared" si="3"/>
        <v>0</v>
      </c>
      <c r="G7" s="216">
        <f t="shared" si="3"/>
        <v>0</v>
      </c>
      <c r="H7" s="216">
        <f t="shared" si="3"/>
        <v>0</v>
      </c>
      <c r="I7" s="216">
        <f t="shared" si="3"/>
        <v>0</v>
      </c>
      <c r="J7" s="216">
        <f t="shared" si="3"/>
        <v>0</v>
      </c>
      <c r="K7" s="3"/>
    </row>
    <row r="8" spans="1:11">
      <c r="A8" s="968"/>
      <c r="B8" s="968"/>
      <c r="C8" s="25" t="str">
        <f>DataNameProd4Seg5</f>
        <v>Segment 5</v>
      </c>
      <c r="D8" s="216">
        <f t="shared" ref="D8:J8" si="4">xxMMProd4Seg5Units</f>
        <v>0</v>
      </c>
      <c r="E8" s="216">
        <f t="shared" si="4"/>
        <v>0</v>
      </c>
      <c r="F8" s="216">
        <f t="shared" si="4"/>
        <v>0</v>
      </c>
      <c r="G8" s="216">
        <f t="shared" si="4"/>
        <v>0</v>
      </c>
      <c r="H8" s="216">
        <f t="shared" si="4"/>
        <v>0</v>
      </c>
      <c r="I8" s="216">
        <f t="shared" si="4"/>
        <v>0</v>
      </c>
      <c r="J8" s="216">
        <f t="shared" si="4"/>
        <v>0</v>
      </c>
      <c r="K8" s="3"/>
    </row>
    <row r="9" spans="1:11">
      <c r="A9" s="968"/>
      <c r="B9" s="968"/>
      <c r="C9" s="3"/>
      <c r="D9" s="85"/>
      <c r="E9" s="85"/>
      <c r="F9" s="85"/>
      <c r="G9" s="85"/>
      <c r="H9" s="85"/>
      <c r="I9" s="85"/>
      <c r="J9" s="85"/>
      <c r="K9" s="3"/>
    </row>
    <row r="10" spans="1:11">
      <c r="A10" s="968"/>
      <c r="B10" s="968"/>
      <c r="C10" s="2" t="s">
        <v>2671</v>
      </c>
      <c r="D10" s="279">
        <v>2</v>
      </c>
      <c r="E10" s="280" t="s">
        <v>2325</v>
      </c>
      <c r="F10" s="3"/>
      <c r="G10" s="3"/>
      <c r="H10" s="3"/>
      <c r="I10" s="3"/>
      <c r="J10" s="3"/>
      <c r="K10" s="3"/>
    </row>
    <row r="11" spans="1:11">
      <c r="A11" s="968"/>
      <c r="B11" s="968"/>
      <c r="C11" s="2"/>
      <c r="D11" s="88"/>
      <c r="E11" s="3"/>
      <c r="F11" s="3"/>
      <c r="G11" s="3"/>
      <c r="H11" s="3"/>
      <c r="I11" s="3"/>
      <c r="J11" s="3"/>
      <c r="K11" s="3"/>
    </row>
    <row r="12" spans="1:11" ht="12" thickBot="1">
      <c r="A12" s="968"/>
      <c r="B12" s="968"/>
      <c r="C12" s="2" t="s">
        <v>3788</v>
      </c>
      <c r="D12" s="3"/>
      <c r="E12" s="3"/>
      <c r="F12" s="3"/>
      <c r="G12" s="3"/>
      <c r="H12" s="3"/>
      <c r="I12" s="3"/>
      <c r="J12" s="3"/>
      <c r="K12" s="3"/>
    </row>
    <row r="13" spans="1:11" ht="12" thickBot="1">
      <c r="A13" s="968"/>
      <c r="B13" s="968"/>
      <c r="C13" s="276" t="str">
        <f>C4</f>
        <v>Vetera</v>
      </c>
      <c r="D13" s="270">
        <f>INDEX($D4:$J4,xxYear+2)</f>
        <v>2762670000</v>
      </c>
      <c r="E13" s="3"/>
      <c r="F13" s="3"/>
      <c r="G13" s="3"/>
      <c r="H13" s="3"/>
      <c r="I13" s="3"/>
      <c r="J13" s="3"/>
      <c r="K13" s="3"/>
    </row>
    <row r="14" spans="1:11" ht="12" thickBot="1">
      <c r="A14" s="968"/>
      <c r="B14" s="968"/>
      <c r="C14" s="276" t="str">
        <f>C5</f>
        <v>Escendia</v>
      </c>
      <c r="D14" s="270">
        <f>INDEX($D5:$J5,xxYear+2)</f>
        <v>1215000000</v>
      </c>
      <c r="E14" s="3"/>
      <c r="F14" s="3"/>
      <c r="G14" s="3"/>
      <c r="H14" s="3"/>
      <c r="I14" s="3"/>
      <c r="J14" s="3"/>
      <c r="K14" s="3"/>
    </row>
    <row r="15" spans="1:11" ht="12" thickBot="1">
      <c r="A15" s="968"/>
      <c r="B15" s="968"/>
      <c r="C15" s="276" t="str">
        <f>C6</f>
        <v>Segment 3</v>
      </c>
      <c r="D15" s="270">
        <f>INDEX($D6:$J6,xxYear+2)</f>
        <v>0</v>
      </c>
      <c r="E15" s="3"/>
      <c r="F15" s="3"/>
      <c r="G15" s="3"/>
      <c r="H15" s="3"/>
      <c r="I15" s="3"/>
      <c r="J15" s="3"/>
      <c r="K15" s="3"/>
    </row>
    <row r="16" spans="1:11" ht="12" thickBot="1">
      <c r="A16" s="968"/>
      <c r="B16" s="968"/>
      <c r="C16" s="276" t="str">
        <f>C7</f>
        <v>Segment 4</v>
      </c>
      <c r="D16" s="270">
        <f>INDEX($D7:$J7,xxYear+2)</f>
        <v>0</v>
      </c>
      <c r="E16" s="3"/>
      <c r="F16" s="3"/>
      <c r="G16" s="3"/>
      <c r="H16" s="3"/>
      <c r="I16" s="3"/>
      <c r="J16" s="3"/>
      <c r="K16" s="3"/>
    </row>
    <row r="17" spans="1:13" ht="12" thickBot="1">
      <c r="A17" s="968"/>
      <c r="B17" s="968"/>
      <c r="C17" s="276" t="str">
        <f>C8</f>
        <v>Segment 5</v>
      </c>
      <c r="D17" s="270">
        <f>INDEX($D8:$J8,xxYear+2)</f>
        <v>0</v>
      </c>
      <c r="E17" s="3"/>
      <c r="F17" s="3"/>
      <c r="G17" s="3"/>
      <c r="H17" s="3"/>
      <c r="I17" s="3"/>
      <c r="J17" s="3"/>
      <c r="K17" s="3"/>
    </row>
    <row r="18" spans="1:13" ht="12" thickBot="1">
      <c r="A18" s="968"/>
      <c r="B18" s="968"/>
      <c r="C18" s="269"/>
      <c r="D18" s="271"/>
      <c r="E18" s="3"/>
      <c r="F18" s="3"/>
      <c r="G18" s="3"/>
      <c r="H18" s="3"/>
      <c r="I18" s="3"/>
      <c r="J18" s="3"/>
      <c r="K18" s="3"/>
    </row>
    <row r="19" spans="1:13" ht="12" thickBot="1">
      <c r="A19" s="968"/>
      <c r="B19" s="968"/>
      <c r="C19" s="2" t="s">
        <v>3749</v>
      </c>
      <c r="D19" s="270">
        <f>SUM(D13:D17)</f>
        <v>3977670000</v>
      </c>
      <c r="E19" s="3"/>
      <c r="F19" s="3"/>
      <c r="G19" s="3"/>
      <c r="H19" s="3"/>
      <c r="I19" s="3"/>
      <c r="J19" s="3"/>
    </row>
    <row r="20" spans="1:13" ht="12" thickBot="1">
      <c r="A20" s="968"/>
      <c r="B20" s="968"/>
      <c r="C20" s="2"/>
      <c r="D20" s="2"/>
      <c r="E20" s="2"/>
      <c r="F20" s="3"/>
      <c r="G20" s="3"/>
      <c r="H20" s="3"/>
      <c r="I20" s="3"/>
      <c r="J20" s="3"/>
      <c r="K20" s="3"/>
    </row>
    <row r="21" spans="1:13" ht="12" thickBot="1">
      <c r="A21" s="968"/>
      <c r="B21" s="968"/>
      <c r="C21" s="2" t="s">
        <v>3753</v>
      </c>
      <c r="D21" s="278">
        <f>COUNTIF(D13:D18,"&gt;0")</f>
        <v>2</v>
      </c>
      <c r="E21" s="281" t="s">
        <v>2326</v>
      </c>
      <c r="F21" s="85"/>
      <c r="G21" s="85"/>
      <c r="H21" s="85"/>
      <c r="I21" s="85"/>
      <c r="J21" s="85"/>
    </row>
    <row r="22" spans="1:13" ht="12" thickBot="1">
      <c r="A22" s="968"/>
      <c r="B22" s="968"/>
      <c r="C22" s="2" t="s">
        <v>23</v>
      </c>
      <c r="D22" s="278" t="str">
        <f>INDEX(C13:C18,MMSegCurrent)</f>
        <v>Escendia</v>
      </c>
      <c r="E22" s="281" t="s">
        <v>22</v>
      </c>
      <c r="F22" s="85"/>
      <c r="G22" s="85"/>
      <c r="H22" s="85"/>
      <c r="I22" s="85"/>
      <c r="J22" s="85"/>
    </row>
    <row r="23" spans="1:13">
      <c r="A23" s="968"/>
      <c r="B23" s="968"/>
      <c r="C23" s="2"/>
      <c r="D23" s="151"/>
      <c r="E23" s="85"/>
      <c r="F23" s="85"/>
      <c r="G23" s="85"/>
      <c r="H23" s="85"/>
      <c r="I23" s="85"/>
      <c r="J23" s="85"/>
    </row>
    <row r="24" spans="1:13">
      <c r="A24" s="968"/>
      <c r="B24" s="968"/>
      <c r="C24" s="34" t="s">
        <v>61</v>
      </c>
      <c r="D24" s="35"/>
      <c r="E24" s="277" t="b">
        <v>1</v>
      </c>
      <c r="F24" s="277" t="b">
        <v>1</v>
      </c>
      <c r="G24" s="277" t="b">
        <v>1</v>
      </c>
      <c r="H24" s="277" t="b">
        <v>1</v>
      </c>
      <c r="I24" s="277" t="b">
        <v>1</v>
      </c>
      <c r="J24" s="36">
        <f>COUNTIF(E24:I24,TRUE)</f>
        <v>5</v>
      </c>
      <c r="K24" s="3" t="s">
        <v>2331</v>
      </c>
    </row>
    <row r="25" spans="1:13">
      <c r="A25" s="968"/>
      <c r="B25" s="968"/>
      <c r="C25" s="2"/>
      <c r="D25" s="151"/>
      <c r="E25" s="85"/>
      <c r="F25" s="85"/>
      <c r="G25" s="85"/>
      <c r="H25" s="85"/>
      <c r="I25" s="85"/>
      <c r="J25" s="85"/>
    </row>
    <row r="26" spans="1:13">
      <c r="A26" s="968"/>
      <c r="B26" s="969" t="s">
        <v>2380</v>
      </c>
      <c r="C26" s="230" t="str">
        <f>xxMMProd4Driver1 &amp; " " &amp; DataNameProd4Seg1</f>
        <v>Price Vetera</v>
      </c>
      <c r="D26" s="231"/>
      <c r="E26" s="217">
        <f>capProd4Reg1Price</f>
        <v>12.5</v>
      </c>
      <c r="F26" s="217">
        <f>capProd4Reg1Price</f>
        <v>12.5</v>
      </c>
      <c r="G26" s="217">
        <f>capProd4Reg1Price</f>
        <v>12.5</v>
      </c>
      <c r="H26" s="217">
        <f>capProd4Reg1Price</f>
        <v>12.5</v>
      </c>
      <c r="I26" s="217">
        <f>capProd4Reg1Price</f>
        <v>12.5</v>
      </c>
      <c r="J26" s="154"/>
      <c r="L26" s="240" t="s">
        <v>3209</v>
      </c>
      <c r="M26" s="240" t="s">
        <v>3210</v>
      </c>
    </row>
    <row r="27" spans="1:13">
      <c r="A27" s="969" t="s">
        <v>166</v>
      </c>
      <c r="B27" s="970">
        <f>E162</f>
        <v>29</v>
      </c>
      <c r="C27" s="349" t="str">
        <f>xxMMProd4Driver1 &amp; " " &amp; DataNameProd4Seg2</f>
        <v>Price Escendia</v>
      </c>
      <c r="D27" s="177"/>
      <c r="E27" s="228">
        <f>capProd4Reg2Price</f>
        <v>9</v>
      </c>
      <c r="F27" s="228">
        <f>capProd4Reg2Price</f>
        <v>9</v>
      </c>
      <c r="G27" s="228">
        <f>capProd4Reg2Price</f>
        <v>9</v>
      </c>
      <c r="H27" s="228">
        <f>capProd4Reg2Price</f>
        <v>9</v>
      </c>
      <c r="I27" s="228">
        <f>capProd4Reg2Price</f>
        <v>9</v>
      </c>
      <c r="J27" s="333"/>
      <c r="K27" s="241">
        <v>0</v>
      </c>
      <c r="L27" s="14">
        <f t="shared" ref="L27:L33" si="5">K27*$J$32</f>
        <v>0</v>
      </c>
      <c r="M27" s="261">
        <f t="shared" ref="M27:M33" si="6">1-NORMDIST(L27,$J$32,$D$32,TRUE)</f>
        <v>1</v>
      </c>
    </row>
    <row r="28" spans="1:13">
      <c r="A28" s="969" t="s">
        <v>167</v>
      </c>
      <c r="B28" s="970">
        <f>F162</f>
        <v>40</v>
      </c>
      <c r="C28" s="349"/>
      <c r="D28" s="177"/>
      <c r="E28" s="228"/>
      <c r="F28" s="228"/>
      <c r="G28" s="228"/>
      <c r="H28" s="228"/>
      <c r="I28" s="228"/>
      <c r="J28" s="333"/>
      <c r="K28" s="241">
        <v>0.33</v>
      </c>
      <c r="L28" s="14">
        <f t="shared" si="5"/>
        <v>2.97</v>
      </c>
      <c r="M28" s="261">
        <f t="shared" si="6"/>
        <v>0.99999999918020166</v>
      </c>
    </row>
    <row r="29" spans="1:13">
      <c r="A29" s="968"/>
      <c r="B29" s="968"/>
      <c r="C29" s="37" t="s">
        <v>62</v>
      </c>
      <c r="D29" s="41"/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0"/>
      <c r="K29" s="241">
        <v>0.66</v>
      </c>
      <c r="L29" s="14">
        <f t="shared" si="5"/>
        <v>5.94</v>
      </c>
      <c r="M29" s="261">
        <f t="shared" si="6"/>
        <v>0.99889331504259071</v>
      </c>
    </row>
    <row r="30" spans="1:13">
      <c r="A30" s="968"/>
      <c r="B30" s="968"/>
      <c r="C30" s="37" t="s">
        <v>63</v>
      </c>
      <c r="D30" s="41">
        <v>0.1</v>
      </c>
      <c r="E30" s="42">
        <f>INDEX(E26:E27,MMSegCurrent)</f>
        <v>9</v>
      </c>
      <c r="F30" s="42">
        <f>INDEX(F26:F27,MMSegCurrent)</f>
        <v>9</v>
      </c>
      <c r="G30" s="42">
        <f>INDEX(G26:G27,MMSegCurrent)</f>
        <v>9</v>
      </c>
      <c r="H30" s="42">
        <f>INDEX(H26:H27,MMSegCurrent)</f>
        <v>9</v>
      </c>
      <c r="I30" s="42">
        <f>INDEX(I26:I27,MMSegCurrent)</f>
        <v>9</v>
      </c>
      <c r="J30" s="40"/>
      <c r="K30" s="241">
        <v>1</v>
      </c>
      <c r="L30" s="14">
        <f t="shared" si="5"/>
        <v>9</v>
      </c>
      <c r="M30" s="261">
        <f t="shared" si="6"/>
        <v>0.5</v>
      </c>
    </row>
    <row r="31" spans="1:13">
      <c r="A31" s="968"/>
      <c r="B31" s="968"/>
      <c r="C31" s="37" t="s">
        <v>965</v>
      </c>
      <c r="D31" s="48">
        <v>1.5</v>
      </c>
      <c r="E31" s="39">
        <f>IF(MMInMarket=TRUE,E30,0)</f>
        <v>9</v>
      </c>
      <c r="F31" s="39">
        <f>IF(MMInMarket=TRUE,F30,0)</f>
        <v>9</v>
      </c>
      <c r="G31" s="39">
        <f>IF(MMInMarket=TRUE,G30,0)</f>
        <v>9</v>
      </c>
      <c r="H31" s="39">
        <f>IF(MMInMarket=TRUE,H30,0)</f>
        <v>9</v>
      </c>
      <c r="I31" s="39">
        <f>IF(MMInMarket=TRUE,I30,0)</f>
        <v>9</v>
      </c>
      <c r="J31" s="40"/>
      <c r="K31" s="241">
        <v>1.33</v>
      </c>
      <c r="L31" s="14">
        <f t="shared" si="5"/>
        <v>11.97</v>
      </c>
      <c r="M31" s="261">
        <f t="shared" si="6"/>
        <v>1.4889987452374465E-3</v>
      </c>
    </row>
    <row r="32" spans="1:13">
      <c r="A32" s="968"/>
      <c r="B32" s="968"/>
      <c r="C32" s="43" t="s">
        <v>966</v>
      </c>
      <c r="D32" s="42">
        <f>STDEVP(E31:I31)*D31+(STDEVP(E31:I31)=0)</f>
        <v>1</v>
      </c>
      <c r="E32" s="71">
        <f>IF(E31=0,0,(1-NORMDIST(E31,$J32,$D32,TRUE)))*(MMInMarket=TRUE)</f>
        <v>0.5</v>
      </c>
      <c r="F32" s="71">
        <f>IF(F31=0,0,(1-NORMDIST(F31,$J32,$D32,TRUE)))*(MMInMarket=TRUE)</f>
        <v>0.5</v>
      </c>
      <c r="G32" s="71">
        <f>IF(G31=0,0,(1-NORMDIST(G31,$J32,$D32,TRUE)))*(MMInMarket=TRUE)</f>
        <v>0.5</v>
      </c>
      <c r="H32" s="71">
        <f>IF(H31=0,0,(1-NORMDIST(H31,$J32,$D32,TRUE)))*(MMInMarket=TRUE)</f>
        <v>0.5</v>
      </c>
      <c r="I32" s="71">
        <f>IF(I31=0,0,(1-NORMDIST(I31,$J32,$D32,TRUE)))*(MMInMarket=TRUE)</f>
        <v>0.5</v>
      </c>
      <c r="J32" s="201">
        <f>IF($J$24=0,0,SUM(E31:I31)/$J$24)</f>
        <v>9</v>
      </c>
      <c r="K32" s="241">
        <v>1.66</v>
      </c>
      <c r="L32" s="14">
        <f t="shared" si="5"/>
        <v>14.94</v>
      </c>
      <c r="M32" s="261">
        <f t="shared" si="6"/>
        <v>1.425110363051374E-9</v>
      </c>
    </row>
    <row r="33" spans="1:13">
      <c r="A33" s="968"/>
      <c r="B33" s="968"/>
      <c r="C33" s="2"/>
      <c r="D33" s="39"/>
      <c r="E33" s="3"/>
      <c r="F33" s="3"/>
      <c r="G33" s="3"/>
      <c r="H33" s="3"/>
      <c r="I33" s="3"/>
      <c r="J33" s="3"/>
      <c r="K33" s="241">
        <v>2</v>
      </c>
      <c r="L33" s="14">
        <f t="shared" si="5"/>
        <v>18</v>
      </c>
      <c r="M33" s="261">
        <f t="shared" si="6"/>
        <v>0</v>
      </c>
    </row>
    <row r="34" spans="1:13">
      <c r="A34" s="968"/>
      <c r="B34" s="968"/>
      <c r="C34" s="2"/>
      <c r="D34" s="39"/>
      <c r="E34" s="3"/>
      <c r="F34" s="3"/>
      <c r="G34" s="3"/>
      <c r="H34" s="3"/>
      <c r="I34" s="3"/>
      <c r="J34" s="3"/>
      <c r="L34" s="14"/>
      <c r="M34" s="241"/>
    </row>
    <row r="35" spans="1:13">
      <c r="A35" s="968"/>
      <c r="B35" s="968"/>
      <c r="C35" s="2"/>
      <c r="D35" s="39"/>
      <c r="E35" s="3"/>
      <c r="F35" s="3"/>
      <c r="G35" s="3"/>
      <c r="H35" s="3"/>
      <c r="I35" s="3"/>
      <c r="J35" s="3"/>
    </row>
    <row r="36" spans="1:13">
      <c r="A36" s="968"/>
      <c r="B36" s="968"/>
      <c r="C36" s="2"/>
      <c r="D36" s="39"/>
      <c r="E36" s="3"/>
      <c r="F36" s="3"/>
      <c r="G36" s="3"/>
      <c r="H36" s="3"/>
      <c r="I36" s="3"/>
      <c r="J36" s="3"/>
    </row>
    <row r="37" spans="1:13">
      <c r="A37" s="968"/>
      <c r="B37" s="968"/>
      <c r="C37" s="2"/>
      <c r="D37" s="39"/>
      <c r="E37" s="3"/>
      <c r="F37" s="3"/>
      <c r="G37" s="3"/>
      <c r="H37" s="3"/>
      <c r="I37" s="3"/>
      <c r="J37" s="3"/>
    </row>
    <row r="38" spans="1:13">
      <c r="A38" s="968"/>
      <c r="B38" s="968"/>
      <c r="C38" s="2"/>
      <c r="D38" s="39"/>
      <c r="E38" s="38"/>
      <c r="F38" s="38"/>
      <c r="G38" s="38"/>
      <c r="H38" s="38"/>
      <c r="I38" s="38"/>
      <c r="J38" s="38"/>
      <c r="L38" s="240" t="s">
        <v>3209</v>
      </c>
      <c r="M38" s="240" t="s">
        <v>3210</v>
      </c>
    </row>
    <row r="39" spans="1:13">
      <c r="A39" s="968"/>
      <c r="B39" s="968"/>
      <c r="C39" s="2"/>
      <c r="D39" s="39"/>
      <c r="E39" s="38"/>
      <c r="F39" s="38"/>
      <c r="G39" s="38"/>
      <c r="H39" s="38"/>
      <c r="I39" s="38"/>
      <c r="J39" s="38"/>
      <c r="K39" s="241">
        <v>0</v>
      </c>
      <c r="L39" s="14">
        <f t="shared" ref="L39:L45" si="7">K39*$J$44</f>
        <v>0</v>
      </c>
      <c r="M39" s="261">
        <f t="shared" ref="M39:M45" si="8">NORMDIST(L39,$J$44,$D$44,TRUE)</f>
        <v>3.1671241833119857E-5</v>
      </c>
    </row>
    <row r="40" spans="1:13">
      <c r="A40" s="971"/>
      <c r="B40" s="969" t="s">
        <v>2381</v>
      </c>
      <c r="C40" s="230" t="str">
        <f>xxMMProd4Driver2</f>
        <v>Range Of Products</v>
      </c>
      <c r="D40" s="619">
        <f>D178</f>
        <v>9</v>
      </c>
      <c r="E40" s="218">
        <f>capProd4Ftr4Level</f>
        <v>4</v>
      </c>
      <c r="F40" s="218">
        <f>capProd4Ftr4Level</f>
        <v>4</v>
      </c>
      <c r="G40" s="218">
        <f>capProd4Ftr4Level</f>
        <v>4</v>
      </c>
      <c r="H40" s="218">
        <f>capProd4Ftr4Level</f>
        <v>4</v>
      </c>
      <c r="I40" s="218">
        <f>capProd4Ftr4Level</f>
        <v>4</v>
      </c>
      <c r="J40" s="154"/>
      <c r="K40" s="241">
        <v>0.33</v>
      </c>
      <c r="L40" s="14">
        <f t="shared" si="7"/>
        <v>1.32</v>
      </c>
      <c r="M40" s="261">
        <f t="shared" si="8"/>
        <v>3.6811080091749822E-3</v>
      </c>
    </row>
    <row r="41" spans="1:13">
      <c r="A41" s="969" t="s">
        <v>166</v>
      </c>
      <c r="B41" s="970">
        <f>E163</f>
        <v>8</v>
      </c>
      <c r="C41" s="37"/>
      <c r="D41" s="38"/>
      <c r="E41" s="39"/>
      <c r="F41" s="39"/>
      <c r="G41" s="39"/>
      <c r="H41" s="39"/>
      <c r="I41" s="39"/>
      <c r="J41" s="40"/>
      <c r="K41" s="241">
        <v>0.66</v>
      </c>
      <c r="L41" s="14">
        <f t="shared" si="7"/>
        <v>2.64</v>
      </c>
      <c r="M41" s="261">
        <f t="shared" si="8"/>
        <v>8.6914961947085034E-2</v>
      </c>
    </row>
    <row r="42" spans="1:13">
      <c r="A42" s="969" t="s">
        <v>167</v>
      </c>
      <c r="B42" s="970">
        <f>F163</f>
        <v>9</v>
      </c>
      <c r="C42" s="37" t="s">
        <v>1137</v>
      </c>
      <c r="D42" s="38"/>
      <c r="E42" s="87">
        <f>E40</f>
        <v>4</v>
      </c>
      <c r="F42" s="87">
        <f>F40</f>
        <v>4</v>
      </c>
      <c r="G42" s="87">
        <f>G40</f>
        <v>4</v>
      </c>
      <c r="H42" s="87">
        <f>H40</f>
        <v>4</v>
      </c>
      <c r="I42" s="87">
        <f>I40</f>
        <v>4</v>
      </c>
      <c r="J42" s="40"/>
      <c r="K42" s="241">
        <v>1</v>
      </c>
      <c r="L42" s="14">
        <f t="shared" si="7"/>
        <v>4</v>
      </c>
      <c r="M42" s="261">
        <f t="shared" si="8"/>
        <v>0.5</v>
      </c>
    </row>
    <row r="43" spans="1:13">
      <c r="A43" s="971"/>
      <c r="B43" s="971"/>
      <c r="C43" s="37" t="s">
        <v>965</v>
      </c>
      <c r="D43" s="48">
        <v>2</v>
      </c>
      <c r="E43" s="39">
        <f>IF(MMInMarket=TRUE,E42,0)</f>
        <v>4</v>
      </c>
      <c r="F43" s="39">
        <f>IF(MMInMarket=TRUE,F42,0)</f>
        <v>4</v>
      </c>
      <c r="G43" s="39">
        <f>IF(MMInMarket=TRUE,G42,0)</f>
        <v>4</v>
      </c>
      <c r="H43" s="39">
        <f>IF(MMInMarket=TRUE,H42,0)</f>
        <v>4</v>
      </c>
      <c r="I43" s="39">
        <f>IF(MMInMarket=TRUE,I42,0)</f>
        <v>4</v>
      </c>
      <c r="J43" s="40"/>
      <c r="K43" s="241">
        <v>1.33</v>
      </c>
      <c r="L43" s="14">
        <f t="shared" si="7"/>
        <v>5.32</v>
      </c>
      <c r="M43" s="261">
        <f t="shared" si="8"/>
        <v>0.90658249100652832</v>
      </c>
    </row>
    <row r="44" spans="1:13">
      <c r="A44" s="971"/>
      <c r="B44" s="971"/>
      <c r="C44" s="43" t="s">
        <v>967</v>
      </c>
      <c r="D44" s="42">
        <f>STDEVP(E43:I43)*D43+(STDEVP(E43:I43)=0)</f>
        <v>1</v>
      </c>
      <c r="E44" s="71">
        <f>IF(E43=0,0,NORMDIST(E43,$J44,$D44,TRUE))*(MMInMarket=TRUE)</f>
        <v>0.5</v>
      </c>
      <c r="F44" s="71">
        <f>IF(F43=0,0,NORMDIST(F43,$J44,$D44,TRUE))*(MMInMarket=TRUE)</f>
        <v>0.5</v>
      </c>
      <c r="G44" s="71">
        <f>IF(G43=0,0,NORMDIST(G43,$J44,$D44,TRUE))*(MMInMarket=TRUE)</f>
        <v>0.5</v>
      </c>
      <c r="H44" s="71">
        <f>IF(H43=0,0,NORMDIST(H43,$J44,$D44,TRUE))*(MMInMarket=TRUE)</f>
        <v>0.5</v>
      </c>
      <c r="I44" s="71">
        <f>IF(I43=0,0,NORMDIST(I43,$J44,$D44,TRUE))*(MMInMarket=TRUE)</f>
        <v>0.5</v>
      </c>
      <c r="J44" s="201">
        <f>IF($J$24=0,0,SUM(E43:I43)/$J$24)</f>
        <v>4</v>
      </c>
      <c r="K44" s="241">
        <v>1.66</v>
      </c>
      <c r="L44" s="14">
        <f t="shared" si="7"/>
        <v>6.64</v>
      </c>
      <c r="M44" s="261">
        <f t="shared" si="8"/>
        <v>0.99585469863896392</v>
      </c>
    </row>
    <row r="45" spans="1:13">
      <c r="A45" s="968"/>
      <c r="B45" s="971"/>
      <c r="C45" s="2"/>
      <c r="D45" s="39"/>
      <c r="E45" s="3"/>
      <c r="F45" s="3"/>
      <c r="G45" s="3"/>
      <c r="H45" s="3"/>
      <c r="I45" s="3"/>
      <c r="J45" s="3"/>
      <c r="K45" s="241">
        <v>2</v>
      </c>
      <c r="L45" s="14">
        <f t="shared" si="7"/>
        <v>8</v>
      </c>
      <c r="M45" s="261">
        <f t="shared" si="8"/>
        <v>0.99996832875816688</v>
      </c>
    </row>
    <row r="46" spans="1:13">
      <c r="A46" s="968"/>
      <c r="B46" s="971"/>
      <c r="C46" s="2"/>
      <c r="D46" s="39"/>
      <c r="E46" s="3"/>
      <c r="F46" s="3"/>
      <c r="G46" s="3"/>
      <c r="H46" s="3"/>
      <c r="I46" s="3"/>
      <c r="J46" s="3"/>
      <c r="L46" s="14"/>
      <c r="M46" s="241"/>
    </row>
    <row r="47" spans="1:13">
      <c r="A47" s="968"/>
      <c r="B47" s="971"/>
      <c r="C47" s="2"/>
      <c r="D47" s="39"/>
      <c r="E47" s="3"/>
      <c r="F47" s="3"/>
      <c r="G47" s="3"/>
      <c r="H47" s="3"/>
      <c r="I47" s="3"/>
      <c r="J47" s="3"/>
    </row>
    <row r="48" spans="1:13">
      <c r="A48" s="968"/>
      <c r="B48" s="971"/>
      <c r="C48" s="2"/>
      <c r="D48" s="39"/>
      <c r="E48" s="3"/>
      <c r="F48" s="3"/>
      <c r="G48" s="3"/>
      <c r="H48" s="3"/>
      <c r="I48" s="3"/>
      <c r="J48" s="3"/>
    </row>
    <row r="49" spans="1:13">
      <c r="A49" s="968"/>
      <c r="B49" s="968"/>
      <c r="C49" s="2"/>
      <c r="D49" s="39"/>
      <c r="E49" s="3"/>
      <c r="F49" s="3"/>
      <c r="G49" s="3"/>
      <c r="H49" s="3"/>
      <c r="I49" s="3"/>
      <c r="J49" s="3"/>
    </row>
    <row r="50" spans="1:13">
      <c r="A50" s="968"/>
      <c r="B50" s="968"/>
      <c r="C50" s="2"/>
      <c r="D50" s="39"/>
      <c r="E50" s="3"/>
      <c r="F50" s="3"/>
      <c r="G50" s="3"/>
      <c r="H50" s="3"/>
      <c r="I50" s="3"/>
      <c r="J50" s="3"/>
    </row>
    <row r="51" spans="1:13">
      <c r="A51" s="968"/>
      <c r="B51" s="968"/>
      <c r="C51" s="2"/>
      <c r="D51" s="39"/>
      <c r="E51" s="3"/>
      <c r="F51" s="3"/>
      <c r="G51" s="3"/>
      <c r="H51" s="3"/>
      <c r="I51" s="3"/>
      <c r="J51" s="3"/>
    </row>
    <row r="52" spans="1:13">
      <c r="A52" s="971"/>
      <c r="B52" s="969" t="s">
        <v>2315</v>
      </c>
      <c r="C52" s="230" t="str">
        <f>xxMMProd4Driver3</f>
        <v>Brands</v>
      </c>
      <c r="D52" s="231"/>
      <c r="E52" s="218">
        <f>(decProd4Ftr1Level+decProd4Ftr2Level+decProd4Ftr3Level)*1.5*$B$58</f>
        <v>0</v>
      </c>
      <c r="F52" s="218">
        <f>(decProd4Ftr1Level+decProd4Ftr2Level+decProd4Ftr3Level)*1.5*$B$58</f>
        <v>0</v>
      </c>
      <c r="G52" s="218">
        <f>(decProd4Ftr1Level+decProd4Ftr2Level+decProd4Ftr3Level)*1.5*$B$58</f>
        <v>0</v>
      </c>
      <c r="H52" s="218">
        <f>(decProd4Ftr1Level+decProd4Ftr2Level+decProd4Ftr3Level)*1.5*$B$58</f>
        <v>0</v>
      </c>
      <c r="I52" s="218">
        <f>(decProd4Ftr1Level+decProd4Ftr2Level+decProd4Ftr3Level)*1.5*$B$58</f>
        <v>0</v>
      </c>
      <c r="J52" s="594" t="s">
        <v>2227</v>
      </c>
    </row>
    <row r="53" spans="1:13">
      <c r="A53" s="969" t="s">
        <v>166</v>
      </c>
      <c r="B53" s="970">
        <f>E164</f>
        <v>0</v>
      </c>
      <c r="C53" s="349" t="s">
        <v>2226</v>
      </c>
      <c r="D53" s="177"/>
      <c r="E53" s="596">
        <f>decProd4Ftr1Level*$J$53</f>
        <v>0</v>
      </c>
      <c r="F53" s="596">
        <f>decProd4Ftr1Level*$J$53</f>
        <v>0</v>
      </c>
      <c r="G53" s="596">
        <f>decProd4Ftr1Level*$J$53</f>
        <v>0</v>
      </c>
      <c r="H53" s="596">
        <f>decProd4Ftr1Level*$J$53</f>
        <v>0</v>
      </c>
      <c r="I53" s="596">
        <f>decProd4Ftr1Level*$J$53</f>
        <v>0</v>
      </c>
      <c r="J53" s="595">
        <v>1</v>
      </c>
    </row>
    <row r="54" spans="1:13">
      <c r="A54" s="969" t="s">
        <v>167</v>
      </c>
      <c r="B54" s="970">
        <f>F164</f>
        <v>0</v>
      </c>
      <c r="C54" s="349" t="s">
        <v>1055</v>
      </c>
      <c r="D54" s="177"/>
      <c r="E54" s="596">
        <f>decProd4Ftr2Level*$J$54</f>
        <v>0</v>
      </c>
      <c r="F54" s="596">
        <f>decProd4Ftr2Level*$J$54</f>
        <v>0</v>
      </c>
      <c r="G54" s="596">
        <f>decProd4Ftr2Level*$J$54</f>
        <v>0</v>
      </c>
      <c r="H54" s="596">
        <f>decProd4Ftr2Level*$J$54</f>
        <v>0</v>
      </c>
      <c r="I54" s="596">
        <f>decProd4Ftr2Level*$J$54</f>
        <v>0</v>
      </c>
      <c r="J54" s="595">
        <v>1.5</v>
      </c>
      <c r="L54" s="240" t="s">
        <v>3209</v>
      </c>
      <c r="M54" s="240" t="s">
        <v>3210</v>
      </c>
    </row>
    <row r="55" spans="1:13">
      <c r="A55" s="971"/>
      <c r="B55" s="971"/>
      <c r="C55" s="349" t="s">
        <v>1056</v>
      </c>
      <c r="D55" s="177"/>
      <c r="E55" s="596">
        <f>decProd4Ftr3Level*$J$55</f>
        <v>2</v>
      </c>
      <c r="F55" s="596">
        <f>decProd4Ftr3Level*$J$55</f>
        <v>2</v>
      </c>
      <c r="G55" s="596">
        <f>decProd4Ftr3Level*$J$55</f>
        <v>2</v>
      </c>
      <c r="H55" s="596">
        <f>decProd4Ftr3Level*$J$55</f>
        <v>2</v>
      </c>
      <c r="I55" s="596">
        <f>decProd4Ftr3Level*$J$55</f>
        <v>2</v>
      </c>
      <c r="J55" s="595">
        <v>2</v>
      </c>
      <c r="K55" s="241">
        <v>0</v>
      </c>
      <c r="L55" s="14">
        <f t="shared" ref="L55:L61" si="9">K55*$J$60</f>
        <v>0</v>
      </c>
      <c r="M55" s="261">
        <f t="shared" ref="M55:M61" si="10">NORMDIST(L55,$J$60,$D$60,TRUE)</f>
        <v>3.1671241833119857E-5</v>
      </c>
    </row>
    <row r="56" spans="1:13">
      <c r="A56" s="971"/>
      <c r="B56" s="971"/>
      <c r="C56" s="600" t="s">
        <v>2228</v>
      </c>
      <c r="D56" s="601"/>
      <c r="E56" s="602">
        <v>2</v>
      </c>
      <c r="F56" s="602">
        <v>2</v>
      </c>
      <c r="G56" s="602">
        <v>2</v>
      </c>
      <c r="H56" s="602">
        <v>2</v>
      </c>
      <c r="I56" s="602">
        <v>2</v>
      </c>
      <c r="J56" s="595">
        <v>2</v>
      </c>
      <c r="K56" s="241">
        <v>0.33</v>
      </c>
      <c r="L56" s="14">
        <f t="shared" si="9"/>
        <v>1.32</v>
      </c>
      <c r="M56" s="261">
        <f t="shared" si="10"/>
        <v>3.6811080091749822E-3</v>
      </c>
    </row>
    <row r="57" spans="1:13">
      <c r="A57" s="971"/>
      <c r="B57" s="971"/>
      <c r="C57" s="37"/>
      <c r="D57" s="38"/>
      <c r="E57" s="39"/>
      <c r="F57" s="39"/>
      <c r="G57" s="39"/>
      <c r="H57" s="39"/>
      <c r="I57" s="39"/>
      <c r="J57" s="40"/>
      <c r="K57" s="241">
        <v>0.66</v>
      </c>
      <c r="L57" s="14">
        <f t="shared" si="9"/>
        <v>2.64</v>
      </c>
      <c r="M57" s="261">
        <f t="shared" si="10"/>
        <v>8.6914961947085034E-2</v>
      </c>
    </row>
    <row r="58" spans="1:13">
      <c r="A58" s="971"/>
      <c r="B58" s="971"/>
      <c r="C58" s="37" t="s">
        <v>2383</v>
      </c>
      <c r="D58" s="38"/>
      <c r="E58" s="87">
        <f>SUM(E53:E56)</f>
        <v>4</v>
      </c>
      <c r="F58" s="87">
        <f>SUM(F53:F56)</f>
        <v>4</v>
      </c>
      <c r="G58" s="87">
        <f>SUM(G53:G56)</f>
        <v>4</v>
      </c>
      <c r="H58" s="87">
        <f>SUM(H53:H56)</f>
        <v>4</v>
      </c>
      <c r="I58" s="87">
        <f>SUM(I53:I56)</f>
        <v>4</v>
      </c>
      <c r="J58" s="40"/>
      <c r="K58" s="241">
        <v>1</v>
      </c>
      <c r="L58" s="14">
        <f t="shared" si="9"/>
        <v>4</v>
      </c>
      <c r="M58" s="261">
        <f t="shared" si="10"/>
        <v>0.5</v>
      </c>
    </row>
    <row r="59" spans="1:13">
      <c r="A59" s="971"/>
      <c r="B59" s="971"/>
      <c r="C59" s="37" t="s">
        <v>965</v>
      </c>
      <c r="D59" s="48">
        <v>1.5</v>
      </c>
      <c r="E59" s="87">
        <f>IF(MMInMarket=TRUE,E58,0)</f>
        <v>4</v>
      </c>
      <c r="F59" s="87">
        <f>IF(MMInMarket=TRUE,F58,0)</f>
        <v>4</v>
      </c>
      <c r="G59" s="87">
        <f>IF(MMInMarket=TRUE,G58,0)</f>
        <v>4</v>
      </c>
      <c r="H59" s="87">
        <f>IF(MMInMarket=TRUE,H58,0)</f>
        <v>4</v>
      </c>
      <c r="I59" s="87">
        <f>IF(MMInMarket=TRUE,I58,0)</f>
        <v>4</v>
      </c>
      <c r="J59" s="40"/>
      <c r="K59" s="241">
        <v>1.33</v>
      </c>
      <c r="L59" s="14">
        <f t="shared" si="9"/>
        <v>5.32</v>
      </c>
      <c r="M59" s="261">
        <f t="shared" si="10"/>
        <v>0.90658249100652832</v>
      </c>
    </row>
    <row r="60" spans="1:13">
      <c r="A60" s="968"/>
      <c r="B60" s="971"/>
      <c r="C60" s="43" t="s">
        <v>968</v>
      </c>
      <c r="D60" s="42">
        <f>STDEVP(E59:I59)*D59+(STDEVP(E59:I59)=0)</f>
        <v>1</v>
      </c>
      <c r="E60" s="71">
        <f>IF(E59=0,0,NORMDIST(E59,$J60,$D60,TRUE))*(MMInMarket=TRUE)</f>
        <v>0.5</v>
      </c>
      <c r="F60" s="71">
        <f>IF(F59=0,0,NORMDIST(F59,$J60,$D60,TRUE))*(MMInMarket=TRUE)</f>
        <v>0.5</v>
      </c>
      <c r="G60" s="71">
        <f>IF(G59=0,0,NORMDIST(G59,$J60,$D60,TRUE))*(MMInMarket=TRUE)</f>
        <v>0.5</v>
      </c>
      <c r="H60" s="71">
        <f>IF(H59=0,0,NORMDIST(H59,$J60,$D60,TRUE))*(MMInMarket=TRUE)</f>
        <v>0.5</v>
      </c>
      <c r="I60" s="71">
        <f>IF(I59=0,0,NORMDIST(I59,$J60,$D60,TRUE))*(MMInMarket=TRUE)</f>
        <v>0.5</v>
      </c>
      <c r="J60" s="605">
        <f>IF($J$24=0,0,SUM(E59:I59)/$J$24)</f>
        <v>4</v>
      </c>
      <c r="K60" s="241">
        <v>1.66</v>
      </c>
      <c r="L60" s="14">
        <f t="shared" si="9"/>
        <v>6.64</v>
      </c>
      <c r="M60" s="261">
        <f t="shared" si="10"/>
        <v>0.99585469863896392</v>
      </c>
    </row>
    <row r="61" spans="1:13">
      <c r="A61" s="968"/>
      <c r="B61" s="971"/>
      <c r="C61" s="2"/>
      <c r="D61" s="39"/>
      <c r="E61" s="3"/>
      <c r="F61" s="3"/>
      <c r="G61" s="3"/>
      <c r="H61" s="3"/>
      <c r="I61" s="3"/>
      <c r="J61" s="3"/>
      <c r="K61" s="241">
        <v>2</v>
      </c>
      <c r="L61" s="14">
        <f t="shared" si="9"/>
        <v>8</v>
      </c>
      <c r="M61" s="261">
        <f t="shared" si="10"/>
        <v>0.99996832875816688</v>
      </c>
    </row>
    <row r="62" spans="1:13">
      <c r="A62" s="968"/>
      <c r="B62" s="971"/>
      <c r="C62" s="2"/>
      <c r="D62" s="39"/>
      <c r="E62" s="3"/>
      <c r="F62" s="3"/>
      <c r="G62" s="3"/>
      <c r="H62" s="3"/>
      <c r="I62" s="3"/>
      <c r="J62" s="3"/>
      <c r="K62" s="3"/>
    </row>
    <row r="63" spans="1:13">
      <c r="A63" s="968"/>
      <c r="B63" s="968"/>
      <c r="C63" s="2"/>
      <c r="D63" s="39"/>
      <c r="E63" s="3"/>
      <c r="F63" s="3"/>
      <c r="G63" s="3"/>
      <c r="H63" s="3"/>
      <c r="I63" s="3"/>
      <c r="J63" s="604" t="s">
        <v>1848</v>
      </c>
      <c r="K63" s="3"/>
    </row>
    <row r="64" spans="1:13">
      <c r="A64" s="968"/>
      <c r="B64" s="968"/>
      <c r="C64" s="2"/>
      <c r="D64" s="39"/>
      <c r="E64" s="3"/>
      <c r="F64" s="3"/>
      <c r="G64" s="3"/>
      <c r="H64" s="3"/>
      <c r="I64" s="3"/>
      <c r="J64" s="3"/>
    </row>
    <row r="65" spans="1:13">
      <c r="A65" s="968"/>
      <c r="B65" s="972"/>
      <c r="C65" s="2"/>
      <c r="D65" s="39"/>
      <c r="E65" s="3"/>
      <c r="F65" s="3"/>
      <c r="G65" s="3"/>
      <c r="H65" s="3"/>
      <c r="I65" s="3"/>
      <c r="J65" s="3"/>
    </row>
    <row r="66" spans="1:13">
      <c r="A66" s="969"/>
      <c r="B66" s="969"/>
      <c r="C66" s="62"/>
      <c r="D66" s="39"/>
      <c r="E66" s="38"/>
      <c r="F66" s="38"/>
      <c r="G66" s="38"/>
      <c r="H66" s="38"/>
      <c r="I66" s="38"/>
      <c r="J66" s="38"/>
    </row>
    <row r="67" spans="1:13" ht="14.25" customHeight="1">
      <c r="A67" s="969"/>
      <c r="B67" s="969" t="s">
        <v>2316</v>
      </c>
      <c r="C67" s="230" t="str">
        <f>xxMMProd4Driver4&amp;" - "&amp;DataNameProd4Seg1</f>
        <v>Advertising - Vetera</v>
      </c>
      <c r="D67" s="829"/>
      <c r="E67" s="830">
        <f>capProd4Adv</f>
        <v>325000000</v>
      </c>
      <c r="F67" s="830">
        <f>capProd4Adv</f>
        <v>325000000</v>
      </c>
      <c r="G67" s="830">
        <f>capProd4Adv</f>
        <v>325000000</v>
      </c>
      <c r="H67" s="830">
        <f>capProd4Adv</f>
        <v>325000000</v>
      </c>
      <c r="I67" s="830">
        <f>capProd4Adv</f>
        <v>325000000</v>
      </c>
      <c r="J67" s="828"/>
      <c r="L67" s="240" t="s">
        <v>3209</v>
      </c>
      <c r="M67" s="240" t="s">
        <v>3210</v>
      </c>
    </row>
    <row r="68" spans="1:13" ht="14.25" customHeight="1">
      <c r="A68" s="969" t="s">
        <v>166</v>
      </c>
      <c r="B68" s="970">
        <f>E165</f>
        <v>10</v>
      </c>
      <c r="C68" s="349" t="str">
        <f>xxMMProd4Driver4&amp;" - "&amp;DataNameProd4Seg2</f>
        <v>Advertising - Escendia</v>
      </c>
      <c r="D68" s="974"/>
      <c r="E68" s="975">
        <f>capProd4AdvR2</f>
        <v>52000000</v>
      </c>
      <c r="F68" s="975">
        <f>capProd4AdvR2</f>
        <v>52000000</v>
      </c>
      <c r="G68" s="975">
        <f>capProd4AdvR2</f>
        <v>52000000</v>
      </c>
      <c r="H68" s="975">
        <f>capProd4AdvR2</f>
        <v>52000000</v>
      </c>
      <c r="I68" s="975">
        <f>capProd4AdvR2</f>
        <v>52000000</v>
      </c>
      <c r="J68" s="779"/>
      <c r="K68" s="241">
        <v>0</v>
      </c>
      <c r="L68" s="14">
        <f t="shared" ref="L68:L74" si="11">K68*$J$73</f>
        <v>0</v>
      </c>
      <c r="M68" s="261">
        <f t="shared" ref="M68:M74" si="12">NORMDIST(L68,$J$73,$D$73,TRUE)</f>
        <v>0</v>
      </c>
    </row>
    <row r="69" spans="1:13">
      <c r="A69" s="971" t="s">
        <v>167</v>
      </c>
      <c r="B69" s="971">
        <f>F165</f>
        <v>8</v>
      </c>
      <c r="C69" s="833" t="s">
        <v>164</v>
      </c>
      <c r="D69" s="177"/>
      <c r="E69" s="219">
        <f>IF(MMSegCurrent=1,capProd4Adv*paramReg1Prod4CommSpendEffect,capProd4Adv*paramReg2Prod4CommSpendEffect)</f>
        <v>325000000</v>
      </c>
      <c r="F69" s="219">
        <f>IF(MMSegCurrent=1,capProd4Adv*paramReg1Prod4CommSpendEffect,capProd4Adv*paramReg2Prod4CommSpendEffect)</f>
        <v>325000000</v>
      </c>
      <c r="G69" s="219">
        <f>IF(MMSegCurrent=1,capProd4Adv*paramReg1Prod4CommSpendEffect,capProd4Adv*paramReg2Prod4CommSpendEffect)</f>
        <v>325000000</v>
      </c>
      <c r="H69" s="219">
        <f>IF(MMSegCurrent=1,capProd4Adv*paramReg1Prod4CommSpendEffect,capProd4Adv*paramReg2Prod4CommSpendEffect)</f>
        <v>325000000</v>
      </c>
      <c r="I69" s="219">
        <f>IF(MMSegCurrent=1,capProd4Adv*paramReg1Prod4CommSpendEffect,capProd4Adv*paramReg2Prod4CommSpendEffect)</f>
        <v>325000000</v>
      </c>
      <c r="J69" s="333"/>
      <c r="K69" s="241">
        <v>0.33</v>
      </c>
      <c r="L69" s="14">
        <f t="shared" si="11"/>
        <v>107250000</v>
      </c>
      <c r="M69" s="261">
        <f t="shared" si="12"/>
        <v>0</v>
      </c>
    </row>
    <row r="70" spans="1:13">
      <c r="A70" s="971"/>
      <c r="B70" s="971"/>
      <c r="C70" s="37"/>
      <c r="D70" s="38"/>
      <c r="E70" s="39"/>
      <c r="F70" s="39"/>
      <c r="G70" s="39"/>
      <c r="H70" s="39"/>
      <c r="I70" s="39"/>
      <c r="J70" s="40"/>
      <c r="K70" s="241">
        <v>0.66</v>
      </c>
      <c r="L70" s="14">
        <f t="shared" si="11"/>
        <v>214500000</v>
      </c>
      <c r="M70" s="261">
        <f t="shared" si="12"/>
        <v>0</v>
      </c>
    </row>
    <row r="71" spans="1:13">
      <c r="A71" s="971"/>
      <c r="B71" s="971"/>
      <c r="C71" s="37" t="s">
        <v>2382</v>
      </c>
      <c r="D71" s="38"/>
      <c r="E71" s="87">
        <f>E69</f>
        <v>325000000</v>
      </c>
      <c r="F71" s="87">
        <f>F69</f>
        <v>325000000</v>
      </c>
      <c r="G71" s="87">
        <f>G69</f>
        <v>325000000</v>
      </c>
      <c r="H71" s="87">
        <f>H69</f>
        <v>325000000</v>
      </c>
      <c r="I71" s="87">
        <f>I69</f>
        <v>325000000</v>
      </c>
      <c r="J71" s="40"/>
      <c r="K71" s="241">
        <v>1</v>
      </c>
      <c r="L71" s="14">
        <f t="shared" si="11"/>
        <v>325000000</v>
      </c>
      <c r="M71" s="261">
        <f t="shared" si="12"/>
        <v>0.5</v>
      </c>
    </row>
    <row r="72" spans="1:13">
      <c r="A72" s="971"/>
      <c r="B72" s="971"/>
      <c r="C72" s="37" t="s">
        <v>965</v>
      </c>
      <c r="D72" s="48">
        <v>1.5</v>
      </c>
      <c r="E72" s="87">
        <f>IF(MMInMarket=TRUE,E71,0)</f>
        <v>325000000</v>
      </c>
      <c r="F72" s="87">
        <f>IF(MMInMarket=TRUE,F71,0)</f>
        <v>325000000</v>
      </c>
      <c r="G72" s="87">
        <f>IF(MMInMarket=TRUE,G71,0)</f>
        <v>325000000</v>
      </c>
      <c r="H72" s="87">
        <f>IF(MMInMarket=TRUE,H71,0)</f>
        <v>325000000</v>
      </c>
      <c r="I72" s="87">
        <f>IF(MMInMarket=TRUE,I71,0)</f>
        <v>325000000</v>
      </c>
      <c r="J72" s="40"/>
      <c r="K72" s="241">
        <v>1.33</v>
      </c>
      <c r="L72" s="14">
        <f t="shared" si="11"/>
        <v>432250000</v>
      </c>
      <c r="M72" s="261">
        <f t="shared" si="12"/>
        <v>1</v>
      </c>
    </row>
    <row r="73" spans="1:13">
      <c r="A73" s="968"/>
      <c r="B73" s="971"/>
      <c r="C73" s="43" t="s">
        <v>969</v>
      </c>
      <c r="D73" s="42">
        <f>STDEVP(E72:I72)*D72+(STDEVP(E72:I72)=0)</f>
        <v>1</v>
      </c>
      <c r="E73" s="71">
        <f>IF(E72=0,0,NORMDIST(E72,$J73,$D73,TRUE))*(MMInMarket=TRUE)</f>
        <v>0.5</v>
      </c>
      <c r="F73" s="71">
        <f>IF(F72=0,0,NORMDIST(F72,$J73,$D73,TRUE))*(MMInMarket=TRUE)</f>
        <v>0.5</v>
      </c>
      <c r="G73" s="71">
        <f>IF(G72=0,0,NORMDIST(G72,$J73,$D73,TRUE))*(MMInMarket=TRUE)</f>
        <v>0.5</v>
      </c>
      <c r="H73" s="71">
        <f>IF(H72=0,0,NORMDIST(H72,$J73,$D73,TRUE))*(MMInMarket=TRUE)</f>
        <v>0.5</v>
      </c>
      <c r="I73" s="71">
        <f>IF(I72=0,0,NORMDIST(I72,$J73,$D73,TRUE))*(MMInMarket=TRUE)</f>
        <v>0.5</v>
      </c>
      <c r="J73" s="44">
        <f>IF($J$24=0,0,SUM(E72:I72)/$J$24)</f>
        <v>325000000</v>
      </c>
      <c r="K73" s="241">
        <v>1.66</v>
      </c>
      <c r="L73" s="14">
        <f t="shared" si="11"/>
        <v>539500000</v>
      </c>
      <c r="M73" s="261">
        <f t="shared" si="12"/>
        <v>1</v>
      </c>
    </row>
    <row r="74" spans="1:13">
      <c r="A74" s="968"/>
      <c r="B74" s="971"/>
      <c r="C74" s="2"/>
      <c r="D74" s="39"/>
      <c r="E74" s="3"/>
      <c r="F74" s="3"/>
      <c r="G74" s="3"/>
      <c r="H74" s="3"/>
      <c r="I74" s="3"/>
      <c r="J74" s="3"/>
      <c r="K74" s="241">
        <v>2</v>
      </c>
      <c r="L74" s="14">
        <f t="shared" si="11"/>
        <v>650000000</v>
      </c>
      <c r="M74" s="261">
        <f t="shared" si="12"/>
        <v>1</v>
      </c>
    </row>
    <row r="75" spans="1:13">
      <c r="A75" s="968"/>
      <c r="B75" s="968"/>
      <c r="C75" s="2"/>
      <c r="D75" s="39"/>
      <c r="E75" s="3"/>
      <c r="F75" s="3"/>
      <c r="G75" s="3"/>
      <c r="H75" s="3"/>
      <c r="I75" s="3"/>
      <c r="J75" s="3"/>
      <c r="K75" s="3"/>
    </row>
    <row r="76" spans="1:13">
      <c r="A76" s="968"/>
      <c r="B76" s="968"/>
      <c r="C76" s="2"/>
      <c r="D76" s="39"/>
      <c r="E76" s="3"/>
      <c r="F76" s="3"/>
      <c r="G76" s="3"/>
      <c r="H76" s="3"/>
      <c r="I76" s="3"/>
      <c r="J76" s="3"/>
      <c r="K76" s="3"/>
    </row>
    <row r="77" spans="1:13">
      <c r="A77" s="968"/>
      <c r="B77" s="968"/>
      <c r="C77" s="2"/>
      <c r="D77" s="39"/>
      <c r="E77" s="3"/>
      <c r="F77" s="3"/>
      <c r="G77" s="3"/>
      <c r="H77" s="3"/>
      <c r="I77" s="3"/>
      <c r="J77" s="3"/>
    </row>
    <row r="78" spans="1:13">
      <c r="A78" s="968"/>
      <c r="B78" s="968"/>
      <c r="C78" s="2"/>
      <c r="D78" s="39"/>
      <c r="E78" s="3"/>
      <c r="F78" s="3"/>
      <c r="G78" s="3"/>
      <c r="H78" s="3"/>
      <c r="I78" s="3"/>
      <c r="J78" s="3"/>
    </row>
    <row r="79" spans="1:13">
      <c r="A79" s="969"/>
      <c r="B79" s="969"/>
      <c r="C79" s="2"/>
      <c r="D79" s="39"/>
      <c r="E79" s="3"/>
      <c r="F79" s="3"/>
      <c r="G79" s="3"/>
      <c r="H79" s="3"/>
      <c r="I79" s="3"/>
      <c r="J79" s="3"/>
    </row>
    <row r="80" spans="1:13">
      <c r="A80" s="969"/>
      <c r="B80" s="969" t="s">
        <v>2317</v>
      </c>
      <c r="C80" s="230" t="str">
        <f>xxMMProd4Driver5&amp;" - "&amp;DataNameProd4Seg1</f>
        <v>Promotion - Vetera</v>
      </c>
      <c r="D80" s="832"/>
      <c r="E80" s="830">
        <f>capProd4Promo</f>
        <v>760000000</v>
      </c>
      <c r="F80" s="830">
        <f>capProd4Promo</f>
        <v>760000000</v>
      </c>
      <c r="G80" s="830">
        <f>capProd4Promo</f>
        <v>760000000</v>
      </c>
      <c r="H80" s="830">
        <f>capProd4Promo</f>
        <v>760000000</v>
      </c>
      <c r="I80" s="830">
        <f>capProd4Promo</f>
        <v>760000000</v>
      </c>
      <c r="J80" s="831"/>
      <c r="L80" s="240" t="s">
        <v>3209</v>
      </c>
      <c r="M80" s="240" t="s">
        <v>3210</v>
      </c>
    </row>
    <row r="81" spans="1:13">
      <c r="A81" s="969" t="s">
        <v>166</v>
      </c>
      <c r="B81" s="970">
        <f>E166</f>
        <v>8</v>
      </c>
      <c r="C81" s="349" t="str">
        <f>xxMMProd4Driver5&amp;" - "&amp;DataNameProd4Seg2</f>
        <v>Promotion - Escendia</v>
      </c>
      <c r="D81" s="976"/>
      <c r="E81" s="975">
        <f>capProd4PromoR2</f>
        <v>95000000</v>
      </c>
      <c r="F81" s="975">
        <f>capProd4PromoR2</f>
        <v>95000000</v>
      </c>
      <c r="G81" s="975">
        <f>capProd4PromoR2</f>
        <v>95000000</v>
      </c>
      <c r="H81" s="975">
        <f>capProd4PromoR2</f>
        <v>95000000</v>
      </c>
      <c r="I81" s="975">
        <f>capProd4PromoR2</f>
        <v>95000000</v>
      </c>
      <c r="J81" s="977"/>
      <c r="K81" s="241">
        <v>0</v>
      </c>
      <c r="L81" s="14">
        <f t="shared" ref="L81:L87" si="13">K81*$J$86</f>
        <v>0</v>
      </c>
      <c r="M81" s="261">
        <f t="shared" ref="M81:M87" si="14">NORMDIST(L81,$J$86,$D$86,TRUE)</f>
        <v>0</v>
      </c>
    </row>
    <row r="82" spans="1:13">
      <c r="A82" s="971" t="s">
        <v>167</v>
      </c>
      <c r="B82" s="971">
        <f>F166</f>
        <v>10</v>
      </c>
      <c r="C82" s="833" t="s">
        <v>165</v>
      </c>
      <c r="D82" s="177"/>
      <c r="E82" s="219">
        <f>IF(MMSegCurrent=1,capProd4Promo*paramReg1Prod4CommSpendEffect,capProd4PromoR2*paramReg2Prod4CommSpendEffect)</f>
        <v>95000000</v>
      </c>
      <c r="F82" s="219">
        <f>IF(MMSegCurrent=1,capProd4Promo*paramReg1Prod4CommSpendEffect,capProd4PromoR2*paramReg2Prod4CommSpendEffect)</f>
        <v>95000000</v>
      </c>
      <c r="G82" s="219">
        <f>IF(MMSegCurrent=1,capProd4Promo*paramReg1Prod4CommSpendEffect,capProd4PromoR2*paramReg2Prod4CommSpendEffect)</f>
        <v>95000000</v>
      </c>
      <c r="H82" s="219">
        <f>IF(MMSegCurrent=1,capProd4Promo*paramReg1Prod4CommSpendEffect,capProd4PromoR2*paramReg2Prod4CommSpendEffect)</f>
        <v>95000000</v>
      </c>
      <c r="I82" s="219">
        <f>IF(MMSegCurrent=1,capProd4Promo*paramReg1Prod4CommSpendEffect,capProd4PromoR2*paramReg2Prod4CommSpendEffect)</f>
        <v>95000000</v>
      </c>
      <c r="J82" s="333"/>
      <c r="K82" s="241">
        <v>0.33</v>
      </c>
      <c r="L82" s="14">
        <f t="shared" si="13"/>
        <v>31350000</v>
      </c>
      <c r="M82" s="261">
        <f t="shared" si="14"/>
        <v>0</v>
      </c>
    </row>
    <row r="83" spans="1:13">
      <c r="A83" s="971"/>
      <c r="B83" s="971"/>
      <c r="C83" s="37"/>
      <c r="D83" s="38"/>
      <c r="E83" s="39"/>
      <c r="F83" s="39"/>
      <c r="G83" s="39"/>
      <c r="H83" s="39"/>
      <c r="I83" s="39"/>
      <c r="J83" s="40"/>
      <c r="K83" s="241">
        <v>0.66</v>
      </c>
      <c r="L83" s="14">
        <f t="shared" si="13"/>
        <v>62700000</v>
      </c>
      <c r="M83" s="261">
        <f t="shared" si="14"/>
        <v>0</v>
      </c>
    </row>
    <row r="84" spans="1:13">
      <c r="A84" s="971"/>
      <c r="B84" s="971"/>
      <c r="C84" s="37" t="s">
        <v>2382</v>
      </c>
      <c r="D84" s="38"/>
      <c r="E84" s="87">
        <f>E82</f>
        <v>95000000</v>
      </c>
      <c r="F84" s="87">
        <f>F82</f>
        <v>95000000</v>
      </c>
      <c r="G84" s="87">
        <f>G82</f>
        <v>95000000</v>
      </c>
      <c r="H84" s="87">
        <f>H82</f>
        <v>95000000</v>
      </c>
      <c r="I84" s="87">
        <f>I82</f>
        <v>95000000</v>
      </c>
      <c r="J84" s="40"/>
      <c r="K84" s="241">
        <v>1</v>
      </c>
      <c r="L84" s="14">
        <f t="shared" si="13"/>
        <v>95000000</v>
      </c>
      <c r="M84" s="261">
        <f t="shared" si="14"/>
        <v>0.5</v>
      </c>
    </row>
    <row r="85" spans="1:13">
      <c r="A85" s="971"/>
      <c r="B85" s="971"/>
      <c r="C85" s="37" t="s">
        <v>965</v>
      </c>
      <c r="D85" s="48">
        <v>1.5</v>
      </c>
      <c r="E85" s="87">
        <f>IF(MMInMarket=TRUE,E84,0)</f>
        <v>95000000</v>
      </c>
      <c r="F85" s="87">
        <f>IF(MMInMarket=TRUE,F84,0)</f>
        <v>95000000</v>
      </c>
      <c r="G85" s="87">
        <f>IF(MMInMarket=TRUE,G84,0)</f>
        <v>95000000</v>
      </c>
      <c r="H85" s="87">
        <f>IF(MMInMarket=TRUE,H84,0)</f>
        <v>95000000</v>
      </c>
      <c r="I85" s="87">
        <f>IF(MMInMarket=TRUE,I84,0)</f>
        <v>95000000</v>
      </c>
      <c r="J85" s="40"/>
      <c r="K85" s="241">
        <v>1.33</v>
      </c>
      <c r="L85" s="14">
        <f t="shared" si="13"/>
        <v>126350000</v>
      </c>
      <c r="M85" s="261">
        <f t="shared" si="14"/>
        <v>1</v>
      </c>
    </row>
    <row r="86" spans="1:13">
      <c r="A86" s="968"/>
      <c r="B86" s="971"/>
      <c r="C86" s="43" t="s">
        <v>970</v>
      </c>
      <c r="D86" s="42">
        <f>STDEVP(E85:I85)*D85+(STDEVP(E85:I85)=0)</f>
        <v>1</v>
      </c>
      <c r="E86" s="71">
        <f>IF(E85=0,0,NORMDIST(E85,$J86,$D86,TRUE))*(MMInMarket=TRUE)</f>
        <v>0.5</v>
      </c>
      <c r="F86" s="71">
        <f>IF(F85=0,0,NORMDIST(F85,$J86,$D86,TRUE))*(MMInMarket=TRUE)</f>
        <v>0.5</v>
      </c>
      <c r="G86" s="71">
        <f>IF(G85=0,0,NORMDIST(G85,$J86,$D86,TRUE))*(MMInMarket=TRUE)</f>
        <v>0.5</v>
      </c>
      <c r="H86" s="71">
        <f>IF(H85=0,0,NORMDIST(H85,$J86,$D86,TRUE))*(MMInMarket=TRUE)</f>
        <v>0.5</v>
      </c>
      <c r="I86" s="71">
        <f>IF(I85=0,0,NORMDIST(I85,$J86,$D86,TRUE))*(MMInMarket=TRUE)</f>
        <v>0.5</v>
      </c>
      <c r="J86" s="44">
        <f>IF($J$24=0,0,SUM(E85:I85)/$J$24)</f>
        <v>95000000</v>
      </c>
      <c r="K86" s="241">
        <v>1.66</v>
      </c>
      <c r="L86" s="14">
        <f t="shared" si="13"/>
        <v>157700000</v>
      </c>
      <c r="M86" s="261">
        <f t="shared" si="14"/>
        <v>1</v>
      </c>
    </row>
    <row r="87" spans="1:13">
      <c r="A87" s="968"/>
      <c r="B87" s="968"/>
      <c r="C87" s="2"/>
      <c r="D87" s="39"/>
      <c r="E87" s="3"/>
      <c r="F87" s="3"/>
      <c r="G87" s="3"/>
      <c r="H87" s="3"/>
      <c r="I87" s="3"/>
      <c r="J87" s="3"/>
      <c r="K87" s="241">
        <v>2</v>
      </c>
      <c r="L87" s="14">
        <f t="shared" si="13"/>
        <v>190000000</v>
      </c>
      <c r="M87" s="261">
        <f t="shared" si="14"/>
        <v>1</v>
      </c>
    </row>
    <row r="88" spans="1:13">
      <c r="A88" s="968"/>
      <c r="B88" s="968"/>
      <c r="C88" s="2"/>
      <c r="D88" s="39"/>
      <c r="E88" s="3"/>
      <c r="F88" s="3"/>
      <c r="G88" s="3"/>
      <c r="H88" s="3"/>
      <c r="I88" s="3"/>
      <c r="J88" s="3"/>
      <c r="K88" s="3"/>
    </row>
    <row r="89" spans="1:13">
      <c r="A89" s="968"/>
      <c r="B89" s="968"/>
      <c r="C89" s="2"/>
      <c r="D89" s="39"/>
      <c r="E89" s="3"/>
      <c r="F89" s="3"/>
      <c r="G89" s="3"/>
      <c r="H89" s="3"/>
      <c r="I89" s="3"/>
      <c r="J89" s="3"/>
    </row>
    <row r="90" spans="1:13">
      <c r="A90" s="968"/>
      <c r="B90" s="968"/>
      <c r="C90" s="2"/>
      <c r="D90" s="39"/>
      <c r="E90" s="3"/>
      <c r="F90" s="3"/>
      <c r="G90" s="3"/>
      <c r="H90" s="3"/>
      <c r="I90" s="3"/>
      <c r="J90" s="3"/>
    </row>
    <row r="91" spans="1:13">
      <c r="A91" s="968"/>
      <c r="B91" s="968"/>
      <c r="C91" s="2"/>
      <c r="D91" s="39"/>
      <c r="E91" s="3"/>
      <c r="F91" s="3"/>
      <c r="G91" s="3"/>
      <c r="H91" s="3"/>
      <c r="I91" s="3"/>
      <c r="J91" s="3"/>
    </row>
    <row r="92" spans="1:13">
      <c r="A92" s="969"/>
      <c r="B92" s="969"/>
      <c r="C92" s="2"/>
      <c r="D92" s="39"/>
      <c r="E92" s="3"/>
      <c r="F92" s="3"/>
      <c r="G92" s="3"/>
      <c r="H92" s="3"/>
      <c r="I92" s="3"/>
      <c r="J92" s="3"/>
      <c r="L92" s="240" t="s">
        <v>3209</v>
      </c>
      <c r="M92" s="240" t="s">
        <v>3210</v>
      </c>
    </row>
    <row r="93" spans="1:13">
      <c r="A93" s="969"/>
      <c r="B93" s="970" t="s">
        <v>2318</v>
      </c>
      <c r="C93" s="349" t="str">
        <f>xxMMProd3Driver6 &amp; " - Lower Region"</f>
        <v>Sales Force - Lower Region</v>
      </c>
      <c r="D93" s="832"/>
      <c r="E93" s="231">
        <f>cbalEmp1</f>
        <v>4000</v>
      </c>
      <c r="F93" s="231">
        <f>cbalEmp1</f>
        <v>4000</v>
      </c>
      <c r="G93" s="231">
        <f>cbalEmp1</f>
        <v>4000</v>
      </c>
      <c r="H93" s="231">
        <f>cbalEmp1</f>
        <v>4000</v>
      </c>
      <c r="I93" s="231">
        <f>cbalEmp1</f>
        <v>4000</v>
      </c>
      <c r="J93" s="831"/>
      <c r="K93" s="241">
        <v>0</v>
      </c>
      <c r="L93" s="14">
        <f t="shared" ref="L93:L99" si="15">K93*$J$98</f>
        <v>0</v>
      </c>
      <c r="M93" s="261">
        <f t="shared" ref="M93:M99" si="16">NORMDIST(L93,$J$98,$D$98,TRUE)</f>
        <v>0</v>
      </c>
    </row>
    <row r="94" spans="1:13">
      <c r="A94" s="969" t="s">
        <v>166</v>
      </c>
      <c r="B94" s="970">
        <f>E167</f>
        <v>6</v>
      </c>
      <c r="C94" s="349" t="str">
        <f>xxMMProd3Driver6 &amp; " - Upper  Region"</f>
        <v>Sales Force - Upper  Region</v>
      </c>
      <c r="D94" s="177"/>
      <c r="E94" s="834">
        <f>cbalEmp2</f>
        <v>2100</v>
      </c>
      <c r="F94" s="834">
        <f>cbalEmp2</f>
        <v>2100</v>
      </c>
      <c r="G94" s="834">
        <f>cbalEmp2</f>
        <v>2100</v>
      </c>
      <c r="H94" s="834">
        <f>cbalEmp2</f>
        <v>2100</v>
      </c>
      <c r="I94" s="834">
        <f>cbalEmp2</f>
        <v>2100</v>
      </c>
      <c r="J94" s="333"/>
      <c r="K94" s="241">
        <v>0.33</v>
      </c>
      <c r="L94" s="14">
        <f t="shared" si="15"/>
        <v>693</v>
      </c>
      <c r="M94" s="261">
        <f t="shared" si="16"/>
        <v>0</v>
      </c>
    </row>
    <row r="95" spans="1:13">
      <c r="A95" s="971" t="s">
        <v>167</v>
      </c>
      <c r="B95" s="971">
        <f>F167</f>
        <v>15</v>
      </c>
      <c r="C95" s="37"/>
      <c r="D95" s="38"/>
      <c r="E95" s="39"/>
      <c r="F95" s="39"/>
      <c r="G95" s="39"/>
      <c r="H95" s="39"/>
      <c r="I95" s="39"/>
      <c r="J95" s="40"/>
      <c r="K95" s="241">
        <v>0.66</v>
      </c>
      <c r="L95" s="14">
        <f t="shared" si="15"/>
        <v>1386</v>
      </c>
      <c r="M95" s="261">
        <f t="shared" si="16"/>
        <v>0</v>
      </c>
    </row>
    <row r="96" spans="1:13">
      <c r="A96" s="971"/>
      <c r="B96" s="971"/>
      <c r="C96" s="37" t="s">
        <v>2383</v>
      </c>
      <c r="D96" s="38"/>
      <c r="E96" s="835">
        <f>IF(MMSegCurrent=1,cbalEmp1*(1+capReg1ChanLevel/20),cbalEmp2)</f>
        <v>2100</v>
      </c>
      <c r="F96" s="835">
        <f>IF(MMSegCurrent=1,cbalEmp1*(1+capReg1ChanLevel/20),cbalEmp2)</f>
        <v>2100</v>
      </c>
      <c r="G96" s="835">
        <f>IF(MMSegCurrent=1,cbalEmp1*(1+capReg1ChanLevel/20),cbalEmp2)</f>
        <v>2100</v>
      </c>
      <c r="H96" s="835">
        <f>IF(MMSegCurrent=1,cbalEmp1*(1+capReg1ChanLevel/20),cbalEmp2)</f>
        <v>2100</v>
      </c>
      <c r="I96" s="835">
        <f>IF(MMSegCurrent=1,cbalEmp1*(1+capReg1ChanLevel/20),cbalEmp2)</f>
        <v>2100</v>
      </c>
      <c r="J96" s="40"/>
      <c r="K96" s="241">
        <v>1</v>
      </c>
      <c r="L96" s="14">
        <f t="shared" si="15"/>
        <v>2100</v>
      </c>
      <c r="M96" s="261">
        <f t="shared" si="16"/>
        <v>0.5</v>
      </c>
    </row>
    <row r="97" spans="1:13">
      <c r="A97" s="971"/>
      <c r="B97" s="971"/>
      <c r="C97" s="37" t="s">
        <v>965</v>
      </c>
      <c r="D97" s="48">
        <v>2</v>
      </c>
      <c r="E97" s="87">
        <f>IF(MMInMarket=TRUE,E96,0)</f>
        <v>2100</v>
      </c>
      <c r="F97" s="87">
        <f>IF(MMInMarket=TRUE,F96,0)</f>
        <v>2100</v>
      </c>
      <c r="G97" s="87">
        <f>IF(MMInMarket=TRUE,G96,0)</f>
        <v>2100</v>
      </c>
      <c r="H97" s="87">
        <f>IF(MMInMarket=TRUE,H96,0)</f>
        <v>2100</v>
      </c>
      <c r="I97" s="87">
        <f>IF(MMInMarket=TRUE,I96,0)</f>
        <v>2100</v>
      </c>
      <c r="J97" s="40"/>
      <c r="K97" s="241">
        <v>1.33</v>
      </c>
      <c r="L97" s="14">
        <f t="shared" si="15"/>
        <v>2793</v>
      </c>
      <c r="M97" s="261">
        <f t="shared" si="16"/>
        <v>1</v>
      </c>
    </row>
    <row r="98" spans="1:13">
      <c r="A98" s="968"/>
      <c r="B98" s="968"/>
      <c r="C98" s="43" t="s">
        <v>971</v>
      </c>
      <c r="D98" s="42">
        <f>STDEVP(E97:I97)*D97+(STDEVP(E97:I97)=0)</f>
        <v>1</v>
      </c>
      <c r="E98" s="71">
        <f>IF(E97=0,0,NORMDIST(E97,$J98,$D98,TRUE))*(MMInMarket=TRUE)</f>
        <v>0.5</v>
      </c>
      <c r="F98" s="71">
        <f>IF(F97=0,0,NORMDIST(F97,$J98,$D98,TRUE))*(MMInMarket=TRUE)</f>
        <v>0.5</v>
      </c>
      <c r="G98" s="71">
        <f>IF(G97=0,0,NORMDIST(G97,$J98,$D98,TRUE))*(MMInMarket=TRUE)</f>
        <v>0.5</v>
      </c>
      <c r="H98" s="71">
        <f>IF(H97=0,0,NORMDIST(H97,$J98,$D98,TRUE))*(MMInMarket=TRUE)</f>
        <v>0.5</v>
      </c>
      <c r="I98" s="71">
        <f>IF(I97=0,0,NORMDIST(I97,$J98,$D98,TRUE))*(MMInMarket=TRUE)</f>
        <v>0.5</v>
      </c>
      <c r="J98" s="44">
        <f>IF($J$24=0,0,SUM(E97:I97)/$J$24)</f>
        <v>2100</v>
      </c>
      <c r="K98" s="241">
        <v>1.66</v>
      </c>
      <c r="L98" s="14">
        <f t="shared" si="15"/>
        <v>3486</v>
      </c>
      <c r="M98" s="261">
        <f t="shared" si="16"/>
        <v>1</v>
      </c>
    </row>
    <row r="99" spans="1:13">
      <c r="A99" s="968"/>
      <c r="B99" s="968"/>
      <c r="C99" s="2"/>
      <c r="D99" s="39"/>
      <c r="E99" s="3"/>
      <c r="F99" s="3"/>
      <c r="G99" s="3"/>
      <c r="H99" s="3"/>
      <c r="I99" s="3"/>
      <c r="J99" s="3"/>
      <c r="K99" s="241">
        <v>2</v>
      </c>
      <c r="L99" s="14">
        <f t="shared" si="15"/>
        <v>4200</v>
      </c>
      <c r="M99" s="261">
        <f t="shared" si="16"/>
        <v>1</v>
      </c>
    </row>
    <row r="100" spans="1:13">
      <c r="A100" s="968"/>
      <c r="B100" s="968"/>
      <c r="C100" s="2"/>
      <c r="D100" s="39"/>
      <c r="E100" s="3"/>
      <c r="F100" s="3"/>
      <c r="G100" s="3"/>
      <c r="H100" s="3"/>
      <c r="I100" s="3"/>
      <c r="J100" s="3"/>
      <c r="L100" s="14"/>
      <c r="M100" s="241"/>
    </row>
    <row r="101" spans="1:13">
      <c r="A101" s="968"/>
      <c r="B101" s="968"/>
      <c r="C101" s="2"/>
      <c r="D101" s="39"/>
      <c r="E101" s="3"/>
      <c r="F101" s="3"/>
      <c r="G101" s="3"/>
      <c r="H101" s="3"/>
      <c r="I101" s="3"/>
      <c r="J101" s="3"/>
    </row>
    <row r="102" spans="1:13">
      <c r="A102" s="968"/>
      <c r="B102" s="968"/>
      <c r="C102" s="2"/>
      <c r="D102" s="39"/>
      <c r="E102" s="3"/>
      <c r="F102" s="3"/>
      <c r="G102" s="3"/>
      <c r="H102" s="3"/>
      <c r="I102" s="3"/>
      <c r="J102" s="3"/>
    </row>
    <row r="103" spans="1:13">
      <c r="A103" s="968"/>
      <c r="B103" s="968"/>
      <c r="C103" s="2"/>
      <c r="D103" s="39"/>
      <c r="E103" s="3"/>
      <c r="F103" s="3"/>
      <c r="G103" s="3"/>
      <c r="H103" s="3"/>
      <c r="I103" s="3"/>
      <c r="J103" s="3"/>
    </row>
    <row r="104" spans="1:13">
      <c r="A104" s="968"/>
      <c r="B104" s="968"/>
      <c r="C104" s="2"/>
      <c r="D104" s="39"/>
      <c r="E104" s="3"/>
      <c r="F104" s="3"/>
      <c r="G104" s="3"/>
      <c r="H104" s="3"/>
      <c r="I104" s="3"/>
      <c r="J104" s="3"/>
      <c r="L104" s="240" t="s">
        <v>3209</v>
      </c>
      <c r="M104" s="240" t="s">
        <v>3210</v>
      </c>
    </row>
    <row r="105" spans="1:13">
      <c r="A105" s="971"/>
      <c r="B105" s="969"/>
      <c r="C105" s="2"/>
      <c r="D105" s="39"/>
      <c r="E105" s="3"/>
      <c r="F105" s="3"/>
      <c r="G105" s="3"/>
      <c r="H105" s="3"/>
      <c r="I105" s="3"/>
      <c r="J105" s="3"/>
      <c r="K105" s="241">
        <v>0</v>
      </c>
      <c r="L105" s="14">
        <f t="shared" ref="L105:L111" si="17">K105*$J$110</f>
        <v>0</v>
      </c>
      <c r="M105" s="261">
        <f t="shared" ref="M105:M111" si="18">NORMDIST(L105,$J$110,$D$110,TRUE)</f>
        <v>0.5</v>
      </c>
    </row>
    <row r="106" spans="1:13">
      <c r="A106" s="971"/>
      <c r="B106" s="969" t="s">
        <v>2319</v>
      </c>
      <c r="C106" s="230" t="str">
        <f>xxMMProd1Driver7</f>
        <v>Innovation</v>
      </c>
      <c r="D106" s="231"/>
      <c r="E106" s="1016">
        <f>IF(MMSegCurrent=1,paramProd4InnovReg1,paramProd4InnovReg2)</f>
        <v>0</v>
      </c>
      <c r="F106" s="1016">
        <f>IF(MMSegCurrent=1,paramProd4InnovReg1,paramProd4InnovReg2)</f>
        <v>0</v>
      </c>
      <c r="G106" s="1016">
        <f>IF(MMSegCurrent=1,paramProd4InnovReg1,paramProd4InnovReg2)</f>
        <v>0</v>
      </c>
      <c r="H106" s="1016">
        <f>IF(MMSegCurrent=1,paramProd4InnovReg1,paramProd4InnovReg2)</f>
        <v>0</v>
      </c>
      <c r="I106" s="1016">
        <f>IF(MMSegCurrent=1,paramProd4InnovReg1,paramProd4InnovReg2)</f>
        <v>0</v>
      </c>
      <c r="J106" s="1016"/>
      <c r="K106" s="241">
        <v>0.33</v>
      </c>
      <c r="L106" s="14">
        <f t="shared" si="17"/>
        <v>0</v>
      </c>
      <c r="M106" s="261">
        <f t="shared" si="18"/>
        <v>0.5</v>
      </c>
    </row>
    <row r="107" spans="1:13">
      <c r="A107" s="971"/>
      <c r="B107" s="971"/>
      <c r="C107" s="477"/>
      <c r="D107" s="176"/>
      <c r="E107" s="478"/>
      <c r="F107" s="478"/>
      <c r="G107" s="478"/>
      <c r="H107" s="478"/>
      <c r="I107" s="478"/>
      <c r="J107" s="333"/>
      <c r="K107" s="241">
        <v>0.66</v>
      </c>
      <c r="L107" s="14">
        <f t="shared" si="17"/>
        <v>0</v>
      </c>
      <c r="M107" s="261">
        <f t="shared" si="18"/>
        <v>0.5</v>
      </c>
    </row>
    <row r="108" spans="1:13">
      <c r="A108" s="971"/>
      <c r="B108" s="971"/>
      <c r="C108" s="37" t="s">
        <v>2383</v>
      </c>
      <c r="D108" s="38"/>
      <c r="E108" s="1015">
        <f>E106/paramRnDttmCoeff</f>
        <v>0</v>
      </c>
      <c r="F108" s="1015">
        <f>F106/paramRnDttmCoeff</f>
        <v>0</v>
      </c>
      <c r="G108" s="1015">
        <f>G106/paramRnDttmCoeff</f>
        <v>0</v>
      </c>
      <c r="H108" s="1015">
        <f>H106/paramRnDttmCoeff</f>
        <v>0</v>
      </c>
      <c r="I108" s="1015">
        <f>I106/paramRnDttmCoeff</f>
        <v>0</v>
      </c>
      <c r="J108" s="40"/>
      <c r="K108" s="241">
        <v>1</v>
      </c>
      <c r="L108" s="14">
        <f t="shared" si="17"/>
        <v>0</v>
      </c>
      <c r="M108" s="261">
        <f t="shared" si="18"/>
        <v>0.5</v>
      </c>
    </row>
    <row r="109" spans="1:13">
      <c r="A109" s="971"/>
      <c r="B109" s="971"/>
      <c r="C109" s="37" t="s">
        <v>965</v>
      </c>
      <c r="D109" s="48">
        <v>1</v>
      </c>
      <c r="E109" s="1015">
        <f>IF(MMInMarket=TRUE,E108,0)</f>
        <v>0</v>
      </c>
      <c r="F109" s="1015">
        <f>IF(MMInMarket=TRUE,F108,0)</f>
        <v>0</v>
      </c>
      <c r="G109" s="1015">
        <f>IF(MMInMarket=TRUE,G108,0)</f>
        <v>0</v>
      </c>
      <c r="H109" s="1015">
        <f>IF(MMInMarket=TRUE,H108,0)</f>
        <v>0</v>
      </c>
      <c r="I109" s="1015">
        <f>IF(MMInMarket=TRUE,I108,0)</f>
        <v>0</v>
      </c>
      <c r="J109" s="40"/>
      <c r="K109" s="241">
        <v>1.33</v>
      </c>
      <c r="L109" s="14">
        <f t="shared" si="17"/>
        <v>0</v>
      </c>
      <c r="M109" s="261">
        <f t="shared" si="18"/>
        <v>0.5</v>
      </c>
    </row>
    <row r="110" spans="1:13">
      <c r="A110" s="968"/>
      <c r="B110" s="968"/>
      <c r="C110" s="43" t="s">
        <v>972</v>
      </c>
      <c r="D110" s="42">
        <f>STDEVP(E109:I109)*D109+(STDEVP(E109:I109)=0)</f>
        <v>1</v>
      </c>
      <c r="E110" s="71">
        <f>IF(E109=0,0,NORMDIST(E109,$J110,$D110,TRUE))*(MMInMarket=TRUE)</f>
        <v>0</v>
      </c>
      <c r="F110" s="71">
        <f>IF(F109=0,0,NORMDIST(F109,$J110,$D110,TRUE))*(MMInMarket=TRUE)</f>
        <v>0</v>
      </c>
      <c r="G110" s="71">
        <f>IF(G109=0,0,NORMDIST(G109,$J110,$D110,TRUE))*(MMInMarket=TRUE)</f>
        <v>0</v>
      </c>
      <c r="H110" s="71">
        <f>IF(H109=0,0,NORMDIST(H109,$J110,$D110,TRUE))*(MMInMarket=TRUE)</f>
        <v>0</v>
      </c>
      <c r="I110" s="71">
        <f>IF(I109=0,0,NORMDIST(I109,$J110,$D110,TRUE))*(MMInMarket=TRUE)</f>
        <v>0</v>
      </c>
      <c r="J110" s="44">
        <f>IF($J$24=0,0,SUM(E109:I109)/$J$24)</f>
        <v>0</v>
      </c>
      <c r="K110" s="241">
        <v>1.66</v>
      </c>
      <c r="L110" s="14">
        <f t="shared" si="17"/>
        <v>0</v>
      </c>
      <c r="M110" s="261">
        <f t="shared" si="18"/>
        <v>0.5</v>
      </c>
    </row>
    <row r="111" spans="1:13">
      <c r="A111" s="968"/>
      <c r="B111" s="968"/>
      <c r="C111" s="2"/>
      <c r="D111" s="39"/>
      <c r="E111" s="3"/>
      <c r="F111" s="3"/>
      <c r="G111" s="3"/>
      <c r="H111" s="3"/>
      <c r="I111" s="3"/>
      <c r="J111" s="3"/>
      <c r="K111" s="241">
        <v>2</v>
      </c>
      <c r="L111" s="14">
        <f t="shared" si="17"/>
        <v>0</v>
      </c>
      <c r="M111" s="261">
        <f t="shared" si="18"/>
        <v>0.5</v>
      </c>
    </row>
    <row r="112" spans="1:13">
      <c r="A112" s="968"/>
      <c r="B112" s="968"/>
      <c r="C112" s="2"/>
      <c r="D112" s="39"/>
      <c r="E112" s="3"/>
      <c r="F112" s="3"/>
      <c r="G112" s="3"/>
      <c r="H112" s="3"/>
      <c r="I112" s="3"/>
      <c r="J112" s="3"/>
      <c r="K112" s="3"/>
    </row>
    <row r="113" spans="1:13">
      <c r="A113" s="968"/>
      <c r="B113" s="968"/>
      <c r="C113" s="2"/>
      <c r="D113" s="39"/>
      <c r="E113" s="3"/>
      <c r="F113" s="3"/>
      <c r="G113" s="3"/>
      <c r="H113" s="3"/>
      <c r="I113" s="3"/>
      <c r="J113" s="3"/>
    </row>
    <row r="114" spans="1:13">
      <c r="A114" s="968"/>
      <c r="B114" s="968"/>
      <c r="C114" s="2"/>
      <c r="D114" s="39"/>
      <c r="E114" s="3"/>
      <c r="F114" s="3"/>
      <c r="G114" s="3"/>
      <c r="H114" s="3"/>
      <c r="I114" s="3"/>
      <c r="J114" s="3"/>
    </row>
    <row r="115" spans="1:13">
      <c r="A115" s="968"/>
      <c r="B115" s="968"/>
      <c r="C115" s="2"/>
      <c r="D115" s="39"/>
      <c r="E115" s="3"/>
      <c r="F115" s="3"/>
      <c r="G115" s="3"/>
      <c r="H115" s="3"/>
      <c r="I115" s="3"/>
      <c r="J115" s="3"/>
    </row>
    <row r="116" spans="1:13">
      <c r="A116" s="968"/>
      <c r="B116" s="968"/>
      <c r="C116" s="2"/>
      <c r="D116" s="39"/>
      <c r="E116" s="3"/>
      <c r="F116" s="3"/>
      <c r="G116" s="3"/>
      <c r="H116" s="3"/>
      <c r="I116" s="3"/>
      <c r="J116" s="3"/>
      <c r="L116" s="240" t="s">
        <v>3209</v>
      </c>
      <c r="M116" s="240" t="s">
        <v>3210</v>
      </c>
    </row>
    <row r="117" spans="1:13">
      <c r="A117" s="971"/>
      <c r="B117" s="969"/>
      <c r="C117" s="2"/>
      <c r="D117" s="39"/>
      <c r="E117" s="3"/>
      <c r="F117" s="3"/>
      <c r="G117" s="3"/>
      <c r="H117" s="3"/>
      <c r="I117" s="3"/>
      <c r="J117" s="3"/>
      <c r="K117" s="241">
        <v>0</v>
      </c>
      <c r="L117" s="14">
        <f t="shared" ref="L117:L123" si="19">K117*$J$122</f>
        <v>0</v>
      </c>
      <c r="M117" s="261">
        <f t="shared" ref="M117:M123" si="20">NORMDIST(L117,$J$122,$D$122,TRUE)</f>
        <v>1.3498980316300933E-3</v>
      </c>
    </row>
    <row r="118" spans="1:13">
      <c r="A118" s="971"/>
      <c r="B118" s="971" t="s">
        <v>2320</v>
      </c>
      <c r="C118" s="230" t="str">
        <f>xxMMProd4Driver8</f>
        <v>Channel Penetration</v>
      </c>
      <c r="D118" s="231"/>
      <c r="E118" s="1016">
        <f>IF(MMSegCurrent=2,capReg2ChanLevel,0)</f>
        <v>3</v>
      </c>
      <c r="F118" s="1016">
        <f>IF(MMSegCurrent=2,capReg2ChanLevel,0)</f>
        <v>3</v>
      </c>
      <c r="G118" s="1016">
        <f>IF(MMSegCurrent=2,capReg2ChanLevel,0)</f>
        <v>3</v>
      </c>
      <c r="H118" s="1016">
        <f>IF(MMSegCurrent=2,capReg2ChanLevel,0)</f>
        <v>3</v>
      </c>
      <c r="I118" s="1016">
        <f>IF(MMSegCurrent=2,capReg2ChanLevel,0)</f>
        <v>3</v>
      </c>
      <c r="J118" s="154"/>
      <c r="K118" s="241">
        <v>0.33</v>
      </c>
      <c r="L118" s="14">
        <f t="shared" si="19"/>
        <v>0.99</v>
      </c>
      <c r="M118" s="261">
        <f t="shared" si="20"/>
        <v>2.2215594429431475E-2</v>
      </c>
    </row>
    <row r="119" spans="1:13">
      <c r="A119" s="971"/>
      <c r="B119" s="971"/>
      <c r="C119" s="37"/>
      <c r="D119" s="38"/>
      <c r="E119" s="39"/>
      <c r="F119" s="39"/>
      <c r="G119" s="39"/>
      <c r="H119" s="39"/>
      <c r="I119" s="39"/>
      <c r="J119" s="40"/>
      <c r="K119" s="241">
        <v>0.66</v>
      </c>
      <c r="L119" s="14">
        <f t="shared" si="19"/>
        <v>1.98</v>
      </c>
      <c r="M119" s="261">
        <f t="shared" si="20"/>
        <v>0.15386423037273483</v>
      </c>
    </row>
    <row r="120" spans="1:13">
      <c r="A120" s="971"/>
      <c r="B120" s="971"/>
      <c r="C120" s="37" t="s">
        <v>2383</v>
      </c>
      <c r="D120" s="38"/>
      <c r="E120" s="87">
        <f>E118</f>
        <v>3</v>
      </c>
      <c r="F120" s="87">
        <f>F118</f>
        <v>3</v>
      </c>
      <c r="G120" s="87">
        <f>G118</f>
        <v>3</v>
      </c>
      <c r="H120" s="87">
        <f>H118</f>
        <v>3</v>
      </c>
      <c r="I120" s="87">
        <f>I118</f>
        <v>3</v>
      </c>
      <c r="J120" s="40"/>
      <c r="K120" s="241">
        <v>1</v>
      </c>
      <c r="L120" s="14">
        <f t="shared" si="19"/>
        <v>3</v>
      </c>
      <c r="M120" s="261">
        <f t="shared" si="20"/>
        <v>0.5</v>
      </c>
    </row>
    <row r="121" spans="1:13">
      <c r="A121" s="971"/>
      <c r="B121" s="971"/>
      <c r="C121" s="37" t="s">
        <v>965</v>
      </c>
      <c r="D121" s="48">
        <v>1</v>
      </c>
      <c r="E121" s="87">
        <f>IF(MMInMarket=TRUE,E120,0)</f>
        <v>3</v>
      </c>
      <c r="F121" s="87">
        <f>IF(MMInMarket=TRUE,F120,0)</f>
        <v>3</v>
      </c>
      <c r="G121" s="87">
        <f>IF(MMInMarket=TRUE,G120,0)</f>
        <v>3</v>
      </c>
      <c r="H121" s="87">
        <f>IF(MMInMarket=TRUE,H120,0)</f>
        <v>3</v>
      </c>
      <c r="I121" s="87">
        <f>IF(MMInMarket=TRUE,I120,0)</f>
        <v>3</v>
      </c>
      <c r="J121" s="40"/>
      <c r="K121" s="241">
        <v>1.33</v>
      </c>
      <c r="L121" s="14">
        <f t="shared" si="19"/>
        <v>3.99</v>
      </c>
      <c r="M121" s="261">
        <f t="shared" si="20"/>
        <v>0.8389129404891692</v>
      </c>
    </row>
    <row r="122" spans="1:13">
      <c r="A122" s="968"/>
      <c r="B122" s="968"/>
      <c r="C122" s="43" t="s">
        <v>2385</v>
      </c>
      <c r="D122" s="42">
        <f>STDEVP(E121:I121)*D121+(STDEVP(E121:I121)=0)</f>
        <v>1</v>
      </c>
      <c r="E122" s="71">
        <f>IF(E121=0,0,NORMDIST(E121,$J122,$D122,TRUE))*(MMInMarket=TRUE)</f>
        <v>0.5</v>
      </c>
      <c r="F122" s="71">
        <f>IF(F121=0,0,NORMDIST(F121,$J122,$D122,TRUE))*(MMInMarket=TRUE)</f>
        <v>0.5</v>
      </c>
      <c r="G122" s="71">
        <f>IF(G121=0,0,NORMDIST(G121,$J122,$D122,TRUE))*(MMInMarket=TRUE)</f>
        <v>0.5</v>
      </c>
      <c r="H122" s="71">
        <f>IF(H121=0,0,NORMDIST(H121,$J122,$D122,TRUE))*(MMInMarket=TRUE)</f>
        <v>0.5</v>
      </c>
      <c r="I122" s="71">
        <f>IF(I121=0,0,NORMDIST(I121,$J122,$D122,TRUE))*(MMInMarket=TRUE)</f>
        <v>0.5</v>
      </c>
      <c r="J122" s="44">
        <f>IF($J$24=0,0,SUM(E121:I121)/$J$24)</f>
        <v>3</v>
      </c>
      <c r="K122" s="241">
        <v>1.66</v>
      </c>
      <c r="L122" s="14">
        <f t="shared" si="19"/>
        <v>4.9799999999999995</v>
      </c>
      <c r="M122" s="261">
        <f t="shared" si="20"/>
        <v>0.97614823565849151</v>
      </c>
    </row>
    <row r="123" spans="1:13">
      <c r="A123" s="968"/>
      <c r="B123" s="968"/>
      <c r="C123" s="2"/>
      <c r="D123" s="39"/>
      <c r="E123" s="3"/>
      <c r="F123" s="3"/>
      <c r="G123" s="3"/>
      <c r="H123" s="3"/>
      <c r="I123" s="3"/>
      <c r="J123" s="3"/>
      <c r="K123" s="241">
        <v>2</v>
      </c>
      <c r="L123" s="14">
        <f t="shared" si="19"/>
        <v>6</v>
      </c>
      <c r="M123" s="261">
        <f t="shared" si="20"/>
        <v>0.9986501019683699</v>
      </c>
    </row>
    <row r="124" spans="1:13">
      <c r="A124" s="968"/>
      <c r="B124" s="968"/>
      <c r="C124" s="2"/>
      <c r="D124" s="39"/>
      <c r="E124" s="3"/>
      <c r="F124" s="3"/>
      <c r="G124" s="3"/>
      <c r="H124" s="3"/>
      <c r="I124" s="3"/>
      <c r="J124" s="3"/>
      <c r="L124" s="14"/>
      <c r="M124" s="241"/>
    </row>
    <row r="125" spans="1:13">
      <c r="A125" s="968"/>
      <c r="B125" s="968"/>
      <c r="C125" s="2"/>
      <c r="D125" s="39"/>
      <c r="E125" s="3"/>
      <c r="F125" s="3"/>
      <c r="G125" s="3"/>
      <c r="H125" s="3"/>
      <c r="I125" s="3"/>
      <c r="J125" s="3"/>
    </row>
    <row r="126" spans="1:13">
      <c r="A126" s="968"/>
      <c r="B126" s="968"/>
      <c r="C126" s="2"/>
      <c r="D126" s="39"/>
      <c r="E126" s="3"/>
      <c r="F126" s="3"/>
      <c r="G126" s="3"/>
      <c r="H126" s="3"/>
      <c r="I126" s="3"/>
      <c r="J126" s="3"/>
    </row>
    <row r="127" spans="1:13">
      <c r="A127" s="968"/>
      <c r="B127" s="968"/>
      <c r="C127" s="2"/>
      <c r="D127" s="39"/>
      <c r="E127" s="3"/>
      <c r="F127" s="3"/>
      <c r="G127" s="3"/>
      <c r="H127" s="3"/>
      <c r="I127" s="3"/>
      <c r="J127" s="3"/>
    </row>
    <row r="128" spans="1:13">
      <c r="A128" s="968"/>
      <c r="B128" s="968"/>
      <c r="C128" s="2"/>
      <c r="D128" s="39"/>
      <c r="E128" s="3"/>
      <c r="F128" s="3"/>
      <c r="G128" s="3"/>
      <c r="H128" s="3"/>
      <c r="I128" s="3"/>
      <c r="J128" s="3"/>
      <c r="L128" s="240" t="s">
        <v>3209</v>
      </c>
      <c r="M128" s="240" t="s">
        <v>3210</v>
      </c>
    </row>
    <row r="129" spans="1:13">
      <c r="A129" s="971"/>
      <c r="B129" s="969"/>
      <c r="C129" s="2"/>
      <c r="D129" s="39"/>
      <c r="E129" s="3"/>
      <c r="F129" s="3"/>
      <c r="G129" s="3"/>
      <c r="H129" s="3"/>
      <c r="I129" s="3"/>
      <c r="J129" s="3"/>
      <c r="K129" s="241">
        <v>0</v>
      </c>
      <c r="L129" s="14">
        <f t="shared" ref="L129:L135" si="21">K129*$J$134</f>
        <v>0</v>
      </c>
      <c r="M129" s="261">
        <f t="shared" ref="M129:M135" si="22">NORMDIST(L129,$J$134,$D$122,TRUE)</f>
        <v>0.5</v>
      </c>
    </row>
    <row r="130" spans="1:13">
      <c r="A130" s="971"/>
      <c r="B130" s="971" t="s">
        <v>2321</v>
      </c>
      <c r="C130" s="230" t="str">
        <f>xxMMProd4Driver9</f>
        <v>GTM Digitization</v>
      </c>
      <c r="D130" s="231"/>
      <c r="E130" s="1016">
        <f>IF(MMSegCurrent=1,capReg1ChanLevel,0)</f>
        <v>0</v>
      </c>
      <c r="F130" s="218">
        <f>IF(MMSegCurrent=1,capReg1ChanLevel,0)</f>
        <v>0</v>
      </c>
      <c r="G130" s="218">
        <f>IF(MMSegCurrent=1,capReg1ChanLevel,0)</f>
        <v>0</v>
      </c>
      <c r="H130" s="218">
        <f>IF(MMSegCurrent=1,capReg1ChanLevel,0)</f>
        <v>0</v>
      </c>
      <c r="I130" s="218">
        <f>IF(MMSegCurrent=1,capReg1ChanLevel,0)</f>
        <v>0</v>
      </c>
      <c r="J130" s="154"/>
      <c r="K130" s="241">
        <v>0.33</v>
      </c>
      <c r="L130" s="14">
        <f t="shared" si="21"/>
        <v>0</v>
      </c>
      <c r="M130" s="261">
        <f t="shared" si="22"/>
        <v>0.5</v>
      </c>
    </row>
    <row r="131" spans="1:13">
      <c r="A131" s="971"/>
      <c r="B131" s="971"/>
      <c r="C131" s="37"/>
      <c r="D131" s="38"/>
      <c r="E131" s="39"/>
      <c r="F131" s="39"/>
      <c r="G131" s="39"/>
      <c r="H131" s="39"/>
      <c r="I131" s="39"/>
      <c r="J131" s="40"/>
      <c r="K131" s="241">
        <v>0.66</v>
      </c>
      <c r="L131" s="14">
        <f t="shared" si="21"/>
        <v>0</v>
      </c>
      <c r="M131" s="261">
        <f t="shared" si="22"/>
        <v>0.5</v>
      </c>
    </row>
    <row r="132" spans="1:13">
      <c r="A132" s="971"/>
      <c r="B132" s="971"/>
      <c r="C132" s="37" t="s">
        <v>2383</v>
      </c>
      <c r="D132" s="38"/>
      <c r="E132" s="87">
        <f>E130</f>
        <v>0</v>
      </c>
      <c r="F132" s="87">
        <f>F130</f>
        <v>0</v>
      </c>
      <c r="G132" s="87">
        <f>G130</f>
        <v>0</v>
      </c>
      <c r="H132" s="87">
        <f>H130</f>
        <v>0</v>
      </c>
      <c r="I132" s="87">
        <f>I130</f>
        <v>0</v>
      </c>
      <c r="J132" s="40"/>
      <c r="K132" s="241">
        <v>1</v>
      </c>
      <c r="L132" s="14">
        <f t="shared" si="21"/>
        <v>0</v>
      </c>
      <c r="M132" s="261">
        <f t="shared" si="22"/>
        <v>0.5</v>
      </c>
    </row>
    <row r="133" spans="1:13">
      <c r="A133" s="971"/>
      <c r="B133" s="971"/>
      <c r="C133" s="37" t="s">
        <v>965</v>
      </c>
      <c r="D133" s="48">
        <v>1</v>
      </c>
      <c r="E133" s="87">
        <f>IF(MMInMarket=TRUE,E132,0)</f>
        <v>0</v>
      </c>
      <c r="F133" s="87">
        <f>IF(MMInMarket=TRUE,F132,0)</f>
        <v>0</v>
      </c>
      <c r="G133" s="87">
        <f>IF(MMInMarket=TRUE,G132,0)</f>
        <v>0</v>
      </c>
      <c r="H133" s="87">
        <f>IF(MMInMarket=TRUE,H132,0)</f>
        <v>0</v>
      </c>
      <c r="I133" s="87">
        <f>IF(MMInMarket=TRUE,I132,0)</f>
        <v>0</v>
      </c>
      <c r="J133" s="40"/>
      <c r="K133" s="241">
        <v>1.33</v>
      </c>
      <c r="L133" s="14">
        <f t="shared" si="21"/>
        <v>0</v>
      </c>
      <c r="M133" s="261">
        <f t="shared" si="22"/>
        <v>0.5</v>
      </c>
    </row>
    <row r="134" spans="1:13">
      <c r="A134" s="968"/>
      <c r="B134" s="968"/>
      <c r="C134" s="43" t="s">
        <v>2955</v>
      </c>
      <c r="D134" s="42">
        <f>STDEVP(E133:I133)*D133+(STDEVP(E133:I133)=0)</f>
        <v>1</v>
      </c>
      <c r="E134" s="71">
        <f>IF(E133=0,0,NORMDIST(E133,$J134,$D134,TRUE))*(MMInMarket=TRUE)</f>
        <v>0</v>
      </c>
      <c r="F134" s="71">
        <f>IF(F133=0,0,NORMDIST(F133,$J134,$D134,TRUE))*(MMInMarket=TRUE)</f>
        <v>0</v>
      </c>
      <c r="G134" s="71">
        <f>IF(G133=0,0,NORMDIST(G133,$J134,$D134,TRUE))*(MMInMarket=TRUE)</f>
        <v>0</v>
      </c>
      <c r="H134" s="71">
        <f>IF(H133=0,0,NORMDIST(H133,$J134,$D134,TRUE))*(MMInMarket=TRUE)</f>
        <v>0</v>
      </c>
      <c r="I134" s="71">
        <f>IF(I133=0,0,NORMDIST(I133,$J134,$D134,TRUE))*(MMInMarket=TRUE)</f>
        <v>0</v>
      </c>
      <c r="J134" s="44">
        <f>IF($J$24=0,0,SUM(E133:I133)/$J$24)</f>
        <v>0</v>
      </c>
      <c r="K134" s="241">
        <v>1.66</v>
      </c>
      <c r="L134" s="14">
        <f t="shared" si="21"/>
        <v>0</v>
      </c>
      <c r="M134" s="261">
        <f t="shared" si="22"/>
        <v>0.5</v>
      </c>
    </row>
    <row r="135" spans="1:13">
      <c r="A135" s="968"/>
      <c r="B135" s="968"/>
      <c r="C135" s="2"/>
      <c r="D135" s="39"/>
      <c r="E135" s="3"/>
      <c r="F135" s="3"/>
      <c r="G135" s="3"/>
      <c r="H135" s="3"/>
      <c r="I135" s="3"/>
      <c r="J135" s="3"/>
      <c r="K135" s="241">
        <v>2</v>
      </c>
      <c r="L135" s="14">
        <f t="shared" si="21"/>
        <v>0</v>
      </c>
      <c r="M135" s="261">
        <f t="shared" si="22"/>
        <v>0.5</v>
      </c>
    </row>
    <row r="136" spans="1:13">
      <c r="A136" s="968"/>
      <c r="B136" s="968"/>
      <c r="C136" s="2"/>
      <c r="D136" s="39"/>
      <c r="E136" s="3"/>
      <c r="F136" s="3"/>
      <c r="G136" s="3"/>
      <c r="H136" s="3"/>
      <c r="I136" s="3"/>
      <c r="J136" s="3"/>
      <c r="L136" s="14"/>
      <c r="M136" s="241"/>
    </row>
    <row r="137" spans="1:13" hidden="1">
      <c r="A137" s="968"/>
      <c r="B137" s="968"/>
      <c r="C137" s="2"/>
      <c r="D137" s="39"/>
      <c r="E137" s="3"/>
      <c r="F137" s="3"/>
      <c r="G137" s="3"/>
      <c r="H137" s="3"/>
      <c r="I137" s="3"/>
      <c r="J137" s="3"/>
    </row>
    <row r="138" spans="1:13" hidden="1">
      <c r="A138" s="968"/>
      <c r="B138" s="968"/>
      <c r="C138" s="2"/>
      <c r="D138" s="39"/>
      <c r="E138" s="3"/>
      <c r="F138" s="3"/>
      <c r="G138" s="3"/>
      <c r="H138" s="3"/>
      <c r="I138" s="3"/>
      <c r="J138" s="3"/>
    </row>
    <row r="139" spans="1:13" hidden="1">
      <c r="A139" s="968"/>
      <c r="B139" s="968"/>
      <c r="C139" s="2"/>
      <c r="D139" s="39"/>
      <c r="E139" s="3"/>
      <c r="F139" s="3"/>
      <c r="G139" s="3"/>
      <c r="H139" s="3"/>
      <c r="I139" s="3"/>
      <c r="J139" s="3"/>
    </row>
    <row r="140" spans="1:13" hidden="1">
      <c r="A140" s="968"/>
      <c r="B140" s="968"/>
      <c r="C140" s="2"/>
      <c r="D140" s="39"/>
      <c r="E140" s="3"/>
      <c r="F140" s="3"/>
      <c r="G140" s="3"/>
      <c r="H140" s="3"/>
      <c r="I140" s="3"/>
      <c r="J140" s="3"/>
      <c r="L140" s="240" t="s">
        <v>3209</v>
      </c>
      <c r="M140" s="240" t="s">
        <v>3210</v>
      </c>
    </row>
    <row r="141" spans="1:13" hidden="1">
      <c r="A141" s="971"/>
      <c r="B141" s="969"/>
      <c r="C141" s="2"/>
      <c r="D141" s="39"/>
      <c r="E141" s="3"/>
      <c r="F141" s="3"/>
      <c r="G141" s="3"/>
      <c r="H141" s="3"/>
      <c r="I141" s="3"/>
      <c r="J141" s="3"/>
      <c r="K141" s="241">
        <v>0</v>
      </c>
      <c r="L141" s="14">
        <f t="shared" ref="L141:L147" si="23">K141*$J$146</f>
        <v>0</v>
      </c>
      <c r="M141" s="261">
        <f t="shared" ref="M141:M147" si="24">NORMDIST(L141,$J$146,$D$122,TRUE)</f>
        <v>0.5</v>
      </c>
    </row>
    <row r="142" spans="1:13" hidden="1">
      <c r="A142" s="971"/>
      <c r="B142" s="971" t="s">
        <v>2322</v>
      </c>
      <c r="C142" s="230" t="str">
        <f>xxMMProd4Driver10</f>
        <v>Driver 10</v>
      </c>
      <c r="D142" s="231"/>
      <c r="E142" s="218"/>
      <c r="F142" s="218"/>
      <c r="G142" s="218"/>
      <c r="H142" s="218"/>
      <c r="I142" s="218"/>
      <c r="J142" s="154"/>
      <c r="K142" s="241">
        <v>0.33</v>
      </c>
      <c r="L142" s="14">
        <f t="shared" si="23"/>
        <v>0</v>
      </c>
      <c r="M142" s="261">
        <f t="shared" si="24"/>
        <v>0.5</v>
      </c>
    </row>
    <row r="143" spans="1:13" hidden="1">
      <c r="A143" s="971"/>
      <c r="B143" s="971"/>
      <c r="C143" s="37"/>
      <c r="D143" s="38"/>
      <c r="E143" s="39"/>
      <c r="F143" s="39"/>
      <c r="G143" s="39"/>
      <c r="H143" s="39"/>
      <c r="I143" s="39"/>
      <c r="J143" s="40"/>
      <c r="K143" s="241">
        <v>0.66</v>
      </c>
      <c r="L143" s="14">
        <f t="shared" si="23"/>
        <v>0</v>
      </c>
      <c r="M143" s="261">
        <f t="shared" si="24"/>
        <v>0.5</v>
      </c>
    </row>
    <row r="144" spans="1:13" hidden="1">
      <c r="A144" s="971"/>
      <c r="B144" s="971"/>
      <c r="C144" s="37" t="s">
        <v>2383</v>
      </c>
      <c r="D144" s="38"/>
      <c r="E144" s="87">
        <f>E142</f>
        <v>0</v>
      </c>
      <c r="F144" s="87">
        <f>F142</f>
        <v>0</v>
      </c>
      <c r="G144" s="87">
        <f>G142</f>
        <v>0</v>
      </c>
      <c r="H144" s="87">
        <f>H142</f>
        <v>0</v>
      </c>
      <c r="I144" s="87">
        <f>I142</f>
        <v>0</v>
      </c>
      <c r="J144" s="40"/>
      <c r="K144" s="241">
        <v>1</v>
      </c>
      <c r="L144" s="14">
        <f t="shared" si="23"/>
        <v>0</v>
      </c>
      <c r="M144" s="261">
        <f t="shared" si="24"/>
        <v>0.5</v>
      </c>
    </row>
    <row r="145" spans="1:13" hidden="1">
      <c r="A145" s="971"/>
      <c r="B145" s="971"/>
      <c r="C145" s="37" t="s">
        <v>965</v>
      </c>
      <c r="D145" s="48">
        <v>1</v>
      </c>
      <c r="E145" s="87">
        <f>IF(MMInMarket=TRUE,E144,0)</f>
        <v>0</v>
      </c>
      <c r="F145" s="87">
        <f>IF(MMInMarket=TRUE,F144,0)</f>
        <v>0</v>
      </c>
      <c r="G145" s="87">
        <f>IF(MMInMarket=TRUE,G144,0)</f>
        <v>0</v>
      </c>
      <c r="H145" s="87">
        <f>IF(MMInMarket=TRUE,H144,0)</f>
        <v>0</v>
      </c>
      <c r="I145" s="87">
        <f>IF(MMInMarket=TRUE,I144,0)</f>
        <v>0</v>
      </c>
      <c r="J145" s="40"/>
      <c r="K145" s="241">
        <v>1.33</v>
      </c>
      <c r="L145" s="14">
        <f t="shared" si="23"/>
        <v>0</v>
      </c>
      <c r="M145" s="261">
        <f t="shared" si="24"/>
        <v>0.5</v>
      </c>
    </row>
    <row r="146" spans="1:13" hidden="1">
      <c r="A146" s="971"/>
      <c r="B146" s="971"/>
      <c r="C146" s="43" t="s">
        <v>2957</v>
      </c>
      <c r="D146" s="42">
        <f>STDEVP(E145:I145)*D145+(STDEVP(E145:I145)=0)</f>
        <v>1</v>
      </c>
      <c r="E146" s="71">
        <f>IF(E145=0,0,NORMDIST(E145,$J146,$D146,TRUE))*(MMInMarket=TRUE)</f>
        <v>0</v>
      </c>
      <c r="F146" s="71">
        <f>IF(F145=0,0,NORMDIST(F145,$J146,$D146,TRUE))*(MMInMarket=TRUE)</f>
        <v>0</v>
      </c>
      <c r="G146" s="71">
        <f>IF(G145=0,0,NORMDIST(G145,$J146,$D146,TRUE))*(MMInMarket=TRUE)</f>
        <v>0</v>
      </c>
      <c r="H146" s="71">
        <f>IF(H145=0,0,NORMDIST(H145,$J146,$D146,TRUE))*(MMInMarket=TRUE)</f>
        <v>0</v>
      </c>
      <c r="I146" s="71">
        <f>IF(I145=0,0,NORMDIST(I145,$J146,$D146,TRUE))*(MMInMarket=TRUE)</f>
        <v>0</v>
      </c>
      <c r="J146" s="44">
        <f>IF($J$24=0,0,SUM(E145:I145)/$J$24)</f>
        <v>0</v>
      </c>
      <c r="K146" s="241">
        <v>1.66</v>
      </c>
      <c r="L146" s="14">
        <f t="shared" si="23"/>
        <v>0</v>
      </c>
      <c r="M146" s="261">
        <f t="shared" si="24"/>
        <v>0.5</v>
      </c>
    </row>
    <row r="147" spans="1:13" hidden="1">
      <c r="A147" s="971"/>
      <c r="B147" s="971"/>
      <c r="C147" s="156"/>
      <c r="D147" s="39"/>
      <c r="E147" s="3"/>
      <c r="F147" s="3"/>
      <c r="G147" s="3"/>
      <c r="H147" s="3"/>
      <c r="I147" s="3"/>
      <c r="J147" s="3"/>
      <c r="K147" s="241">
        <v>2</v>
      </c>
      <c r="L147" s="14">
        <f t="shared" si="23"/>
        <v>0</v>
      </c>
      <c r="M147" s="261">
        <f t="shared" si="24"/>
        <v>0.5</v>
      </c>
    </row>
    <row r="148" spans="1:13" hidden="1">
      <c r="A148" s="971"/>
      <c r="B148" s="971"/>
      <c r="C148" s="156"/>
      <c r="D148" s="39"/>
      <c r="E148" s="3"/>
      <c r="F148" s="3"/>
      <c r="G148" s="3"/>
      <c r="H148" s="3"/>
      <c r="I148" s="3"/>
      <c r="J148" s="3"/>
      <c r="K148" s="241"/>
      <c r="L148" s="14"/>
      <c r="M148" s="261"/>
    </row>
    <row r="149" spans="1:13" hidden="1">
      <c r="A149" s="971"/>
      <c r="B149" s="971"/>
      <c r="C149" s="156"/>
      <c r="D149" s="39"/>
      <c r="E149" s="3"/>
      <c r="F149" s="3"/>
      <c r="G149" s="3"/>
      <c r="H149" s="3"/>
      <c r="I149" s="3"/>
      <c r="J149" s="3"/>
      <c r="K149" s="3"/>
    </row>
    <row r="150" spans="1:13" hidden="1">
      <c r="A150" s="971"/>
      <c r="B150" s="971"/>
      <c r="C150" s="156"/>
      <c r="D150" s="39"/>
      <c r="E150" s="3"/>
      <c r="F150" s="3"/>
      <c r="G150" s="3"/>
      <c r="H150" s="3"/>
      <c r="I150" s="3"/>
      <c r="J150" s="3"/>
      <c r="K150" s="3"/>
    </row>
    <row r="151" spans="1:13">
      <c r="A151" s="971"/>
      <c r="B151" s="971"/>
      <c r="C151" s="156"/>
      <c r="D151" s="39"/>
      <c r="E151" s="3"/>
      <c r="F151" s="3"/>
      <c r="G151" s="3"/>
      <c r="H151" s="3"/>
      <c r="I151" s="3"/>
      <c r="J151" s="3"/>
    </row>
    <row r="152" spans="1:13">
      <c r="A152" s="971"/>
      <c r="B152" s="973"/>
    </row>
    <row r="153" spans="1:13">
      <c r="A153" s="968"/>
      <c r="B153" s="969" t="s">
        <v>1828</v>
      </c>
      <c r="C153" s="64"/>
      <c r="D153" s="42"/>
      <c r="E153" s="67"/>
      <c r="F153" s="67"/>
      <c r="G153" s="67"/>
      <c r="H153" s="67"/>
      <c r="I153" s="67"/>
      <c r="J153" s="67"/>
    </row>
    <row r="154" spans="1:13">
      <c r="A154" s="968"/>
      <c r="B154" s="969"/>
      <c r="C154" s="2"/>
      <c r="D154" s="39"/>
      <c r="E154" s="3"/>
      <c r="F154" s="3"/>
      <c r="G154" s="3"/>
      <c r="H154" s="3"/>
      <c r="I154" s="3"/>
      <c r="J154" s="3"/>
    </row>
    <row r="155" spans="1:13">
      <c r="A155" s="971"/>
      <c r="B155" s="971"/>
      <c r="C155" s="45" t="s">
        <v>1828</v>
      </c>
      <c r="D155" s="46"/>
      <c r="E155" s="469">
        <f>IF(MMSegCurrent=1,paramSpecProgReg1Prod4Sales,paramSpecProgReg2Prod4Sales)</f>
        <v>0</v>
      </c>
      <c r="F155" s="469">
        <f>IF(MMSegCurrent=1,paramSpecProgReg1Prod4Sales,paramSpecProgReg2Prod4Sales)</f>
        <v>0</v>
      </c>
      <c r="G155" s="469">
        <f>IF(MMSegCurrent=1,paramSpecProgReg1Prod4Sales,paramSpecProgReg2Prod4Sales)</f>
        <v>0</v>
      </c>
      <c r="H155" s="469">
        <f>IF(MMSegCurrent=1,paramSpecProgReg1Prod4Sales,paramSpecProgReg2Prod4Sales)</f>
        <v>0</v>
      </c>
      <c r="I155" s="469">
        <f>IF(MMSegCurrent=1,paramSpecProgReg1Prod4Sales,paramSpecProgReg2Prod4Sales)</f>
        <v>0</v>
      </c>
      <c r="J155" s="154"/>
    </row>
    <row r="156" spans="1:13">
      <c r="A156" s="971"/>
      <c r="B156" s="971"/>
      <c r="C156" s="37"/>
      <c r="D156" s="38"/>
      <c r="E156" s="48"/>
      <c r="F156" s="48"/>
      <c r="G156" s="48"/>
      <c r="H156" s="48"/>
      <c r="I156" s="48"/>
      <c r="J156" s="40"/>
    </row>
    <row r="157" spans="1:13">
      <c r="A157" s="971"/>
      <c r="B157" s="971"/>
      <c r="C157" s="37" t="s">
        <v>2383</v>
      </c>
      <c r="D157" s="38"/>
      <c r="E157" s="48">
        <f>E155</f>
        <v>0</v>
      </c>
      <c r="F157" s="48">
        <f>F155</f>
        <v>0</v>
      </c>
      <c r="G157" s="48">
        <f>G155</f>
        <v>0</v>
      </c>
      <c r="H157" s="48">
        <f>H155</f>
        <v>0</v>
      </c>
      <c r="I157" s="48">
        <f>I155</f>
        <v>0</v>
      </c>
      <c r="J157" s="40"/>
    </row>
    <row r="158" spans="1:13">
      <c r="A158" s="971"/>
      <c r="B158" s="971"/>
      <c r="C158" s="37" t="s">
        <v>965</v>
      </c>
      <c r="D158" s="38"/>
      <c r="E158" s="48">
        <f>IF(MMInMarket=TRUE,E157,0)</f>
        <v>0</v>
      </c>
      <c r="F158" s="48">
        <f>IF(MMInMarket=TRUE,F157,0)</f>
        <v>0</v>
      </c>
      <c r="G158" s="48">
        <f>IF(MMInMarket=TRUE,G157,0)</f>
        <v>0</v>
      </c>
      <c r="H158" s="48">
        <f>IF(MMInMarket=TRUE,H157,0)</f>
        <v>0</v>
      </c>
      <c r="I158" s="48">
        <f>IF(MMInMarket=TRUE,I157,0)</f>
        <v>0</v>
      </c>
      <c r="J158" s="40"/>
    </row>
    <row r="159" spans="1:13">
      <c r="A159" s="971"/>
      <c r="B159" s="971"/>
      <c r="C159" s="169" t="s">
        <v>1828</v>
      </c>
      <c r="D159" s="42"/>
      <c r="E159" s="71">
        <f>E158</f>
        <v>0</v>
      </c>
      <c r="F159" s="71">
        <f>F158</f>
        <v>0</v>
      </c>
      <c r="G159" s="71">
        <f>G158</f>
        <v>0</v>
      </c>
      <c r="H159" s="71">
        <f>H158</f>
        <v>0</v>
      </c>
      <c r="I159" s="71">
        <f>I158</f>
        <v>0</v>
      </c>
      <c r="J159" s="44"/>
    </row>
    <row r="160" spans="1:13">
      <c r="A160" s="968"/>
      <c r="B160" s="968"/>
    </row>
    <row r="161" spans="1:11">
      <c r="A161" s="968"/>
      <c r="B161" s="968"/>
      <c r="C161" s="64" t="s">
        <v>2323</v>
      </c>
      <c r="D161" s="42"/>
      <c r="E161" s="68" t="s">
        <v>129</v>
      </c>
      <c r="F161" s="68" t="s">
        <v>130</v>
      </c>
      <c r="G161" s="68" t="s">
        <v>131</v>
      </c>
      <c r="H161" s="68" t="s">
        <v>1133</v>
      </c>
      <c r="I161" s="68" t="s">
        <v>1134</v>
      </c>
      <c r="J161" s="3"/>
      <c r="K161" s="3"/>
    </row>
    <row r="162" spans="1:11">
      <c r="A162" s="968"/>
      <c r="B162" s="968"/>
      <c r="C162" s="228" t="str">
        <f>xxMMProd4Driver1</f>
        <v>Price</v>
      </c>
      <c r="D162" s="25"/>
      <c r="E162" s="229">
        <f>xxMMProd4Driver1</f>
        <v>29</v>
      </c>
      <c r="F162" s="229">
        <f>xxMMProd4Driver1</f>
        <v>40</v>
      </c>
      <c r="G162" s="229">
        <f>xxMMProd4Driver1</f>
        <v>0</v>
      </c>
      <c r="H162" s="229">
        <f>xxMMProd4Driver1</f>
        <v>0</v>
      </c>
      <c r="I162" s="229">
        <f>xxMMProd4Driver1</f>
        <v>0</v>
      </c>
      <c r="J162" s="3"/>
      <c r="K162" s="3"/>
    </row>
    <row r="163" spans="1:11">
      <c r="A163" s="968"/>
      <c r="B163" s="968"/>
      <c r="C163" s="228" t="str">
        <f>xxMMProd4Driver2</f>
        <v>Range Of Products</v>
      </c>
      <c r="D163" s="25"/>
      <c r="E163" s="229">
        <f>xxMMProd4Driver2</f>
        <v>8</v>
      </c>
      <c r="F163" s="229">
        <f>xxMMProd4Driver2</f>
        <v>9</v>
      </c>
      <c r="G163" s="229">
        <f>xxMMProd4Driver2</f>
        <v>0</v>
      </c>
      <c r="H163" s="229">
        <f>xxMMProd4Driver2</f>
        <v>0</v>
      </c>
      <c r="I163" s="229">
        <f>xxMMProd4Driver2</f>
        <v>0</v>
      </c>
      <c r="J163" s="3"/>
      <c r="K163" s="3"/>
    </row>
    <row r="164" spans="1:11">
      <c r="A164" s="968"/>
      <c r="B164" s="968"/>
      <c r="C164" s="228" t="str">
        <f>xxMMProd4Driver3</f>
        <v>Brands</v>
      </c>
      <c r="D164" s="25"/>
      <c r="E164" s="229">
        <f>xxMMProd4Driver3</f>
        <v>0</v>
      </c>
      <c r="F164" s="229">
        <f>xxMMProd4Driver3</f>
        <v>0</v>
      </c>
      <c r="G164" s="229">
        <f>xxMMProd4Driver3</f>
        <v>0</v>
      </c>
      <c r="H164" s="229">
        <f>xxMMProd4Driver3</f>
        <v>0</v>
      </c>
      <c r="I164" s="229">
        <f>xxMMProd4Driver3</f>
        <v>0</v>
      </c>
      <c r="J164" s="3"/>
      <c r="K164" s="3"/>
    </row>
    <row r="165" spans="1:11">
      <c r="A165" s="968"/>
      <c r="B165" s="968"/>
      <c r="C165" s="228" t="str">
        <f>xxMMProd4Driver4</f>
        <v>Advertising</v>
      </c>
      <c r="D165" s="25"/>
      <c r="E165" s="229">
        <f>xxMMProd4Driver4</f>
        <v>10</v>
      </c>
      <c r="F165" s="229">
        <f>xxMMProd4Driver4</f>
        <v>8</v>
      </c>
      <c r="G165" s="229">
        <f>xxMMProd4Driver4</f>
        <v>0</v>
      </c>
      <c r="H165" s="229">
        <f>xxMMProd4Driver4</f>
        <v>0</v>
      </c>
      <c r="I165" s="229">
        <f>xxMMProd4Driver4</f>
        <v>0</v>
      </c>
      <c r="J165" s="3"/>
      <c r="K165" s="3"/>
    </row>
    <row r="166" spans="1:11">
      <c r="A166" s="968"/>
      <c r="B166" s="968"/>
      <c r="C166" s="228" t="str">
        <f>xxMMProd4Driver5</f>
        <v>Promotion</v>
      </c>
      <c r="D166" s="25"/>
      <c r="E166" s="229">
        <f>xxMMProd4Driver5</f>
        <v>8</v>
      </c>
      <c r="F166" s="229">
        <f>xxMMProd4Driver5</f>
        <v>10</v>
      </c>
      <c r="G166" s="229">
        <f>xxMMProd4Driver5</f>
        <v>0</v>
      </c>
      <c r="H166" s="229">
        <f>xxMMProd4Driver5</f>
        <v>0</v>
      </c>
      <c r="I166" s="229">
        <f>xxMMProd4Driver5</f>
        <v>0</v>
      </c>
      <c r="J166" s="3"/>
      <c r="K166" s="3"/>
    </row>
    <row r="167" spans="1:11">
      <c r="A167" s="968"/>
      <c r="B167" s="968"/>
      <c r="C167" s="228" t="str">
        <f>xxMMProd4Driver6</f>
        <v>Sales Force</v>
      </c>
      <c r="D167" s="25"/>
      <c r="E167" s="229">
        <f>xxMMProd4Driver6</f>
        <v>6</v>
      </c>
      <c r="F167" s="229">
        <f>xxMMProd4Driver6</f>
        <v>15</v>
      </c>
      <c r="G167" s="229">
        <f>xxMMProd4Driver6</f>
        <v>0</v>
      </c>
      <c r="H167" s="229">
        <f>xxMMProd4Driver6</f>
        <v>0</v>
      </c>
      <c r="I167" s="229">
        <f>xxMMProd4Driver6</f>
        <v>0</v>
      </c>
      <c r="J167" s="3"/>
      <c r="K167" s="3"/>
    </row>
    <row r="168" spans="1:11">
      <c r="A168" s="968"/>
      <c r="B168" s="968"/>
      <c r="C168" s="228" t="str">
        <f>xxMMProd4Driver7</f>
        <v>Innovation</v>
      </c>
      <c r="D168" s="25"/>
      <c r="E168" s="229">
        <f>xxMMProd4Driver7</f>
        <v>9</v>
      </c>
      <c r="F168" s="229">
        <f>xxMMProd4Driver7</f>
        <v>7</v>
      </c>
      <c r="G168" s="229">
        <f>xxMMProd4Driver7</f>
        <v>0</v>
      </c>
      <c r="H168" s="229">
        <f>xxMMProd4Driver7</f>
        <v>0</v>
      </c>
      <c r="I168" s="229">
        <f>xxMMProd4Driver7</f>
        <v>0</v>
      </c>
      <c r="J168" s="3"/>
      <c r="K168" s="3"/>
    </row>
    <row r="169" spans="1:11">
      <c r="A169" s="968"/>
      <c r="B169" s="968"/>
      <c r="C169" s="228" t="str">
        <f>xxMMProd4Driver8</f>
        <v>Channel Penetration</v>
      </c>
      <c r="D169" s="25"/>
      <c r="E169" s="229">
        <f>xxMMProd4Driver8</f>
        <v>0</v>
      </c>
      <c r="F169" s="229">
        <f>xxMMProd4Driver8</f>
        <v>16</v>
      </c>
      <c r="G169" s="229">
        <f>xxMMProd4Driver8</f>
        <v>0</v>
      </c>
      <c r="H169" s="229">
        <f>xxMMProd4Driver8</f>
        <v>0</v>
      </c>
      <c r="I169" s="229">
        <f>xxMMProd4Driver8</f>
        <v>0</v>
      </c>
      <c r="J169" s="3"/>
      <c r="K169" s="3"/>
    </row>
    <row r="170" spans="1:11">
      <c r="A170" s="968"/>
      <c r="B170" s="968"/>
      <c r="C170" s="228" t="str">
        <f>xxMMProd4Driver9</f>
        <v>GTM Digitization</v>
      </c>
      <c r="D170" s="25"/>
      <c r="E170" s="229">
        <f>xxMMProd4Driver9</f>
        <v>16</v>
      </c>
      <c r="F170" s="229">
        <f>xxMMProd4Driver9</f>
        <v>0</v>
      </c>
      <c r="G170" s="229">
        <f>xxMMProd4Driver9</f>
        <v>0</v>
      </c>
      <c r="H170" s="229">
        <f>xxMMProd4Driver9</f>
        <v>0</v>
      </c>
      <c r="I170" s="229">
        <f>xxMMProd4Driver9</f>
        <v>0</v>
      </c>
      <c r="J170" s="3"/>
      <c r="K170" s="3"/>
    </row>
    <row r="171" spans="1:11">
      <c r="A171" s="968"/>
      <c r="B171" s="968"/>
      <c r="C171" s="228" t="str">
        <f>xxMMProd4Driver10</f>
        <v>Driver 10</v>
      </c>
      <c r="D171" s="25"/>
      <c r="E171" s="229">
        <f>xxMMProd4Driver10</f>
        <v>0</v>
      </c>
      <c r="F171" s="229">
        <f>xxMMProd4Driver10</f>
        <v>0</v>
      </c>
      <c r="G171" s="229">
        <f>xxMMProd4Driver10</f>
        <v>0</v>
      </c>
      <c r="H171" s="229">
        <f>xxMMProd4Driver10</f>
        <v>0</v>
      </c>
      <c r="I171" s="229">
        <f>xxMMProd4Driver10</f>
        <v>0</v>
      </c>
      <c r="J171" s="3"/>
      <c r="K171" s="3"/>
    </row>
    <row r="172" spans="1:11">
      <c r="A172" s="968"/>
      <c r="B172" s="968"/>
      <c r="C172" s="3"/>
      <c r="D172" s="39"/>
      <c r="E172" s="86"/>
      <c r="F172" s="86"/>
      <c r="G172" s="86"/>
      <c r="H172" s="86"/>
      <c r="I172" s="86"/>
      <c r="J172" s="3"/>
      <c r="K172" s="3"/>
    </row>
    <row r="173" spans="1:11" ht="12" thickBot="1">
      <c r="A173" s="971"/>
      <c r="B173" s="971"/>
      <c r="C173" s="2"/>
      <c r="D173" s="39"/>
      <c r="E173" s="3"/>
      <c r="F173" s="3"/>
      <c r="G173" s="3"/>
      <c r="H173" s="3"/>
      <c r="I173" s="3"/>
      <c r="J173" s="3"/>
      <c r="K173" s="3"/>
    </row>
    <row r="174" spans="1:11" ht="12" thickBot="1">
      <c r="A174" s="971"/>
      <c r="B174" s="971"/>
      <c r="C174" s="282" t="str">
        <f>"Market Model Calculation Segment " &amp;MMSegCurrent &amp; " " &amp; MMSegName</f>
        <v>Market Model Calculation Segment 2 Escendia</v>
      </c>
      <c r="D174" s="283"/>
      <c r="E174" s="284"/>
      <c r="F174" s="284"/>
      <c r="G174" s="285"/>
      <c r="H174" s="285"/>
      <c r="I174" s="285"/>
      <c r="J174" s="285"/>
      <c r="K174" s="286"/>
    </row>
    <row r="175" spans="1:11" ht="12" thickBot="1">
      <c r="A175" s="971"/>
      <c r="B175" s="971"/>
      <c r="C175" s="282" t="s">
        <v>2672</v>
      </c>
      <c r="D175" s="685">
        <f>D19</f>
        <v>3977670000</v>
      </c>
      <c r="E175" s="283"/>
      <c r="F175" s="287"/>
      <c r="G175" s="283"/>
      <c r="H175" s="288"/>
      <c r="I175" s="289" t="s">
        <v>2673</v>
      </c>
      <c r="J175" s="290">
        <f>INDEX(D13:D17,$D$10)</f>
        <v>1215000000</v>
      </c>
      <c r="K175" s="286"/>
    </row>
    <row r="176" spans="1:11">
      <c r="A176" s="971"/>
      <c r="B176" s="971"/>
      <c r="C176" s="291" t="s">
        <v>2958</v>
      </c>
      <c r="D176" s="292"/>
      <c r="E176" s="293" t="s">
        <v>1834</v>
      </c>
      <c r="F176" s="293" t="s">
        <v>1835</v>
      </c>
      <c r="G176" s="293" t="s">
        <v>1836</v>
      </c>
      <c r="H176" s="293" t="s">
        <v>1837</v>
      </c>
      <c r="I176" s="293" t="s">
        <v>1838</v>
      </c>
      <c r="J176" s="293"/>
      <c r="K176" s="294"/>
    </row>
    <row r="177" spans="1:11">
      <c r="A177" s="971"/>
      <c r="B177" s="971"/>
      <c r="C177" s="295" t="str">
        <f t="shared" ref="C177:C186" si="25">C162</f>
        <v>Price</v>
      </c>
      <c r="D177" s="296">
        <f t="shared" ref="D177:D186" si="26">INDEX(E162:I162,,MMSegCurrent)</f>
        <v>40</v>
      </c>
      <c r="E177" s="297">
        <f>$D177*E32</f>
        <v>20</v>
      </c>
      <c r="F177" s="298">
        <f>$D177*F32</f>
        <v>20</v>
      </c>
      <c r="G177" s="298">
        <f>$D177*G32</f>
        <v>20</v>
      </c>
      <c r="H177" s="298">
        <f>$D177*H32</f>
        <v>20</v>
      </c>
      <c r="I177" s="299">
        <f>$D177*I32</f>
        <v>20</v>
      </c>
      <c r="J177" s="300">
        <f t="shared" ref="J177:J187" si="27">SUM(E177:I177)</f>
        <v>100</v>
      </c>
      <c r="K177" s="294"/>
    </row>
    <row r="178" spans="1:11">
      <c r="A178" s="971"/>
      <c r="B178" s="971"/>
      <c r="C178" s="295" t="str">
        <f t="shared" si="25"/>
        <v>Range Of Products</v>
      </c>
      <c r="D178" s="296">
        <f t="shared" si="26"/>
        <v>9</v>
      </c>
      <c r="E178" s="301">
        <f>$D178*E44</f>
        <v>4.5</v>
      </c>
      <c r="F178" s="296">
        <f>$D178*F44</f>
        <v>4.5</v>
      </c>
      <c r="G178" s="296">
        <f>$D178*G44</f>
        <v>4.5</v>
      </c>
      <c r="H178" s="296">
        <f>$D178*H44</f>
        <v>4.5</v>
      </c>
      <c r="I178" s="302">
        <f>$D178*I44</f>
        <v>4.5</v>
      </c>
      <c r="J178" s="303">
        <f t="shared" si="27"/>
        <v>22.5</v>
      </c>
      <c r="K178" s="294"/>
    </row>
    <row r="179" spans="1:11">
      <c r="A179" s="971"/>
      <c r="B179" s="971"/>
      <c r="C179" s="295" t="str">
        <f t="shared" si="25"/>
        <v>Brands</v>
      </c>
      <c r="D179" s="296">
        <f t="shared" si="26"/>
        <v>0</v>
      </c>
      <c r="E179" s="301">
        <f>$D179*E60</f>
        <v>0</v>
      </c>
      <c r="F179" s="296">
        <f>$D179*F60</f>
        <v>0</v>
      </c>
      <c r="G179" s="296">
        <f>$D179*G60</f>
        <v>0</v>
      </c>
      <c r="H179" s="296">
        <f>$D179*H60</f>
        <v>0</v>
      </c>
      <c r="I179" s="302">
        <f>$D179*I60</f>
        <v>0</v>
      </c>
      <c r="J179" s="303">
        <f t="shared" si="27"/>
        <v>0</v>
      </c>
      <c r="K179" s="294"/>
    </row>
    <row r="180" spans="1:11">
      <c r="A180" s="971"/>
      <c r="B180" s="971"/>
      <c r="C180" s="295" t="str">
        <f t="shared" si="25"/>
        <v>Advertising</v>
      </c>
      <c r="D180" s="296">
        <f t="shared" si="26"/>
        <v>8</v>
      </c>
      <c r="E180" s="301">
        <f>$D180*E73</f>
        <v>4</v>
      </c>
      <c r="F180" s="296">
        <f>$D180*F73</f>
        <v>4</v>
      </c>
      <c r="G180" s="296">
        <f>$D180*G73</f>
        <v>4</v>
      </c>
      <c r="H180" s="296">
        <f>$D180*H73</f>
        <v>4</v>
      </c>
      <c r="I180" s="302">
        <f>$D180*I73</f>
        <v>4</v>
      </c>
      <c r="J180" s="303">
        <f t="shared" si="27"/>
        <v>20</v>
      </c>
      <c r="K180" s="294"/>
    </row>
    <row r="181" spans="1:11">
      <c r="A181" s="971"/>
      <c r="B181" s="971"/>
      <c r="C181" s="295" t="str">
        <f t="shared" si="25"/>
        <v>Promotion</v>
      </c>
      <c r="D181" s="296">
        <f t="shared" si="26"/>
        <v>10</v>
      </c>
      <c r="E181" s="301">
        <f>$D181*E86</f>
        <v>5</v>
      </c>
      <c r="F181" s="296">
        <f>$D181*F86</f>
        <v>5</v>
      </c>
      <c r="G181" s="296">
        <f>$D181*G86</f>
        <v>5</v>
      </c>
      <c r="H181" s="296">
        <f>$D181*H86</f>
        <v>5</v>
      </c>
      <c r="I181" s="302">
        <f>$D181*I86</f>
        <v>5</v>
      </c>
      <c r="J181" s="303">
        <f t="shared" si="27"/>
        <v>25</v>
      </c>
      <c r="K181" s="294"/>
    </row>
    <row r="182" spans="1:11">
      <c r="A182" s="971"/>
      <c r="B182" s="971"/>
      <c r="C182" s="295" t="str">
        <f t="shared" si="25"/>
        <v>Sales Force</v>
      </c>
      <c r="D182" s="296">
        <f t="shared" si="26"/>
        <v>15</v>
      </c>
      <c r="E182" s="301">
        <f>$D182*E98</f>
        <v>7.5</v>
      </c>
      <c r="F182" s="296">
        <f>$D182*F98</f>
        <v>7.5</v>
      </c>
      <c r="G182" s="296">
        <f>$D182*G98</f>
        <v>7.5</v>
      </c>
      <c r="H182" s="296">
        <f>$D182*H98</f>
        <v>7.5</v>
      </c>
      <c r="I182" s="302">
        <f>$D182*I98</f>
        <v>7.5</v>
      </c>
      <c r="J182" s="303">
        <f t="shared" si="27"/>
        <v>37.5</v>
      </c>
      <c r="K182" s="294"/>
    </row>
    <row r="183" spans="1:11">
      <c r="A183" s="971"/>
      <c r="B183" s="971"/>
      <c r="C183" s="295" t="str">
        <f t="shared" si="25"/>
        <v>Innovation</v>
      </c>
      <c r="D183" s="296">
        <f t="shared" si="26"/>
        <v>7</v>
      </c>
      <c r="E183" s="301">
        <f>$D183*E110</f>
        <v>0</v>
      </c>
      <c r="F183" s="296">
        <f>$D183*F110</f>
        <v>0</v>
      </c>
      <c r="G183" s="296">
        <f>$D183*G110</f>
        <v>0</v>
      </c>
      <c r="H183" s="296">
        <f>$D183*H110</f>
        <v>0</v>
      </c>
      <c r="I183" s="302">
        <f>$D183*I110</f>
        <v>0</v>
      </c>
      <c r="J183" s="303">
        <f t="shared" si="27"/>
        <v>0</v>
      </c>
      <c r="K183" s="294"/>
    </row>
    <row r="184" spans="1:11">
      <c r="A184" s="971"/>
      <c r="B184" s="971"/>
      <c r="C184" s="295" t="str">
        <f t="shared" si="25"/>
        <v>Channel Penetration</v>
      </c>
      <c r="D184" s="296">
        <f t="shared" si="26"/>
        <v>16</v>
      </c>
      <c r="E184" s="301">
        <f>$D184*E122</f>
        <v>8</v>
      </c>
      <c r="F184" s="296">
        <f>$D184*F122</f>
        <v>8</v>
      </c>
      <c r="G184" s="296">
        <f>$D184*G122</f>
        <v>8</v>
      </c>
      <c r="H184" s="296">
        <f>$D184*H122</f>
        <v>8</v>
      </c>
      <c r="I184" s="302">
        <f>$D184*I122</f>
        <v>8</v>
      </c>
      <c r="J184" s="303">
        <f t="shared" si="27"/>
        <v>40</v>
      </c>
      <c r="K184" s="294"/>
    </row>
    <row r="185" spans="1:11">
      <c r="A185" s="971"/>
      <c r="B185" s="971"/>
      <c r="C185" s="295" t="str">
        <f t="shared" si="25"/>
        <v>GTM Digitization</v>
      </c>
      <c r="D185" s="296">
        <f t="shared" si="26"/>
        <v>0</v>
      </c>
      <c r="E185" s="301">
        <f>$D185*E134</f>
        <v>0</v>
      </c>
      <c r="F185" s="296">
        <f>$D185*F134</f>
        <v>0</v>
      </c>
      <c r="G185" s="296">
        <f>$D185*G134</f>
        <v>0</v>
      </c>
      <c r="H185" s="296">
        <f>$D185*H134</f>
        <v>0</v>
      </c>
      <c r="I185" s="302">
        <f>$D185*I134</f>
        <v>0</v>
      </c>
      <c r="J185" s="303">
        <f t="shared" si="27"/>
        <v>0</v>
      </c>
      <c r="K185" s="294"/>
    </row>
    <row r="186" spans="1:11">
      <c r="A186" s="971"/>
      <c r="B186" s="971"/>
      <c r="C186" s="295" t="str">
        <f t="shared" si="25"/>
        <v>Driver 10</v>
      </c>
      <c r="D186" s="296">
        <f t="shared" si="26"/>
        <v>0</v>
      </c>
      <c r="E186" s="301">
        <f>$D186*E146</f>
        <v>0</v>
      </c>
      <c r="F186" s="296">
        <f>$D186*F146</f>
        <v>0</v>
      </c>
      <c r="G186" s="296">
        <f>$D186*G146</f>
        <v>0</v>
      </c>
      <c r="H186" s="296">
        <f>$D186*H146</f>
        <v>0</v>
      </c>
      <c r="I186" s="302">
        <f>$D186*I146</f>
        <v>0</v>
      </c>
      <c r="J186" s="303">
        <f t="shared" si="27"/>
        <v>0</v>
      </c>
      <c r="K186" s="294"/>
    </row>
    <row r="187" spans="1:11">
      <c r="A187" s="971"/>
      <c r="B187" s="971"/>
      <c r="C187" s="304" t="s">
        <v>1828</v>
      </c>
      <c r="D187" s="273"/>
      <c r="E187" s="305">
        <f>E159*SUM($E$177:$I$186)</f>
        <v>0</v>
      </c>
      <c r="F187" s="306">
        <f>F159*SUM($E$177:$I$186)</f>
        <v>0</v>
      </c>
      <c r="G187" s="306">
        <f>G159*SUM($E$177:$I$186)</f>
        <v>0</v>
      </c>
      <c r="H187" s="306">
        <f>H159*SUM($E$177:$I$186)</f>
        <v>0</v>
      </c>
      <c r="I187" s="307">
        <f>I159*SUM($E$177:$I$186)</f>
        <v>0</v>
      </c>
      <c r="J187" s="303">
        <f t="shared" si="27"/>
        <v>0</v>
      </c>
      <c r="K187" s="294"/>
    </row>
    <row r="188" spans="1:11" ht="12" thickBot="1">
      <c r="A188" s="971"/>
      <c r="B188" s="971"/>
      <c r="C188" s="295" t="s">
        <v>2959</v>
      </c>
      <c r="D188" s="273"/>
      <c r="E188" s="308">
        <f t="shared" ref="E188:J188" si="28">SUM(E177:E187)</f>
        <v>49</v>
      </c>
      <c r="F188" s="309">
        <f t="shared" si="28"/>
        <v>49</v>
      </c>
      <c r="G188" s="309">
        <f t="shared" si="28"/>
        <v>49</v>
      </c>
      <c r="H188" s="309">
        <f t="shared" si="28"/>
        <v>49</v>
      </c>
      <c r="I188" s="310">
        <f t="shared" si="28"/>
        <v>49</v>
      </c>
      <c r="J188" s="311">
        <f t="shared" si="28"/>
        <v>245</v>
      </c>
      <c r="K188" s="294"/>
    </row>
    <row r="189" spans="1:11">
      <c r="A189" s="971"/>
      <c r="B189" s="971"/>
      <c r="C189" s="295" t="s">
        <v>974</v>
      </c>
      <c r="D189" s="273"/>
      <c r="E189" s="273">
        <f>RANK(E188,$E188:$I188)</f>
        <v>1</v>
      </c>
      <c r="F189" s="273">
        <f>RANK(F188,$E188:$I188)</f>
        <v>1</v>
      </c>
      <c r="G189" s="273">
        <f>RANK(G188,$E188:$I188)</f>
        <v>1</v>
      </c>
      <c r="H189" s="273">
        <f>RANK(H188,$E188:$I188)</f>
        <v>1</v>
      </c>
      <c r="I189" s="273">
        <f>RANK(I188,$E188:$I188)</f>
        <v>1</v>
      </c>
      <c r="J189" s="623" t="s">
        <v>2227</v>
      </c>
      <c r="K189" s="294"/>
    </row>
    <row r="190" spans="1:11" s="33" customFormat="1">
      <c r="A190" s="971"/>
      <c r="B190" s="971"/>
      <c r="C190" s="295" t="s">
        <v>3201</v>
      </c>
      <c r="D190" s="273"/>
      <c r="E190" s="621">
        <f>E188/SUM($E188:$I188)</f>
        <v>0.2</v>
      </c>
      <c r="F190" s="621">
        <f>F188/SUM($E188:$I188)</f>
        <v>0.2</v>
      </c>
      <c r="G190" s="621">
        <f>G188/SUM($E188:$I188)</f>
        <v>0.2</v>
      </c>
      <c r="H190" s="621">
        <f>H188/SUM($E188:$I188)</f>
        <v>0.2</v>
      </c>
      <c r="I190" s="621">
        <f>I188/SUM($E188:$I188)</f>
        <v>0.2</v>
      </c>
      <c r="J190" s="622">
        <v>0.45</v>
      </c>
      <c r="K190" s="294"/>
    </row>
    <row r="191" spans="1:11" s="33" customFormat="1">
      <c r="A191" s="971"/>
      <c r="B191" s="971"/>
      <c r="C191" s="295" t="s">
        <v>1999</v>
      </c>
      <c r="D191" s="273"/>
      <c r="E191" s="620">
        <f>1/xxNumOfTeams</f>
        <v>0.2</v>
      </c>
      <c r="F191" s="620">
        <f>1/xxNumOfTeams</f>
        <v>0.2</v>
      </c>
      <c r="G191" s="620">
        <f>1/xxNumOfTeams</f>
        <v>0.2</v>
      </c>
      <c r="H191" s="620">
        <f>1/xxNumOfTeams</f>
        <v>0.2</v>
      </c>
      <c r="I191" s="620">
        <f>1/xxNumOfTeams</f>
        <v>0.2</v>
      </c>
      <c r="J191" s="622">
        <v>0.55000000000000004</v>
      </c>
      <c r="K191" s="294"/>
    </row>
    <row r="192" spans="1:11" ht="12" thickBot="1">
      <c r="A192" s="968"/>
      <c r="B192" s="968"/>
      <c r="C192" s="312" t="s">
        <v>2830</v>
      </c>
      <c r="D192" s="313"/>
      <c r="E192" s="366">
        <f>SUMPRODUCT(E190:E191,$J$190:$J$191)</f>
        <v>0.2</v>
      </c>
      <c r="F192" s="366">
        <f>SUMPRODUCT(F190:F191,$J$190:$J$191)</f>
        <v>0.2</v>
      </c>
      <c r="G192" s="366">
        <f>SUMPRODUCT(G190:G191,$J$190:$J$191)</f>
        <v>0.2</v>
      </c>
      <c r="H192" s="366">
        <f>SUMPRODUCT(H190:H191,$J$190:$J$191)</f>
        <v>0.2</v>
      </c>
      <c r="I192" s="366">
        <f>SUMPRODUCT(I190:I191,$J$190:$J$191)</f>
        <v>0.2</v>
      </c>
      <c r="J192" s="612">
        <f>J175</f>
        <v>1215000000</v>
      </c>
      <c r="K192" s="368" t="s">
        <v>2327</v>
      </c>
    </row>
    <row r="193" spans="1:11">
      <c r="A193" s="971"/>
      <c r="B193" s="971"/>
      <c r="C193" s="2"/>
      <c r="D193" s="39"/>
      <c r="E193" s="3"/>
      <c r="F193" s="3"/>
      <c r="G193" s="3"/>
      <c r="H193" s="3"/>
      <c r="I193" s="3"/>
      <c r="J193" s="3"/>
      <c r="K193" s="30"/>
    </row>
    <row r="194" spans="1:11">
      <c r="A194" s="971"/>
      <c r="B194" s="971"/>
      <c r="C194" s="49" t="s">
        <v>2830</v>
      </c>
      <c r="D194" s="95"/>
      <c r="E194" s="95"/>
      <c r="F194" s="95"/>
      <c r="G194" s="95"/>
      <c r="H194" s="95"/>
      <c r="I194" s="95"/>
      <c r="J194" s="96"/>
      <c r="K194" s="30"/>
    </row>
    <row r="195" spans="1:11">
      <c r="A195" s="971"/>
      <c r="B195" s="971"/>
      <c r="C195" s="91" t="s">
        <v>129</v>
      </c>
      <c r="D195" s="359" t="s">
        <v>2329</v>
      </c>
      <c r="E195" s="670">
        <v>0.2</v>
      </c>
      <c r="F195" s="671">
        <v>0.2</v>
      </c>
      <c r="G195" s="671">
        <v>0.2</v>
      </c>
      <c r="H195" s="671">
        <v>0.2</v>
      </c>
      <c r="I195" s="671">
        <v>0.2</v>
      </c>
      <c r="J195" s="362">
        <v>2708500000</v>
      </c>
      <c r="K195" s="363" t="s">
        <v>2328</v>
      </c>
    </row>
    <row r="196" spans="1:11">
      <c r="A196" s="971"/>
      <c r="B196" s="971"/>
      <c r="C196" s="91" t="s">
        <v>130</v>
      </c>
      <c r="D196" s="21"/>
      <c r="E196" s="671">
        <v>0.2</v>
      </c>
      <c r="F196" s="671">
        <v>0.2</v>
      </c>
      <c r="G196" s="671">
        <v>0.2</v>
      </c>
      <c r="H196" s="671">
        <v>0.2</v>
      </c>
      <c r="I196" s="671">
        <v>0.2</v>
      </c>
      <c r="J196" s="362">
        <v>1125000000</v>
      </c>
    </row>
    <row r="197" spans="1:11">
      <c r="A197" s="971"/>
      <c r="B197" s="971"/>
      <c r="C197" s="91" t="s">
        <v>131</v>
      </c>
      <c r="D197" s="21"/>
      <c r="E197" s="361"/>
      <c r="F197" s="361"/>
      <c r="G197" s="361"/>
      <c r="H197" s="361"/>
      <c r="I197" s="361"/>
      <c r="J197" s="362"/>
    </row>
    <row r="198" spans="1:11">
      <c r="A198" s="971"/>
      <c r="B198" s="971"/>
      <c r="C198" s="91" t="s">
        <v>1133</v>
      </c>
      <c r="D198" s="21"/>
      <c r="E198" s="361"/>
      <c r="F198" s="361"/>
      <c r="G198" s="361"/>
      <c r="H198" s="361"/>
      <c r="I198" s="361"/>
      <c r="J198" s="362"/>
    </row>
    <row r="199" spans="1:11">
      <c r="A199" s="971"/>
      <c r="B199" s="971"/>
      <c r="C199" s="91" t="s">
        <v>1134</v>
      </c>
      <c r="D199" s="21"/>
      <c r="E199" s="361"/>
      <c r="F199" s="361"/>
      <c r="G199" s="361"/>
      <c r="H199" s="361"/>
      <c r="I199" s="361"/>
      <c r="J199" s="362"/>
    </row>
    <row r="200" spans="1:11">
      <c r="A200" s="971"/>
      <c r="B200" s="971"/>
      <c r="C200" s="206"/>
      <c r="D200" s="207"/>
      <c r="E200" s="242"/>
      <c r="F200" s="242"/>
      <c r="G200" s="242"/>
      <c r="H200" s="242"/>
      <c r="I200" s="242"/>
      <c r="J200" s="243"/>
    </row>
    <row r="201" spans="1:11">
      <c r="A201" s="971"/>
      <c r="B201" s="971"/>
    </row>
    <row r="202" spans="1:11">
      <c r="A202" s="971"/>
      <c r="B202" s="971"/>
      <c r="C202" s="49" t="s">
        <v>3939</v>
      </c>
      <c r="D202" s="95"/>
      <c r="E202" s="60" t="s">
        <v>3119</v>
      </c>
      <c r="F202" s="60"/>
      <c r="G202" s="60"/>
      <c r="H202" s="60"/>
      <c r="I202" s="60"/>
      <c r="J202" s="96"/>
    </row>
    <row r="203" spans="1:11">
      <c r="A203" s="971"/>
      <c r="B203" s="971"/>
      <c r="C203" s="91" t="s">
        <v>129</v>
      </c>
      <c r="D203" s="21"/>
      <c r="E203" s="918"/>
      <c r="F203" s="918"/>
      <c r="G203" s="918"/>
      <c r="H203" s="918"/>
      <c r="I203" s="918"/>
      <c r="J203" s="97"/>
    </row>
    <row r="204" spans="1:11">
      <c r="A204" s="971"/>
      <c r="B204" s="971"/>
      <c r="C204" s="91" t="s">
        <v>130</v>
      </c>
      <c r="D204" s="21"/>
      <c r="E204" s="918"/>
      <c r="F204" s="918"/>
      <c r="G204" s="918"/>
      <c r="H204" s="918"/>
      <c r="I204" s="918"/>
      <c r="J204" s="97"/>
    </row>
    <row r="205" spans="1:11">
      <c r="A205" s="971"/>
      <c r="B205" s="971"/>
      <c r="C205" s="91" t="s">
        <v>131</v>
      </c>
      <c r="D205" s="21"/>
      <c r="E205" s="904"/>
      <c r="F205" s="904"/>
      <c r="G205" s="904"/>
      <c r="H205" s="904"/>
      <c r="I205" s="904"/>
      <c r="J205" s="97"/>
    </row>
    <row r="206" spans="1:11">
      <c r="A206" s="971"/>
      <c r="B206" s="971"/>
      <c r="C206" s="91" t="s">
        <v>1133</v>
      </c>
      <c r="D206" s="21"/>
      <c r="E206" s="904"/>
      <c r="F206" s="904"/>
      <c r="G206" s="904"/>
      <c r="H206" s="904"/>
      <c r="I206" s="904"/>
      <c r="J206" s="97"/>
    </row>
    <row r="207" spans="1:11">
      <c r="A207" s="971"/>
      <c r="B207" s="971"/>
      <c r="C207" s="91" t="s">
        <v>1134</v>
      </c>
      <c r="D207" s="21"/>
      <c r="E207" s="904"/>
      <c r="F207" s="904"/>
      <c r="G207" s="904"/>
      <c r="H207" s="904"/>
      <c r="I207" s="904"/>
      <c r="J207" s="97"/>
    </row>
    <row r="208" spans="1:11">
      <c r="A208" s="971"/>
      <c r="B208" s="971"/>
      <c r="C208" s="206"/>
      <c r="D208" s="207"/>
      <c r="E208" s="207"/>
      <c r="F208" s="207"/>
      <c r="G208" s="207"/>
      <c r="H208" s="207"/>
      <c r="I208" s="207"/>
      <c r="J208" s="208"/>
    </row>
    <row r="209" spans="1:11">
      <c r="A209" s="971"/>
      <c r="B209" s="971"/>
    </row>
    <row r="210" spans="1:11">
      <c r="A210" s="971"/>
      <c r="B210" s="971"/>
      <c r="C210" s="49" t="s">
        <v>3744</v>
      </c>
      <c r="D210" s="95"/>
      <c r="E210" s="95"/>
      <c r="F210" s="95"/>
      <c r="G210" s="95"/>
      <c r="H210" s="95"/>
      <c r="I210" s="95"/>
      <c r="J210" s="96" t="s">
        <v>1403</v>
      </c>
    </row>
    <row r="211" spans="1:11">
      <c r="A211" s="971"/>
      <c r="B211" s="971"/>
      <c r="C211" s="91" t="s">
        <v>129</v>
      </c>
      <c r="D211" s="21"/>
      <c r="E211" s="248">
        <f t="shared" ref="E211:I212" si="29">E195+E203</f>
        <v>0.2</v>
      </c>
      <c r="F211" s="248">
        <f t="shared" si="29"/>
        <v>0.2</v>
      </c>
      <c r="G211" s="248">
        <f t="shared" si="29"/>
        <v>0.2</v>
      </c>
      <c r="H211" s="248">
        <f t="shared" si="29"/>
        <v>0.2</v>
      </c>
      <c r="I211" s="248">
        <f t="shared" si="29"/>
        <v>0.2</v>
      </c>
      <c r="J211" s="101">
        <f>J195</f>
        <v>2708500000</v>
      </c>
    </row>
    <row r="212" spans="1:11">
      <c r="A212" s="971"/>
      <c r="B212" s="971"/>
      <c r="C212" s="91" t="s">
        <v>130</v>
      </c>
      <c r="D212" s="21"/>
      <c r="E212" s="248">
        <f>E196+E204</f>
        <v>0.2</v>
      </c>
      <c r="F212" s="248">
        <f t="shared" si="29"/>
        <v>0.2</v>
      </c>
      <c r="G212" s="248">
        <f t="shared" si="29"/>
        <v>0.2</v>
      </c>
      <c r="H212" s="248">
        <f t="shared" si="29"/>
        <v>0.2</v>
      </c>
      <c r="I212" s="248">
        <f t="shared" si="29"/>
        <v>0.2</v>
      </c>
      <c r="J212" s="101">
        <f>J196</f>
        <v>1125000000</v>
      </c>
    </row>
    <row r="213" spans="1:11">
      <c r="A213" s="971"/>
      <c r="B213" s="971"/>
      <c r="C213" s="91" t="s">
        <v>131</v>
      </c>
      <c r="D213" s="21"/>
      <c r="E213" s="244">
        <f t="shared" ref="E213:I215" si="30">IF(ISBLANK(E205),E197,E205)</f>
        <v>0</v>
      </c>
      <c r="F213" s="244">
        <f t="shared" si="30"/>
        <v>0</v>
      </c>
      <c r="G213" s="244">
        <f t="shared" si="30"/>
        <v>0</v>
      </c>
      <c r="H213" s="244">
        <f t="shared" si="30"/>
        <v>0</v>
      </c>
      <c r="I213" s="244">
        <f t="shared" si="30"/>
        <v>0</v>
      </c>
      <c r="J213" s="101">
        <f>J197</f>
        <v>0</v>
      </c>
    </row>
    <row r="214" spans="1:11">
      <c r="A214" s="971"/>
      <c r="B214" s="971"/>
      <c r="C214" s="91" t="s">
        <v>1133</v>
      </c>
      <c r="D214" s="21"/>
      <c r="E214" s="244">
        <f t="shared" si="30"/>
        <v>0</v>
      </c>
      <c r="F214" s="244">
        <f t="shared" si="30"/>
        <v>0</v>
      </c>
      <c r="G214" s="244">
        <f t="shared" si="30"/>
        <v>0</v>
      </c>
      <c r="H214" s="244">
        <f t="shared" si="30"/>
        <v>0</v>
      </c>
      <c r="I214" s="244">
        <f t="shared" si="30"/>
        <v>0</v>
      </c>
      <c r="J214" s="101">
        <f>J198</f>
        <v>0</v>
      </c>
    </row>
    <row r="215" spans="1:11">
      <c r="A215" s="971"/>
      <c r="B215" s="971"/>
      <c r="C215" s="91" t="s">
        <v>1134</v>
      </c>
      <c r="D215" s="21"/>
      <c r="E215" s="244">
        <f t="shared" si="30"/>
        <v>0</v>
      </c>
      <c r="F215" s="244">
        <f t="shared" si="30"/>
        <v>0</v>
      </c>
      <c r="G215" s="244">
        <f t="shared" si="30"/>
        <v>0</v>
      </c>
      <c r="H215" s="244">
        <f t="shared" si="30"/>
        <v>0</v>
      </c>
      <c r="I215" s="244">
        <f t="shared" si="30"/>
        <v>0</v>
      </c>
      <c r="J215" s="101">
        <f>J199</f>
        <v>0</v>
      </c>
    </row>
    <row r="216" spans="1:11">
      <c r="A216" s="971"/>
      <c r="B216" s="971"/>
      <c r="C216" s="206"/>
      <c r="D216" s="207"/>
      <c r="E216" s="242"/>
      <c r="F216" s="242"/>
      <c r="G216" s="242"/>
      <c r="H216" s="242"/>
      <c r="I216" s="242"/>
      <c r="J216" s="208"/>
    </row>
    <row r="217" spans="1:11">
      <c r="A217" s="971"/>
      <c r="B217" s="971"/>
      <c r="C217" s="93" t="s">
        <v>1136</v>
      </c>
      <c r="D217" s="94"/>
      <c r="E217" s="245">
        <f>SUMPRODUCT(E211:E216,$J$211:$J$216)</f>
        <v>766700000</v>
      </c>
      <c r="F217" s="245">
        <f>SUMPRODUCT(F211:F216,$J$211:$J$216)</f>
        <v>766700000</v>
      </c>
      <c r="G217" s="245">
        <f>SUMPRODUCT(G211:G216,$J$211:$J$216)</f>
        <v>766700000</v>
      </c>
      <c r="H217" s="245">
        <f>SUMPRODUCT(H211:H216,$J$211:$J$216)</f>
        <v>766700000</v>
      </c>
      <c r="I217" s="245">
        <f>SUMPRODUCT(I211:I216,$J$211:$J$216)</f>
        <v>766700000</v>
      </c>
      <c r="J217" s="103">
        <f>SUM(E217:I217)</f>
        <v>3833500000</v>
      </c>
    </row>
    <row r="218" spans="1:11">
      <c r="A218" s="968"/>
      <c r="B218" s="968"/>
      <c r="C218" s="30" t="s">
        <v>2830</v>
      </c>
      <c r="D218" s="30"/>
      <c r="E218" s="679">
        <f>E217/$J$217</f>
        <v>0.2</v>
      </c>
      <c r="F218" s="679">
        <f>F217/$J$217</f>
        <v>0.2</v>
      </c>
      <c r="G218" s="679">
        <f>G217/$J$217</f>
        <v>0.2</v>
      </c>
      <c r="H218" s="679">
        <f>H217/$J$217</f>
        <v>0.2</v>
      </c>
      <c r="I218" s="679">
        <f>I217/$J$217</f>
        <v>0.2</v>
      </c>
    </row>
    <row r="219" spans="1:11">
      <c r="A219" s="968"/>
      <c r="B219" s="968"/>
      <c r="C219" s="2"/>
      <c r="D219" s="39"/>
      <c r="E219" s="3"/>
      <c r="F219" s="3"/>
      <c r="G219" s="3"/>
      <c r="H219" s="3"/>
      <c r="I219" s="3"/>
      <c r="J219" s="3"/>
      <c r="K219" s="3"/>
    </row>
    <row r="220" spans="1:11">
      <c r="A220" s="968"/>
      <c r="B220" s="968"/>
      <c r="C220" s="2" t="s">
        <v>947</v>
      </c>
      <c r="D220" s="3"/>
      <c r="E220" s="72">
        <f>E211</f>
        <v>0.2</v>
      </c>
      <c r="F220" s="72">
        <f>F211</f>
        <v>0.2</v>
      </c>
      <c r="G220" s="72">
        <f>G211</f>
        <v>0.2</v>
      </c>
      <c r="H220" s="72">
        <f>H211</f>
        <v>0.2</v>
      </c>
      <c r="I220" s="72">
        <f>I211</f>
        <v>0.2</v>
      </c>
      <c r="J220" s="3"/>
      <c r="K220" s="3" t="s">
        <v>3152</v>
      </c>
    </row>
    <row r="221" spans="1:11">
      <c r="A221" s="968"/>
      <c r="B221" s="968"/>
      <c r="C221" s="73" t="s">
        <v>976</v>
      </c>
      <c r="D221" s="61"/>
      <c r="E221" s="197">
        <f>ROUNDDOWN(E211*$J211,0)</f>
        <v>541700000</v>
      </c>
      <c r="F221" s="197">
        <f>ROUNDDOWN(F211*$J211,0)</f>
        <v>541700000</v>
      </c>
      <c r="G221" s="197">
        <f>ROUNDDOWN(G211*$J211,0)</f>
        <v>541700000</v>
      </c>
      <c r="H221" s="197">
        <f>ROUNDDOWN(H211*$J211,0)</f>
        <v>541700000</v>
      </c>
      <c r="I221" s="197">
        <f>ROUNDDOWN(I211*$J211,0)</f>
        <v>541700000</v>
      </c>
      <c r="J221" s="199">
        <f>SUM(E221:I221)</f>
        <v>2708500000</v>
      </c>
      <c r="K221" s="37"/>
    </row>
    <row r="222" spans="1:11">
      <c r="A222" s="968"/>
      <c r="B222" s="968"/>
      <c r="C222" s="233" t="s">
        <v>977</v>
      </c>
      <c r="D222" s="150"/>
      <c r="E222" s="232">
        <f>capProd4Reg1Units</f>
        <v>552534000</v>
      </c>
      <c r="F222" s="232">
        <f>capProd4Reg1Units</f>
        <v>552534000</v>
      </c>
      <c r="G222" s="232">
        <f>capProd4Reg1Units</f>
        <v>552534000</v>
      </c>
      <c r="H222" s="232">
        <f>capProd4Reg1Units</f>
        <v>552534000</v>
      </c>
      <c r="I222" s="232">
        <f>capProd4Reg1Units</f>
        <v>552534000</v>
      </c>
      <c r="J222" s="198">
        <f>SUM(E222:I222)</f>
        <v>2762670000</v>
      </c>
      <c r="K222" s="37"/>
    </row>
    <row r="223" spans="1:11">
      <c r="A223" s="968"/>
      <c r="B223" s="968"/>
      <c r="C223" s="37" t="s">
        <v>3325</v>
      </c>
      <c r="D223" s="38"/>
      <c r="E223" s="87">
        <f>E222-E221</f>
        <v>10834000</v>
      </c>
      <c r="F223" s="87">
        <f>F222-F221</f>
        <v>10834000</v>
      </c>
      <c r="G223" s="87">
        <f>G222-G221</f>
        <v>10834000</v>
      </c>
      <c r="H223" s="87">
        <f>H222-H221</f>
        <v>10834000</v>
      </c>
      <c r="I223" s="87">
        <f>I222-I221</f>
        <v>10834000</v>
      </c>
      <c r="J223" s="200">
        <f>SUM(E223:I223)-SUMPRODUCT(E223:I223,E224:I224)</f>
        <v>0</v>
      </c>
      <c r="K223" s="37"/>
    </row>
    <row r="224" spans="1:11">
      <c r="A224" s="968"/>
      <c r="B224" s="968"/>
      <c r="C224" s="37" t="s">
        <v>1068</v>
      </c>
      <c r="D224" s="38"/>
      <c r="E224" s="38">
        <f>1*(E223&gt;0)</f>
        <v>1</v>
      </c>
      <c r="F224" s="38">
        <f>1*(F223&gt;0)</f>
        <v>1</v>
      </c>
      <c r="G224" s="38">
        <f>1*(G223&gt;0)</f>
        <v>1</v>
      </c>
      <c r="H224" s="38">
        <f>1*(H223&gt;0)</f>
        <v>1</v>
      </c>
      <c r="I224" s="38">
        <f>1*(I223&gt;0)</f>
        <v>1</v>
      </c>
      <c r="J224" s="37">
        <f>SUM(E224:I224)</f>
        <v>5</v>
      </c>
      <c r="K224" s="37"/>
    </row>
    <row r="225" spans="1:11">
      <c r="A225" s="968"/>
      <c r="B225" s="968"/>
      <c r="C225" s="37" t="s">
        <v>1069</v>
      </c>
      <c r="D225" s="38"/>
      <c r="E225" s="48">
        <f>IF(AND(E224&gt;0,E221&gt;0),+E220*E224/SUMPRODUCT($E220:$I220,$E224:$I224),0)</f>
        <v>0.2</v>
      </c>
      <c r="F225" s="48">
        <f>IF(AND(F224&gt;0,F221&gt;0),+F220*F224/SUMPRODUCT($E220:$I220,$E224:$I224),0)</f>
        <v>0.2</v>
      </c>
      <c r="G225" s="48">
        <f>IF(AND(G224&gt;0,G221&gt;0),+G220*G224/SUMPRODUCT($E220:$I220,$E224:$I224),0)</f>
        <v>0.2</v>
      </c>
      <c r="H225" s="48">
        <f>IF(AND(H224&gt;0,H221&gt;0),+H220*H224/SUMPRODUCT($E220:$I220,$E224:$I224),0)</f>
        <v>0.2</v>
      </c>
      <c r="I225" s="48">
        <f>IF(AND(I224&gt;0,I221&gt;0),+I220*I224/SUMPRODUCT($E220:$I220,$E224:$I224),0)</f>
        <v>0.2</v>
      </c>
      <c r="J225" s="37"/>
      <c r="K225" s="37"/>
    </row>
    <row r="226" spans="1:11">
      <c r="A226" s="968"/>
      <c r="B226" s="968"/>
      <c r="C226" s="37" t="s">
        <v>3782</v>
      </c>
      <c r="D226" s="38"/>
      <c r="E226" s="39">
        <f>-MAX(-E223,ROUND(E225*$J223,0))*E224</f>
        <v>0</v>
      </c>
      <c r="F226" s="39">
        <f>-MAX(-F223,ROUND(F225*$J223,0))*F224</f>
        <v>0</v>
      </c>
      <c r="G226" s="39">
        <f>-MAX(-G223,ROUND(G225*$J223,0))*G224</f>
        <v>0</v>
      </c>
      <c r="H226" s="39">
        <f>-MAX(-H223,ROUND(H225*$J223,0))*H224</f>
        <v>0</v>
      </c>
      <c r="I226" s="39">
        <f>-MAX(-I223,ROUND(I225*$J223,0))*I224</f>
        <v>0</v>
      </c>
      <c r="J226" s="37">
        <f>ROUND(SUM(E226:I226),0)</f>
        <v>0</v>
      </c>
      <c r="K226" s="37"/>
    </row>
    <row r="227" spans="1:11">
      <c r="A227" s="968"/>
      <c r="B227" s="968"/>
      <c r="C227" s="37" t="s">
        <v>2324</v>
      </c>
      <c r="D227" s="38"/>
      <c r="E227" s="236"/>
      <c r="F227" s="236"/>
      <c r="G227" s="236"/>
      <c r="H227" s="236"/>
      <c r="I227" s="237"/>
      <c r="J227" s="37"/>
      <c r="K227" s="37"/>
    </row>
    <row r="228" spans="1:11">
      <c r="A228" s="968"/>
      <c r="B228" s="968"/>
      <c r="C228" s="37" t="s">
        <v>3783</v>
      </c>
      <c r="D228" s="38"/>
      <c r="E228" s="234"/>
      <c r="F228" s="234"/>
      <c r="G228" s="234"/>
      <c r="H228" s="234"/>
      <c r="I228" s="235"/>
      <c r="J228" s="37"/>
      <c r="K228" s="37"/>
    </row>
    <row r="229" spans="1:11">
      <c r="A229" s="968"/>
      <c r="B229" s="968"/>
      <c r="C229" s="37" t="s">
        <v>3784</v>
      </c>
      <c r="D229" s="38"/>
      <c r="E229" s="87">
        <f>MIN(E222,E223-E228-E226-E227*$J221)</f>
        <v>10834000</v>
      </c>
      <c r="F229" s="87">
        <f>MIN(F222,F223-F228-F226-F227*$J221)</f>
        <v>10834000</v>
      </c>
      <c r="G229" s="87">
        <f>MIN(G222,G223-G228-G226-G227*$J221)</f>
        <v>10834000</v>
      </c>
      <c r="H229" s="87">
        <f>MIN(H222,H223-H228-H226-H227*$J221)</f>
        <v>10834000</v>
      </c>
      <c r="I229" s="87">
        <f>MIN(I222,I223-I228-I226-I227*$J221)</f>
        <v>10834000</v>
      </c>
      <c r="J229" s="198"/>
      <c r="K229" s="37"/>
    </row>
    <row r="230" spans="1:11">
      <c r="A230" s="968"/>
      <c r="B230" s="968"/>
      <c r="C230" s="37" t="s">
        <v>3785</v>
      </c>
      <c r="D230" s="38"/>
      <c r="E230" s="87">
        <f>MAX(E229,0)</f>
        <v>10834000</v>
      </c>
      <c r="F230" s="87">
        <f>MAX(F229,0)</f>
        <v>10834000</v>
      </c>
      <c r="G230" s="87">
        <f>MAX(G229,0)</f>
        <v>10834000</v>
      </c>
      <c r="H230" s="87">
        <f>MAX(H229,0)</f>
        <v>10834000</v>
      </c>
      <c r="I230" s="87">
        <f>MAX(I229,0)</f>
        <v>10834000</v>
      </c>
      <c r="J230" s="198"/>
      <c r="K230" s="37"/>
    </row>
    <row r="231" spans="1:11">
      <c r="A231" s="968"/>
      <c r="B231" s="968"/>
      <c r="C231" s="74" t="s">
        <v>3786</v>
      </c>
      <c r="D231" s="38"/>
      <c r="E231" s="178">
        <f>MAX(0,MIN(E221+E226+E228+E227*$J221,E222))</f>
        <v>541700000</v>
      </c>
      <c r="F231" s="178">
        <f>MAX(0,MIN(F221+F226+F228+F227*$J221,F222))</f>
        <v>541700000</v>
      </c>
      <c r="G231" s="178">
        <f>MAX(0,MIN(G221+G226+G228+G227*$J221,G222))</f>
        <v>541700000</v>
      </c>
      <c r="H231" s="178">
        <f>MAX(0,MIN(H221+H226+H228+H227*$J221,H222))</f>
        <v>541700000</v>
      </c>
      <c r="I231" s="178">
        <f>MAX(0,MIN(I221+I226+I228+I227*$J221,I222))</f>
        <v>541700000</v>
      </c>
      <c r="J231" s="198">
        <f>SUM(E231:I231)</f>
        <v>2708500000</v>
      </c>
      <c r="K231" s="198" t="s">
        <v>151</v>
      </c>
    </row>
    <row r="232" spans="1:11">
      <c r="A232" s="968"/>
      <c r="B232" s="968"/>
      <c r="C232" s="63" t="s">
        <v>3787</v>
      </c>
      <c r="D232" s="67"/>
      <c r="E232" s="618">
        <f>E231/MAX(1,$J231)</f>
        <v>0.2</v>
      </c>
      <c r="F232" s="618">
        <f>F231/MAX(1,$J231)</f>
        <v>0.2</v>
      </c>
      <c r="G232" s="618">
        <f>G231/MAX(1,$J231)</f>
        <v>0.2</v>
      </c>
      <c r="H232" s="618">
        <f>H231/MAX(1,$J231)</f>
        <v>0.2</v>
      </c>
      <c r="I232" s="618">
        <f>I231/MAX(1,$J231)</f>
        <v>0.2</v>
      </c>
      <c r="J232" s="198">
        <f>J221-J231</f>
        <v>0</v>
      </c>
      <c r="K232" s="198" t="s">
        <v>3153</v>
      </c>
    </row>
    <row r="233" spans="1:11">
      <c r="A233" s="968"/>
      <c r="B233" s="968"/>
      <c r="C233" s="75" t="s">
        <v>974</v>
      </c>
      <c r="D233" s="35"/>
      <c r="E233" s="35">
        <f>RANK(E232,$E$232:$I$232)</f>
        <v>1</v>
      </c>
      <c r="F233" s="35">
        <f>RANK(F232,$E$232:$I$232)</f>
        <v>1</v>
      </c>
      <c r="G233" s="35">
        <f>RANK(G232,$E$232:$I$232)</f>
        <v>1</v>
      </c>
      <c r="H233" s="35">
        <f>RANK(H232,$E$232:$I$232)</f>
        <v>1</v>
      </c>
      <c r="I233" s="35">
        <f>RANK(I232,$E$232:$I$232)</f>
        <v>1</v>
      </c>
      <c r="J233" s="63"/>
      <c r="K233" s="37"/>
    </row>
    <row r="234" spans="1:11">
      <c r="A234" s="968"/>
      <c r="B234" s="968"/>
      <c r="C234" s="2"/>
      <c r="D234" s="39"/>
      <c r="E234" s="3"/>
      <c r="F234" s="3"/>
      <c r="G234" s="3"/>
      <c r="H234" s="3"/>
      <c r="I234" s="3"/>
      <c r="J234" s="3"/>
      <c r="K234" s="3"/>
    </row>
    <row r="235" spans="1:11">
      <c r="A235" s="968"/>
      <c r="B235" s="968"/>
      <c r="C235" s="2" t="s">
        <v>948</v>
      </c>
      <c r="D235" s="3"/>
      <c r="E235" s="72">
        <f>E212</f>
        <v>0.2</v>
      </c>
      <c r="F235" s="72">
        <f>F212</f>
        <v>0.2</v>
      </c>
      <c r="G235" s="72">
        <f>G212</f>
        <v>0.2</v>
      </c>
      <c r="H235" s="72">
        <f>H212</f>
        <v>0.2</v>
      </c>
      <c r="I235" s="72">
        <f>I212</f>
        <v>0.2</v>
      </c>
      <c r="J235" s="3"/>
      <c r="K235" s="3" t="s">
        <v>3154</v>
      </c>
    </row>
    <row r="236" spans="1:11">
      <c r="A236" s="968"/>
      <c r="B236" s="968"/>
      <c r="C236" s="73" t="s">
        <v>976</v>
      </c>
      <c r="D236" s="61"/>
      <c r="E236" s="197">
        <f>ROUNDDOWN(E212*$J212,0)</f>
        <v>225000000</v>
      </c>
      <c r="F236" s="197">
        <f>ROUNDDOWN(F212*$J212,0)</f>
        <v>225000000</v>
      </c>
      <c r="G236" s="197">
        <f>ROUNDDOWN(G212*$J212,0)</f>
        <v>225000000</v>
      </c>
      <c r="H236" s="197">
        <f>ROUNDDOWN(H212*$J212,0)</f>
        <v>225000000</v>
      </c>
      <c r="I236" s="197">
        <f>ROUNDDOWN(I212*$J212,0)</f>
        <v>225000000</v>
      </c>
      <c r="J236" s="199">
        <f>SUM(E236:I236)</f>
        <v>1125000000</v>
      </c>
      <c r="K236" s="198"/>
    </row>
    <row r="237" spans="1:11">
      <c r="A237" s="968"/>
      <c r="B237" s="968"/>
      <c r="C237" s="233" t="s">
        <v>977</v>
      </c>
      <c r="D237" s="150"/>
      <c r="E237" s="232">
        <f>capProd4Reg2Units</f>
        <v>243000000</v>
      </c>
      <c r="F237" s="232">
        <f>capProd4Reg2Units</f>
        <v>243000000</v>
      </c>
      <c r="G237" s="232">
        <f>capProd4Reg2Units</f>
        <v>243000000</v>
      </c>
      <c r="H237" s="232">
        <f>capProd4Reg2Units</f>
        <v>243000000</v>
      </c>
      <c r="I237" s="232">
        <f>capProd4Reg2Units</f>
        <v>243000000</v>
      </c>
      <c r="J237" s="198">
        <f>SUM(E237:I237)</f>
        <v>1215000000</v>
      </c>
      <c r="K237" s="37"/>
    </row>
    <row r="238" spans="1:11">
      <c r="A238" s="968"/>
      <c r="B238" s="968"/>
      <c r="C238" s="37" t="s">
        <v>3325</v>
      </c>
      <c r="D238" s="38"/>
      <c r="E238" s="87">
        <f>E237-E236</f>
        <v>18000000</v>
      </c>
      <c r="F238" s="87">
        <f>F237-F236</f>
        <v>18000000</v>
      </c>
      <c r="G238" s="87">
        <f>G237-G236</f>
        <v>18000000</v>
      </c>
      <c r="H238" s="87">
        <f>H237-H236</f>
        <v>18000000</v>
      </c>
      <c r="I238" s="87">
        <f>I237-I236</f>
        <v>18000000</v>
      </c>
      <c r="J238" s="200">
        <f>SUM(E238:I238)-SUMPRODUCT(E238:I238,E239:I239)</f>
        <v>0</v>
      </c>
      <c r="K238" s="37"/>
    </row>
    <row r="239" spans="1:11">
      <c r="A239" s="968"/>
      <c r="B239" s="968"/>
      <c r="C239" s="37" t="s">
        <v>1068</v>
      </c>
      <c r="D239" s="38"/>
      <c r="E239" s="38">
        <f>1*(E238&gt;0)</f>
        <v>1</v>
      </c>
      <c r="F239" s="38">
        <f>1*(F238&gt;0)</f>
        <v>1</v>
      </c>
      <c r="G239" s="38">
        <f>1*(G238&gt;0)</f>
        <v>1</v>
      </c>
      <c r="H239" s="38">
        <f>1*(H238&gt;0)</f>
        <v>1</v>
      </c>
      <c r="I239" s="38">
        <f>1*(I238&gt;0)</f>
        <v>1</v>
      </c>
      <c r="J239" s="37">
        <f>SUM(E239:I239)</f>
        <v>5</v>
      </c>
      <c r="K239" s="37"/>
    </row>
    <row r="240" spans="1:11">
      <c r="A240" s="968"/>
      <c r="B240" s="968"/>
      <c r="C240" s="37" t="s">
        <v>1069</v>
      </c>
      <c r="D240" s="38"/>
      <c r="E240" s="48">
        <f>IF(AND(E239&gt;0,E236&gt;0),+E235*E239/SUMPRODUCT($E235:$I235,$E239:$I239),0)</f>
        <v>0.2</v>
      </c>
      <c r="F240" s="48">
        <f>IF(AND(F239&gt;0,F236&gt;0),+F235*F239/SUMPRODUCT($E235:$I235,$E239:$I239),0)</f>
        <v>0.2</v>
      </c>
      <c r="G240" s="48">
        <f>IF(AND(G239&gt;0,G236&gt;0),+G235*G239/SUMPRODUCT($E235:$I235,$E239:$I239),0)</f>
        <v>0.2</v>
      </c>
      <c r="H240" s="48">
        <f>IF(AND(H239&gt;0,H236&gt;0),+H235*H239/SUMPRODUCT($E235:$I235,$E239:$I239),0)</f>
        <v>0.2</v>
      </c>
      <c r="I240" s="48">
        <f>IF(AND(I239&gt;0,I236&gt;0),+I235*I239/SUMPRODUCT($E235:$I235,$E239:$I239),0)</f>
        <v>0.2</v>
      </c>
      <c r="J240" s="37"/>
      <c r="K240" s="37"/>
    </row>
    <row r="241" spans="1:11">
      <c r="A241" s="968"/>
      <c r="B241" s="968"/>
      <c r="C241" s="37" t="s">
        <v>3782</v>
      </c>
      <c r="D241" s="38"/>
      <c r="E241" s="39">
        <f>-MAX(-E238,ROUND(E240*$J238,0))*E239</f>
        <v>0</v>
      </c>
      <c r="F241" s="39">
        <f>-MAX(-F238,ROUND(F240*$J238,0))*F239</f>
        <v>0</v>
      </c>
      <c r="G241" s="39">
        <f>-MAX(-G238,ROUND(G240*$J238,0))*G239</f>
        <v>0</v>
      </c>
      <c r="H241" s="39">
        <f>-MAX(-H238,ROUND(H240*$J238,0))*H239</f>
        <v>0</v>
      </c>
      <c r="I241" s="39">
        <f>-MAX(-I238,ROUND(I240*$J238,0))*I239</f>
        <v>0</v>
      </c>
      <c r="J241" s="37">
        <f>ROUND(SUM(E241:I241),0)</f>
        <v>0</v>
      </c>
      <c r="K241" s="37"/>
    </row>
    <row r="242" spans="1:11">
      <c r="A242" s="968"/>
      <c r="B242" s="968"/>
      <c r="C242" s="37" t="s">
        <v>2324</v>
      </c>
      <c r="D242" s="38"/>
      <c r="E242" s="236"/>
      <c r="F242" s="236"/>
      <c r="G242" s="236"/>
      <c r="H242" s="236"/>
      <c r="I242" s="237"/>
      <c r="J242" s="37"/>
      <c r="K242" s="37"/>
    </row>
    <row r="243" spans="1:11">
      <c r="A243" s="968"/>
      <c r="B243" s="968"/>
      <c r="C243" s="37" t="s">
        <v>3783</v>
      </c>
      <c r="D243" s="38"/>
      <c r="E243" s="234"/>
      <c r="F243" s="234"/>
      <c r="G243" s="234"/>
      <c r="H243" s="234"/>
      <c r="I243" s="235"/>
      <c r="J243" s="37"/>
      <c r="K243" s="37"/>
    </row>
    <row r="244" spans="1:11">
      <c r="A244" s="968"/>
      <c r="B244" s="968"/>
      <c r="C244" s="37" t="s">
        <v>3784</v>
      </c>
      <c r="D244" s="38"/>
      <c r="E244" s="87">
        <f>MIN(E237,E238-E243-E241-E242*$J236)</f>
        <v>18000000</v>
      </c>
      <c r="F244" s="87">
        <f>MIN(F237,F238-F243-F241-F242*$J236)</f>
        <v>18000000</v>
      </c>
      <c r="G244" s="87">
        <f>MIN(G237,G238-G243-G241-G242*$J236)</f>
        <v>18000000</v>
      </c>
      <c r="H244" s="87">
        <f>MIN(H237,H238-H243-H241-H242*$J236)</f>
        <v>18000000</v>
      </c>
      <c r="I244" s="87">
        <f>MIN(I237,I238-I243-I241-I242*$J236)</f>
        <v>18000000</v>
      </c>
      <c r="J244" s="198"/>
      <c r="K244" s="37"/>
    </row>
    <row r="245" spans="1:11">
      <c r="A245" s="968"/>
      <c r="B245" s="968"/>
      <c r="C245" s="37" t="s">
        <v>3785</v>
      </c>
      <c r="D245" s="38"/>
      <c r="E245" s="87">
        <f>MAX(E244,0)</f>
        <v>18000000</v>
      </c>
      <c r="F245" s="87">
        <f>MAX(F244,0)</f>
        <v>18000000</v>
      </c>
      <c r="G245" s="87">
        <f>MAX(G244,0)</f>
        <v>18000000</v>
      </c>
      <c r="H245" s="87">
        <f>MAX(H244,0)</f>
        <v>18000000</v>
      </c>
      <c r="I245" s="87">
        <f>MAX(I244,0)</f>
        <v>18000000</v>
      </c>
      <c r="J245" s="198"/>
      <c r="K245" s="37"/>
    </row>
    <row r="246" spans="1:11">
      <c r="A246" s="968"/>
      <c r="B246" s="968"/>
      <c r="C246" s="74" t="s">
        <v>3786</v>
      </c>
      <c r="D246" s="38"/>
      <c r="E246" s="178">
        <f>MAX(0,MIN(E236+E241+E243+E242*$J236,E237))</f>
        <v>225000000</v>
      </c>
      <c r="F246" s="178">
        <f>MAX(0,MIN(F236+F241+F243+F242*$J236,F237))</f>
        <v>225000000</v>
      </c>
      <c r="G246" s="178">
        <f>MAX(0,MIN(G236+G241+G243+G242*$J236,G237))</f>
        <v>225000000</v>
      </c>
      <c r="H246" s="178">
        <f>MAX(0,MIN(H236+H241+H243+H242*$J236,H237))</f>
        <v>225000000</v>
      </c>
      <c r="I246" s="178">
        <f>MAX(0,MIN(I236+I241+I243+I242*$J236,I237))</f>
        <v>225000000</v>
      </c>
      <c r="J246" s="198">
        <f>SUM(E246:I246)</f>
        <v>1125000000</v>
      </c>
      <c r="K246" s="198" t="s">
        <v>152</v>
      </c>
    </row>
    <row r="247" spans="1:11">
      <c r="A247" s="968"/>
      <c r="B247" s="968"/>
      <c r="C247" s="63" t="s">
        <v>3787</v>
      </c>
      <c r="D247" s="67"/>
      <c r="E247" s="618">
        <f>E246/MAX(1,$J246)</f>
        <v>0.2</v>
      </c>
      <c r="F247" s="618">
        <f>F246/MAX(1,$J246)</f>
        <v>0.2</v>
      </c>
      <c r="G247" s="618">
        <f>G246/MAX(1,$J246)</f>
        <v>0.2</v>
      </c>
      <c r="H247" s="618">
        <f>H246/MAX(1,$J246)</f>
        <v>0.2</v>
      </c>
      <c r="I247" s="618">
        <f>I246/MAX(1,$J246)</f>
        <v>0.2</v>
      </c>
      <c r="J247" s="198">
        <f>J236-J246</f>
        <v>0</v>
      </c>
      <c r="K247" s="198" t="s">
        <v>3155</v>
      </c>
    </row>
    <row r="248" spans="1:11">
      <c r="A248" s="968"/>
      <c r="B248" s="968"/>
      <c r="C248" s="75" t="s">
        <v>974</v>
      </c>
      <c r="D248" s="35"/>
      <c r="E248" s="35">
        <f>RANK(E247,$E$247:$I$247)</f>
        <v>1</v>
      </c>
      <c r="F248" s="35">
        <f>RANK(F247,$E$247:$I$247)</f>
        <v>1</v>
      </c>
      <c r="G248" s="35">
        <f>RANK(G247,$E$247:$I$247)</f>
        <v>1</v>
      </c>
      <c r="H248" s="35">
        <f>RANK(H247,$E$247:$I$247)</f>
        <v>1</v>
      </c>
      <c r="I248" s="35">
        <f>RANK(I247,$E$247:$I$247)</f>
        <v>1</v>
      </c>
      <c r="J248" s="63"/>
      <c r="K248" s="37"/>
    </row>
    <row r="249" spans="1:11">
      <c r="A249" s="971"/>
      <c r="B249" s="971"/>
    </row>
    <row r="250" spans="1:11" ht="12" thickBot="1">
      <c r="A250" s="971"/>
      <c r="B250" s="971"/>
    </row>
    <row r="251" spans="1:11" ht="12" thickBot="1">
      <c r="A251" s="971"/>
      <c r="B251" s="971" t="s">
        <v>2332</v>
      </c>
      <c r="C251" s="340" t="s">
        <v>2055</v>
      </c>
      <c r="D251" s="162"/>
      <c r="E251" s="158"/>
      <c r="F251" s="158"/>
      <c r="G251" s="159"/>
      <c r="H251" s="159"/>
      <c r="I251" s="159"/>
      <c r="J251" s="159"/>
      <c r="K251" s="51"/>
    </row>
    <row r="252" spans="1:11" ht="12" thickBot="1">
      <c r="A252" s="971"/>
      <c r="B252" s="971"/>
      <c r="C252" s="160" t="s">
        <v>2672</v>
      </c>
      <c r="D252" s="689">
        <v>3833500000</v>
      </c>
      <c r="E252" s="162"/>
      <c r="F252" s="164"/>
      <c r="G252" s="162"/>
      <c r="H252" s="165"/>
      <c r="I252" s="157" t="s">
        <v>2673</v>
      </c>
      <c r="J252" s="698">
        <v>2708500000</v>
      </c>
      <c r="K252" s="51"/>
    </row>
    <row r="253" spans="1:11">
      <c r="A253" s="971"/>
      <c r="B253" s="971"/>
      <c r="C253" s="167" t="s">
        <v>2958</v>
      </c>
      <c r="D253" s="168"/>
      <c r="E253" s="161" t="s">
        <v>1834</v>
      </c>
      <c r="F253" s="161" t="s">
        <v>1835</v>
      </c>
      <c r="G253" s="161" t="s">
        <v>1836</v>
      </c>
      <c r="H253" s="161" t="s">
        <v>1837</v>
      </c>
      <c r="I253" s="161" t="s">
        <v>1838</v>
      </c>
      <c r="J253" s="161"/>
      <c r="K253" s="54"/>
    </row>
    <row r="254" spans="1:11">
      <c r="A254" s="971"/>
      <c r="B254" s="971"/>
      <c r="C254" s="52" t="s">
        <v>1402</v>
      </c>
      <c r="D254" s="39">
        <v>29</v>
      </c>
      <c r="E254" s="507">
        <v>14.5</v>
      </c>
      <c r="F254" s="508">
        <v>14.5</v>
      </c>
      <c r="G254" s="508">
        <v>14.5</v>
      </c>
      <c r="H254" s="508">
        <v>14.5</v>
      </c>
      <c r="I254" s="509">
        <v>14.5</v>
      </c>
      <c r="J254" s="53">
        <v>72.5</v>
      </c>
      <c r="K254" s="54"/>
    </row>
    <row r="255" spans="1:11">
      <c r="A255" s="971"/>
      <c r="B255" s="971"/>
      <c r="C255" s="52" t="s">
        <v>2745</v>
      </c>
      <c r="D255" s="39">
        <v>8</v>
      </c>
      <c r="E255" s="510">
        <v>4</v>
      </c>
      <c r="F255" s="511">
        <v>4</v>
      </c>
      <c r="G255" s="511">
        <v>4</v>
      </c>
      <c r="H255" s="511">
        <v>4</v>
      </c>
      <c r="I255" s="512">
        <v>4</v>
      </c>
      <c r="J255" s="55">
        <v>20</v>
      </c>
      <c r="K255" s="54"/>
    </row>
    <row r="256" spans="1:11">
      <c r="A256" s="971"/>
      <c r="B256" s="971"/>
      <c r="C256" s="52" t="s">
        <v>3442</v>
      </c>
      <c r="D256" s="39">
        <v>0</v>
      </c>
      <c r="E256" s="510">
        <v>0</v>
      </c>
      <c r="F256" s="511">
        <v>0</v>
      </c>
      <c r="G256" s="511">
        <v>0</v>
      </c>
      <c r="H256" s="511">
        <v>0</v>
      </c>
      <c r="I256" s="512">
        <v>0</v>
      </c>
      <c r="J256" s="55">
        <v>0</v>
      </c>
      <c r="K256" s="54"/>
    </row>
    <row r="257" spans="1:11">
      <c r="A257" s="971"/>
      <c r="B257" s="971"/>
      <c r="C257" s="52" t="s">
        <v>1404</v>
      </c>
      <c r="D257" s="39">
        <v>10</v>
      </c>
      <c r="E257" s="510">
        <v>5</v>
      </c>
      <c r="F257" s="511">
        <v>5</v>
      </c>
      <c r="G257" s="511">
        <v>5</v>
      </c>
      <c r="H257" s="511">
        <v>5</v>
      </c>
      <c r="I257" s="512">
        <v>5</v>
      </c>
      <c r="J257" s="55">
        <v>25</v>
      </c>
      <c r="K257" s="54"/>
    </row>
    <row r="258" spans="1:11">
      <c r="A258" s="971"/>
      <c r="B258" s="971"/>
      <c r="C258" s="52" t="s">
        <v>175</v>
      </c>
      <c r="D258" s="39">
        <v>8</v>
      </c>
      <c r="E258" s="510">
        <v>4</v>
      </c>
      <c r="F258" s="511">
        <v>4</v>
      </c>
      <c r="G258" s="511">
        <v>4</v>
      </c>
      <c r="H258" s="511">
        <v>4</v>
      </c>
      <c r="I258" s="512">
        <v>4</v>
      </c>
      <c r="J258" s="55">
        <v>20</v>
      </c>
      <c r="K258" s="54"/>
    </row>
    <row r="259" spans="1:11">
      <c r="A259" s="971"/>
      <c r="B259" s="971"/>
      <c r="C259" s="52" t="s">
        <v>2579</v>
      </c>
      <c r="D259" s="39">
        <v>6</v>
      </c>
      <c r="E259" s="510">
        <v>3</v>
      </c>
      <c r="F259" s="511">
        <v>3</v>
      </c>
      <c r="G259" s="511">
        <v>3</v>
      </c>
      <c r="H259" s="511">
        <v>3</v>
      </c>
      <c r="I259" s="512">
        <v>3</v>
      </c>
      <c r="J259" s="55">
        <v>15</v>
      </c>
      <c r="K259" s="54"/>
    </row>
    <row r="260" spans="1:11">
      <c r="A260" s="971"/>
      <c r="B260" s="971"/>
      <c r="C260" s="52" t="s">
        <v>1108</v>
      </c>
      <c r="D260" s="39">
        <v>9</v>
      </c>
      <c r="E260" s="510">
        <v>0</v>
      </c>
      <c r="F260" s="511">
        <v>0</v>
      </c>
      <c r="G260" s="511">
        <v>0</v>
      </c>
      <c r="H260" s="511">
        <v>0</v>
      </c>
      <c r="I260" s="512">
        <v>0</v>
      </c>
      <c r="J260" s="55">
        <v>0</v>
      </c>
      <c r="K260" s="54"/>
    </row>
    <row r="261" spans="1:11">
      <c r="A261" s="971"/>
      <c r="B261" s="971"/>
      <c r="C261" s="52" t="s">
        <v>1722</v>
      </c>
      <c r="D261" s="39">
        <v>0</v>
      </c>
      <c r="E261" s="510">
        <v>0</v>
      </c>
      <c r="F261" s="511">
        <v>0</v>
      </c>
      <c r="G261" s="511">
        <v>0</v>
      </c>
      <c r="H261" s="511">
        <v>0</v>
      </c>
      <c r="I261" s="512">
        <v>0</v>
      </c>
      <c r="J261" s="55">
        <v>0</v>
      </c>
      <c r="K261" s="54"/>
    </row>
    <row r="262" spans="1:11">
      <c r="A262" s="971"/>
      <c r="B262" s="971"/>
      <c r="C262" s="52" t="s">
        <v>4734</v>
      </c>
      <c r="D262" s="39">
        <v>16</v>
      </c>
      <c r="E262" s="510">
        <v>8</v>
      </c>
      <c r="F262" s="511">
        <v>8</v>
      </c>
      <c r="G262" s="511">
        <v>8</v>
      </c>
      <c r="H262" s="511">
        <v>8</v>
      </c>
      <c r="I262" s="512">
        <v>8</v>
      </c>
      <c r="J262" s="55">
        <v>40</v>
      </c>
      <c r="K262" s="54"/>
    </row>
    <row r="263" spans="1:11">
      <c r="A263" s="971"/>
      <c r="B263" s="971"/>
      <c r="C263" s="52" t="s">
        <v>2956</v>
      </c>
      <c r="D263" s="39">
        <v>0</v>
      </c>
      <c r="E263" s="510">
        <v>0</v>
      </c>
      <c r="F263" s="511">
        <v>0</v>
      </c>
      <c r="G263" s="511">
        <v>0</v>
      </c>
      <c r="H263" s="511">
        <v>0</v>
      </c>
      <c r="I263" s="512">
        <v>0</v>
      </c>
      <c r="J263" s="55">
        <v>0</v>
      </c>
      <c r="K263" s="54"/>
    </row>
    <row r="264" spans="1:11">
      <c r="A264" s="971"/>
      <c r="B264" s="971"/>
      <c r="C264" s="153" t="s">
        <v>1828</v>
      </c>
      <c r="D264" s="38"/>
      <c r="E264" s="513">
        <v>0</v>
      </c>
      <c r="F264" s="514">
        <v>0</v>
      </c>
      <c r="G264" s="514">
        <v>0</v>
      </c>
      <c r="H264" s="514">
        <v>0</v>
      </c>
      <c r="I264" s="515">
        <v>0</v>
      </c>
      <c r="J264" s="55">
        <v>0</v>
      </c>
      <c r="K264" s="54"/>
    </row>
    <row r="265" spans="1:11">
      <c r="A265" s="971"/>
      <c r="B265" s="971"/>
      <c r="C265" s="52" t="s">
        <v>2959</v>
      </c>
      <c r="D265" s="38"/>
      <c r="E265" s="686">
        <v>38.5</v>
      </c>
      <c r="F265" s="687">
        <v>38.5</v>
      </c>
      <c r="G265" s="687">
        <v>38.5</v>
      </c>
      <c r="H265" s="687">
        <v>38.5</v>
      </c>
      <c r="I265" s="688">
        <v>38.5</v>
      </c>
      <c r="J265" s="155">
        <v>192.5</v>
      </c>
      <c r="K265" s="54"/>
    </row>
    <row r="266" spans="1:11" ht="12" thickBot="1">
      <c r="A266" s="971"/>
      <c r="B266" s="971"/>
      <c r="C266" s="52" t="s">
        <v>974</v>
      </c>
      <c r="D266" s="38"/>
      <c r="E266" s="38">
        <v>1</v>
      </c>
      <c r="F266" s="38">
        <v>1</v>
      </c>
      <c r="G266" s="38">
        <v>1</v>
      </c>
      <c r="H266" s="38">
        <v>1</v>
      </c>
      <c r="I266" s="38">
        <v>1</v>
      </c>
      <c r="J266" s="652" t="s">
        <v>2227</v>
      </c>
      <c r="K266" s="54"/>
    </row>
    <row r="267" spans="1:11">
      <c r="A267" s="971"/>
      <c r="B267" s="971"/>
      <c r="C267" s="378" t="s">
        <v>3201</v>
      </c>
      <c r="D267" s="645"/>
      <c r="E267" s="646">
        <v>0.2</v>
      </c>
      <c r="F267" s="646">
        <v>0.2</v>
      </c>
      <c r="G267" s="646">
        <v>0.2</v>
      </c>
      <c r="H267" s="646">
        <v>0.2</v>
      </c>
      <c r="I267" s="646">
        <v>0.2</v>
      </c>
      <c r="J267" s="648">
        <v>0.45</v>
      </c>
      <c r="K267" s="647"/>
    </row>
    <row r="268" spans="1:11" ht="12" thickBot="1">
      <c r="A268" s="971"/>
      <c r="B268" s="971"/>
      <c r="C268" s="132" t="s">
        <v>1999</v>
      </c>
      <c r="D268" s="21"/>
      <c r="E268" s="106">
        <v>0.2</v>
      </c>
      <c r="F268" s="106">
        <v>0.2</v>
      </c>
      <c r="G268" s="106">
        <v>0.2</v>
      </c>
      <c r="H268" s="106">
        <v>0.2</v>
      </c>
      <c r="I268" s="106">
        <v>0.2</v>
      </c>
      <c r="J268" s="649">
        <v>0.55000000000000004</v>
      </c>
      <c r="K268" s="133"/>
    </row>
    <row r="269" spans="1:11" ht="12" thickBot="1">
      <c r="A269" s="971"/>
      <c r="B269" s="971"/>
      <c r="C269" s="655" t="s">
        <v>2830</v>
      </c>
      <c r="D269" s="656"/>
      <c r="E269" s="659">
        <v>0.2</v>
      </c>
      <c r="F269" s="659">
        <v>0.2</v>
      </c>
      <c r="G269" s="659">
        <v>0.2</v>
      </c>
      <c r="H269" s="659">
        <v>0.2</v>
      </c>
      <c r="I269" s="659">
        <v>0.2</v>
      </c>
      <c r="J269" s="658">
        <v>2708500000</v>
      </c>
      <c r="K269" s="8" t="s">
        <v>2327</v>
      </c>
    </row>
    <row r="270" spans="1:11">
      <c r="A270" s="971"/>
      <c r="B270" s="971"/>
    </row>
    <row r="271" spans="1:11">
      <c r="A271" s="971"/>
      <c r="B271" s="971"/>
    </row>
    <row r="272" spans="1:11" ht="12" thickBot="1">
      <c r="A272" s="971"/>
      <c r="B272" s="971"/>
    </row>
    <row r="273" spans="1:11" ht="12" thickBot="1">
      <c r="A273" s="971"/>
      <c r="B273" s="971" t="s">
        <v>2336</v>
      </c>
      <c r="C273" s="340" t="s">
        <v>549</v>
      </c>
      <c r="D273" s="162"/>
      <c r="E273" s="158"/>
      <c r="F273" s="158"/>
      <c r="G273" s="159"/>
      <c r="H273" s="159"/>
      <c r="I273" s="159"/>
      <c r="J273" s="159"/>
      <c r="K273" s="51"/>
    </row>
    <row r="274" spans="1:11" ht="12" thickBot="1">
      <c r="A274" s="971"/>
      <c r="B274" s="971"/>
      <c r="C274" s="160" t="s">
        <v>2672</v>
      </c>
      <c r="D274" s="689">
        <v>3833500000</v>
      </c>
      <c r="E274" s="162"/>
      <c r="F274" s="164"/>
      <c r="G274" s="162"/>
      <c r="H274" s="165"/>
      <c r="I274" s="157" t="s">
        <v>2673</v>
      </c>
      <c r="J274" s="698">
        <v>1125000000</v>
      </c>
      <c r="K274" s="51"/>
    </row>
    <row r="275" spans="1:11">
      <c r="A275" s="971"/>
      <c r="B275" s="971"/>
      <c r="C275" s="167" t="s">
        <v>2958</v>
      </c>
      <c r="D275" s="168"/>
      <c r="E275" s="161" t="s">
        <v>1834</v>
      </c>
      <c r="F275" s="161" t="s">
        <v>1835</v>
      </c>
      <c r="G275" s="161" t="s">
        <v>1836</v>
      </c>
      <c r="H275" s="161" t="s">
        <v>1837</v>
      </c>
      <c r="I275" s="161" t="s">
        <v>1838</v>
      </c>
      <c r="J275" s="161"/>
      <c r="K275" s="54"/>
    </row>
    <row r="276" spans="1:11">
      <c r="A276" s="971"/>
      <c r="B276" s="971"/>
      <c r="C276" s="52" t="s">
        <v>1402</v>
      </c>
      <c r="D276" s="39">
        <v>40</v>
      </c>
      <c r="E276" s="507">
        <v>20</v>
      </c>
      <c r="F276" s="508">
        <v>20</v>
      </c>
      <c r="G276" s="508">
        <v>20</v>
      </c>
      <c r="H276" s="508">
        <v>20</v>
      </c>
      <c r="I276" s="509">
        <v>20</v>
      </c>
      <c r="J276" s="53">
        <v>100</v>
      </c>
      <c r="K276" s="54"/>
    </row>
    <row r="277" spans="1:11">
      <c r="A277" s="971"/>
      <c r="B277" s="971"/>
      <c r="C277" s="52" t="s">
        <v>2745</v>
      </c>
      <c r="D277" s="39">
        <v>9</v>
      </c>
      <c r="E277" s="510">
        <v>4.5</v>
      </c>
      <c r="F277" s="511">
        <v>4.5</v>
      </c>
      <c r="G277" s="511">
        <v>4.5</v>
      </c>
      <c r="H277" s="511">
        <v>4.5</v>
      </c>
      <c r="I277" s="512">
        <v>4.5</v>
      </c>
      <c r="J277" s="55">
        <v>22.5</v>
      </c>
      <c r="K277" s="54"/>
    </row>
    <row r="278" spans="1:11">
      <c r="A278" s="971"/>
      <c r="B278" s="971"/>
      <c r="C278" s="52" t="s">
        <v>3442</v>
      </c>
      <c r="D278" s="39">
        <v>0</v>
      </c>
      <c r="E278" s="510">
        <v>0</v>
      </c>
      <c r="F278" s="511">
        <v>0</v>
      </c>
      <c r="G278" s="511">
        <v>0</v>
      </c>
      <c r="H278" s="511">
        <v>0</v>
      </c>
      <c r="I278" s="512">
        <v>0</v>
      </c>
      <c r="J278" s="55">
        <v>0</v>
      </c>
      <c r="K278" s="54"/>
    </row>
    <row r="279" spans="1:11">
      <c r="A279" s="971"/>
      <c r="B279" s="971"/>
      <c r="C279" s="52" t="s">
        <v>1404</v>
      </c>
      <c r="D279" s="39">
        <v>8</v>
      </c>
      <c r="E279" s="510">
        <v>4</v>
      </c>
      <c r="F279" s="511">
        <v>4</v>
      </c>
      <c r="G279" s="511">
        <v>4</v>
      </c>
      <c r="H279" s="511">
        <v>4</v>
      </c>
      <c r="I279" s="512">
        <v>4</v>
      </c>
      <c r="J279" s="55">
        <v>20</v>
      </c>
      <c r="K279" s="54"/>
    </row>
    <row r="280" spans="1:11">
      <c r="A280" s="971"/>
      <c r="B280" s="971"/>
      <c r="C280" s="52" t="s">
        <v>175</v>
      </c>
      <c r="D280" s="39">
        <v>10</v>
      </c>
      <c r="E280" s="510">
        <v>5</v>
      </c>
      <c r="F280" s="511">
        <v>5</v>
      </c>
      <c r="G280" s="511">
        <v>5</v>
      </c>
      <c r="H280" s="511">
        <v>5</v>
      </c>
      <c r="I280" s="512">
        <v>5</v>
      </c>
      <c r="J280" s="55">
        <v>25</v>
      </c>
      <c r="K280" s="54"/>
    </row>
    <row r="281" spans="1:11">
      <c r="A281" s="971"/>
      <c r="B281" s="971"/>
      <c r="C281" s="52" t="s">
        <v>2579</v>
      </c>
      <c r="D281" s="39">
        <v>15</v>
      </c>
      <c r="E281" s="510">
        <v>7.5</v>
      </c>
      <c r="F281" s="511">
        <v>7.5</v>
      </c>
      <c r="G281" s="511">
        <v>7.5</v>
      </c>
      <c r="H281" s="511">
        <v>7.5</v>
      </c>
      <c r="I281" s="512">
        <v>7.5</v>
      </c>
      <c r="J281" s="55">
        <v>37.5</v>
      </c>
      <c r="K281" s="54"/>
    </row>
    <row r="282" spans="1:11">
      <c r="A282" s="971"/>
      <c r="B282" s="971"/>
      <c r="C282" s="52" t="s">
        <v>1108</v>
      </c>
      <c r="D282" s="39">
        <v>7</v>
      </c>
      <c r="E282" s="510">
        <v>0</v>
      </c>
      <c r="F282" s="511">
        <v>0</v>
      </c>
      <c r="G282" s="511">
        <v>0</v>
      </c>
      <c r="H282" s="511">
        <v>0</v>
      </c>
      <c r="I282" s="512">
        <v>0</v>
      </c>
      <c r="J282" s="55">
        <v>0</v>
      </c>
      <c r="K282" s="54"/>
    </row>
    <row r="283" spans="1:11">
      <c r="A283" s="971"/>
      <c r="B283" s="971"/>
      <c r="C283" s="52" t="s">
        <v>1722</v>
      </c>
      <c r="D283" s="39">
        <v>16</v>
      </c>
      <c r="E283" s="510">
        <v>8</v>
      </c>
      <c r="F283" s="511">
        <v>8</v>
      </c>
      <c r="G283" s="511">
        <v>8</v>
      </c>
      <c r="H283" s="511">
        <v>8</v>
      </c>
      <c r="I283" s="512">
        <v>8</v>
      </c>
      <c r="J283" s="55">
        <v>40</v>
      </c>
      <c r="K283" s="54"/>
    </row>
    <row r="284" spans="1:11">
      <c r="A284" s="971"/>
      <c r="B284" s="971"/>
      <c r="C284" s="52" t="s">
        <v>4734</v>
      </c>
      <c r="D284" s="39">
        <v>0</v>
      </c>
      <c r="E284" s="510">
        <v>0</v>
      </c>
      <c r="F284" s="511">
        <v>0</v>
      </c>
      <c r="G284" s="511">
        <v>0</v>
      </c>
      <c r="H284" s="511">
        <v>0</v>
      </c>
      <c r="I284" s="512">
        <v>0</v>
      </c>
      <c r="J284" s="55">
        <v>0</v>
      </c>
      <c r="K284" s="54"/>
    </row>
    <row r="285" spans="1:11">
      <c r="A285" s="971"/>
      <c r="B285" s="971"/>
      <c r="C285" s="52" t="s">
        <v>2956</v>
      </c>
      <c r="D285" s="39">
        <v>0</v>
      </c>
      <c r="E285" s="510">
        <v>0</v>
      </c>
      <c r="F285" s="511">
        <v>0</v>
      </c>
      <c r="G285" s="511">
        <v>0</v>
      </c>
      <c r="H285" s="511">
        <v>0</v>
      </c>
      <c r="I285" s="512">
        <v>0</v>
      </c>
      <c r="J285" s="55">
        <v>0</v>
      </c>
      <c r="K285" s="54"/>
    </row>
    <row r="286" spans="1:11">
      <c r="A286" s="971"/>
      <c r="B286" s="971"/>
      <c r="C286" s="153" t="s">
        <v>1828</v>
      </c>
      <c r="D286" s="38"/>
      <c r="E286" s="513">
        <v>0</v>
      </c>
      <c r="F286" s="514">
        <v>0</v>
      </c>
      <c r="G286" s="514">
        <v>0</v>
      </c>
      <c r="H286" s="514">
        <v>0</v>
      </c>
      <c r="I286" s="515">
        <v>0</v>
      </c>
      <c r="J286" s="55">
        <v>0</v>
      </c>
      <c r="K286" s="54"/>
    </row>
    <row r="287" spans="1:11">
      <c r="A287" s="971"/>
      <c r="B287" s="971"/>
      <c r="C287" s="52" t="s">
        <v>2959</v>
      </c>
      <c r="D287" s="38"/>
      <c r="E287" s="686">
        <v>49</v>
      </c>
      <c r="F287" s="687">
        <v>49</v>
      </c>
      <c r="G287" s="687">
        <v>49</v>
      </c>
      <c r="H287" s="687">
        <v>49</v>
      </c>
      <c r="I287" s="688">
        <v>49</v>
      </c>
      <c r="J287" s="155">
        <v>245</v>
      </c>
      <c r="K287" s="54"/>
    </row>
    <row r="288" spans="1:11" ht="12" thickBot="1">
      <c r="A288" s="971"/>
      <c r="B288" s="971"/>
      <c r="C288" s="52" t="s">
        <v>974</v>
      </c>
      <c r="D288" s="38"/>
      <c r="E288" s="38">
        <v>1</v>
      </c>
      <c r="F288" s="38">
        <v>1</v>
      </c>
      <c r="G288" s="38">
        <v>1</v>
      </c>
      <c r="H288" s="38">
        <v>1</v>
      </c>
      <c r="I288" s="38">
        <v>1</v>
      </c>
      <c r="J288" s="652" t="s">
        <v>2227</v>
      </c>
      <c r="K288" s="54"/>
    </row>
    <row r="289" spans="1:11">
      <c r="A289" s="971"/>
      <c r="B289" s="971"/>
      <c r="C289" s="378" t="s">
        <v>3201</v>
      </c>
      <c r="D289" s="645"/>
      <c r="E289" s="646">
        <v>0.2</v>
      </c>
      <c r="F289" s="646">
        <v>0.2</v>
      </c>
      <c r="G289" s="646">
        <v>0.2</v>
      </c>
      <c r="H289" s="646">
        <v>0.2</v>
      </c>
      <c r="I289" s="646">
        <v>0.2</v>
      </c>
      <c r="J289" s="648">
        <v>0.45</v>
      </c>
      <c r="K289" s="647"/>
    </row>
    <row r="290" spans="1:11" ht="12" thickBot="1">
      <c r="A290" s="971"/>
      <c r="B290" s="971"/>
      <c r="C290" s="132" t="s">
        <v>1999</v>
      </c>
      <c r="D290" s="21"/>
      <c r="E290" s="106">
        <v>0.2</v>
      </c>
      <c r="F290" s="106">
        <v>0.2</v>
      </c>
      <c r="G290" s="106">
        <v>0.2</v>
      </c>
      <c r="H290" s="106">
        <v>0.2</v>
      </c>
      <c r="I290" s="106">
        <v>0.2</v>
      </c>
      <c r="J290" s="649">
        <v>0.55000000000000004</v>
      </c>
      <c r="K290" s="133"/>
    </row>
    <row r="291" spans="1:11" ht="12" thickBot="1">
      <c r="A291" s="971"/>
      <c r="B291" s="971"/>
      <c r="C291" s="655" t="s">
        <v>2830</v>
      </c>
      <c r="D291" s="656"/>
      <c r="E291" s="659">
        <v>0.2</v>
      </c>
      <c r="F291" s="659">
        <v>0.2</v>
      </c>
      <c r="G291" s="659">
        <v>0.2</v>
      </c>
      <c r="H291" s="659">
        <v>0.2</v>
      </c>
      <c r="I291" s="659">
        <v>0.2</v>
      </c>
      <c r="J291" s="658">
        <v>1125000000</v>
      </c>
      <c r="K291" s="8" t="s">
        <v>2327</v>
      </c>
    </row>
    <row r="292" spans="1:11">
      <c r="A292" s="971"/>
      <c r="B292" s="971"/>
    </row>
    <row r="293" spans="1:11">
      <c r="A293" s="971"/>
      <c r="B293" s="971"/>
    </row>
    <row r="294" spans="1:11" ht="12" thickBot="1">
      <c r="A294" s="971"/>
      <c r="B294" s="971"/>
    </row>
    <row r="295" spans="1:11" ht="12" thickBot="1">
      <c r="A295" s="971"/>
      <c r="B295" s="971"/>
      <c r="C295" s="340" t="s">
        <v>150</v>
      </c>
      <c r="D295" s="162"/>
      <c r="E295" s="158"/>
      <c r="F295" s="158"/>
      <c r="G295" s="159"/>
      <c r="H295" s="159"/>
      <c r="I295" s="159"/>
      <c r="J295" s="159"/>
      <c r="K295" s="51"/>
    </row>
    <row r="296" spans="1:11" ht="12" thickBot="1">
      <c r="A296" s="971"/>
      <c r="B296" s="971"/>
      <c r="C296" s="160" t="s">
        <v>2672</v>
      </c>
      <c r="D296" s="689">
        <f>D252</f>
        <v>3833500000</v>
      </c>
      <c r="E296" s="162"/>
      <c r="F296" s="164"/>
      <c r="G296" s="162"/>
      <c r="H296" s="165"/>
      <c r="I296" s="157" t="s">
        <v>2673</v>
      </c>
      <c r="J296" s="697">
        <f>J252</f>
        <v>2708500000</v>
      </c>
      <c r="K296" s="51"/>
    </row>
    <row r="297" spans="1:11">
      <c r="A297" s="971"/>
      <c r="B297" s="971"/>
      <c r="C297" s="167" t="s">
        <v>2958</v>
      </c>
      <c r="D297" s="168"/>
      <c r="E297" s="161" t="s">
        <v>1834</v>
      </c>
      <c r="F297" s="161" t="s">
        <v>1835</v>
      </c>
      <c r="G297" s="161" t="s">
        <v>1836</v>
      </c>
      <c r="H297" s="161" t="s">
        <v>1837</v>
      </c>
      <c r="I297" s="161" t="s">
        <v>1838</v>
      </c>
      <c r="J297" s="161"/>
      <c r="K297" s="54"/>
    </row>
    <row r="298" spans="1:11">
      <c r="A298" s="971"/>
      <c r="B298" s="971"/>
      <c r="C298" s="52" t="str">
        <f>C254</f>
        <v>Price</v>
      </c>
      <c r="D298" s="39">
        <f>D254</f>
        <v>29</v>
      </c>
      <c r="E298" s="690">
        <f t="shared" ref="E298:I306" si="31">(E254-($J254/xxNumOfTeams))/$J$265</f>
        <v>0</v>
      </c>
      <c r="F298" s="691">
        <f t="shared" si="31"/>
        <v>0</v>
      </c>
      <c r="G298" s="691">
        <f t="shared" si="31"/>
        <v>0</v>
      </c>
      <c r="H298" s="691">
        <f t="shared" si="31"/>
        <v>0</v>
      </c>
      <c r="I298" s="692">
        <f t="shared" si="31"/>
        <v>0</v>
      </c>
      <c r="J298" s="700">
        <f>J254</f>
        <v>72.5</v>
      </c>
      <c r="K298" s="54"/>
    </row>
    <row r="299" spans="1:11">
      <c r="A299" s="971"/>
      <c r="B299" s="971"/>
      <c r="C299" s="52" t="str">
        <f t="shared" ref="C299:D310" si="32">C255</f>
        <v>Range Of Products</v>
      </c>
      <c r="D299" s="39">
        <f t="shared" si="32"/>
        <v>8</v>
      </c>
      <c r="E299" s="693">
        <f t="shared" si="31"/>
        <v>0</v>
      </c>
      <c r="F299" s="653">
        <f t="shared" si="31"/>
        <v>0</v>
      </c>
      <c r="G299" s="653">
        <f t="shared" si="31"/>
        <v>0</v>
      </c>
      <c r="H299" s="653">
        <f t="shared" si="31"/>
        <v>0</v>
      </c>
      <c r="I299" s="694">
        <f t="shared" si="31"/>
        <v>0</v>
      </c>
      <c r="J299" s="701">
        <f t="shared" ref="J299:J308" si="33">J255</f>
        <v>20</v>
      </c>
      <c r="K299" s="54"/>
    </row>
    <row r="300" spans="1:11">
      <c r="A300" s="971"/>
      <c r="B300" s="971"/>
      <c r="C300" s="52" t="str">
        <f t="shared" si="32"/>
        <v>Brands</v>
      </c>
      <c r="D300" s="39">
        <f t="shared" si="32"/>
        <v>0</v>
      </c>
      <c r="E300" s="693">
        <f t="shared" si="31"/>
        <v>0</v>
      </c>
      <c r="F300" s="653">
        <f t="shared" si="31"/>
        <v>0</v>
      </c>
      <c r="G300" s="653">
        <f t="shared" si="31"/>
        <v>0</v>
      </c>
      <c r="H300" s="653">
        <f t="shared" si="31"/>
        <v>0</v>
      </c>
      <c r="I300" s="694">
        <f t="shared" si="31"/>
        <v>0</v>
      </c>
      <c r="J300" s="701">
        <f t="shared" si="33"/>
        <v>0</v>
      </c>
      <c r="K300" s="54"/>
    </row>
    <row r="301" spans="1:11">
      <c r="A301" s="971"/>
      <c r="B301" s="971"/>
      <c r="C301" s="52" t="str">
        <f t="shared" si="32"/>
        <v>Advertising</v>
      </c>
      <c r="D301" s="39">
        <f t="shared" si="32"/>
        <v>10</v>
      </c>
      <c r="E301" s="693">
        <f t="shared" si="31"/>
        <v>0</v>
      </c>
      <c r="F301" s="653">
        <f t="shared" si="31"/>
        <v>0</v>
      </c>
      <c r="G301" s="653">
        <f t="shared" si="31"/>
        <v>0</v>
      </c>
      <c r="H301" s="653">
        <f t="shared" si="31"/>
        <v>0</v>
      </c>
      <c r="I301" s="694">
        <f t="shared" si="31"/>
        <v>0</v>
      </c>
      <c r="J301" s="701">
        <f t="shared" si="33"/>
        <v>25</v>
      </c>
      <c r="K301" s="54"/>
    </row>
    <row r="302" spans="1:11">
      <c r="A302" s="971"/>
      <c r="B302" s="971"/>
      <c r="C302" s="52" t="str">
        <f t="shared" si="32"/>
        <v>Promotion</v>
      </c>
      <c r="D302" s="39">
        <f t="shared" si="32"/>
        <v>8</v>
      </c>
      <c r="E302" s="693">
        <f t="shared" si="31"/>
        <v>0</v>
      </c>
      <c r="F302" s="653">
        <f t="shared" si="31"/>
        <v>0</v>
      </c>
      <c r="G302" s="653">
        <f t="shared" si="31"/>
        <v>0</v>
      </c>
      <c r="H302" s="653">
        <f t="shared" si="31"/>
        <v>0</v>
      </c>
      <c r="I302" s="694">
        <f t="shared" si="31"/>
        <v>0</v>
      </c>
      <c r="J302" s="701">
        <f t="shared" si="33"/>
        <v>20</v>
      </c>
      <c r="K302" s="54"/>
    </row>
    <row r="303" spans="1:11">
      <c r="A303" s="971"/>
      <c r="B303" s="971"/>
      <c r="C303" s="52" t="str">
        <f t="shared" si="32"/>
        <v>Sales Force</v>
      </c>
      <c r="D303" s="39">
        <f t="shared" si="32"/>
        <v>6</v>
      </c>
      <c r="E303" s="693">
        <f t="shared" si="31"/>
        <v>0</v>
      </c>
      <c r="F303" s="653">
        <f t="shared" si="31"/>
        <v>0</v>
      </c>
      <c r="G303" s="653">
        <f t="shared" si="31"/>
        <v>0</v>
      </c>
      <c r="H303" s="653">
        <f t="shared" si="31"/>
        <v>0</v>
      </c>
      <c r="I303" s="694">
        <f t="shared" si="31"/>
        <v>0</v>
      </c>
      <c r="J303" s="701">
        <f t="shared" si="33"/>
        <v>15</v>
      </c>
      <c r="K303" s="54"/>
    </row>
    <row r="304" spans="1:11">
      <c r="A304" s="971"/>
      <c r="B304" s="971"/>
      <c r="C304" s="52" t="str">
        <f t="shared" si="32"/>
        <v>Innovation</v>
      </c>
      <c r="D304" s="39">
        <f t="shared" si="32"/>
        <v>9</v>
      </c>
      <c r="E304" s="693">
        <f t="shared" si="31"/>
        <v>0</v>
      </c>
      <c r="F304" s="653">
        <f t="shared" si="31"/>
        <v>0</v>
      </c>
      <c r="G304" s="653">
        <f t="shared" si="31"/>
        <v>0</v>
      </c>
      <c r="H304" s="653">
        <f t="shared" si="31"/>
        <v>0</v>
      </c>
      <c r="I304" s="694">
        <f t="shared" si="31"/>
        <v>0</v>
      </c>
      <c r="J304" s="701">
        <f t="shared" si="33"/>
        <v>0</v>
      </c>
      <c r="K304" s="54"/>
    </row>
    <row r="305" spans="1:11">
      <c r="A305" s="971"/>
      <c r="B305" s="971"/>
      <c r="C305" s="52" t="str">
        <f t="shared" si="32"/>
        <v>Channel Penetration</v>
      </c>
      <c r="D305" s="39">
        <f t="shared" si="32"/>
        <v>0</v>
      </c>
      <c r="E305" s="693">
        <f t="shared" si="31"/>
        <v>0</v>
      </c>
      <c r="F305" s="653">
        <f t="shared" si="31"/>
        <v>0</v>
      </c>
      <c r="G305" s="653">
        <f t="shared" si="31"/>
        <v>0</v>
      </c>
      <c r="H305" s="653">
        <f t="shared" si="31"/>
        <v>0</v>
      </c>
      <c r="I305" s="694">
        <f t="shared" si="31"/>
        <v>0</v>
      </c>
      <c r="J305" s="701">
        <f t="shared" si="33"/>
        <v>0</v>
      </c>
      <c r="K305" s="54"/>
    </row>
    <row r="306" spans="1:11">
      <c r="A306" s="971"/>
      <c r="B306" s="971"/>
      <c r="C306" s="52" t="str">
        <f t="shared" si="32"/>
        <v>GTM Digitization</v>
      </c>
      <c r="D306" s="39">
        <f t="shared" si="32"/>
        <v>16</v>
      </c>
      <c r="E306" s="693">
        <f t="shared" si="31"/>
        <v>0</v>
      </c>
      <c r="F306" s="653">
        <f t="shared" si="31"/>
        <v>0</v>
      </c>
      <c r="G306" s="653">
        <f t="shared" si="31"/>
        <v>0</v>
      </c>
      <c r="H306" s="653">
        <f t="shared" si="31"/>
        <v>0</v>
      </c>
      <c r="I306" s="694">
        <f t="shared" si="31"/>
        <v>0</v>
      </c>
      <c r="J306" s="701">
        <f t="shared" si="33"/>
        <v>40</v>
      </c>
      <c r="K306" s="54"/>
    </row>
    <row r="307" spans="1:11">
      <c r="A307" s="971"/>
      <c r="B307" s="971"/>
      <c r="C307" s="52" t="str">
        <f t="shared" si="32"/>
        <v>Driver 10</v>
      </c>
      <c r="D307" s="39">
        <f t="shared" si="32"/>
        <v>0</v>
      </c>
      <c r="E307" s="693">
        <f t="shared" ref="E307:I308" si="34">(E263-($J263/xxNumOfTeams))/$J$265</f>
        <v>0</v>
      </c>
      <c r="F307" s="653">
        <f t="shared" si="34"/>
        <v>0</v>
      </c>
      <c r="G307" s="653">
        <f t="shared" si="34"/>
        <v>0</v>
      </c>
      <c r="H307" s="653">
        <f t="shared" si="34"/>
        <v>0</v>
      </c>
      <c r="I307" s="694">
        <f t="shared" si="34"/>
        <v>0</v>
      </c>
      <c r="J307" s="701">
        <f t="shared" si="33"/>
        <v>0</v>
      </c>
      <c r="K307" s="54"/>
    </row>
    <row r="308" spans="1:11">
      <c r="A308" s="971"/>
      <c r="B308" s="971"/>
      <c r="C308" s="52" t="str">
        <f t="shared" si="32"/>
        <v>Special Programs</v>
      </c>
      <c r="D308" s="39">
        <f t="shared" si="32"/>
        <v>0</v>
      </c>
      <c r="E308" s="695">
        <f t="shared" si="34"/>
        <v>0</v>
      </c>
      <c r="F308" s="672">
        <f t="shared" si="34"/>
        <v>0</v>
      </c>
      <c r="G308" s="672">
        <f t="shared" si="34"/>
        <v>0</v>
      </c>
      <c r="H308" s="672">
        <f t="shared" si="34"/>
        <v>0</v>
      </c>
      <c r="I308" s="696">
        <f t="shared" si="34"/>
        <v>0</v>
      </c>
      <c r="J308" s="702">
        <f t="shared" si="33"/>
        <v>0</v>
      </c>
      <c r="K308" s="54"/>
    </row>
    <row r="309" spans="1:11">
      <c r="A309" s="971"/>
      <c r="B309" s="971"/>
      <c r="C309" s="52" t="str">
        <f t="shared" si="32"/>
        <v>Total Effect</v>
      </c>
      <c r="D309" s="38"/>
      <c r="E309" s="1229">
        <f>SUM(E298:E308)</f>
        <v>0</v>
      </c>
      <c r="F309" s="1230">
        <f>SUM(F298:F308)</f>
        <v>0</v>
      </c>
      <c r="G309" s="1230">
        <f>SUM(G298:G308)</f>
        <v>0</v>
      </c>
      <c r="H309" s="1230">
        <f>SUM(H298:H308)</f>
        <v>0</v>
      </c>
      <c r="I309" s="1231">
        <f>SUM(I298:I308)</f>
        <v>0</v>
      </c>
      <c r="J309" s="155">
        <f t="shared" ref="E309:J311" si="35">J265</f>
        <v>192.5</v>
      </c>
      <c r="K309" s="54"/>
    </row>
    <row r="310" spans="1:11" ht="12" thickBot="1">
      <c r="A310" s="971"/>
      <c r="B310" s="971"/>
      <c r="C310" s="52" t="str">
        <f t="shared" si="32"/>
        <v>Rank</v>
      </c>
      <c r="D310" s="38"/>
      <c r="E310" s="38">
        <f t="shared" si="35"/>
        <v>1</v>
      </c>
      <c r="F310" s="38">
        <f t="shared" si="35"/>
        <v>1</v>
      </c>
      <c r="G310" s="38">
        <f t="shared" si="35"/>
        <v>1</v>
      </c>
      <c r="H310" s="38">
        <f t="shared" si="35"/>
        <v>1</v>
      </c>
      <c r="I310" s="38">
        <f t="shared" si="35"/>
        <v>1</v>
      </c>
      <c r="J310" s="652" t="str">
        <f t="shared" si="35"/>
        <v>Weight</v>
      </c>
      <c r="K310" s="54"/>
    </row>
    <row r="311" spans="1:11">
      <c r="A311" s="971"/>
      <c r="B311" s="971"/>
      <c r="C311" s="378" t="s">
        <v>3201</v>
      </c>
      <c r="D311" s="645"/>
      <c r="E311" s="646">
        <f t="shared" si="35"/>
        <v>0.2</v>
      </c>
      <c r="F311" s="646">
        <f t="shared" si="35"/>
        <v>0.2</v>
      </c>
      <c r="G311" s="646">
        <f t="shared" si="35"/>
        <v>0.2</v>
      </c>
      <c r="H311" s="646">
        <f t="shared" si="35"/>
        <v>0.2</v>
      </c>
      <c r="I311" s="646">
        <f t="shared" si="35"/>
        <v>0.2</v>
      </c>
      <c r="J311" s="648">
        <f t="shared" si="35"/>
        <v>0.45</v>
      </c>
      <c r="K311" s="647"/>
    </row>
    <row r="312" spans="1:11" ht="12" thickBot="1">
      <c r="A312" s="971"/>
      <c r="B312" s="971"/>
      <c r="C312" s="132" t="s">
        <v>1999</v>
      </c>
      <c r="D312" s="21"/>
      <c r="E312" s="106">
        <f t="shared" ref="E312:J312" si="36">E268</f>
        <v>0.2</v>
      </c>
      <c r="F312" s="106">
        <f t="shared" si="36"/>
        <v>0.2</v>
      </c>
      <c r="G312" s="106">
        <f t="shared" si="36"/>
        <v>0.2</v>
      </c>
      <c r="H312" s="106">
        <f t="shared" si="36"/>
        <v>0.2</v>
      </c>
      <c r="I312" s="106">
        <f t="shared" si="36"/>
        <v>0.2</v>
      </c>
      <c r="J312" s="649">
        <f t="shared" si="36"/>
        <v>0.55000000000000004</v>
      </c>
      <c r="K312" s="133"/>
    </row>
    <row r="313" spans="1:11" ht="12" thickBot="1">
      <c r="A313" s="971"/>
      <c r="B313" s="971"/>
      <c r="C313" s="655" t="s">
        <v>2830</v>
      </c>
      <c r="D313" s="656"/>
      <c r="E313" s="659">
        <f t="shared" ref="E313:J313" si="37">E269</f>
        <v>0.2</v>
      </c>
      <c r="F313" s="659">
        <f t="shared" si="37"/>
        <v>0.2</v>
      </c>
      <c r="G313" s="659">
        <f t="shared" si="37"/>
        <v>0.2</v>
      </c>
      <c r="H313" s="659">
        <f t="shared" si="37"/>
        <v>0.2</v>
      </c>
      <c r="I313" s="659">
        <f t="shared" si="37"/>
        <v>0.2</v>
      </c>
      <c r="J313" s="658">
        <f t="shared" si="37"/>
        <v>2708500000</v>
      </c>
      <c r="K313" s="8" t="s">
        <v>2327</v>
      </c>
    </row>
    <row r="314" spans="1:11">
      <c r="A314" s="971"/>
      <c r="B314" s="971"/>
    </row>
    <row r="315" spans="1:11">
      <c r="A315" s="971"/>
      <c r="B315" s="971"/>
    </row>
    <row r="316" spans="1:11" ht="12" thickBot="1">
      <c r="A316" s="971"/>
      <c r="B316" s="971"/>
    </row>
    <row r="317" spans="1:11" ht="12" thickBot="1">
      <c r="A317" s="971"/>
      <c r="B317" s="971"/>
      <c r="C317" s="340" t="s">
        <v>951</v>
      </c>
      <c r="D317" s="162"/>
      <c r="E317" s="158"/>
      <c r="F317" s="158"/>
      <c r="G317" s="159"/>
      <c r="H317" s="159"/>
      <c r="I317" s="159"/>
      <c r="J317" s="159"/>
      <c r="K317" s="51"/>
    </row>
    <row r="318" spans="1:11" ht="12" thickBot="1">
      <c r="A318" s="971"/>
      <c r="B318" s="971"/>
      <c r="C318" s="160" t="s">
        <v>2672</v>
      </c>
      <c r="D318" s="689">
        <f>D274</f>
        <v>3833500000</v>
      </c>
      <c r="E318" s="162"/>
      <c r="F318" s="164"/>
      <c r="G318" s="162"/>
      <c r="H318" s="165"/>
      <c r="I318" s="157" t="s">
        <v>2673</v>
      </c>
      <c r="J318" s="698">
        <f>J274</f>
        <v>1125000000</v>
      </c>
      <c r="K318" s="51"/>
    </row>
    <row r="319" spans="1:11">
      <c r="A319" s="971"/>
      <c r="B319" s="971"/>
      <c r="C319" s="167" t="s">
        <v>2958</v>
      </c>
      <c r="D319" s="168"/>
      <c r="E319" s="161" t="s">
        <v>1834</v>
      </c>
      <c r="F319" s="161" t="s">
        <v>1835</v>
      </c>
      <c r="G319" s="161" t="s">
        <v>1836</v>
      </c>
      <c r="H319" s="161" t="s">
        <v>1837</v>
      </c>
      <c r="I319" s="161" t="s">
        <v>1838</v>
      </c>
      <c r="J319" s="161"/>
      <c r="K319" s="54"/>
    </row>
    <row r="320" spans="1:11">
      <c r="A320" s="971"/>
      <c r="B320" s="971"/>
      <c r="C320" s="52" t="str">
        <f>C276</f>
        <v>Price</v>
      </c>
      <c r="D320" s="39">
        <f>D276</f>
        <v>40</v>
      </c>
      <c r="E320" s="667">
        <f t="shared" ref="E320:I328" si="38">(E276-($J276/xxNumOfTeams))/$J$287</f>
        <v>0</v>
      </c>
      <c r="F320" s="668">
        <f t="shared" si="38"/>
        <v>0</v>
      </c>
      <c r="G320" s="668">
        <f t="shared" si="38"/>
        <v>0</v>
      </c>
      <c r="H320" s="668">
        <f t="shared" si="38"/>
        <v>0</v>
      </c>
      <c r="I320" s="669">
        <f t="shared" si="38"/>
        <v>0</v>
      </c>
      <c r="J320" s="700">
        <f t="shared" ref="J320:J333" si="39">J276</f>
        <v>100</v>
      </c>
      <c r="K320" s="54"/>
    </row>
    <row r="321" spans="1:11">
      <c r="A321" s="971"/>
      <c r="B321" s="971"/>
      <c r="C321" s="52" t="str">
        <f t="shared" ref="C321:D332" si="40">C277</f>
        <v>Range Of Products</v>
      </c>
      <c r="D321" s="39">
        <f t="shared" si="40"/>
        <v>9</v>
      </c>
      <c r="E321" s="660">
        <f t="shared" si="38"/>
        <v>0</v>
      </c>
      <c r="F321" s="616">
        <f t="shared" si="38"/>
        <v>0</v>
      </c>
      <c r="G321" s="616">
        <f t="shared" si="38"/>
        <v>0</v>
      </c>
      <c r="H321" s="616">
        <f t="shared" si="38"/>
        <v>0</v>
      </c>
      <c r="I321" s="661">
        <f t="shared" si="38"/>
        <v>0</v>
      </c>
      <c r="J321" s="701">
        <f t="shared" si="39"/>
        <v>22.5</v>
      </c>
      <c r="K321" s="54"/>
    </row>
    <row r="322" spans="1:11">
      <c r="A322" s="971"/>
      <c r="B322" s="971"/>
      <c r="C322" s="52" t="str">
        <f t="shared" si="40"/>
        <v>Brands</v>
      </c>
      <c r="D322" s="39">
        <f t="shared" si="40"/>
        <v>0</v>
      </c>
      <c r="E322" s="660">
        <f t="shared" si="38"/>
        <v>0</v>
      </c>
      <c r="F322" s="616">
        <f t="shared" si="38"/>
        <v>0</v>
      </c>
      <c r="G322" s="616">
        <f t="shared" si="38"/>
        <v>0</v>
      </c>
      <c r="H322" s="616">
        <f t="shared" si="38"/>
        <v>0</v>
      </c>
      <c r="I322" s="661">
        <f t="shared" si="38"/>
        <v>0</v>
      </c>
      <c r="J322" s="701">
        <f t="shared" si="39"/>
        <v>0</v>
      </c>
      <c r="K322" s="54"/>
    </row>
    <row r="323" spans="1:11">
      <c r="A323" s="971"/>
      <c r="B323" s="971"/>
      <c r="C323" s="52" t="str">
        <f t="shared" si="40"/>
        <v>Advertising</v>
      </c>
      <c r="D323" s="39">
        <f t="shared" si="40"/>
        <v>8</v>
      </c>
      <c r="E323" s="660">
        <f t="shared" si="38"/>
        <v>0</v>
      </c>
      <c r="F323" s="616">
        <f t="shared" si="38"/>
        <v>0</v>
      </c>
      <c r="G323" s="616">
        <f t="shared" si="38"/>
        <v>0</v>
      </c>
      <c r="H323" s="616">
        <f t="shared" si="38"/>
        <v>0</v>
      </c>
      <c r="I323" s="661">
        <f t="shared" si="38"/>
        <v>0</v>
      </c>
      <c r="J323" s="701">
        <f t="shared" si="39"/>
        <v>20</v>
      </c>
      <c r="K323" s="54"/>
    </row>
    <row r="324" spans="1:11">
      <c r="A324" s="971"/>
      <c r="B324" s="971"/>
      <c r="C324" s="52" t="str">
        <f t="shared" si="40"/>
        <v>Promotion</v>
      </c>
      <c r="D324" s="39">
        <f t="shared" si="40"/>
        <v>10</v>
      </c>
      <c r="E324" s="660">
        <f t="shared" si="38"/>
        <v>0</v>
      </c>
      <c r="F324" s="616">
        <f t="shared" si="38"/>
        <v>0</v>
      </c>
      <c r="G324" s="616">
        <f t="shared" si="38"/>
        <v>0</v>
      </c>
      <c r="H324" s="616">
        <f t="shared" si="38"/>
        <v>0</v>
      </c>
      <c r="I324" s="661">
        <f t="shared" si="38"/>
        <v>0</v>
      </c>
      <c r="J324" s="701">
        <f t="shared" si="39"/>
        <v>25</v>
      </c>
      <c r="K324" s="54"/>
    </row>
    <row r="325" spans="1:11">
      <c r="A325" s="971"/>
      <c r="B325" s="971"/>
      <c r="C325" s="52" t="str">
        <f t="shared" si="40"/>
        <v>Sales Force</v>
      </c>
      <c r="D325" s="39">
        <f t="shared" si="40"/>
        <v>15</v>
      </c>
      <c r="E325" s="660">
        <f t="shared" si="38"/>
        <v>0</v>
      </c>
      <c r="F325" s="616">
        <f t="shared" si="38"/>
        <v>0</v>
      </c>
      <c r="G325" s="616">
        <f t="shared" si="38"/>
        <v>0</v>
      </c>
      <c r="H325" s="616">
        <f t="shared" si="38"/>
        <v>0</v>
      </c>
      <c r="I325" s="661">
        <f t="shared" si="38"/>
        <v>0</v>
      </c>
      <c r="J325" s="701">
        <f t="shared" si="39"/>
        <v>37.5</v>
      </c>
      <c r="K325" s="54"/>
    </row>
    <row r="326" spans="1:11">
      <c r="A326" s="971"/>
      <c r="B326" s="971"/>
      <c r="C326" s="52" t="str">
        <f t="shared" si="40"/>
        <v>Innovation</v>
      </c>
      <c r="D326" s="39">
        <f t="shared" si="40"/>
        <v>7</v>
      </c>
      <c r="E326" s="660">
        <f t="shared" si="38"/>
        <v>0</v>
      </c>
      <c r="F326" s="616">
        <f t="shared" si="38"/>
        <v>0</v>
      </c>
      <c r="G326" s="616">
        <f t="shared" si="38"/>
        <v>0</v>
      </c>
      <c r="H326" s="616">
        <f t="shared" si="38"/>
        <v>0</v>
      </c>
      <c r="I326" s="661">
        <f t="shared" si="38"/>
        <v>0</v>
      </c>
      <c r="J326" s="701">
        <f t="shared" si="39"/>
        <v>0</v>
      </c>
      <c r="K326" s="54"/>
    </row>
    <row r="327" spans="1:11">
      <c r="A327" s="971"/>
      <c r="B327" s="971"/>
      <c r="C327" s="52" t="str">
        <f t="shared" si="40"/>
        <v>Channel Penetration</v>
      </c>
      <c r="D327" s="39">
        <f t="shared" si="40"/>
        <v>16</v>
      </c>
      <c r="E327" s="660">
        <f t="shared" si="38"/>
        <v>0</v>
      </c>
      <c r="F327" s="616">
        <f t="shared" si="38"/>
        <v>0</v>
      </c>
      <c r="G327" s="616">
        <f t="shared" si="38"/>
        <v>0</v>
      </c>
      <c r="H327" s="616">
        <f t="shared" si="38"/>
        <v>0</v>
      </c>
      <c r="I327" s="661">
        <f t="shared" si="38"/>
        <v>0</v>
      </c>
      <c r="J327" s="701">
        <f t="shared" si="39"/>
        <v>40</v>
      </c>
      <c r="K327" s="54"/>
    </row>
    <row r="328" spans="1:11">
      <c r="A328" s="971"/>
      <c r="B328" s="971"/>
      <c r="C328" s="52" t="str">
        <f t="shared" si="40"/>
        <v>GTM Digitization</v>
      </c>
      <c r="D328" s="39">
        <f t="shared" si="40"/>
        <v>0</v>
      </c>
      <c r="E328" s="660">
        <f t="shared" si="38"/>
        <v>0</v>
      </c>
      <c r="F328" s="616">
        <f t="shared" si="38"/>
        <v>0</v>
      </c>
      <c r="G328" s="616">
        <f t="shared" si="38"/>
        <v>0</v>
      </c>
      <c r="H328" s="616">
        <f t="shared" si="38"/>
        <v>0</v>
      </c>
      <c r="I328" s="661">
        <f t="shared" si="38"/>
        <v>0</v>
      </c>
      <c r="J328" s="701">
        <f t="shared" si="39"/>
        <v>0</v>
      </c>
      <c r="K328" s="54"/>
    </row>
    <row r="329" spans="1:11">
      <c r="A329" s="971"/>
      <c r="B329" s="971"/>
      <c r="C329" s="52" t="str">
        <f t="shared" si="40"/>
        <v>Driver 10</v>
      </c>
      <c r="D329" s="39">
        <f t="shared" si="40"/>
        <v>0</v>
      </c>
      <c r="E329" s="660">
        <f t="shared" ref="E329:I330" si="41">(E285-($J285/xxNumOfTeams))/$J$287</f>
        <v>0</v>
      </c>
      <c r="F329" s="616">
        <f t="shared" si="41"/>
        <v>0</v>
      </c>
      <c r="G329" s="616">
        <f t="shared" si="41"/>
        <v>0</v>
      </c>
      <c r="H329" s="616">
        <f t="shared" si="41"/>
        <v>0</v>
      </c>
      <c r="I329" s="661">
        <f t="shared" si="41"/>
        <v>0</v>
      </c>
      <c r="J329" s="701">
        <f t="shared" si="39"/>
        <v>0</v>
      </c>
      <c r="K329" s="54"/>
    </row>
    <row r="330" spans="1:11">
      <c r="A330" s="971"/>
      <c r="B330" s="971"/>
      <c r="C330" s="52" t="str">
        <f t="shared" si="40"/>
        <v>Special Programs</v>
      </c>
      <c r="D330" s="39">
        <f t="shared" si="40"/>
        <v>0</v>
      </c>
      <c r="E330" s="662">
        <f t="shared" si="41"/>
        <v>0</v>
      </c>
      <c r="F330" s="618">
        <f t="shared" si="41"/>
        <v>0</v>
      </c>
      <c r="G330" s="618">
        <f t="shared" si="41"/>
        <v>0</v>
      </c>
      <c r="H330" s="618">
        <f t="shared" si="41"/>
        <v>0</v>
      </c>
      <c r="I330" s="663">
        <f t="shared" si="41"/>
        <v>0</v>
      </c>
      <c r="J330" s="702">
        <f t="shared" si="39"/>
        <v>0</v>
      </c>
      <c r="K330" s="54"/>
    </row>
    <row r="331" spans="1:11">
      <c r="A331" s="971"/>
      <c r="B331" s="971"/>
      <c r="C331" s="52" t="str">
        <f t="shared" si="40"/>
        <v>Total Effect</v>
      </c>
      <c r="D331" s="38"/>
      <c r="E331" s="1229">
        <f>SUM(E320:E330)</f>
        <v>0</v>
      </c>
      <c r="F331" s="1230">
        <f>SUM(F320:F330)</f>
        <v>0</v>
      </c>
      <c r="G331" s="1230">
        <f>SUM(G320:G330)</f>
        <v>0</v>
      </c>
      <c r="H331" s="1230">
        <f>SUM(H320:H330)</f>
        <v>0</v>
      </c>
      <c r="I331" s="1231">
        <f>SUM(I320:I330)</f>
        <v>0</v>
      </c>
      <c r="J331" s="53">
        <f t="shared" si="39"/>
        <v>245</v>
      </c>
      <c r="K331" s="54"/>
    </row>
    <row r="332" spans="1:11" ht="12" thickBot="1">
      <c r="A332" s="971"/>
      <c r="B332" s="971"/>
      <c r="C332" s="52" t="str">
        <f t="shared" si="40"/>
        <v>Rank</v>
      </c>
      <c r="D332" s="38"/>
      <c r="E332" s="38">
        <f t="shared" ref="E332:I333" si="42">E288</f>
        <v>1</v>
      </c>
      <c r="F332" s="38">
        <f t="shared" si="42"/>
        <v>1</v>
      </c>
      <c r="G332" s="38">
        <f t="shared" si="42"/>
        <v>1</v>
      </c>
      <c r="H332" s="38">
        <f t="shared" si="42"/>
        <v>1</v>
      </c>
      <c r="I332" s="38">
        <f t="shared" si="42"/>
        <v>1</v>
      </c>
      <c r="J332" s="652" t="str">
        <f t="shared" si="39"/>
        <v>Weight</v>
      </c>
      <c r="K332" s="54"/>
    </row>
    <row r="333" spans="1:11">
      <c r="A333" s="971"/>
      <c r="B333" s="971"/>
      <c r="C333" s="378" t="s">
        <v>3201</v>
      </c>
      <c r="D333" s="645"/>
      <c r="E333" s="646">
        <f t="shared" si="42"/>
        <v>0.2</v>
      </c>
      <c r="F333" s="646">
        <f t="shared" si="42"/>
        <v>0.2</v>
      </c>
      <c r="G333" s="646">
        <f t="shared" si="42"/>
        <v>0.2</v>
      </c>
      <c r="H333" s="646">
        <f t="shared" si="42"/>
        <v>0.2</v>
      </c>
      <c r="I333" s="646">
        <f t="shared" si="42"/>
        <v>0.2</v>
      </c>
      <c r="J333" s="648">
        <f t="shared" si="39"/>
        <v>0.45</v>
      </c>
      <c r="K333" s="647"/>
    </row>
    <row r="334" spans="1:11" ht="12" thickBot="1">
      <c r="A334" s="971"/>
      <c r="B334" s="971"/>
      <c r="C334" s="132" t="s">
        <v>1999</v>
      </c>
      <c r="D334" s="21"/>
      <c r="E334" s="106">
        <f t="shared" ref="E334:J334" si="43">E290</f>
        <v>0.2</v>
      </c>
      <c r="F334" s="106">
        <f t="shared" si="43"/>
        <v>0.2</v>
      </c>
      <c r="G334" s="106">
        <f t="shared" si="43"/>
        <v>0.2</v>
      </c>
      <c r="H334" s="106">
        <f t="shared" si="43"/>
        <v>0.2</v>
      </c>
      <c r="I334" s="106">
        <f t="shared" si="43"/>
        <v>0.2</v>
      </c>
      <c r="J334" s="649">
        <f t="shared" si="43"/>
        <v>0.55000000000000004</v>
      </c>
      <c r="K334" s="133"/>
    </row>
    <row r="335" spans="1:11" ht="12" thickBot="1">
      <c r="A335" s="971"/>
      <c r="B335" s="971"/>
      <c r="C335" s="655" t="s">
        <v>2830</v>
      </c>
      <c r="D335" s="656"/>
      <c r="E335" s="659">
        <f t="shared" ref="E335:J335" si="44">E291</f>
        <v>0.2</v>
      </c>
      <c r="F335" s="659">
        <f t="shared" si="44"/>
        <v>0.2</v>
      </c>
      <c r="G335" s="659">
        <f t="shared" si="44"/>
        <v>0.2</v>
      </c>
      <c r="H335" s="659">
        <f t="shared" si="44"/>
        <v>0.2</v>
      </c>
      <c r="I335" s="659">
        <f t="shared" si="44"/>
        <v>0.2</v>
      </c>
      <c r="J335" s="658">
        <f t="shared" si="44"/>
        <v>1125000000</v>
      </c>
      <c r="K335" s="8" t="s">
        <v>2327</v>
      </c>
    </row>
  </sheetData>
  <phoneticPr fontId="0" type="noConversion"/>
  <dataValidations disablePrompts="1" count="1">
    <dataValidation type="decimal" allowBlank="1" showInputMessage="1" showErrorMessage="1" sqref="E242:I242 E227:I227 E203:I207">
      <formula1>-1</formula1>
      <formula2>1</formula2>
    </dataValidation>
  </dataValidations>
  <pageMargins left="0.5" right="0.5" top="0.5" bottom="0.5" header="0.5" footer="0.5"/>
  <pageSetup scale="60" orientation="portrait" r:id="rId1"/>
  <headerFooter alignWithMargins="0"/>
  <rowBreaks count="2" manualBreakCount="2">
    <brk id="160" max="16383" man="1"/>
    <brk id="249" max="16383" man="1"/>
  </rowBreaks>
  <colBreaks count="1" manualBreakCount="1">
    <brk id="11" max="1048575" man="1"/>
  </colBreaks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MProd5"/>
  <dimension ref="A1:M352"/>
  <sheetViews>
    <sheetView showGridLines="0" workbookViewId="0">
      <pane ySplit="1" topLeftCell="A245" activePane="bottomLeft" state="frozen"/>
      <selection activeCell="C352" sqref="C352"/>
      <selection pane="bottomLeft" activeCell="I260" sqref="I260"/>
    </sheetView>
  </sheetViews>
  <sheetFormatPr defaultRowHeight="11.25"/>
  <cols>
    <col min="1" max="1" width="1.83203125" customWidth="1"/>
    <col min="2" max="2" width="18.5" customWidth="1"/>
    <col min="3" max="3" width="15.5" customWidth="1"/>
    <col min="4" max="4" width="18.5" customWidth="1"/>
    <col min="5" max="9" width="13.1640625" customWidth="1"/>
    <col min="10" max="10" width="17.5" bestFit="1" customWidth="1"/>
    <col min="11" max="11" width="11.5" customWidth="1"/>
    <col min="12" max="12" width="11.1640625" customWidth="1"/>
  </cols>
  <sheetData>
    <row r="1" spans="1:11" s="145" customFormat="1" ht="15.75">
      <c r="A1" s="148" t="str">
        <f>"Market Model "&amp; DataNameProd5</f>
        <v>Market Model Product Five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1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3"/>
      <c r="B3" s="3"/>
      <c r="C3" s="77" t="s">
        <v>1132</v>
      </c>
      <c r="D3" s="2">
        <v>-1</v>
      </c>
      <c r="E3" s="2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3"/>
    </row>
    <row r="4" spans="1:11">
      <c r="A4" s="3"/>
      <c r="B4" s="3"/>
      <c r="C4" s="25" t="str">
        <f>DataNameProd5Seg1</f>
        <v>Product 5 Segment 1</v>
      </c>
      <c r="D4" s="216">
        <f t="shared" ref="D4:J4" si="0">xxMMProd5Seg1Units</f>
        <v>0</v>
      </c>
      <c r="E4" s="216">
        <f t="shared" si="0"/>
        <v>0</v>
      </c>
      <c r="F4" s="216">
        <f t="shared" si="0"/>
        <v>0</v>
      </c>
      <c r="G4" s="216">
        <f t="shared" si="0"/>
        <v>0</v>
      </c>
      <c r="H4" s="216">
        <f t="shared" si="0"/>
        <v>0</v>
      </c>
      <c r="I4" s="216">
        <f t="shared" si="0"/>
        <v>0</v>
      </c>
      <c r="J4" s="216">
        <f t="shared" si="0"/>
        <v>0</v>
      </c>
      <c r="K4" s="3"/>
    </row>
    <row r="5" spans="1:11">
      <c r="A5" s="3"/>
      <c r="B5" s="3"/>
      <c r="C5" s="25" t="str">
        <f>DataNameProd5Seg2</f>
        <v>Product 5 Segment 2</v>
      </c>
      <c r="D5" s="216">
        <f t="shared" ref="D5:J5" si="1">xxMMProd5Seg2Units</f>
        <v>0</v>
      </c>
      <c r="E5" s="216">
        <f t="shared" si="1"/>
        <v>0</v>
      </c>
      <c r="F5" s="216">
        <f t="shared" si="1"/>
        <v>0</v>
      </c>
      <c r="G5" s="216">
        <f t="shared" si="1"/>
        <v>0</v>
      </c>
      <c r="H5" s="216">
        <f t="shared" si="1"/>
        <v>0</v>
      </c>
      <c r="I5" s="216">
        <f t="shared" si="1"/>
        <v>0</v>
      </c>
      <c r="J5" s="216">
        <f t="shared" si="1"/>
        <v>0</v>
      </c>
      <c r="K5" s="3"/>
    </row>
    <row r="6" spans="1:11">
      <c r="A6" s="3"/>
      <c r="B6" s="3"/>
      <c r="C6" s="25" t="str">
        <f>DataNameProd5Seg3</f>
        <v>Product 5 Segment 3</v>
      </c>
      <c r="D6" s="216">
        <f t="shared" ref="D6:J6" si="2">xxMMProd5Seg3Units</f>
        <v>0</v>
      </c>
      <c r="E6" s="216">
        <f t="shared" si="2"/>
        <v>0</v>
      </c>
      <c r="F6" s="216">
        <f t="shared" si="2"/>
        <v>0</v>
      </c>
      <c r="G6" s="216">
        <f t="shared" si="2"/>
        <v>0</v>
      </c>
      <c r="H6" s="216">
        <f t="shared" si="2"/>
        <v>0</v>
      </c>
      <c r="I6" s="216">
        <f t="shared" si="2"/>
        <v>0</v>
      </c>
      <c r="J6" s="216">
        <f t="shared" si="2"/>
        <v>0</v>
      </c>
      <c r="K6" s="3"/>
    </row>
    <row r="7" spans="1:11">
      <c r="A7" s="3"/>
      <c r="B7" s="3"/>
      <c r="C7" s="25" t="str">
        <f>DataNameProd5Seg4</f>
        <v>Product 5 Segment 4</v>
      </c>
      <c r="D7" s="216">
        <f t="shared" ref="D7:J7" si="3">xxMMProd5Seg4Units</f>
        <v>0</v>
      </c>
      <c r="E7" s="216">
        <f t="shared" si="3"/>
        <v>0</v>
      </c>
      <c r="F7" s="216">
        <f t="shared" si="3"/>
        <v>0</v>
      </c>
      <c r="G7" s="216">
        <f t="shared" si="3"/>
        <v>0</v>
      </c>
      <c r="H7" s="216">
        <f t="shared" si="3"/>
        <v>0</v>
      </c>
      <c r="I7" s="216">
        <f t="shared" si="3"/>
        <v>0</v>
      </c>
      <c r="J7" s="216">
        <f t="shared" si="3"/>
        <v>0</v>
      </c>
      <c r="K7" s="3"/>
    </row>
    <row r="8" spans="1:11">
      <c r="A8" s="3"/>
      <c r="B8" s="3"/>
      <c r="C8" s="25" t="str">
        <f>DataNameProd5Seg5</f>
        <v>Product 5 Segment 5</v>
      </c>
      <c r="D8" s="216">
        <f t="shared" ref="D8:J8" si="4">xxMMProd5Seg5Units</f>
        <v>0</v>
      </c>
      <c r="E8" s="216">
        <f t="shared" si="4"/>
        <v>0</v>
      </c>
      <c r="F8" s="216">
        <f t="shared" si="4"/>
        <v>0</v>
      </c>
      <c r="G8" s="216">
        <f t="shared" si="4"/>
        <v>0</v>
      </c>
      <c r="H8" s="216">
        <f t="shared" si="4"/>
        <v>0</v>
      </c>
      <c r="I8" s="216">
        <f t="shared" si="4"/>
        <v>0</v>
      </c>
      <c r="J8" s="216">
        <f t="shared" si="4"/>
        <v>0</v>
      </c>
      <c r="K8" s="3"/>
    </row>
    <row r="9" spans="1:11">
      <c r="A9" s="3"/>
      <c r="B9" s="3"/>
      <c r="C9" s="3"/>
      <c r="D9" s="85"/>
      <c r="E9" s="85"/>
      <c r="F9" s="85"/>
      <c r="G9" s="85"/>
      <c r="H9" s="85"/>
      <c r="I9" s="85"/>
      <c r="J9" s="85"/>
      <c r="K9" s="3"/>
    </row>
    <row r="10" spans="1:11">
      <c r="A10" s="3"/>
      <c r="B10" s="3"/>
      <c r="C10" s="2" t="s">
        <v>2671</v>
      </c>
      <c r="D10" s="279">
        <v>1</v>
      </c>
      <c r="E10" s="280" t="s">
        <v>2325</v>
      </c>
      <c r="F10" s="3"/>
      <c r="G10" s="3"/>
      <c r="H10" s="3"/>
      <c r="I10" s="3"/>
      <c r="J10" s="3"/>
      <c r="K10" s="3"/>
    </row>
    <row r="11" spans="1:11">
      <c r="A11" s="3"/>
      <c r="B11" s="3"/>
      <c r="C11" s="2"/>
      <c r="D11" s="88"/>
      <c r="E11" s="3"/>
      <c r="F11" s="3"/>
      <c r="G11" s="3"/>
      <c r="H11" s="3"/>
      <c r="I11" s="3"/>
      <c r="J11" s="3"/>
      <c r="K11" s="3"/>
    </row>
    <row r="12" spans="1:11" ht="12" thickBot="1">
      <c r="A12" s="3"/>
      <c r="B12" s="3"/>
      <c r="C12" s="2" t="s">
        <v>3788</v>
      </c>
      <c r="D12" s="3"/>
      <c r="E12" s="3"/>
      <c r="F12" s="3"/>
      <c r="G12" s="3"/>
      <c r="H12" s="3"/>
      <c r="I12" s="3"/>
      <c r="J12" s="3"/>
      <c r="K12" s="3"/>
    </row>
    <row r="13" spans="1:11" ht="12" thickBot="1">
      <c r="A13" s="3"/>
      <c r="B13" s="3"/>
      <c r="C13" s="276" t="str">
        <f>C4</f>
        <v>Product 5 Segment 1</v>
      </c>
      <c r="D13" s="270">
        <f>INDEX($D4:$J4,xxYear+2)</f>
        <v>0</v>
      </c>
      <c r="E13" s="3"/>
      <c r="F13" s="3"/>
      <c r="G13" s="3"/>
      <c r="H13" s="3"/>
      <c r="I13" s="3"/>
      <c r="J13" s="3"/>
      <c r="K13" s="3"/>
    </row>
    <row r="14" spans="1:11" ht="12" thickBot="1">
      <c r="A14" s="3"/>
      <c r="B14" s="3"/>
      <c r="C14" s="276" t="str">
        <f>C5</f>
        <v>Product 5 Segment 2</v>
      </c>
      <c r="D14" s="270">
        <f>INDEX($D5:$J5,xxYear+2)</f>
        <v>0</v>
      </c>
      <c r="E14" s="3"/>
      <c r="F14" s="3"/>
      <c r="G14" s="3"/>
      <c r="H14" s="3"/>
      <c r="I14" s="3"/>
      <c r="J14" s="3"/>
      <c r="K14" s="3"/>
    </row>
    <row r="15" spans="1:11" ht="12" thickBot="1">
      <c r="A15" s="3"/>
      <c r="B15" s="3"/>
      <c r="C15" s="276" t="str">
        <f>C6</f>
        <v>Product 5 Segment 3</v>
      </c>
      <c r="D15" s="270">
        <f>INDEX($D6:$J6,xxYear+2)</f>
        <v>0</v>
      </c>
      <c r="E15" s="3"/>
      <c r="F15" s="3"/>
      <c r="G15" s="3"/>
      <c r="H15" s="3"/>
      <c r="I15" s="3"/>
      <c r="J15" s="3"/>
      <c r="K15" s="3"/>
    </row>
    <row r="16" spans="1:11" ht="12" thickBot="1">
      <c r="A16" s="3"/>
      <c r="B16" s="3"/>
      <c r="C16" s="276" t="str">
        <f>C7</f>
        <v>Product 5 Segment 4</v>
      </c>
      <c r="D16" s="270">
        <f>INDEX($D7:$J7,xxYear+2)</f>
        <v>0</v>
      </c>
      <c r="E16" s="3"/>
      <c r="F16" s="3"/>
      <c r="G16" s="3"/>
      <c r="H16" s="3"/>
      <c r="I16" s="3"/>
      <c r="J16" s="3"/>
      <c r="K16" s="3"/>
    </row>
    <row r="17" spans="1:13" ht="12" thickBot="1">
      <c r="A17" s="3"/>
      <c r="B17" s="3"/>
      <c r="C17" s="276" t="str">
        <f>C8</f>
        <v>Product 5 Segment 5</v>
      </c>
      <c r="D17" s="270">
        <f>INDEX($D8:$J8,xxYear+2)</f>
        <v>0</v>
      </c>
      <c r="E17" s="3"/>
      <c r="F17" s="3"/>
      <c r="G17" s="3"/>
      <c r="H17" s="3"/>
      <c r="I17" s="3"/>
      <c r="J17" s="3"/>
      <c r="K17" s="3"/>
    </row>
    <row r="18" spans="1:13" ht="12" thickBot="1">
      <c r="A18" s="3"/>
      <c r="B18" s="3"/>
      <c r="C18" s="269"/>
      <c r="D18" s="271"/>
      <c r="E18" s="3"/>
      <c r="F18" s="3"/>
      <c r="G18" s="3"/>
      <c r="H18" s="3"/>
      <c r="I18" s="3"/>
      <c r="J18" s="3"/>
      <c r="K18" s="3"/>
    </row>
    <row r="19" spans="1:13" ht="12" thickBot="1">
      <c r="A19" s="3"/>
      <c r="B19" s="3"/>
      <c r="C19" s="2" t="s">
        <v>3749</v>
      </c>
      <c r="D19" s="270">
        <f>SUM(D13:D18)</f>
        <v>0</v>
      </c>
      <c r="E19" s="3"/>
      <c r="F19" s="3"/>
      <c r="G19" s="3"/>
      <c r="H19" s="3"/>
      <c r="I19" s="3"/>
      <c r="J19" s="3"/>
      <c r="K19" s="3"/>
    </row>
    <row r="20" spans="1:13" ht="12" thickBot="1">
      <c r="A20" s="3"/>
      <c r="B20" s="3"/>
      <c r="C20" s="2"/>
      <c r="D20" s="2"/>
      <c r="E20" s="2"/>
      <c r="F20" s="3"/>
      <c r="G20" s="3"/>
      <c r="H20" s="3"/>
      <c r="I20" s="3"/>
      <c r="J20" s="3"/>
      <c r="K20" s="3"/>
    </row>
    <row r="21" spans="1:13" ht="12" thickBot="1">
      <c r="A21" s="3"/>
      <c r="B21" s="3"/>
      <c r="C21" s="2" t="s">
        <v>3753</v>
      </c>
      <c r="D21" s="278">
        <f>COUNTIF(D13:D18,"&gt;0")</f>
        <v>0</v>
      </c>
      <c r="E21" s="281" t="s">
        <v>2326</v>
      </c>
      <c r="F21" s="85"/>
      <c r="G21" s="85"/>
      <c r="H21" s="85"/>
      <c r="I21" s="85"/>
      <c r="J21" s="85"/>
      <c r="K21" s="3"/>
    </row>
    <row r="22" spans="1:13" ht="12" thickBot="1">
      <c r="A22" s="3"/>
      <c r="B22" s="3"/>
      <c r="C22" s="2" t="s">
        <v>23</v>
      </c>
      <c r="D22" s="278" t="str">
        <f>INDEX(C13:C18,MMSegCurrent)</f>
        <v>Product 5 Segment 1</v>
      </c>
      <c r="E22" s="281" t="s">
        <v>22</v>
      </c>
      <c r="F22" s="85"/>
      <c r="G22" s="85"/>
      <c r="H22" s="85"/>
      <c r="I22" s="85"/>
      <c r="J22" s="85"/>
      <c r="K22" s="3"/>
    </row>
    <row r="23" spans="1:13">
      <c r="A23" s="3"/>
      <c r="B23" s="3"/>
      <c r="C23" s="2"/>
      <c r="D23" s="151"/>
      <c r="E23" s="85"/>
      <c r="F23" s="85"/>
      <c r="G23" s="85"/>
      <c r="H23" s="85"/>
      <c r="I23" s="85"/>
      <c r="J23" s="85"/>
      <c r="K23" s="3"/>
    </row>
    <row r="24" spans="1:13">
      <c r="A24" s="3"/>
      <c r="B24" s="3"/>
      <c r="C24" s="34" t="s">
        <v>61</v>
      </c>
      <c r="D24" s="35"/>
      <c r="E24" s="277" t="e">
        <f>AND(decProd5Price&gt;0,decProd5Units&gt;0)</f>
        <v>#NAME?</v>
      </c>
      <c r="F24" s="277" t="e">
        <f>AND(decProd5Price&gt;0,decProd5Units&gt;0)</f>
        <v>#NAME?</v>
      </c>
      <c r="G24" s="277" t="e">
        <f>AND(decProd5Price&gt;0,decProd5Units&gt;0)</f>
        <v>#NAME?</v>
      </c>
      <c r="H24" s="277" t="e">
        <f>AND(decProd5Price&gt;0,decProd5Units&gt;0)</f>
        <v>#NAME?</v>
      </c>
      <c r="I24" s="277" t="e">
        <f>AND(decProd5Price&gt;0,decProd5Units&gt;0)</f>
        <v>#NAME?</v>
      </c>
      <c r="J24" s="36">
        <f>COUNTIF(E24:I24,TRUE)</f>
        <v>0</v>
      </c>
      <c r="K24" s="3" t="s">
        <v>2331</v>
      </c>
    </row>
    <row r="25" spans="1:13">
      <c r="A25" s="3"/>
      <c r="B25" s="3"/>
      <c r="C25" s="2"/>
      <c r="D25" s="151"/>
      <c r="E25" s="85"/>
      <c r="F25" s="85"/>
      <c r="G25" s="85"/>
      <c r="H25" s="85"/>
      <c r="I25" s="85"/>
      <c r="J25" s="85"/>
      <c r="K25" s="3"/>
    </row>
    <row r="26" spans="1:13">
      <c r="A26" s="3"/>
      <c r="B26" s="2" t="s">
        <v>2380</v>
      </c>
      <c r="C26" s="230" t="str">
        <f>xxMMProd5Driver1</f>
        <v>Price</v>
      </c>
      <c r="D26" s="231"/>
      <c r="E26" s="217" t="e">
        <f>decProd5Price</f>
        <v>#NAME?</v>
      </c>
      <c r="F26" s="217" t="e">
        <f>decProd5Price</f>
        <v>#NAME?</v>
      </c>
      <c r="G26" s="217" t="e">
        <f>decProd5Price</f>
        <v>#NAME?</v>
      </c>
      <c r="H26" s="217" t="e">
        <f>decProd5Price</f>
        <v>#NAME?</v>
      </c>
      <c r="I26" s="217" t="e">
        <f>decProd5Price</f>
        <v>#NAME?</v>
      </c>
      <c r="J26" s="154"/>
    </row>
    <row r="27" spans="1:13">
      <c r="A27" s="3"/>
      <c r="B27" s="3"/>
      <c r="C27" s="37" t="s">
        <v>62</v>
      </c>
      <c r="D27" s="41"/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0"/>
    </row>
    <row r="28" spans="1:13">
      <c r="A28" s="3"/>
      <c r="B28" s="3"/>
      <c r="C28" s="37" t="s">
        <v>63</v>
      </c>
      <c r="D28" s="41">
        <v>0.1</v>
      </c>
      <c r="E28" s="42" t="e">
        <f>E26/(1+$D28)^(E27/365)</f>
        <v>#NAME?</v>
      </c>
      <c r="F28" s="42" t="e">
        <f>F26/(1+$D28)^(F27/365)</f>
        <v>#NAME?</v>
      </c>
      <c r="G28" s="42" t="e">
        <f>G26/(1+$D28)^(G27/365)</f>
        <v>#NAME?</v>
      </c>
      <c r="H28" s="42" t="e">
        <f>H26/(1+$D28)^(H27/365)</f>
        <v>#NAME?</v>
      </c>
      <c r="I28" s="42" t="e">
        <f>I26/(1+$D28)^(I27/365)</f>
        <v>#NAME?</v>
      </c>
      <c r="J28" s="40"/>
    </row>
    <row r="29" spans="1:13">
      <c r="A29" s="3"/>
      <c r="B29" s="3"/>
      <c r="C29" s="37" t="s">
        <v>965</v>
      </c>
      <c r="D29" s="48">
        <v>1</v>
      </c>
      <c r="E29" s="39" t="e">
        <f>IF(MMInMarket=TRUE,E28,0)</f>
        <v>#NAME?</v>
      </c>
      <c r="F29" s="39" t="e">
        <f>IF(MMInMarket=TRUE,F28,0)</f>
        <v>#NAME?</v>
      </c>
      <c r="G29" s="39" t="e">
        <f>IF(MMInMarket=TRUE,G28,0)</f>
        <v>#NAME?</v>
      </c>
      <c r="H29" s="39" t="e">
        <f>IF(MMInMarket=TRUE,H28,0)</f>
        <v>#NAME?</v>
      </c>
      <c r="I29" s="39" t="e">
        <f>IF(MMInMarket=TRUE,I28,0)</f>
        <v>#NAME?</v>
      </c>
      <c r="J29" s="40"/>
      <c r="L29" s="240" t="s">
        <v>3209</v>
      </c>
      <c r="M29" s="240" t="s">
        <v>3210</v>
      </c>
    </row>
    <row r="30" spans="1:13">
      <c r="A30" s="3"/>
      <c r="B30" s="3"/>
      <c r="C30" s="43" t="s">
        <v>966</v>
      </c>
      <c r="D30" s="42" t="e">
        <f>STDEVP(E29:I29)*D29+(STDEVP(E29:I29)=0)</f>
        <v>#NAME?</v>
      </c>
      <c r="E30" s="71" t="e">
        <f>IF(E29=0,0,(1-NORMDIST(E29,$J30,$D30,TRUE)))*(MMInMarket=TRUE)</f>
        <v>#NAME?</v>
      </c>
      <c r="F30" s="71" t="e">
        <f>IF(F29=0,0,(1-NORMDIST(F29,$J30,$D30,TRUE)))*(MMInMarket=TRUE)</f>
        <v>#NAME?</v>
      </c>
      <c r="G30" s="71" t="e">
        <f>IF(G29=0,0,(1-NORMDIST(G29,$J30,$D30,TRUE)))*(MMInMarket=TRUE)</f>
        <v>#NAME?</v>
      </c>
      <c r="H30" s="71" t="e">
        <f>IF(H29=0,0,(1-NORMDIST(H29,$J30,$D30,TRUE)))*(MMInMarket=TRUE)</f>
        <v>#NAME?</v>
      </c>
      <c r="I30" s="71" t="e">
        <f>IF(I29=0,0,(1-NORMDIST(I29,$J30,$D30,TRUE)))*(MMInMarket=TRUE)</f>
        <v>#NAME?</v>
      </c>
      <c r="J30" s="201">
        <f>IF($J$24=0,0,SUM(E29:I29)/$J$24)</f>
        <v>0</v>
      </c>
      <c r="K30" s="241">
        <v>0</v>
      </c>
      <c r="L30" s="14">
        <f t="shared" ref="L30:L36" si="5">K30*$J$30</f>
        <v>0</v>
      </c>
      <c r="M30" s="261" t="e">
        <f t="shared" ref="M30:M36" si="6">1-NORMDIST(L30,$J$30,$D$30,TRUE)</f>
        <v>#NAME?</v>
      </c>
    </row>
    <row r="31" spans="1:13">
      <c r="A31" s="3"/>
      <c r="B31" s="3"/>
      <c r="C31" s="2"/>
      <c r="D31" s="39"/>
      <c r="E31" s="3"/>
      <c r="F31" s="3"/>
      <c r="G31" s="3"/>
      <c r="H31" s="3"/>
      <c r="I31" s="3"/>
      <c r="J31" s="3"/>
      <c r="K31" s="241">
        <v>0.33</v>
      </c>
      <c r="L31" s="14">
        <f t="shared" si="5"/>
        <v>0</v>
      </c>
      <c r="M31" s="261" t="e">
        <f t="shared" si="6"/>
        <v>#NAME?</v>
      </c>
    </row>
    <row r="32" spans="1:13">
      <c r="A32" s="3"/>
      <c r="B32" s="3"/>
      <c r="C32" s="2"/>
      <c r="D32" s="39"/>
      <c r="E32" s="3"/>
      <c r="F32" s="3"/>
      <c r="G32" s="3"/>
      <c r="H32" s="3"/>
      <c r="I32" s="3"/>
      <c r="J32" s="3"/>
      <c r="K32" s="241">
        <v>0.66</v>
      </c>
      <c r="L32" s="14">
        <f t="shared" si="5"/>
        <v>0</v>
      </c>
      <c r="M32" s="261" t="e">
        <f t="shared" si="6"/>
        <v>#NAME?</v>
      </c>
    </row>
    <row r="33" spans="1:13">
      <c r="A33" s="3"/>
      <c r="B33" s="3"/>
      <c r="C33" s="2"/>
      <c r="D33" s="39"/>
      <c r="E33" s="3"/>
      <c r="F33" s="3"/>
      <c r="G33" s="3"/>
      <c r="H33" s="3"/>
      <c r="I33" s="3"/>
      <c r="J33" s="3"/>
      <c r="K33" s="241">
        <v>1</v>
      </c>
      <c r="L33" s="14">
        <f t="shared" si="5"/>
        <v>0</v>
      </c>
      <c r="M33" s="261" t="e">
        <f t="shared" si="6"/>
        <v>#NAME?</v>
      </c>
    </row>
    <row r="34" spans="1:13">
      <c r="A34" s="3"/>
      <c r="B34" s="3"/>
      <c r="C34" s="2"/>
      <c r="D34" s="39"/>
      <c r="E34" s="3"/>
      <c r="F34" s="3"/>
      <c r="G34" s="3"/>
      <c r="H34" s="3"/>
      <c r="I34" s="3"/>
      <c r="J34" s="3"/>
      <c r="K34" s="241">
        <v>1.33</v>
      </c>
      <c r="L34" s="14">
        <f t="shared" si="5"/>
        <v>0</v>
      </c>
      <c r="M34" s="261" t="e">
        <f t="shared" si="6"/>
        <v>#NAME?</v>
      </c>
    </row>
    <row r="35" spans="1:13">
      <c r="A35" s="3"/>
      <c r="B35" s="3"/>
      <c r="C35" s="2"/>
      <c r="D35" s="39"/>
      <c r="E35" s="3"/>
      <c r="F35" s="3"/>
      <c r="G35" s="3"/>
      <c r="H35" s="3"/>
      <c r="I35" s="3"/>
      <c r="J35" s="3"/>
      <c r="K35" s="241">
        <v>1.66</v>
      </c>
      <c r="L35" s="14">
        <f t="shared" si="5"/>
        <v>0</v>
      </c>
      <c r="M35" s="261" t="e">
        <f t="shared" si="6"/>
        <v>#NAME?</v>
      </c>
    </row>
    <row r="36" spans="1:13">
      <c r="A36" s="3"/>
      <c r="B36" s="3"/>
      <c r="C36" s="2"/>
      <c r="D36" s="39"/>
      <c r="E36" s="38"/>
      <c r="F36" s="38"/>
      <c r="G36" s="38"/>
      <c r="H36" s="38"/>
      <c r="I36" s="38"/>
      <c r="J36" s="38"/>
      <c r="K36" s="241">
        <v>2</v>
      </c>
      <c r="L36" s="14">
        <f t="shared" si="5"/>
        <v>0</v>
      </c>
      <c r="M36" s="261" t="e">
        <f t="shared" si="6"/>
        <v>#NAME?</v>
      </c>
    </row>
    <row r="37" spans="1:13">
      <c r="A37" s="3"/>
      <c r="B37" s="3"/>
      <c r="C37" s="2"/>
      <c r="D37" s="39"/>
      <c r="E37" s="38"/>
      <c r="F37" s="38"/>
      <c r="G37" s="38"/>
      <c r="H37" s="38"/>
      <c r="I37" s="38"/>
      <c r="J37" s="38"/>
      <c r="L37" s="14"/>
      <c r="M37" s="241"/>
    </row>
    <row r="38" spans="1:13">
      <c r="B38" s="2" t="s">
        <v>2381</v>
      </c>
      <c r="C38" s="230" t="str">
        <f>xxMMProd5Driver2</f>
        <v>Advertising</v>
      </c>
      <c r="D38" s="231"/>
      <c r="E38" s="218" t="e">
        <f>decAdv</f>
        <v>#NAME?</v>
      </c>
      <c r="F38" s="218" t="e">
        <f>decAdv</f>
        <v>#NAME?</v>
      </c>
      <c r="G38" s="218" t="e">
        <f>decAdv</f>
        <v>#NAME?</v>
      </c>
      <c r="H38" s="218" t="e">
        <f>decAdv</f>
        <v>#NAME?</v>
      </c>
      <c r="I38" s="218" t="e">
        <f>decAdv</f>
        <v>#NAME?</v>
      </c>
      <c r="J38" s="154"/>
    </row>
    <row r="39" spans="1:13">
      <c r="C39" s="37"/>
      <c r="D39" s="38"/>
      <c r="E39" s="39"/>
      <c r="F39" s="39"/>
      <c r="G39" s="39"/>
      <c r="H39" s="39"/>
      <c r="I39" s="39"/>
      <c r="J39" s="40"/>
    </row>
    <row r="40" spans="1:13">
      <c r="C40" s="37" t="s">
        <v>1137</v>
      </c>
      <c r="D40" s="38"/>
      <c r="E40" s="87" t="e">
        <f>E38</f>
        <v>#NAME?</v>
      </c>
      <c r="F40" s="87" t="e">
        <f>F38</f>
        <v>#NAME?</v>
      </c>
      <c r="G40" s="87" t="e">
        <f>G38</f>
        <v>#NAME?</v>
      </c>
      <c r="H40" s="87" t="e">
        <f>H38</f>
        <v>#NAME?</v>
      </c>
      <c r="I40" s="87" t="e">
        <f>I38</f>
        <v>#NAME?</v>
      </c>
      <c r="J40" s="40"/>
    </row>
    <row r="41" spans="1:13">
      <c r="C41" s="37" t="s">
        <v>965</v>
      </c>
      <c r="D41" s="48">
        <v>1</v>
      </c>
      <c r="E41" s="39" t="e">
        <f>IF(MMInMarket=TRUE,E40,0)</f>
        <v>#NAME?</v>
      </c>
      <c r="F41" s="39" t="e">
        <f>IF(MMInMarket=TRUE,F40,0)</f>
        <v>#NAME?</v>
      </c>
      <c r="G41" s="39" t="e">
        <f>IF(MMInMarket=TRUE,G40,0)</f>
        <v>#NAME?</v>
      </c>
      <c r="H41" s="39" t="e">
        <f>IF(MMInMarket=TRUE,H40,0)</f>
        <v>#NAME?</v>
      </c>
      <c r="I41" s="39" t="e">
        <f>IF(MMInMarket=TRUE,I40,0)</f>
        <v>#NAME?</v>
      </c>
      <c r="J41" s="40"/>
      <c r="L41" s="240" t="s">
        <v>3209</v>
      </c>
      <c r="M41" s="240" t="s">
        <v>3210</v>
      </c>
    </row>
    <row r="42" spans="1:13">
      <c r="C42" s="43" t="s">
        <v>967</v>
      </c>
      <c r="D42" s="42" t="e">
        <f>STDEVP(E41:I41)*D41+(STDEVP(E41:I41)=0)</f>
        <v>#NAME?</v>
      </c>
      <c r="E42" s="71" t="e">
        <f>IF(E41=0,0,NORMDIST(E41,$J42,$D42,TRUE))*(MMInMarket=TRUE)</f>
        <v>#NAME?</v>
      </c>
      <c r="F42" s="71" t="e">
        <f>IF(F41=0,0,NORMDIST(F41,$J42,$D42,TRUE))*(MMInMarket=TRUE)</f>
        <v>#NAME?</v>
      </c>
      <c r="G42" s="71" t="e">
        <f>IF(G41=0,0,NORMDIST(G41,$J42,$D42,TRUE))*(MMInMarket=TRUE)</f>
        <v>#NAME?</v>
      </c>
      <c r="H42" s="71" t="e">
        <f>IF(H41=0,0,NORMDIST(H41,$J42,$D42,TRUE))*(MMInMarket=TRUE)</f>
        <v>#NAME?</v>
      </c>
      <c r="I42" s="71" t="e">
        <f>IF(I41=0,0,NORMDIST(I41,$J42,$D42,TRUE))*(MMInMarket=TRUE)</f>
        <v>#NAME?</v>
      </c>
      <c r="J42" s="201">
        <f>IF($J$24=0,0,SUM(E41:I41)/$J$24)</f>
        <v>0</v>
      </c>
      <c r="K42" s="241">
        <v>0</v>
      </c>
      <c r="L42" s="14">
        <f t="shared" ref="L42:L48" si="7">K42*$J$42</f>
        <v>0</v>
      </c>
      <c r="M42" s="261" t="e">
        <f t="shared" ref="M42:M48" si="8">NORMDIST(L42,$J$42,$D$42,TRUE)</f>
        <v>#NAME?</v>
      </c>
    </row>
    <row r="43" spans="1:13">
      <c r="A43" s="3"/>
      <c r="C43" s="2"/>
      <c r="D43" s="39"/>
      <c r="E43" s="3"/>
      <c r="F43" s="3"/>
      <c r="G43" s="3"/>
      <c r="H43" s="3"/>
      <c r="I43" s="3"/>
      <c r="J43" s="3"/>
      <c r="K43" s="241">
        <v>0.33</v>
      </c>
      <c r="L43" s="14">
        <f t="shared" si="7"/>
        <v>0</v>
      </c>
      <c r="M43" s="261" t="e">
        <f t="shared" si="8"/>
        <v>#NAME?</v>
      </c>
    </row>
    <row r="44" spans="1:13">
      <c r="A44" s="3"/>
      <c r="C44" s="2"/>
      <c r="D44" s="39"/>
      <c r="E44" s="3"/>
      <c r="F44" s="3"/>
      <c r="G44" s="3"/>
      <c r="H44" s="3"/>
      <c r="I44" s="3"/>
      <c r="J44" s="3"/>
      <c r="K44" s="241">
        <v>0.66</v>
      </c>
      <c r="L44" s="14">
        <f t="shared" si="7"/>
        <v>0</v>
      </c>
      <c r="M44" s="261" t="e">
        <f t="shared" si="8"/>
        <v>#NAME?</v>
      </c>
    </row>
    <row r="45" spans="1:13">
      <c r="A45" s="3"/>
      <c r="C45" s="2"/>
      <c r="D45" s="39"/>
      <c r="E45" s="3"/>
      <c r="F45" s="3"/>
      <c r="G45" s="3"/>
      <c r="H45" s="3"/>
      <c r="I45" s="3"/>
      <c r="J45" s="3"/>
      <c r="K45" s="241">
        <v>1</v>
      </c>
      <c r="L45" s="14">
        <f t="shared" si="7"/>
        <v>0</v>
      </c>
      <c r="M45" s="261" t="e">
        <f t="shared" si="8"/>
        <v>#NAME?</v>
      </c>
    </row>
    <row r="46" spans="1:13">
      <c r="A46" s="3"/>
      <c r="C46" s="2"/>
      <c r="D46" s="39"/>
      <c r="E46" s="3"/>
      <c r="F46" s="3"/>
      <c r="G46" s="3"/>
      <c r="H46" s="3"/>
      <c r="I46" s="3"/>
      <c r="J46" s="3"/>
      <c r="K46" s="241">
        <v>1.33</v>
      </c>
      <c r="L46" s="14">
        <f t="shared" si="7"/>
        <v>0</v>
      </c>
      <c r="M46" s="261" t="e">
        <f t="shared" si="8"/>
        <v>#NAME?</v>
      </c>
    </row>
    <row r="47" spans="1:13">
      <c r="A47" s="3"/>
      <c r="B47" s="3"/>
      <c r="C47" s="2"/>
      <c r="D47" s="39"/>
      <c r="E47" s="3"/>
      <c r="F47" s="3"/>
      <c r="G47" s="3"/>
      <c r="H47" s="3"/>
      <c r="I47" s="3"/>
      <c r="J47" s="3"/>
      <c r="K47" s="241">
        <v>1.66</v>
      </c>
      <c r="L47" s="14">
        <f t="shared" si="7"/>
        <v>0</v>
      </c>
      <c r="M47" s="261" t="e">
        <f t="shared" si="8"/>
        <v>#NAME?</v>
      </c>
    </row>
    <row r="48" spans="1:13">
      <c r="A48" s="3"/>
      <c r="B48" s="3"/>
      <c r="C48" s="2"/>
      <c r="D48" s="39"/>
      <c r="E48" s="3"/>
      <c r="F48" s="3"/>
      <c r="G48" s="3"/>
      <c r="H48" s="3"/>
      <c r="I48" s="3"/>
      <c r="J48" s="3"/>
      <c r="K48" s="241">
        <v>2</v>
      </c>
      <c r="L48" s="14">
        <f t="shared" si="7"/>
        <v>0</v>
      </c>
      <c r="M48" s="261" t="e">
        <f t="shared" si="8"/>
        <v>#NAME?</v>
      </c>
    </row>
    <row r="49" spans="1:13">
      <c r="A49" s="3"/>
      <c r="B49" s="3"/>
      <c r="C49" s="2"/>
      <c r="D49" s="39"/>
      <c r="E49" s="3"/>
      <c r="F49" s="3"/>
      <c r="G49" s="3"/>
      <c r="H49" s="3"/>
      <c r="I49" s="3"/>
      <c r="J49" s="3"/>
      <c r="L49" s="14"/>
      <c r="M49" s="241"/>
    </row>
    <row r="50" spans="1:13">
      <c r="B50" s="2" t="s">
        <v>2315</v>
      </c>
      <c r="C50" s="230" t="str">
        <f>xxMMProd5Driver3</f>
        <v>Driver 3</v>
      </c>
      <c r="D50" s="231"/>
      <c r="E50" s="218"/>
      <c r="F50" s="218"/>
      <c r="G50" s="218"/>
      <c r="H50" s="218"/>
      <c r="I50" s="218"/>
      <c r="J50" s="154"/>
    </row>
    <row r="51" spans="1:13">
      <c r="C51" s="37"/>
      <c r="D51" s="38"/>
      <c r="E51" s="39"/>
      <c r="F51" s="39"/>
      <c r="G51" s="39"/>
      <c r="H51" s="39"/>
      <c r="I51" s="39"/>
      <c r="J51" s="40"/>
    </row>
    <row r="52" spans="1:13">
      <c r="C52" s="37" t="s">
        <v>2383</v>
      </c>
      <c r="D52" s="38"/>
      <c r="E52" s="87">
        <f>E50</f>
        <v>0</v>
      </c>
      <c r="F52" s="87">
        <f>F50</f>
        <v>0</v>
      </c>
      <c r="G52" s="87">
        <f>G50</f>
        <v>0</v>
      </c>
      <c r="H52" s="87">
        <f>H50</f>
        <v>0</v>
      </c>
      <c r="I52" s="87">
        <f>I50</f>
        <v>0</v>
      </c>
      <c r="J52" s="40"/>
    </row>
    <row r="53" spans="1:13">
      <c r="C53" s="37" t="s">
        <v>965</v>
      </c>
      <c r="D53" s="48">
        <v>1</v>
      </c>
      <c r="E53" s="87" t="e">
        <f>IF(MMInMarket=TRUE,E52,0)</f>
        <v>#NAME?</v>
      </c>
      <c r="F53" s="87" t="e">
        <f>IF(MMInMarket=TRUE,F52,0)</f>
        <v>#NAME?</v>
      </c>
      <c r="G53" s="87" t="e">
        <f>IF(MMInMarket=TRUE,G52,0)</f>
        <v>#NAME?</v>
      </c>
      <c r="H53" s="87" t="e">
        <f>IF(MMInMarket=TRUE,H52,0)</f>
        <v>#NAME?</v>
      </c>
      <c r="I53" s="87" t="e">
        <f>IF(MMInMarket=TRUE,I52,0)</f>
        <v>#NAME?</v>
      </c>
      <c r="J53" s="40"/>
      <c r="L53" s="240" t="s">
        <v>3209</v>
      </c>
      <c r="M53" s="240" t="s">
        <v>3210</v>
      </c>
    </row>
    <row r="54" spans="1:13">
      <c r="C54" s="43" t="s">
        <v>968</v>
      </c>
      <c r="D54" s="42" t="e">
        <f>STDEVP(E53:I53)*D53+(STDEVP(E53:I53)=0)</f>
        <v>#NAME?</v>
      </c>
      <c r="E54" s="71" t="e">
        <f>IF(E53=0,0,NORMDIST(E53,$J54,$D54,TRUE))*(MMInMarket=TRUE)</f>
        <v>#NAME?</v>
      </c>
      <c r="F54" s="71" t="e">
        <f>IF(F53=0,0,NORMDIST(F53,$J54,$D54,TRUE))*(MMInMarket=TRUE)</f>
        <v>#NAME?</v>
      </c>
      <c r="G54" s="71" t="e">
        <f>IF(G53=0,0,NORMDIST(G53,$J54,$D54,TRUE))*(MMInMarket=TRUE)</f>
        <v>#NAME?</v>
      </c>
      <c r="H54" s="71" t="e">
        <f>IF(H53=0,0,NORMDIST(H53,$J54,$D54,TRUE))*(MMInMarket=TRUE)</f>
        <v>#NAME?</v>
      </c>
      <c r="I54" s="71" t="e">
        <f>IF(I53=0,0,NORMDIST(I53,$J54,$D54,TRUE))*(MMInMarket=TRUE)</f>
        <v>#NAME?</v>
      </c>
      <c r="J54" s="44">
        <f>IF($J$24=0,0,SUM(E53:I53)/$J$24)</f>
        <v>0</v>
      </c>
      <c r="K54" s="241">
        <v>0</v>
      </c>
      <c r="L54" s="14">
        <f t="shared" ref="L54:L60" si="9">K54*$J$54</f>
        <v>0</v>
      </c>
      <c r="M54" s="261" t="e">
        <f t="shared" ref="M54:M60" si="10">NORMDIST(L54,$J$54,$D$54,TRUE)</f>
        <v>#NAME?</v>
      </c>
    </row>
    <row r="55" spans="1:13">
      <c r="A55" s="3"/>
      <c r="C55" s="2"/>
      <c r="D55" s="39"/>
      <c r="E55" s="3"/>
      <c r="F55" s="3"/>
      <c r="G55" s="3"/>
      <c r="H55" s="3"/>
      <c r="I55" s="3"/>
      <c r="J55" s="3"/>
      <c r="K55" s="241">
        <v>0.33</v>
      </c>
      <c r="L55" s="14">
        <f t="shared" si="9"/>
        <v>0</v>
      </c>
      <c r="M55" s="261" t="e">
        <f t="shared" si="10"/>
        <v>#NAME?</v>
      </c>
    </row>
    <row r="56" spans="1:13">
      <c r="A56" s="3"/>
      <c r="C56" s="2"/>
      <c r="D56" s="39"/>
      <c r="E56" s="3"/>
      <c r="F56" s="3"/>
      <c r="G56" s="3"/>
      <c r="H56" s="3"/>
      <c r="I56" s="3"/>
      <c r="J56" s="3"/>
      <c r="K56" s="241">
        <v>0.66</v>
      </c>
      <c r="L56" s="14">
        <f t="shared" si="9"/>
        <v>0</v>
      </c>
      <c r="M56" s="261" t="e">
        <f t="shared" si="10"/>
        <v>#NAME?</v>
      </c>
    </row>
    <row r="57" spans="1:13">
      <c r="A57" s="3"/>
      <c r="C57" s="2"/>
      <c r="D57" s="39"/>
      <c r="E57" s="3"/>
      <c r="F57" s="3"/>
      <c r="G57" s="3"/>
      <c r="H57" s="3"/>
      <c r="I57" s="3"/>
      <c r="J57" s="3"/>
      <c r="K57" s="241">
        <v>1</v>
      </c>
      <c r="L57" s="14">
        <f t="shared" si="9"/>
        <v>0</v>
      </c>
      <c r="M57" s="261" t="e">
        <f t="shared" si="10"/>
        <v>#NAME?</v>
      </c>
    </row>
    <row r="58" spans="1:13">
      <c r="A58" s="3"/>
      <c r="B58" s="3"/>
      <c r="C58" s="2"/>
      <c r="D58" s="39"/>
      <c r="E58" s="3"/>
      <c r="F58" s="3"/>
      <c r="G58" s="3"/>
      <c r="H58" s="3"/>
      <c r="I58" s="3"/>
      <c r="J58" s="3"/>
      <c r="K58" s="241">
        <v>1.33</v>
      </c>
      <c r="L58" s="14">
        <f t="shared" si="9"/>
        <v>0</v>
      </c>
      <c r="M58" s="261" t="e">
        <f t="shared" si="10"/>
        <v>#NAME?</v>
      </c>
    </row>
    <row r="59" spans="1:13">
      <c r="A59" s="3"/>
      <c r="B59" s="3"/>
      <c r="C59" s="2"/>
      <c r="D59" s="39"/>
      <c r="E59" s="3"/>
      <c r="F59" s="3"/>
      <c r="G59" s="3"/>
      <c r="H59" s="3"/>
      <c r="I59" s="3"/>
      <c r="J59" s="3"/>
      <c r="K59" s="241">
        <v>1.66</v>
      </c>
      <c r="L59" s="14">
        <f t="shared" si="9"/>
        <v>0</v>
      </c>
      <c r="M59" s="261" t="e">
        <f t="shared" si="10"/>
        <v>#NAME?</v>
      </c>
    </row>
    <row r="60" spans="1:13">
      <c r="A60" s="3"/>
      <c r="B60" s="38"/>
      <c r="C60" s="62"/>
      <c r="D60" s="39"/>
      <c r="E60" s="38"/>
      <c r="F60" s="38"/>
      <c r="G60" s="38"/>
      <c r="H60" s="38"/>
      <c r="I60" s="38"/>
      <c r="J60" s="38"/>
      <c r="K60" s="241">
        <v>2</v>
      </c>
      <c r="L60" s="14">
        <f t="shared" si="9"/>
        <v>0</v>
      </c>
      <c r="M60" s="261" t="e">
        <f t="shared" si="10"/>
        <v>#NAME?</v>
      </c>
    </row>
    <row r="61" spans="1:13" ht="14.25" customHeight="1">
      <c r="A61" s="3"/>
      <c r="B61" s="3"/>
      <c r="C61" s="202"/>
      <c r="D61" s="203"/>
      <c r="E61" s="67"/>
      <c r="F61" s="67"/>
      <c r="G61" s="67"/>
      <c r="H61" s="67"/>
      <c r="I61" s="67"/>
      <c r="J61" s="204"/>
      <c r="K61" s="3"/>
    </row>
    <row r="62" spans="1:13">
      <c r="B62" s="2" t="s">
        <v>2316</v>
      </c>
      <c r="C62" s="230" t="str">
        <f>xxMMProd5Driver4</f>
        <v>Driver 4</v>
      </c>
      <c r="D62" s="231"/>
      <c r="E62" s="219"/>
      <c r="F62" s="219"/>
      <c r="G62" s="219"/>
      <c r="H62" s="219"/>
      <c r="I62" s="219"/>
      <c r="J62" s="154"/>
    </row>
    <row r="63" spans="1:13">
      <c r="C63" s="37"/>
      <c r="D63" s="38"/>
      <c r="E63" s="39"/>
      <c r="F63" s="39"/>
      <c r="G63" s="39"/>
      <c r="H63" s="39"/>
      <c r="I63" s="39"/>
      <c r="J63" s="40"/>
    </row>
    <row r="64" spans="1:13">
      <c r="C64" s="37" t="s">
        <v>2382</v>
      </c>
      <c r="D64" s="38"/>
      <c r="E64" s="87">
        <f>E62</f>
        <v>0</v>
      </c>
      <c r="F64" s="87">
        <f>F62</f>
        <v>0</v>
      </c>
      <c r="G64" s="87">
        <f>G62</f>
        <v>0</v>
      </c>
      <c r="H64" s="87">
        <f>H62</f>
        <v>0</v>
      </c>
      <c r="I64" s="87">
        <f>I62</f>
        <v>0</v>
      </c>
      <c r="J64" s="40"/>
    </row>
    <row r="65" spans="1:13">
      <c r="C65" s="37" t="s">
        <v>965</v>
      </c>
      <c r="D65" s="48">
        <v>1</v>
      </c>
      <c r="E65" s="87" t="e">
        <f>IF(MMInMarket=TRUE,E64,0)</f>
        <v>#NAME?</v>
      </c>
      <c r="F65" s="87" t="e">
        <f>IF(MMInMarket=TRUE,F64,0)</f>
        <v>#NAME?</v>
      </c>
      <c r="G65" s="87" t="e">
        <f>IF(MMInMarket=TRUE,G64,0)</f>
        <v>#NAME?</v>
      </c>
      <c r="H65" s="87" t="e">
        <f>IF(MMInMarket=TRUE,H64,0)</f>
        <v>#NAME?</v>
      </c>
      <c r="I65" s="87" t="e">
        <f>IF(MMInMarket=TRUE,I64,0)</f>
        <v>#NAME?</v>
      </c>
      <c r="J65" s="40"/>
      <c r="L65" s="240" t="s">
        <v>3209</v>
      </c>
      <c r="M65" s="240" t="s">
        <v>3210</v>
      </c>
    </row>
    <row r="66" spans="1:13">
      <c r="C66" s="43" t="s">
        <v>969</v>
      </c>
      <c r="D66" s="42" t="e">
        <f>STDEVP(E65:I65)*D65+(STDEVP(E65:I65)=0)</f>
        <v>#NAME?</v>
      </c>
      <c r="E66" s="71" t="e">
        <f>IF(E65=0,0,NORMDIST(E65,$J66,$D66,TRUE))*(MMInMarket=TRUE)</f>
        <v>#NAME?</v>
      </c>
      <c r="F66" s="71" t="e">
        <f>IF(F65=0,0,NORMDIST(F65,$J66,$D66,TRUE))*(MMInMarket=TRUE)</f>
        <v>#NAME?</v>
      </c>
      <c r="G66" s="71" t="e">
        <f>IF(G65=0,0,NORMDIST(G65,$J66,$D66,TRUE))*(MMInMarket=TRUE)</f>
        <v>#NAME?</v>
      </c>
      <c r="H66" s="71" t="e">
        <f>IF(H65=0,0,NORMDIST(H65,$J66,$D66,TRUE))*(MMInMarket=TRUE)</f>
        <v>#NAME?</v>
      </c>
      <c r="I66" s="71" t="e">
        <f>IF(I65=0,0,NORMDIST(I65,$J66,$D66,TRUE))*(MMInMarket=TRUE)</f>
        <v>#NAME?</v>
      </c>
      <c r="J66" s="44">
        <f>IF($J$24=0,0,SUM(E65:I65)/$J$24)</f>
        <v>0</v>
      </c>
      <c r="K66" s="241">
        <v>0</v>
      </c>
      <c r="L66" s="14">
        <f t="shared" ref="L66:L72" si="11">K66*$J$66</f>
        <v>0</v>
      </c>
      <c r="M66" s="261" t="e">
        <f t="shared" ref="M66:M72" si="12">NORMDIST(L66,$J$66,$D$66,TRUE)</f>
        <v>#NAME?</v>
      </c>
    </row>
    <row r="67" spans="1:13">
      <c r="A67" s="3"/>
      <c r="C67" s="2"/>
      <c r="D67" s="39"/>
      <c r="E67" s="3"/>
      <c r="F67" s="3"/>
      <c r="G67" s="3"/>
      <c r="H67" s="3"/>
      <c r="I67" s="3"/>
      <c r="J67" s="3"/>
      <c r="K67" s="241">
        <v>0.33</v>
      </c>
      <c r="L67" s="14">
        <f t="shared" si="11"/>
        <v>0</v>
      </c>
      <c r="M67" s="261" t="e">
        <f t="shared" si="12"/>
        <v>#NAME?</v>
      </c>
    </row>
    <row r="68" spans="1:13">
      <c r="A68" s="3"/>
      <c r="C68" s="2"/>
      <c r="D68" s="39"/>
      <c r="E68" s="3"/>
      <c r="F68" s="3"/>
      <c r="G68" s="3"/>
      <c r="H68" s="3"/>
      <c r="I68" s="3"/>
      <c r="J68" s="3"/>
      <c r="K68" s="241">
        <v>0.66</v>
      </c>
      <c r="L68" s="14">
        <f t="shared" si="11"/>
        <v>0</v>
      </c>
      <c r="M68" s="261" t="e">
        <f t="shared" si="12"/>
        <v>#NAME?</v>
      </c>
    </row>
    <row r="69" spans="1:13">
      <c r="A69" s="3"/>
      <c r="B69" s="3"/>
      <c r="C69" s="2"/>
      <c r="D69" s="39"/>
      <c r="E69" s="3"/>
      <c r="F69" s="3"/>
      <c r="G69" s="3"/>
      <c r="H69" s="3"/>
      <c r="I69" s="3"/>
      <c r="J69" s="3"/>
      <c r="K69" s="241">
        <v>1</v>
      </c>
      <c r="L69" s="14">
        <f t="shared" si="11"/>
        <v>0</v>
      </c>
      <c r="M69" s="261" t="e">
        <f t="shared" si="12"/>
        <v>#NAME?</v>
      </c>
    </row>
    <row r="70" spans="1:13">
      <c r="A70" s="3"/>
      <c r="B70" s="3"/>
      <c r="C70" s="2"/>
      <c r="D70" s="39"/>
      <c r="E70" s="3"/>
      <c r="F70" s="3"/>
      <c r="G70" s="3"/>
      <c r="H70" s="3"/>
      <c r="I70" s="3"/>
      <c r="J70" s="3"/>
      <c r="K70" s="241">
        <v>1.33</v>
      </c>
      <c r="L70" s="14">
        <f t="shared" si="11"/>
        <v>0</v>
      </c>
      <c r="M70" s="261" t="e">
        <f t="shared" si="12"/>
        <v>#NAME?</v>
      </c>
    </row>
    <row r="71" spans="1:13">
      <c r="A71" s="3"/>
      <c r="B71" s="3"/>
      <c r="C71" s="2"/>
      <c r="D71" s="39"/>
      <c r="E71" s="3"/>
      <c r="F71" s="3"/>
      <c r="G71" s="3"/>
      <c r="H71" s="3"/>
      <c r="I71" s="3"/>
      <c r="J71" s="3"/>
      <c r="K71" s="241">
        <v>1.66</v>
      </c>
      <c r="L71" s="14">
        <f t="shared" si="11"/>
        <v>0</v>
      </c>
      <c r="M71" s="261" t="e">
        <f t="shared" si="12"/>
        <v>#NAME?</v>
      </c>
    </row>
    <row r="72" spans="1:13">
      <c r="A72" s="3"/>
      <c r="B72" s="3"/>
      <c r="C72" s="2"/>
      <c r="D72" s="39"/>
      <c r="E72" s="3"/>
      <c r="F72" s="3"/>
      <c r="G72" s="3"/>
      <c r="H72" s="3"/>
      <c r="I72" s="3"/>
      <c r="J72" s="3"/>
      <c r="K72" s="241">
        <v>2</v>
      </c>
      <c r="L72" s="14">
        <f t="shared" si="11"/>
        <v>0</v>
      </c>
      <c r="M72" s="261" t="e">
        <f t="shared" si="12"/>
        <v>#NAME?</v>
      </c>
    </row>
    <row r="73" spans="1:13">
      <c r="A73" s="3"/>
      <c r="B73" s="3"/>
      <c r="C73" s="62"/>
      <c r="D73" s="39"/>
      <c r="E73" s="38"/>
      <c r="F73" s="38"/>
      <c r="G73" s="38"/>
      <c r="H73" s="38"/>
      <c r="I73" s="38"/>
      <c r="J73" s="38"/>
      <c r="K73" s="3"/>
    </row>
    <row r="74" spans="1:13">
      <c r="B74" s="2" t="s">
        <v>2317</v>
      </c>
      <c r="C74" s="230" t="str">
        <f>xxMMProd5Driver5</f>
        <v>Driver 5</v>
      </c>
      <c r="D74" s="231"/>
      <c r="E74" s="218"/>
      <c r="F74" s="218"/>
      <c r="G74" s="218"/>
      <c r="H74" s="218"/>
      <c r="I74" s="218"/>
      <c r="J74" s="154"/>
    </row>
    <row r="75" spans="1:13">
      <c r="C75" s="37"/>
      <c r="D75" s="38"/>
      <c r="E75" s="39"/>
      <c r="F75" s="39"/>
      <c r="G75" s="39"/>
      <c r="H75" s="39"/>
      <c r="I75" s="39"/>
      <c r="J75" s="40"/>
    </row>
    <row r="76" spans="1:13">
      <c r="C76" s="37" t="s">
        <v>2382</v>
      </c>
      <c r="D76" s="38"/>
      <c r="E76" s="87">
        <f>E74</f>
        <v>0</v>
      </c>
      <c r="F76" s="87">
        <f>F74</f>
        <v>0</v>
      </c>
      <c r="G76" s="87">
        <f>G74</f>
        <v>0</v>
      </c>
      <c r="H76" s="87">
        <f>H74</f>
        <v>0</v>
      </c>
      <c r="I76" s="87">
        <f>I74</f>
        <v>0</v>
      </c>
      <c r="J76" s="40"/>
    </row>
    <row r="77" spans="1:13">
      <c r="C77" s="37" t="s">
        <v>965</v>
      </c>
      <c r="D77" s="48">
        <v>1</v>
      </c>
      <c r="E77" s="87" t="e">
        <f>IF(MMInMarket=TRUE,E76,0)</f>
        <v>#NAME?</v>
      </c>
      <c r="F77" s="87" t="e">
        <f>IF(MMInMarket=TRUE,F76,0)</f>
        <v>#NAME?</v>
      </c>
      <c r="G77" s="87" t="e">
        <f>IF(MMInMarket=TRUE,G76,0)</f>
        <v>#NAME?</v>
      </c>
      <c r="H77" s="87" t="e">
        <f>IF(MMInMarket=TRUE,H76,0)</f>
        <v>#NAME?</v>
      </c>
      <c r="I77" s="87" t="e">
        <f>IF(MMInMarket=TRUE,I76,0)</f>
        <v>#NAME?</v>
      </c>
      <c r="J77" s="40"/>
      <c r="L77" s="240" t="s">
        <v>3209</v>
      </c>
      <c r="M77" s="240" t="s">
        <v>3210</v>
      </c>
    </row>
    <row r="78" spans="1:13">
      <c r="C78" s="43" t="s">
        <v>970</v>
      </c>
      <c r="D78" s="42" t="e">
        <f>STDEVP(E77:I77)*D77+(STDEVP(E77:I77)=0)</f>
        <v>#NAME?</v>
      </c>
      <c r="E78" s="71" t="e">
        <f>IF(E77=0,0,NORMDIST(E77,$J78,$D78,TRUE))*(MMInMarket=TRUE)</f>
        <v>#NAME?</v>
      </c>
      <c r="F78" s="71" t="e">
        <f>IF(F77=0,0,NORMDIST(F77,$J78,$D78,TRUE))*(MMInMarket=TRUE)</f>
        <v>#NAME?</v>
      </c>
      <c r="G78" s="71" t="e">
        <f>IF(G77=0,0,NORMDIST(G77,$J78,$D78,TRUE))*(MMInMarket=TRUE)</f>
        <v>#NAME?</v>
      </c>
      <c r="H78" s="71" t="e">
        <f>IF(H77=0,0,NORMDIST(H77,$J78,$D78,TRUE))*(MMInMarket=TRUE)</f>
        <v>#NAME?</v>
      </c>
      <c r="I78" s="71" t="e">
        <f>IF(I77=0,0,NORMDIST(I77,$J78,$D78,TRUE))*(MMInMarket=TRUE)</f>
        <v>#NAME?</v>
      </c>
      <c r="J78" s="44">
        <f>IF($J$24=0,0,SUM(E77:I77)/$J$24)</f>
        <v>0</v>
      </c>
      <c r="K78" s="241">
        <v>0</v>
      </c>
      <c r="L78" s="14">
        <f t="shared" ref="L78:L84" si="13">K78*$J$78</f>
        <v>0</v>
      </c>
      <c r="M78" s="261" t="e">
        <f t="shared" ref="M78:M84" si="14">NORMDIST(L78,$J$78,$D$78,TRUE)</f>
        <v>#NAME?</v>
      </c>
    </row>
    <row r="79" spans="1:13">
      <c r="A79" s="3"/>
      <c r="C79" s="2"/>
      <c r="D79" s="39"/>
      <c r="E79" s="3"/>
      <c r="F79" s="3"/>
      <c r="G79" s="3"/>
      <c r="H79" s="3"/>
      <c r="I79" s="3"/>
      <c r="J79" s="3"/>
      <c r="K79" s="241">
        <v>0.33</v>
      </c>
      <c r="L79" s="14">
        <f t="shared" si="13"/>
        <v>0</v>
      </c>
      <c r="M79" s="261" t="e">
        <f t="shared" si="14"/>
        <v>#NAME?</v>
      </c>
    </row>
    <row r="80" spans="1:13">
      <c r="A80" s="3"/>
      <c r="B80" s="3"/>
      <c r="C80" s="2"/>
      <c r="D80" s="39"/>
      <c r="E80" s="3"/>
      <c r="F80" s="3"/>
      <c r="G80" s="3"/>
      <c r="H80" s="3"/>
      <c r="I80" s="3"/>
      <c r="J80" s="3"/>
      <c r="K80" s="241">
        <v>0.66</v>
      </c>
      <c r="L80" s="14">
        <f t="shared" si="13"/>
        <v>0</v>
      </c>
      <c r="M80" s="261" t="e">
        <f t="shared" si="14"/>
        <v>#NAME?</v>
      </c>
    </row>
    <row r="81" spans="1:13">
      <c r="A81" s="3"/>
      <c r="B81" s="3"/>
      <c r="C81" s="2"/>
      <c r="D81" s="39"/>
      <c r="E81" s="3"/>
      <c r="F81" s="3"/>
      <c r="G81" s="3"/>
      <c r="H81" s="3"/>
      <c r="I81" s="3"/>
      <c r="J81" s="3"/>
      <c r="K81" s="241">
        <v>1</v>
      </c>
      <c r="L81" s="14">
        <f t="shared" si="13"/>
        <v>0</v>
      </c>
      <c r="M81" s="261" t="e">
        <f t="shared" si="14"/>
        <v>#NAME?</v>
      </c>
    </row>
    <row r="82" spans="1:13">
      <c r="A82" s="3"/>
      <c r="B82" s="3"/>
      <c r="C82" s="2"/>
      <c r="D82" s="39"/>
      <c r="E82" s="3"/>
      <c r="F82" s="3"/>
      <c r="G82" s="3"/>
      <c r="H82" s="3"/>
      <c r="I82" s="3"/>
      <c r="J82" s="3"/>
      <c r="K82" s="241">
        <v>1.33</v>
      </c>
      <c r="L82" s="14">
        <f t="shared" si="13"/>
        <v>0</v>
      </c>
      <c r="M82" s="261" t="e">
        <f t="shared" si="14"/>
        <v>#NAME?</v>
      </c>
    </row>
    <row r="83" spans="1:13">
      <c r="A83" s="3"/>
      <c r="B83" s="3"/>
      <c r="C83" s="2"/>
      <c r="D83" s="39"/>
      <c r="E83" s="3"/>
      <c r="F83" s="3"/>
      <c r="G83" s="3"/>
      <c r="H83" s="3"/>
      <c r="I83" s="3"/>
      <c r="J83" s="3"/>
      <c r="K83" s="241">
        <v>1.66</v>
      </c>
      <c r="L83" s="14">
        <f t="shared" si="13"/>
        <v>0</v>
      </c>
      <c r="M83" s="261" t="e">
        <f t="shared" si="14"/>
        <v>#NAME?</v>
      </c>
    </row>
    <row r="84" spans="1:13">
      <c r="A84" s="3"/>
      <c r="B84" s="3"/>
      <c r="C84" s="2"/>
      <c r="D84" s="39"/>
      <c r="E84" s="3"/>
      <c r="F84" s="3"/>
      <c r="G84" s="3"/>
      <c r="H84" s="3"/>
      <c r="I84" s="3"/>
      <c r="J84" s="3"/>
      <c r="K84" s="241">
        <v>2</v>
      </c>
      <c r="L84" s="14">
        <f t="shared" si="13"/>
        <v>0</v>
      </c>
      <c r="M84" s="261" t="e">
        <f t="shared" si="14"/>
        <v>#NAME?</v>
      </c>
    </row>
    <row r="85" spans="1:13">
      <c r="A85" s="3"/>
      <c r="B85" s="3"/>
      <c r="C85" s="2"/>
      <c r="D85" s="39"/>
      <c r="E85" s="3"/>
      <c r="F85" s="3"/>
      <c r="G85" s="3"/>
      <c r="H85" s="3"/>
      <c r="I85" s="3"/>
      <c r="J85" s="3"/>
      <c r="K85" s="3"/>
    </row>
    <row r="86" spans="1:13">
      <c r="B86" s="2" t="s">
        <v>2318</v>
      </c>
      <c r="C86" s="230" t="str">
        <f>xxMMProd5Driver6</f>
        <v>Driver 6</v>
      </c>
      <c r="D86" s="231"/>
      <c r="E86" s="218"/>
      <c r="F86" s="218"/>
      <c r="G86" s="218"/>
      <c r="H86" s="218"/>
      <c r="I86" s="218"/>
      <c r="J86" s="154"/>
    </row>
    <row r="87" spans="1:13">
      <c r="C87" s="37"/>
      <c r="D87" s="38"/>
      <c r="E87" s="39"/>
      <c r="F87" s="39"/>
      <c r="G87" s="39"/>
      <c r="H87" s="39"/>
      <c r="I87" s="39"/>
      <c r="J87" s="40"/>
    </row>
    <row r="88" spans="1:13">
      <c r="C88" s="37" t="s">
        <v>2383</v>
      </c>
      <c r="D88" s="38"/>
      <c r="E88" s="87">
        <f>E86</f>
        <v>0</v>
      </c>
      <c r="F88" s="87">
        <f>F86</f>
        <v>0</v>
      </c>
      <c r="G88" s="87">
        <f>G86</f>
        <v>0</v>
      </c>
      <c r="H88" s="87">
        <f>H86</f>
        <v>0</v>
      </c>
      <c r="I88" s="87">
        <f>I86</f>
        <v>0</v>
      </c>
      <c r="J88" s="40"/>
    </row>
    <row r="89" spans="1:13">
      <c r="C89" s="37" t="s">
        <v>965</v>
      </c>
      <c r="D89" s="48">
        <v>1</v>
      </c>
      <c r="E89" s="87" t="e">
        <f>IF(MMInMarket=TRUE,E88,0)</f>
        <v>#NAME?</v>
      </c>
      <c r="F89" s="87" t="e">
        <f>IF(MMInMarket=TRUE,F88,0)</f>
        <v>#NAME?</v>
      </c>
      <c r="G89" s="87" t="e">
        <f>IF(MMInMarket=TRUE,G88,0)</f>
        <v>#NAME?</v>
      </c>
      <c r="H89" s="87" t="e">
        <f>IF(MMInMarket=TRUE,H88,0)</f>
        <v>#NAME?</v>
      </c>
      <c r="I89" s="87" t="e">
        <f>IF(MMInMarket=TRUE,I88,0)</f>
        <v>#NAME?</v>
      </c>
      <c r="J89" s="40"/>
      <c r="L89" s="240" t="s">
        <v>3209</v>
      </c>
      <c r="M89" s="240" t="s">
        <v>3210</v>
      </c>
    </row>
    <row r="90" spans="1:13">
      <c r="C90" s="43" t="s">
        <v>971</v>
      </c>
      <c r="D90" s="42" t="e">
        <f>STDEVP(E89:I89)*D89+(STDEVP(E89:I89)=0)</f>
        <v>#NAME?</v>
      </c>
      <c r="E90" s="71" t="e">
        <f>IF(E89=0,0,NORMDIST(E89,$J90,$D90,TRUE))*(MMInMarket=TRUE)</f>
        <v>#NAME?</v>
      </c>
      <c r="F90" s="71" t="e">
        <f>IF(F89=0,0,NORMDIST(F89,$J90,$D90,TRUE))*(MMInMarket=TRUE)</f>
        <v>#NAME?</v>
      </c>
      <c r="G90" s="71" t="e">
        <f>IF(G89=0,0,NORMDIST(G89,$J90,$D90,TRUE))*(MMInMarket=TRUE)</f>
        <v>#NAME?</v>
      </c>
      <c r="H90" s="71" t="e">
        <f>IF(H89=0,0,NORMDIST(H89,$J90,$D90,TRUE))*(MMInMarket=TRUE)</f>
        <v>#NAME?</v>
      </c>
      <c r="I90" s="71" t="e">
        <f>IF(I89=0,0,NORMDIST(I89,$J90,$D90,TRUE))*(MMInMarket=TRUE)</f>
        <v>#NAME?</v>
      </c>
      <c r="J90" s="44">
        <f>IF($J$24=0,0,SUM(E89:I89)/$J$24)</f>
        <v>0</v>
      </c>
      <c r="K90" s="241">
        <v>0</v>
      </c>
      <c r="L90" s="14">
        <f t="shared" ref="L90:L96" si="15">K90*$J$90</f>
        <v>0</v>
      </c>
      <c r="M90" s="261" t="e">
        <f t="shared" ref="M90:M96" si="16">NORMDIST(L90,$J$90,$D$90,TRUE)</f>
        <v>#NAME?</v>
      </c>
    </row>
    <row r="91" spans="1:13">
      <c r="A91" s="3"/>
      <c r="B91" s="3"/>
      <c r="C91" s="2"/>
      <c r="D91" s="39"/>
      <c r="E91" s="3"/>
      <c r="F91" s="3"/>
      <c r="G91" s="3"/>
      <c r="H91" s="3"/>
      <c r="I91" s="3"/>
      <c r="J91" s="3"/>
      <c r="K91" s="241">
        <v>0.33</v>
      </c>
      <c r="L91" s="14">
        <f t="shared" si="15"/>
        <v>0</v>
      </c>
      <c r="M91" s="261" t="e">
        <f t="shared" si="16"/>
        <v>#NAME?</v>
      </c>
    </row>
    <row r="92" spans="1:13">
      <c r="A92" s="3"/>
      <c r="B92" s="3"/>
      <c r="C92" s="2"/>
      <c r="D92" s="39"/>
      <c r="E92" s="3"/>
      <c r="F92" s="3"/>
      <c r="G92" s="3"/>
      <c r="H92" s="3"/>
      <c r="I92" s="3"/>
      <c r="J92" s="3"/>
      <c r="K92" s="241">
        <v>0.66</v>
      </c>
      <c r="L92" s="14">
        <f t="shared" si="15"/>
        <v>0</v>
      </c>
      <c r="M92" s="261" t="e">
        <f t="shared" si="16"/>
        <v>#NAME?</v>
      </c>
    </row>
    <row r="93" spans="1:13">
      <c r="A93" s="3"/>
      <c r="B93" s="3"/>
      <c r="C93" s="2"/>
      <c r="D93" s="39"/>
      <c r="E93" s="3"/>
      <c r="F93" s="3"/>
      <c r="G93" s="3"/>
      <c r="H93" s="3"/>
      <c r="I93" s="3"/>
      <c r="J93" s="3"/>
      <c r="K93" s="241">
        <v>1</v>
      </c>
      <c r="L93" s="14">
        <f t="shared" si="15"/>
        <v>0</v>
      </c>
      <c r="M93" s="261" t="e">
        <f t="shared" si="16"/>
        <v>#NAME?</v>
      </c>
    </row>
    <row r="94" spans="1:13">
      <c r="A94" s="3"/>
      <c r="B94" s="3"/>
      <c r="C94" s="2"/>
      <c r="D94" s="39"/>
      <c r="E94" s="3"/>
      <c r="F94" s="3"/>
      <c r="G94" s="3"/>
      <c r="H94" s="3"/>
      <c r="I94" s="3"/>
      <c r="J94" s="3"/>
      <c r="K94" s="241">
        <v>1.33</v>
      </c>
      <c r="L94" s="14">
        <f t="shared" si="15"/>
        <v>0</v>
      </c>
      <c r="M94" s="261" t="e">
        <f t="shared" si="16"/>
        <v>#NAME?</v>
      </c>
    </row>
    <row r="95" spans="1:13">
      <c r="A95" s="3"/>
      <c r="B95" s="3"/>
      <c r="C95" s="2"/>
      <c r="D95" s="39"/>
      <c r="E95" s="3"/>
      <c r="F95" s="3"/>
      <c r="G95" s="3"/>
      <c r="H95" s="3"/>
      <c r="I95" s="3"/>
      <c r="J95" s="3"/>
      <c r="K95" s="241">
        <v>1.66</v>
      </c>
      <c r="L95" s="14">
        <f t="shared" si="15"/>
        <v>0</v>
      </c>
      <c r="M95" s="261" t="e">
        <f t="shared" si="16"/>
        <v>#NAME?</v>
      </c>
    </row>
    <row r="96" spans="1:13">
      <c r="A96" s="3"/>
      <c r="B96" s="3"/>
      <c r="C96" s="2"/>
      <c r="D96" s="39"/>
      <c r="E96" s="3"/>
      <c r="F96" s="3"/>
      <c r="G96" s="3"/>
      <c r="H96" s="3"/>
      <c r="I96" s="3"/>
      <c r="J96" s="3"/>
      <c r="K96" s="241">
        <v>2</v>
      </c>
      <c r="L96" s="14">
        <f t="shared" si="15"/>
        <v>0</v>
      </c>
      <c r="M96" s="261" t="e">
        <f t="shared" si="16"/>
        <v>#NAME?</v>
      </c>
    </row>
    <row r="97" spans="1:13">
      <c r="A97" s="3"/>
      <c r="B97" s="3"/>
      <c r="C97" s="2"/>
      <c r="D97" s="39"/>
      <c r="E97" s="3"/>
      <c r="F97" s="3"/>
      <c r="G97" s="3"/>
      <c r="H97" s="3"/>
      <c r="I97" s="3"/>
      <c r="J97" s="3"/>
      <c r="L97" s="14"/>
      <c r="M97" s="241"/>
    </row>
    <row r="98" spans="1:13">
      <c r="B98" s="2" t="s">
        <v>2319</v>
      </c>
      <c r="C98" s="230" t="str">
        <f>xxMMProd5Driver7</f>
        <v>Driver 7</v>
      </c>
      <c r="D98" s="231"/>
      <c r="E98" s="218"/>
      <c r="F98" s="218"/>
      <c r="G98" s="218"/>
      <c r="H98" s="218"/>
      <c r="I98" s="218"/>
      <c r="J98" s="154"/>
    </row>
    <row r="99" spans="1:13">
      <c r="C99" s="37"/>
      <c r="D99" s="38"/>
      <c r="E99" s="39"/>
      <c r="F99" s="39"/>
      <c r="G99" s="39"/>
      <c r="H99" s="39"/>
      <c r="I99" s="39"/>
      <c r="J99" s="40"/>
    </row>
    <row r="100" spans="1:13">
      <c r="C100" s="37" t="s">
        <v>2383</v>
      </c>
      <c r="D100" s="38"/>
      <c r="E100" s="87">
        <f>E98</f>
        <v>0</v>
      </c>
      <c r="F100" s="87">
        <f>F98</f>
        <v>0</v>
      </c>
      <c r="G100" s="87">
        <f>G98</f>
        <v>0</v>
      </c>
      <c r="H100" s="87">
        <f>H98</f>
        <v>0</v>
      </c>
      <c r="I100" s="87">
        <f>I98</f>
        <v>0</v>
      </c>
      <c r="J100" s="40"/>
    </row>
    <row r="101" spans="1:13">
      <c r="C101" s="37" t="s">
        <v>965</v>
      </c>
      <c r="D101" s="48">
        <v>1</v>
      </c>
      <c r="E101" s="87" t="e">
        <f>IF(MMInMarket=TRUE,E100,0)</f>
        <v>#NAME?</v>
      </c>
      <c r="F101" s="87" t="e">
        <f>IF(MMInMarket=TRUE,F100,0)</f>
        <v>#NAME?</v>
      </c>
      <c r="G101" s="87" t="e">
        <f>IF(MMInMarket=TRUE,G100,0)</f>
        <v>#NAME?</v>
      </c>
      <c r="H101" s="87" t="e">
        <f>IF(MMInMarket=TRUE,H100,0)</f>
        <v>#NAME?</v>
      </c>
      <c r="I101" s="87" t="e">
        <f>IF(MMInMarket=TRUE,I100,0)</f>
        <v>#NAME?</v>
      </c>
      <c r="J101" s="40"/>
      <c r="L101" s="240" t="s">
        <v>3209</v>
      </c>
      <c r="M101" s="240" t="s">
        <v>3210</v>
      </c>
    </row>
    <row r="102" spans="1:13">
      <c r="C102" s="43" t="s">
        <v>972</v>
      </c>
      <c r="D102" s="42" t="e">
        <f>STDEVP(E101:I101)*D101+(STDEVP(E101:I101)=0)</f>
        <v>#NAME?</v>
      </c>
      <c r="E102" s="71" t="e">
        <f>IF(E101=0,0,NORMDIST(E101,$J102,$D102,TRUE))*(MMInMarket=TRUE)</f>
        <v>#NAME?</v>
      </c>
      <c r="F102" s="71" t="e">
        <f>IF(F101=0,0,NORMDIST(F101,$J102,$D102,TRUE))*(MMInMarket=TRUE)</f>
        <v>#NAME?</v>
      </c>
      <c r="G102" s="71" t="e">
        <f>IF(G101=0,0,NORMDIST(G101,$J102,$D102,TRUE))*(MMInMarket=TRUE)</f>
        <v>#NAME?</v>
      </c>
      <c r="H102" s="71" t="e">
        <f>IF(H101=0,0,NORMDIST(H101,$J102,$D102,TRUE))*(MMInMarket=TRUE)</f>
        <v>#NAME?</v>
      </c>
      <c r="I102" s="71" t="e">
        <f>IF(I101=0,0,NORMDIST(I101,$J102,$D102,TRUE))*(MMInMarket=TRUE)</f>
        <v>#NAME?</v>
      </c>
      <c r="J102" s="44">
        <f>IF($J$24=0,0,SUM(E101:I101)/$J$24)</f>
        <v>0</v>
      </c>
      <c r="K102" s="241">
        <v>0</v>
      </c>
      <c r="L102" s="14">
        <f t="shared" ref="L102:L108" si="17">K102*$J$102</f>
        <v>0</v>
      </c>
      <c r="M102" s="261" t="e">
        <f t="shared" ref="M102:M108" si="18">NORMDIST(L102,$J$102,$D$102,TRUE)</f>
        <v>#NAME?</v>
      </c>
    </row>
    <row r="103" spans="1:13">
      <c r="A103" s="3"/>
      <c r="B103" s="3"/>
      <c r="C103" s="2"/>
      <c r="D103" s="39"/>
      <c r="E103" s="3"/>
      <c r="F103" s="3"/>
      <c r="G103" s="3"/>
      <c r="H103" s="3"/>
      <c r="I103" s="3"/>
      <c r="J103" s="3"/>
      <c r="K103" s="241">
        <v>0.33</v>
      </c>
      <c r="L103" s="14">
        <f t="shared" si="17"/>
        <v>0</v>
      </c>
      <c r="M103" s="261" t="e">
        <f t="shared" si="18"/>
        <v>#NAME?</v>
      </c>
    </row>
    <row r="104" spans="1:13">
      <c r="A104" s="3"/>
      <c r="B104" s="3"/>
      <c r="C104" s="2"/>
      <c r="D104" s="39"/>
      <c r="E104" s="3"/>
      <c r="F104" s="3"/>
      <c r="G104" s="3"/>
      <c r="H104" s="3"/>
      <c r="I104" s="3"/>
      <c r="J104" s="3"/>
      <c r="K104" s="241">
        <v>0.66</v>
      </c>
      <c r="L104" s="14">
        <f t="shared" si="17"/>
        <v>0</v>
      </c>
      <c r="M104" s="261" t="e">
        <f t="shared" si="18"/>
        <v>#NAME?</v>
      </c>
    </row>
    <row r="105" spans="1:13">
      <c r="A105" s="3"/>
      <c r="B105" s="3"/>
      <c r="C105" s="2"/>
      <c r="D105" s="39"/>
      <c r="E105" s="3"/>
      <c r="F105" s="3"/>
      <c r="G105" s="3"/>
      <c r="H105" s="3"/>
      <c r="I105" s="3"/>
      <c r="J105" s="3"/>
      <c r="K105" s="241">
        <v>1</v>
      </c>
      <c r="L105" s="14">
        <f t="shared" si="17"/>
        <v>0</v>
      </c>
      <c r="M105" s="261" t="e">
        <f t="shared" si="18"/>
        <v>#NAME?</v>
      </c>
    </row>
    <row r="106" spans="1:13">
      <c r="A106" s="3"/>
      <c r="B106" s="3"/>
      <c r="C106" s="2"/>
      <c r="D106" s="39"/>
      <c r="E106" s="3"/>
      <c r="F106" s="3"/>
      <c r="G106" s="3"/>
      <c r="H106" s="3"/>
      <c r="I106" s="3"/>
      <c r="J106" s="3"/>
      <c r="K106" s="241">
        <v>1.33</v>
      </c>
      <c r="L106" s="14">
        <f t="shared" si="17"/>
        <v>0</v>
      </c>
      <c r="M106" s="261" t="e">
        <f t="shared" si="18"/>
        <v>#NAME?</v>
      </c>
    </row>
    <row r="107" spans="1:13">
      <c r="A107" s="3"/>
      <c r="B107" s="3"/>
      <c r="C107" s="2"/>
      <c r="D107" s="39"/>
      <c r="E107" s="3"/>
      <c r="F107" s="3"/>
      <c r="G107" s="3"/>
      <c r="H107" s="3"/>
      <c r="I107" s="3"/>
      <c r="J107" s="3"/>
      <c r="K107" s="241">
        <v>1.66</v>
      </c>
      <c r="L107" s="14">
        <f t="shared" si="17"/>
        <v>0</v>
      </c>
      <c r="M107" s="261" t="e">
        <f t="shared" si="18"/>
        <v>#NAME?</v>
      </c>
    </row>
    <row r="108" spans="1:13">
      <c r="A108" s="3"/>
      <c r="B108" s="3"/>
      <c r="C108" s="2"/>
      <c r="D108" s="39"/>
      <c r="E108" s="3"/>
      <c r="F108" s="3"/>
      <c r="G108" s="3"/>
      <c r="H108" s="3"/>
      <c r="I108" s="3"/>
      <c r="J108" s="3"/>
      <c r="K108" s="241">
        <v>2</v>
      </c>
      <c r="L108" s="14">
        <f t="shared" si="17"/>
        <v>0</v>
      </c>
      <c r="M108" s="261" t="e">
        <f t="shared" si="18"/>
        <v>#NAME?</v>
      </c>
    </row>
    <row r="109" spans="1:13">
      <c r="A109" s="3"/>
      <c r="B109" s="3"/>
      <c r="C109" s="2"/>
      <c r="D109" s="39"/>
      <c r="E109" s="3"/>
      <c r="F109" s="3"/>
      <c r="G109" s="3"/>
      <c r="H109" s="3"/>
      <c r="I109" s="3"/>
      <c r="J109" s="3"/>
      <c r="K109" s="3"/>
    </row>
    <row r="110" spans="1:13">
      <c r="B110" s="2" t="s">
        <v>2320</v>
      </c>
      <c r="C110" s="230" t="str">
        <f>xxMMProd5Driver8</f>
        <v>Driver 8</v>
      </c>
      <c r="D110" s="231"/>
      <c r="E110" s="218"/>
      <c r="F110" s="218"/>
      <c r="G110" s="218"/>
      <c r="H110" s="218"/>
      <c r="I110" s="218"/>
      <c r="J110" s="154"/>
    </row>
    <row r="111" spans="1:13">
      <c r="C111" s="37"/>
      <c r="D111" s="38"/>
      <c r="E111" s="39"/>
      <c r="F111" s="39"/>
      <c r="G111" s="39"/>
      <c r="H111" s="39"/>
      <c r="I111" s="39"/>
      <c r="J111" s="40"/>
    </row>
    <row r="112" spans="1:13">
      <c r="C112" s="37" t="s">
        <v>2383</v>
      </c>
      <c r="D112" s="38"/>
      <c r="E112" s="87">
        <f>E110</f>
        <v>0</v>
      </c>
      <c r="F112" s="87">
        <f>F110</f>
        <v>0</v>
      </c>
      <c r="G112" s="87">
        <f>G110</f>
        <v>0</v>
      </c>
      <c r="H112" s="87">
        <f>H110</f>
        <v>0</v>
      </c>
      <c r="I112" s="87">
        <f>I110</f>
        <v>0</v>
      </c>
      <c r="J112" s="40"/>
    </row>
    <row r="113" spans="1:13">
      <c r="C113" s="37" t="s">
        <v>965</v>
      </c>
      <c r="D113" s="48">
        <v>1</v>
      </c>
      <c r="E113" s="87" t="e">
        <f>IF(MMInMarket=TRUE,E112,0)</f>
        <v>#NAME?</v>
      </c>
      <c r="F113" s="87" t="e">
        <f>IF(MMInMarket=TRUE,F112,0)</f>
        <v>#NAME?</v>
      </c>
      <c r="G113" s="87" t="e">
        <f>IF(MMInMarket=TRUE,G112,0)</f>
        <v>#NAME?</v>
      </c>
      <c r="H113" s="87" t="e">
        <f>IF(MMInMarket=TRUE,H112,0)</f>
        <v>#NAME?</v>
      </c>
      <c r="I113" s="87" t="e">
        <f>IF(MMInMarket=TRUE,I112,0)</f>
        <v>#NAME?</v>
      </c>
      <c r="J113" s="40"/>
      <c r="L113" s="240" t="s">
        <v>3209</v>
      </c>
      <c r="M113" s="240" t="s">
        <v>3210</v>
      </c>
    </row>
    <row r="114" spans="1:13">
      <c r="C114" s="43" t="s">
        <v>2385</v>
      </c>
      <c r="D114" s="42" t="e">
        <f>STDEVP(E113:I113)*D113+(STDEVP(E113:I113)=0)</f>
        <v>#NAME?</v>
      </c>
      <c r="E114" s="71" t="e">
        <f>IF(E113=0,0,NORMDIST(E113,$J114,$D114,TRUE))*(MMInMarket=TRUE)</f>
        <v>#NAME?</v>
      </c>
      <c r="F114" s="71" t="e">
        <f>IF(F113=0,0,NORMDIST(F113,$J114,$D114,TRUE))*(MMInMarket=TRUE)</f>
        <v>#NAME?</v>
      </c>
      <c r="G114" s="71" t="e">
        <f>IF(G113=0,0,NORMDIST(G113,$J114,$D114,TRUE))*(MMInMarket=TRUE)</f>
        <v>#NAME?</v>
      </c>
      <c r="H114" s="71" t="e">
        <f>IF(H113=0,0,NORMDIST(H113,$J114,$D114,TRUE))*(MMInMarket=TRUE)</f>
        <v>#NAME?</v>
      </c>
      <c r="I114" s="71" t="e">
        <f>IF(I113=0,0,NORMDIST(I113,$J114,$D114,TRUE))*(MMInMarket=TRUE)</f>
        <v>#NAME?</v>
      </c>
      <c r="J114" s="44">
        <f>IF($J$24=0,0,SUM(E113:I113)/$J$24)</f>
        <v>0</v>
      </c>
      <c r="K114" s="241">
        <v>0</v>
      </c>
      <c r="L114" s="14">
        <f t="shared" ref="L114:L120" si="19">K114*$J$114</f>
        <v>0</v>
      </c>
      <c r="M114" s="261" t="e">
        <f t="shared" ref="M114:M120" si="20">NORMDIST(L114,$J$114,$D$114,TRUE)</f>
        <v>#NAME?</v>
      </c>
    </row>
    <row r="115" spans="1:13">
      <c r="A115" s="3"/>
      <c r="B115" s="3"/>
      <c r="C115" s="2"/>
      <c r="D115" s="39"/>
      <c r="E115" s="3"/>
      <c r="F115" s="3"/>
      <c r="G115" s="3"/>
      <c r="H115" s="3"/>
      <c r="I115" s="3"/>
      <c r="J115" s="3"/>
      <c r="K115" s="241">
        <v>0.33</v>
      </c>
      <c r="L115" s="14">
        <f t="shared" si="19"/>
        <v>0</v>
      </c>
      <c r="M115" s="261" t="e">
        <f t="shared" si="20"/>
        <v>#NAME?</v>
      </c>
    </row>
    <row r="116" spans="1:13">
      <c r="A116" s="3"/>
      <c r="B116" s="3"/>
      <c r="C116" s="2"/>
      <c r="D116" s="39"/>
      <c r="E116" s="3"/>
      <c r="F116" s="3"/>
      <c r="G116" s="3"/>
      <c r="H116" s="3"/>
      <c r="I116" s="3"/>
      <c r="J116" s="3"/>
      <c r="K116" s="241">
        <v>0.66</v>
      </c>
      <c r="L116" s="14">
        <f t="shared" si="19"/>
        <v>0</v>
      </c>
      <c r="M116" s="261" t="e">
        <f t="shared" si="20"/>
        <v>#NAME?</v>
      </c>
    </row>
    <row r="117" spans="1:13">
      <c r="A117" s="3"/>
      <c r="B117" s="3"/>
      <c r="C117" s="2"/>
      <c r="D117" s="39"/>
      <c r="E117" s="3"/>
      <c r="F117" s="3"/>
      <c r="G117" s="3"/>
      <c r="H117" s="3"/>
      <c r="I117" s="3"/>
      <c r="J117" s="3"/>
      <c r="K117" s="241">
        <v>1</v>
      </c>
      <c r="L117" s="14">
        <f t="shared" si="19"/>
        <v>0</v>
      </c>
      <c r="M117" s="261" t="e">
        <f t="shared" si="20"/>
        <v>#NAME?</v>
      </c>
    </row>
    <row r="118" spans="1:13">
      <c r="A118" s="3"/>
      <c r="B118" s="3"/>
      <c r="C118" s="2"/>
      <c r="D118" s="39"/>
      <c r="E118" s="3"/>
      <c r="F118" s="3"/>
      <c r="G118" s="3"/>
      <c r="H118" s="3"/>
      <c r="I118" s="3"/>
      <c r="J118" s="3"/>
      <c r="K118" s="241">
        <v>1.33</v>
      </c>
      <c r="L118" s="14">
        <f t="shared" si="19"/>
        <v>0</v>
      </c>
      <c r="M118" s="261" t="e">
        <f t="shared" si="20"/>
        <v>#NAME?</v>
      </c>
    </row>
    <row r="119" spans="1:13">
      <c r="A119" s="3"/>
      <c r="B119" s="3"/>
      <c r="C119" s="2"/>
      <c r="D119" s="39"/>
      <c r="E119" s="3"/>
      <c r="F119" s="3"/>
      <c r="G119" s="3"/>
      <c r="H119" s="3"/>
      <c r="I119" s="3"/>
      <c r="J119" s="3"/>
      <c r="K119" s="241">
        <v>1.66</v>
      </c>
      <c r="L119" s="14">
        <f t="shared" si="19"/>
        <v>0</v>
      </c>
      <c r="M119" s="261" t="e">
        <f t="shared" si="20"/>
        <v>#NAME?</v>
      </c>
    </row>
    <row r="120" spans="1:13">
      <c r="A120" s="3"/>
      <c r="B120" s="3"/>
      <c r="C120" s="2"/>
      <c r="D120" s="39"/>
      <c r="E120" s="3"/>
      <c r="F120" s="3"/>
      <c r="G120" s="3"/>
      <c r="H120" s="3"/>
      <c r="I120" s="3"/>
      <c r="J120" s="3"/>
      <c r="K120" s="241">
        <v>2</v>
      </c>
      <c r="L120" s="14">
        <f t="shared" si="19"/>
        <v>0</v>
      </c>
      <c r="M120" s="261" t="e">
        <f t="shared" si="20"/>
        <v>#NAME?</v>
      </c>
    </row>
    <row r="121" spans="1:13">
      <c r="A121" s="3"/>
      <c r="B121" s="3"/>
      <c r="C121" s="2"/>
      <c r="D121" s="39"/>
      <c r="E121" s="3"/>
      <c r="F121" s="3"/>
      <c r="G121" s="3"/>
      <c r="H121" s="3"/>
      <c r="I121" s="3"/>
      <c r="J121" s="3"/>
      <c r="L121" s="14"/>
      <c r="M121" s="241"/>
    </row>
    <row r="122" spans="1:13">
      <c r="B122" s="2" t="s">
        <v>2321</v>
      </c>
      <c r="C122" s="230" t="str">
        <f>xxMMProd5Driver9</f>
        <v>Driver 9</v>
      </c>
      <c r="D122" s="231"/>
      <c r="E122" s="218"/>
      <c r="F122" s="218"/>
      <c r="G122" s="218"/>
      <c r="H122" s="218"/>
      <c r="I122" s="218"/>
      <c r="J122" s="154"/>
    </row>
    <row r="123" spans="1:13">
      <c r="C123" s="37"/>
      <c r="D123" s="38"/>
      <c r="E123" s="39"/>
      <c r="F123" s="39"/>
      <c r="G123" s="39"/>
      <c r="H123" s="39"/>
      <c r="I123" s="39"/>
      <c r="J123" s="40"/>
    </row>
    <row r="124" spans="1:13">
      <c r="C124" s="37" t="s">
        <v>2383</v>
      </c>
      <c r="D124" s="38"/>
      <c r="E124" s="87">
        <f>E122</f>
        <v>0</v>
      </c>
      <c r="F124" s="87">
        <f>F122</f>
        <v>0</v>
      </c>
      <c r="G124" s="87">
        <f>G122</f>
        <v>0</v>
      </c>
      <c r="H124" s="87">
        <f>H122</f>
        <v>0</v>
      </c>
      <c r="I124" s="87">
        <f>I122</f>
        <v>0</v>
      </c>
      <c r="J124" s="40"/>
    </row>
    <row r="125" spans="1:13">
      <c r="C125" s="37" t="s">
        <v>965</v>
      </c>
      <c r="D125" s="48">
        <v>1</v>
      </c>
      <c r="E125" s="87" t="e">
        <f>IF(MMInMarket=TRUE,E124,0)</f>
        <v>#NAME?</v>
      </c>
      <c r="F125" s="87" t="e">
        <f>IF(MMInMarket=TRUE,F124,0)</f>
        <v>#NAME?</v>
      </c>
      <c r="G125" s="87" t="e">
        <f>IF(MMInMarket=TRUE,G124,0)</f>
        <v>#NAME?</v>
      </c>
      <c r="H125" s="87" t="e">
        <f>IF(MMInMarket=TRUE,H124,0)</f>
        <v>#NAME?</v>
      </c>
      <c r="I125" s="87" t="e">
        <f>IF(MMInMarket=TRUE,I124,0)</f>
        <v>#NAME?</v>
      </c>
      <c r="J125" s="40"/>
      <c r="L125" s="240" t="s">
        <v>3209</v>
      </c>
      <c r="M125" s="240" t="s">
        <v>3210</v>
      </c>
    </row>
    <row r="126" spans="1:13">
      <c r="C126" s="43" t="s">
        <v>2955</v>
      </c>
      <c r="D126" s="42" t="e">
        <f>STDEVP(E125:I125)*D125+(STDEVP(E125:I125)=0)</f>
        <v>#NAME?</v>
      </c>
      <c r="E126" s="71" t="e">
        <f>IF(E125=0,0,NORMDIST(E125,$J126,$D126,TRUE))*(MMInMarket=TRUE)</f>
        <v>#NAME?</v>
      </c>
      <c r="F126" s="71" t="e">
        <f>IF(F125=0,0,NORMDIST(F125,$J126,$D126,TRUE))*(MMInMarket=TRUE)</f>
        <v>#NAME?</v>
      </c>
      <c r="G126" s="71" t="e">
        <f>IF(G125=0,0,NORMDIST(G125,$J126,$D126,TRUE))*(MMInMarket=TRUE)</f>
        <v>#NAME?</v>
      </c>
      <c r="H126" s="71" t="e">
        <f>IF(H125=0,0,NORMDIST(H125,$J126,$D126,TRUE))*(MMInMarket=TRUE)</f>
        <v>#NAME?</v>
      </c>
      <c r="I126" s="71" t="e">
        <f>IF(I125=0,0,NORMDIST(I125,$J126,$D126,TRUE))*(MMInMarket=TRUE)</f>
        <v>#NAME?</v>
      </c>
      <c r="J126" s="44">
        <f>IF($J$24=0,0,SUM(E125:I125)/$J$24)</f>
        <v>0</v>
      </c>
      <c r="K126" s="241">
        <v>0</v>
      </c>
      <c r="L126" s="14">
        <f t="shared" ref="L126:L132" si="21">K126*$J$126</f>
        <v>0</v>
      </c>
      <c r="M126" s="261" t="e">
        <f t="shared" ref="M126:M132" si="22">NORMDIST(L126,$J$126,$D$114,TRUE)</f>
        <v>#NAME?</v>
      </c>
    </row>
    <row r="127" spans="1:13">
      <c r="A127" s="3"/>
      <c r="B127" s="3"/>
      <c r="C127" s="2"/>
      <c r="D127" s="39"/>
      <c r="E127" s="3"/>
      <c r="F127" s="3"/>
      <c r="G127" s="3"/>
      <c r="H127" s="3"/>
      <c r="I127" s="3"/>
      <c r="J127" s="3"/>
      <c r="K127" s="241">
        <v>0.33</v>
      </c>
      <c r="L127" s="14">
        <f t="shared" si="21"/>
        <v>0</v>
      </c>
      <c r="M127" s="261" t="e">
        <f t="shared" si="22"/>
        <v>#NAME?</v>
      </c>
    </row>
    <row r="128" spans="1:13">
      <c r="A128" s="3"/>
      <c r="B128" s="3"/>
      <c r="C128" s="2"/>
      <c r="D128" s="39"/>
      <c r="E128" s="3"/>
      <c r="F128" s="3"/>
      <c r="G128" s="3"/>
      <c r="H128" s="3"/>
      <c r="I128" s="3"/>
      <c r="J128" s="3"/>
      <c r="K128" s="241">
        <v>0.66</v>
      </c>
      <c r="L128" s="14">
        <f t="shared" si="21"/>
        <v>0</v>
      </c>
      <c r="M128" s="261" t="e">
        <f t="shared" si="22"/>
        <v>#NAME?</v>
      </c>
    </row>
    <row r="129" spans="1:13">
      <c r="A129" s="3"/>
      <c r="B129" s="3"/>
      <c r="C129" s="2"/>
      <c r="D129" s="39"/>
      <c r="E129" s="3"/>
      <c r="F129" s="3"/>
      <c r="G129" s="3"/>
      <c r="H129" s="3"/>
      <c r="I129" s="3"/>
      <c r="J129" s="3"/>
      <c r="K129" s="241">
        <v>1</v>
      </c>
      <c r="L129" s="14">
        <f t="shared" si="21"/>
        <v>0</v>
      </c>
      <c r="M129" s="261" t="e">
        <f t="shared" si="22"/>
        <v>#NAME?</v>
      </c>
    </row>
    <row r="130" spans="1:13">
      <c r="A130" s="3"/>
      <c r="B130" s="3"/>
      <c r="C130" s="2"/>
      <c r="D130" s="39"/>
      <c r="E130" s="3"/>
      <c r="F130" s="3"/>
      <c r="G130" s="3"/>
      <c r="H130" s="3"/>
      <c r="I130" s="3"/>
      <c r="J130" s="3"/>
      <c r="K130" s="241">
        <v>1.33</v>
      </c>
      <c r="L130" s="14">
        <f t="shared" si="21"/>
        <v>0</v>
      </c>
      <c r="M130" s="261" t="e">
        <f t="shared" si="22"/>
        <v>#NAME?</v>
      </c>
    </row>
    <row r="131" spans="1:13">
      <c r="A131" s="3"/>
      <c r="B131" s="3"/>
      <c r="C131" s="2"/>
      <c r="D131" s="39"/>
      <c r="E131" s="3"/>
      <c r="F131" s="3"/>
      <c r="G131" s="3"/>
      <c r="H131" s="3"/>
      <c r="I131" s="3"/>
      <c r="J131" s="3"/>
      <c r="K131" s="241">
        <v>1.66</v>
      </c>
      <c r="L131" s="14">
        <f t="shared" si="21"/>
        <v>0</v>
      </c>
      <c r="M131" s="261" t="e">
        <f t="shared" si="22"/>
        <v>#NAME?</v>
      </c>
    </row>
    <row r="132" spans="1:13">
      <c r="A132" s="3"/>
      <c r="B132" s="3"/>
      <c r="C132" s="2"/>
      <c r="D132" s="39"/>
      <c r="E132" s="3"/>
      <c r="F132" s="3"/>
      <c r="G132" s="3"/>
      <c r="H132" s="3"/>
      <c r="I132" s="3"/>
      <c r="J132" s="3"/>
      <c r="K132" s="241">
        <v>2</v>
      </c>
      <c r="L132" s="14">
        <f t="shared" si="21"/>
        <v>0</v>
      </c>
      <c r="M132" s="261" t="e">
        <f t="shared" si="22"/>
        <v>#NAME?</v>
      </c>
    </row>
    <row r="133" spans="1:13">
      <c r="A133" s="3"/>
      <c r="B133" s="3"/>
      <c r="C133" s="2"/>
      <c r="D133" s="39"/>
      <c r="E133" s="3"/>
      <c r="F133" s="3"/>
      <c r="G133" s="3"/>
      <c r="H133" s="3"/>
      <c r="I133" s="3"/>
      <c r="J133" s="3"/>
      <c r="L133" s="14"/>
      <c r="M133" s="241"/>
    </row>
    <row r="134" spans="1:13">
      <c r="B134" s="2" t="s">
        <v>2322</v>
      </c>
      <c r="C134" s="230" t="str">
        <f>xxMMProd5Driver10</f>
        <v>Driver 10</v>
      </c>
      <c r="D134" s="231"/>
      <c r="E134" s="218"/>
      <c r="F134" s="218"/>
      <c r="G134" s="218"/>
      <c r="H134" s="218"/>
      <c r="I134" s="218"/>
      <c r="J134" s="154"/>
    </row>
    <row r="135" spans="1:13">
      <c r="C135" s="37"/>
      <c r="D135" s="38"/>
      <c r="E135" s="39"/>
      <c r="F135" s="39"/>
      <c r="G135" s="39"/>
      <c r="H135" s="39"/>
      <c r="I135" s="39"/>
      <c r="J135" s="40"/>
    </row>
    <row r="136" spans="1:13">
      <c r="C136" s="37" t="s">
        <v>2383</v>
      </c>
      <c r="D136" s="38"/>
      <c r="E136" s="87">
        <f>E134</f>
        <v>0</v>
      </c>
      <c r="F136" s="87">
        <f>F134</f>
        <v>0</v>
      </c>
      <c r="G136" s="87">
        <f>G134</f>
        <v>0</v>
      </c>
      <c r="H136" s="87">
        <f>H134</f>
        <v>0</v>
      </c>
      <c r="I136" s="87">
        <f>I134</f>
        <v>0</v>
      </c>
      <c r="J136" s="40"/>
    </row>
    <row r="137" spans="1:13">
      <c r="C137" s="37" t="s">
        <v>965</v>
      </c>
      <c r="D137" s="48">
        <v>1</v>
      </c>
      <c r="E137" s="87" t="e">
        <f>IF(MMInMarket=TRUE,E136,0)</f>
        <v>#NAME?</v>
      </c>
      <c r="F137" s="87" t="e">
        <f>IF(MMInMarket=TRUE,F136,0)</f>
        <v>#NAME?</v>
      </c>
      <c r="G137" s="87" t="e">
        <f>IF(MMInMarket=TRUE,G136,0)</f>
        <v>#NAME?</v>
      </c>
      <c r="H137" s="87" t="e">
        <f>IF(MMInMarket=TRUE,H136,0)</f>
        <v>#NAME?</v>
      </c>
      <c r="I137" s="87" t="e">
        <f>IF(MMInMarket=TRUE,I136,0)</f>
        <v>#NAME?</v>
      </c>
      <c r="J137" s="40"/>
      <c r="L137" s="240" t="s">
        <v>3209</v>
      </c>
      <c r="M137" s="240" t="s">
        <v>3210</v>
      </c>
    </row>
    <row r="138" spans="1:13">
      <c r="C138" s="43" t="s">
        <v>2957</v>
      </c>
      <c r="D138" s="42" t="e">
        <f>STDEVP(E137:I137)*D137+(STDEVP(E137:I137)=0)</f>
        <v>#NAME?</v>
      </c>
      <c r="E138" s="71" t="e">
        <f>IF(E137=0,0,NORMDIST(E137,$J138,$D138,TRUE))*(MMInMarket=TRUE)</f>
        <v>#NAME?</v>
      </c>
      <c r="F138" s="71" t="e">
        <f>IF(F137=0,0,NORMDIST(F137,$J138,$D138,TRUE))*(MMInMarket=TRUE)</f>
        <v>#NAME?</v>
      </c>
      <c r="G138" s="71" t="e">
        <f>IF(G137=0,0,NORMDIST(G137,$J138,$D138,TRUE))*(MMInMarket=TRUE)</f>
        <v>#NAME?</v>
      </c>
      <c r="H138" s="71" t="e">
        <f>IF(H137=0,0,NORMDIST(H137,$J138,$D138,TRUE))*(MMInMarket=TRUE)</f>
        <v>#NAME?</v>
      </c>
      <c r="I138" s="71" t="e">
        <f>IF(I137=0,0,NORMDIST(I137,$J138,$D138,TRUE))*(MMInMarket=TRUE)</f>
        <v>#NAME?</v>
      </c>
      <c r="J138" s="44">
        <f>IF($J$24=0,0,SUM(E137:I137)/$J$24)</f>
        <v>0</v>
      </c>
      <c r="K138" s="241">
        <v>0</v>
      </c>
      <c r="L138" s="14">
        <f t="shared" ref="L138:L144" si="23">K138*$J$138</f>
        <v>0</v>
      </c>
      <c r="M138" s="261" t="e">
        <f t="shared" ref="M138:M144" si="24">NORMDIST(L138,$J$138,$D$114,TRUE)</f>
        <v>#NAME?</v>
      </c>
    </row>
    <row r="139" spans="1:13">
      <c r="C139" s="156"/>
      <c r="D139" s="39"/>
      <c r="E139" s="3"/>
      <c r="F139" s="3"/>
      <c r="G139" s="3"/>
      <c r="H139" s="3"/>
      <c r="I139" s="3"/>
      <c r="J139" s="3"/>
      <c r="K139" s="241">
        <v>0.33</v>
      </c>
      <c r="L139" s="14">
        <f t="shared" si="23"/>
        <v>0</v>
      </c>
      <c r="M139" s="261" t="e">
        <f t="shared" si="24"/>
        <v>#NAME?</v>
      </c>
    </row>
    <row r="140" spans="1:13">
      <c r="C140" s="156"/>
      <c r="D140" s="39"/>
      <c r="E140" s="3"/>
      <c r="F140" s="3"/>
      <c r="G140" s="3"/>
      <c r="H140" s="3"/>
      <c r="I140" s="3"/>
      <c r="J140" s="3"/>
      <c r="K140" s="241">
        <v>0.66</v>
      </c>
      <c r="L140" s="14">
        <f t="shared" si="23"/>
        <v>0</v>
      </c>
      <c r="M140" s="261" t="e">
        <f t="shared" si="24"/>
        <v>#NAME?</v>
      </c>
    </row>
    <row r="141" spans="1:13">
      <c r="C141" s="156"/>
      <c r="D141" s="39"/>
      <c r="E141" s="3"/>
      <c r="F141" s="3"/>
      <c r="G141" s="3"/>
      <c r="H141" s="3"/>
      <c r="I141" s="3"/>
      <c r="J141" s="3"/>
      <c r="K141" s="241">
        <v>1</v>
      </c>
      <c r="L141" s="14">
        <f t="shared" si="23"/>
        <v>0</v>
      </c>
      <c r="M141" s="261" t="e">
        <f t="shared" si="24"/>
        <v>#NAME?</v>
      </c>
    </row>
    <row r="142" spans="1:13">
      <c r="C142" s="156"/>
      <c r="D142" s="39"/>
      <c r="E142" s="3"/>
      <c r="F142" s="3"/>
      <c r="G142" s="3"/>
      <c r="H142" s="3"/>
      <c r="I142" s="3"/>
      <c r="J142" s="3"/>
      <c r="K142" s="241">
        <v>1.33</v>
      </c>
      <c r="L142" s="14">
        <f t="shared" si="23"/>
        <v>0</v>
      </c>
      <c r="M142" s="261" t="e">
        <f t="shared" si="24"/>
        <v>#NAME?</v>
      </c>
    </row>
    <row r="143" spans="1:13">
      <c r="C143" s="156"/>
      <c r="D143" s="39"/>
      <c r="E143" s="3"/>
      <c r="F143" s="3"/>
      <c r="G143" s="3"/>
      <c r="H143" s="3"/>
      <c r="I143" s="3"/>
      <c r="J143" s="3"/>
      <c r="K143" s="241">
        <v>1.66</v>
      </c>
      <c r="L143" s="14">
        <f t="shared" si="23"/>
        <v>0</v>
      </c>
      <c r="M143" s="261" t="e">
        <f t="shared" si="24"/>
        <v>#NAME?</v>
      </c>
    </row>
    <row r="144" spans="1:13">
      <c r="B144" s="64" t="s">
        <v>1828</v>
      </c>
      <c r="C144" s="64"/>
      <c r="D144" s="42"/>
      <c r="E144" s="67"/>
      <c r="F144" s="67"/>
      <c r="G144" s="67"/>
      <c r="H144" s="67"/>
      <c r="I144" s="67"/>
      <c r="J144" s="67"/>
      <c r="K144" s="241">
        <v>2</v>
      </c>
      <c r="L144" s="14">
        <f t="shared" si="23"/>
        <v>0</v>
      </c>
      <c r="M144" s="261" t="e">
        <f t="shared" si="24"/>
        <v>#NAME?</v>
      </c>
    </row>
    <row r="145" spans="1:11">
      <c r="A145" s="3"/>
      <c r="B145" s="2"/>
      <c r="C145" s="2"/>
      <c r="D145" s="39"/>
      <c r="E145" s="3"/>
      <c r="F145" s="3"/>
      <c r="G145" s="3"/>
      <c r="H145" s="3"/>
      <c r="I145" s="3"/>
      <c r="J145" s="3"/>
      <c r="K145" s="3"/>
    </row>
    <row r="146" spans="1:11">
      <c r="A146" s="3"/>
      <c r="C146" s="45" t="s">
        <v>1828</v>
      </c>
      <c r="D146" s="46"/>
      <c r="E146" s="218" t="e">
        <f>paramSpecProgProd5Sales</f>
        <v>#NAME?</v>
      </c>
      <c r="F146" s="218" t="e">
        <f>paramSpecProgProd5Sales</f>
        <v>#NAME?</v>
      </c>
      <c r="G146" s="218" t="e">
        <f>paramSpecProgProd5Sales</f>
        <v>#NAME?</v>
      </c>
      <c r="H146" s="218" t="e">
        <f>paramSpecProgProd5Sales</f>
        <v>#NAME?</v>
      </c>
      <c r="I146" s="218" t="e">
        <f>paramSpecProgProd5Sales</f>
        <v>#NAME?</v>
      </c>
      <c r="J146" s="154"/>
      <c r="K146" s="3"/>
    </row>
    <row r="147" spans="1:11">
      <c r="C147" s="37"/>
      <c r="D147" s="38"/>
      <c r="E147" s="39"/>
      <c r="F147" s="39"/>
      <c r="G147" s="39"/>
      <c r="H147" s="39"/>
      <c r="I147" s="39"/>
      <c r="J147" s="40"/>
    </row>
    <row r="148" spans="1:11">
      <c r="C148" s="37" t="s">
        <v>2383</v>
      </c>
      <c r="D148" s="38"/>
      <c r="E148" s="87" t="e">
        <f>E146</f>
        <v>#NAME?</v>
      </c>
      <c r="F148" s="87" t="e">
        <f>F146</f>
        <v>#NAME?</v>
      </c>
      <c r="G148" s="87" t="e">
        <f>G146</f>
        <v>#NAME?</v>
      </c>
      <c r="H148" s="87" t="e">
        <f>H146</f>
        <v>#NAME?</v>
      </c>
      <c r="I148" s="87" t="e">
        <f>I146</f>
        <v>#NAME?</v>
      </c>
      <c r="J148" s="40"/>
    </row>
    <row r="149" spans="1:11">
      <c r="C149" s="37" t="s">
        <v>965</v>
      </c>
      <c r="D149" s="38"/>
      <c r="E149" s="87" t="e">
        <f>IF(MMInMarket=TRUE,E148,0)</f>
        <v>#NAME?</v>
      </c>
      <c r="F149" s="87" t="e">
        <f>IF(MMInMarket=TRUE,F148,0)</f>
        <v>#NAME?</v>
      </c>
      <c r="G149" s="87" t="e">
        <f>IF(MMInMarket=TRUE,G148,0)</f>
        <v>#NAME?</v>
      </c>
      <c r="H149" s="87" t="e">
        <f>IF(MMInMarket=TRUE,H148,0)</f>
        <v>#NAME?</v>
      </c>
      <c r="I149" s="87" t="e">
        <f>IF(MMInMarket=TRUE,I148,0)</f>
        <v>#NAME?</v>
      </c>
      <c r="J149" s="40"/>
    </row>
    <row r="150" spans="1:11">
      <c r="C150" s="169" t="s">
        <v>1828</v>
      </c>
      <c r="D150" s="42"/>
      <c r="E150" s="152" t="e">
        <f>E149</f>
        <v>#NAME?</v>
      </c>
      <c r="F150" s="152" t="e">
        <f>F149</f>
        <v>#NAME?</v>
      </c>
      <c r="G150" s="152" t="e">
        <f>G149</f>
        <v>#NAME?</v>
      </c>
      <c r="H150" s="152" t="e">
        <f>H149</f>
        <v>#NAME?</v>
      </c>
      <c r="I150" s="152" t="e">
        <f>I149</f>
        <v>#NAME?</v>
      </c>
      <c r="J150" s="44"/>
    </row>
    <row r="152" spans="1:11">
      <c r="A152" s="3"/>
      <c r="B152" s="3"/>
      <c r="C152" s="64" t="s">
        <v>2323</v>
      </c>
      <c r="D152" s="42"/>
      <c r="E152" s="68" t="s">
        <v>129</v>
      </c>
      <c r="F152" s="68" t="s">
        <v>130</v>
      </c>
      <c r="G152" s="68" t="s">
        <v>131</v>
      </c>
      <c r="H152" s="68" t="s">
        <v>1133</v>
      </c>
      <c r="I152" s="68" t="s">
        <v>1134</v>
      </c>
      <c r="J152" s="3"/>
      <c r="K152" s="3"/>
    </row>
    <row r="153" spans="1:11">
      <c r="A153" s="3"/>
      <c r="B153" s="3"/>
      <c r="C153" s="228" t="str">
        <f>xxMMProd5Driver1</f>
        <v>Price</v>
      </c>
      <c r="D153" s="25"/>
      <c r="E153" s="229">
        <f>xxMMProd5Driver1</f>
        <v>10</v>
      </c>
      <c r="F153" s="229">
        <f>xxMMProd5Driver1</f>
        <v>8</v>
      </c>
      <c r="G153" s="229">
        <f>xxMMProd5Driver1</f>
        <v>9</v>
      </c>
      <c r="H153" s="229">
        <f>xxMMProd5Driver1</f>
        <v>9</v>
      </c>
      <c r="I153" s="229">
        <f>xxMMProd5Driver1</f>
        <v>10</v>
      </c>
      <c r="J153" s="3"/>
      <c r="K153" s="3"/>
    </row>
    <row r="154" spans="1:11">
      <c r="A154" s="3"/>
      <c r="B154" s="3"/>
      <c r="C154" s="228" t="str">
        <f>xxMMProd5Driver2</f>
        <v>Advertising</v>
      </c>
      <c r="D154" s="25"/>
      <c r="E154" s="229">
        <f>xxMMProd5Driver2</f>
        <v>8</v>
      </c>
      <c r="F154" s="229">
        <f>xxMMProd5Driver2</f>
        <v>7</v>
      </c>
      <c r="G154" s="229">
        <f>xxMMProd5Driver2</f>
        <v>7</v>
      </c>
      <c r="H154" s="229">
        <f>xxMMProd5Driver2</f>
        <v>7</v>
      </c>
      <c r="I154" s="229">
        <f>xxMMProd5Driver2</f>
        <v>5</v>
      </c>
      <c r="J154" s="3"/>
      <c r="K154" s="3"/>
    </row>
    <row r="155" spans="1:11">
      <c r="A155" s="3"/>
      <c r="B155" s="3"/>
      <c r="C155" s="228" t="str">
        <f>xxMMProd5Driver3</f>
        <v>Driver 3</v>
      </c>
      <c r="D155" s="25"/>
      <c r="E155" s="229">
        <f>xxMMProd5Driver3</f>
        <v>5</v>
      </c>
      <c r="F155" s="229">
        <f>xxMMProd5Driver3</f>
        <v>8</v>
      </c>
      <c r="G155" s="229">
        <f>xxMMProd5Driver3</f>
        <v>7</v>
      </c>
      <c r="H155" s="229">
        <f>xxMMProd5Driver3</f>
        <v>8</v>
      </c>
      <c r="I155" s="229">
        <f>xxMMProd5Driver3</f>
        <v>8</v>
      </c>
      <c r="J155" s="3"/>
      <c r="K155" s="3"/>
    </row>
    <row r="156" spans="1:11">
      <c r="A156" s="3"/>
      <c r="B156" s="3"/>
      <c r="C156" s="228" t="str">
        <f>xxMMProd5Driver4</f>
        <v>Driver 4</v>
      </c>
      <c r="D156" s="25"/>
      <c r="E156" s="229">
        <f>xxMMProd5Driver4</f>
        <v>1</v>
      </c>
      <c r="F156" s="229">
        <f>xxMMProd5Driver4</f>
        <v>1</v>
      </c>
      <c r="G156" s="229">
        <f>xxMMProd5Driver4</f>
        <v>1</v>
      </c>
      <c r="H156" s="229">
        <f>xxMMProd5Driver4</f>
        <v>1</v>
      </c>
      <c r="I156" s="229">
        <f>xxMMProd5Driver4</f>
        <v>1</v>
      </c>
      <c r="J156" s="3"/>
      <c r="K156" s="3"/>
    </row>
    <row r="157" spans="1:11">
      <c r="A157" s="3"/>
      <c r="B157" s="3"/>
      <c r="C157" s="228" t="str">
        <f>xxMMProd5Driver5</f>
        <v>Driver 5</v>
      </c>
      <c r="D157" s="25"/>
      <c r="E157" s="229">
        <f>xxMMProd5Driver5</f>
        <v>1</v>
      </c>
      <c r="F157" s="229">
        <f>xxMMProd5Driver5</f>
        <v>1</v>
      </c>
      <c r="G157" s="229">
        <f>xxMMProd5Driver5</f>
        <v>1</v>
      </c>
      <c r="H157" s="229">
        <f>xxMMProd5Driver5</f>
        <v>1</v>
      </c>
      <c r="I157" s="229">
        <f>xxMMProd5Driver5</f>
        <v>1</v>
      </c>
      <c r="J157" s="3"/>
      <c r="K157" s="3"/>
    </row>
    <row r="158" spans="1:11">
      <c r="A158" s="3"/>
      <c r="B158" s="3"/>
      <c r="C158" s="228" t="str">
        <f>xxMMProd5Driver6</f>
        <v>Driver 6</v>
      </c>
      <c r="D158" s="25"/>
      <c r="E158" s="229">
        <f>xxMMProd5Driver6</f>
        <v>1</v>
      </c>
      <c r="F158" s="229">
        <f>xxMMProd5Driver6</f>
        <v>1</v>
      </c>
      <c r="G158" s="229">
        <f>xxMMProd5Driver6</f>
        <v>1</v>
      </c>
      <c r="H158" s="229">
        <f>xxMMProd5Driver6</f>
        <v>1</v>
      </c>
      <c r="I158" s="229">
        <f>xxMMProd5Driver6</f>
        <v>1</v>
      </c>
      <c r="J158" s="3"/>
      <c r="K158" s="3"/>
    </row>
    <row r="159" spans="1:11">
      <c r="A159" s="3"/>
      <c r="B159" s="3"/>
      <c r="C159" s="228" t="str">
        <f>xxMMProd5Driver7</f>
        <v>Driver 7</v>
      </c>
      <c r="D159" s="25"/>
      <c r="E159" s="229">
        <f>xxMMProd5Driver7</f>
        <v>1</v>
      </c>
      <c r="F159" s="229">
        <f>xxMMProd5Driver7</f>
        <v>1</v>
      </c>
      <c r="G159" s="229">
        <f>xxMMProd5Driver7</f>
        <v>1</v>
      </c>
      <c r="H159" s="229">
        <f>xxMMProd5Driver7</f>
        <v>1</v>
      </c>
      <c r="I159" s="229">
        <f>xxMMProd5Driver7</f>
        <v>1</v>
      </c>
      <c r="J159" s="3"/>
      <c r="K159" s="3"/>
    </row>
    <row r="160" spans="1:11">
      <c r="A160" s="3"/>
      <c r="B160" s="3"/>
      <c r="C160" s="228" t="str">
        <f>xxMMProd5Driver8</f>
        <v>Driver 8</v>
      </c>
      <c r="D160" s="25"/>
      <c r="E160" s="229">
        <f>xxMMProd5Driver8</f>
        <v>1</v>
      </c>
      <c r="F160" s="229">
        <f>xxMMProd5Driver8</f>
        <v>1</v>
      </c>
      <c r="G160" s="229">
        <f>xxMMProd5Driver8</f>
        <v>1</v>
      </c>
      <c r="H160" s="229">
        <f>xxMMProd5Driver8</f>
        <v>1</v>
      </c>
      <c r="I160" s="229">
        <f>xxMMProd5Driver8</f>
        <v>1</v>
      </c>
      <c r="J160" s="3"/>
      <c r="K160" s="3"/>
    </row>
    <row r="161" spans="1:11">
      <c r="A161" s="3"/>
      <c r="B161" s="3"/>
      <c r="C161" s="228" t="str">
        <f>xxMMProd5Driver9</f>
        <v>Driver 9</v>
      </c>
      <c r="D161" s="25"/>
      <c r="E161" s="229">
        <f>xxMMProd5Driver9</f>
        <v>1</v>
      </c>
      <c r="F161" s="229">
        <f>xxMMProd5Driver9</f>
        <v>1</v>
      </c>
      <c r="G161" s="229">
        <f>xxMMProd5Driver9</f>
        <v>1</v>
      </c>
      <c r="H161" s="229">
        <f>xxMMProd5Driver9</f>
        <v>1</v>
      </c>
      <c r="I161" s="229">
        <f>xxMMProd5Driver9</f>
        <v>1</v>
      </c>
      <c r="J161" s="3"/>
      <c r="K161" s="3"/>
    </row>
    <row r="162" spans="1:11">
      <c r="A162" s="3"/>
      <c r="B162" s="3"/>
      <c r="C162" s="228" t="str">
        <f>xxMMProd5Driver10</f>
        <v>Driver 10</v>
      </c>
      <c r="D162" s="25"/>
      <c r="E162" s="229">
        <f>xxMMProd5Driver10</f>
        <v>1</v>
      </c>
      <c r="F162" s="229">
        <f>xxMMProd5Driver10</f>
        <v>1</v>
      </c>
      <c r="G162" s="229">
        <f>xxMMProd5Driver10</f>
        <v>1</v>
      </c>
      <c r="H162" s="229">
        <f>xxMMProd5Driver10</f>
        <v>1</v>
      </c>
      <c r="I162" s="229">
        <f>xxMMProd5Driver10</f>
        <v>1</v>
      </c>
      <c r="J162" s="3"/>
      <c r="K162" s="3"/>
    </row>
    <row r="163" spans="1:11">
      <c r="A163" s="3"/>
      <c r="B163" s="3"/>
      <c r="C163" s="3"/>
      <c r="D163" s="39"/>
      <c r="E163" s="86"/>
      <c r="F163" s="86"/>
      <c r="G163" s="86"/>
      <c r="H163" s="86"/>
      <c r="I163" s="86"/>
      <c r="J163" s="3"/>
      <c r="K163" s="3"/>
    </row>
    <row r="164" spans="1:11" ht="12" thickBot="1">
      <c r="A164" s="3"/>
      <c r="B164" s="3"/>
      <c r="C164" s="2"/>
      <c r="D164" s="39"/>
      <c r="E164" s="3"/>
      <c r="F164" s="3"/>
      <c r="G164" s="3"/>
      <c r="H164" s="3"/>
      <c r="I164" s="3"/>
      <c r="J164" s="3"/>
      <c r="K164" s="3"/>
    </row>
    <row r="165" spans="1:11" ht="12" thickBot="1">
      <c r="C165" s="160" t="str">
        <f>"Market Model Calculation Segment " &amp;MMSegCurrent &amp; " " &amp; MMSegName</f>
        <v>Market Model Calculation Segment 1 Product 5 Segment 1</v>
      </c>
      <c r="D165" s="162"/>
      <c r="E165" s="158"/>
      <c r="F165" s="158"/>
      <c r="G165" s="159"/>
      <c r="H165" s="159"/>
      <c r="I165" s="159"/>
      <c r="J165" s="159"/>
      <c r="K165" s="51"/>
    </row>
    <row r="166" spans="1:11" ht="12" thickBot="1">
      <c r="C166" s="160" t="s">
        <v>2672</v>
      </c>
      <c r="D166" s="163">
        <f>D19</f>
        <v>0</v>
      </c>
      <c r="E166" s="162"/>
      <c r="F166" s="164"/>
      <c r="G166" s="162"/>
      <c r="H166" s="165"/>
      <c r="I166" s="157" t="s">
        <v>2673</v>
      </c>
      <c r="J166" s="205">
        <f>INDEX(D13:D17,$D$10)</f>
        <v>0</v>
      </c>
      <c r="K166" s="51"/>
    </row>
    <row r="167" spans="1:11">
      <c r="C167" s="167" t="s">
        <v>2958</v>
      </c>
      <c r="D167" s="168"/>
      <c r="E167" s="161" t="s">
        <v>1834</v>
      </c>
      <c r="F167" s="161" t="s">
        <v>1835</v>
      </c>
      <c r="G167" s="161" t="s">
        <v>1836</v>
      </c>
      <c r="H167" s="161" t="s">
        <v>1837</v>
      </c>
      <c r="I167" s="161" t="s">
        <v>1838</v>
      </c>
      <c r="J167" s="161"/>
      <c r="K167" s="54"/>
    </row>
    <row r="168" spans="1:11">
      <c r="C168" s="52" t="str">
        <f t="shared" ref="C168:C177" si="25">C153</f>
        <v>Price</v>
      </c>
      <c r="D168" s="39">
        <f t="shared" ref="D168:D177" si="26">INDEX(E153:I153,,MMSegCurrent)</f>
        <v>10</v>
      </c>
      <c r="E168" s="220" t="e">
        <f>$D168*E30</f>
        <v>#NAME?</v>
      </c>
      <c r="F168" s="221" t="e">
        <f>$D168*F30</f>
        <v>#NAME?</v>
      </c>
      <c r="G168" s="221" t="e">
        <f>$D168*G30</f>
        <v>#NAME?</v>
      </c>
      <c r="H168" s="221" t="e">
        <f>$D168*H30</f>
        <v>#NAME?</v>
      </c>
      <c r="I168" s="222" t="e">
        <f>$D168*I30</f>
        <v>#NAME?</v>
      </c>
      <c r="J168" s="53" t="e">
        <f t="shared" ref="J168:J178" si="27">SUM(E168:I168)</f>
        <v>#NAME?</v>
      </c>
      <c r="K168" s="54"/>
    </row>
    <row r="169" spans="1:11">
      <c r="C169" s="52" t="str">
        <f t="shared" si="25"/>
        <v>Advertising</v>
      </c>
      <c r="D169" s="39">
        <f t="shared" si="26"/>
        <v>8</v>
      </c>
      <c r="E169" s="223" t="e">
        <f>$D169*E42</f>
        <v>#NAME?</v>
      </c>
      <c r="F169" s="39" t="e">
        <f>$D169*F42</f>
        <v>#NAME?</v>
      </c>
      <c r="G169" s="39" t="e">
        <f>$D169*G42</f>
        <v>#NAME?</v>
      </c>
      <c r="H169" s="39" t="e">
        <f>$D169*H42</f>
        <v>#NAME?</v>
      </c>
      <c r="I169" s="40" t="e">
        <f>$D169*I42</f>
        <v>#NAME?</v>
      </c>
      <c r="J169" s="55" t="e">
        <f t="shared" si="27"/>
        <v>#NAME?</v>
      </c>
      <c r="K169" s="54"/>
    </row>
    <row r="170" spans="1:11">
      <c r="C170" s="52" t="str">
        <f t="shared" si="25"/>
        <v>Driver 3</v>
      </c>
      <c r="D170" s="39">
        <f t="shared" si="26"/>
        <v>5</v>
      </c>
      <c r="E170" s="223" t="e">
        <f>$D170*E54</f>
        <v>#NAME?</v>
      </c>
      <c r="F170" s="39" t="e">
        <f>$D170*F54</f>
        <v>#NAME?</v>
      </c>
      <c r="G170" s="39" t="e">
        <f>$D170*G54</f>
        <v>#NAME?</v>
      </c>
      <c r="H170" s="39" t="e">
        <f>$D170*H54</f>
        <v>#NAME?</v>
      </c>
      <c r="I170" s="40" t="e">
        <f>$D170*I54</f>
        <v>#NAME?</v>
      </c>
      <c r="J170" s="55" t="e">
        <f t="shared" si="27"/>
        <v>#NAME?</v>
      </c>
      <c r="K170" s="54"/>
    </row>
    <row r="171" spans="1:11">
      <c r="C171" s="52" t="str">
        <f t="shared" si="25"/>
        <v>Driver 4</v>
      </c>
      <c r="D171" s="39">
        <f t="shared" si="26"/>
        <v>1</v>
      </c>
      <c r="E171" s="223" t="e">
        <f>$D171*E66</f>
        <v>#NAME?</v>
      </c>
      <c r="F171" s="39" t="e">
        <f>$D171*F66</f>
        <v>#NAME?</v>
      </c>
      <c r="G171" s="39" t="e">
        <f>$D171*G66</f>
        <v>#NAME?</v>
      </c>
      <c r="H171" s="39" t="e">
        <f>$D171*H66</f>
        <v>#NAME?</v>
      </c>
      <c r="I171" s="40" t="e">
        <f>$D171*I66</f>
        <v>#NAME?</v>
      </c>
      <c r="J171" s="55" t="e">
        <f t="shared" si="27"/>
        <v>#NAME?</v>
      </c>
      <c r="K171" s="54"/>
    </row>
    <row r="172" spans="1:11">
      <c r="C172" s="52" t="str">
        <f t="shared" si="25"/>
        <v>Driver 5</v>
      </c>
      <c r="D172" s="39">
        <f t="shared" si="26"/>
        <v>1</v>
      </c>
      <c r="E172" s="223" t="e">
        <f>$D172*E78</f>
        <v>#NAME?</v>
      </c>
      <c r="F172" s="39" t="e">
        <f>$D172*F78</f>
        <v>#NAME?</v>
      </c>
      <c r="G172" s="39" t="e">
        <f>$D172*G78</f>
        <v>#NAME?</v>
      </c>
      <c r="H172" s="39" t="e">
        <f>$D172*H78</f>
        <v>#NAME?</v>
      </c>
      <c r="I172" s="40" t="e">
        <f>$D172*I78</f>
        <v>#NAME?</v>
      </c>
      <c r="J172" s="55" t="e">
        <f t="shared" si="27"/>
        <v>#NAME?</v>
      </c>
      <c r="K172" s="54"/>
    </row>
    <row r="173" spans="1:11">
      <c r="C173" s="52" t="str">
        <f t="shared" si="25"/>
        <v>Driver 6</v>
      </c>
      <c r="D173" s="39">
        <f t="shared" si="26"/>
        <v>1</v>
      </c>
      <c r="E173" s="223" t="e">
        <f>$D173*E90</f>
        <v>#NAME?</v>
      </c>
      <c r="F173" s="39" t="e">
        <f>$D173*F90</f>
        <v>#NAME?</v>
      </c>
      <c r="G173" s="39" t="e">
        <f>$D173*G90</f>
        <v>#NAME?</v>
      </c>
      <c r="H173" s="39" t="e">
        <f>$D173*H90</f>
        <v>#NAME?</v>
      </c>
      <c r="I173" s="40" t="e">
        <f>$D173*I90</f>
        <v>#NAME?</v>
      </c>
      <c r="J173" s="55" t="e">
        <f t="shared" si="27"/>
        <v>#NAME?</v>
      </c>
      <c r="K173" s="54"/>
    </row>
    <row r="174" spans="1:11">
      <c r="C174" s="52" t="str">
        <f t="shared" si="25"/>
        <v>Driver 7</v>
      </c>
      <c r="D174" s="39">
        <f t="shared" si="26"/>
        <v>1</v>
      </c>
      <c r="E174" s="223" t="e">
        <f>$D174*E102</f>
        <v>#NAME?</v>
      </c>
      <c r="F174" s="39" t="e">
        <f>$D174*F102</f>
        <v>#NAME?</v>
      </c>
      <c r="G174" s="39" t="e">
        <f>$D174*G102</f>
        <v>#NAME?</v>
      </c>
      <c r="H174" s="39" t="e">
        <f>$D174*H102</f>
        <v>#NAME?</v>
      </c>
      <c r="I174" s="40" t="e">
        <f>$D174*I102</f>
        <v>#NAME?</v>
      </c>
      <c r="J174" s="55" t="e">
        <f t="shared" si="27"/>
        <v>#NAME?</v>
      </c>
      <c r="K174" s="54"/>
    </row>
    <row r="175" spans="1:11">
      <c r="C175" s="52" t="str">
        <f t="shared" si="25"/>
        <v>Driver 8</v>
      </c>
      <c r="D175" s="39">
        <f t="shared" si="26"/>
        <v>1</v>
      </c>
      <c r="E175" s="223" t="e">
        <f>$D175*E114</f>
        <v>#NAME?</v>
      </c>
      <c r="F175" s="39" t="e">
        <f>$D175*F114</f>
        <v>#NAME?</v>
      </c>
      <c r="G175" s="39" t="e">
        <f>$D175*G114</f>
        <v>#NAME?</v>
      </c>
      <c r="H175" s="39" t="e">
        <f>$D175*H114</f>
        <v>#NAME?</v>
      </c>
      <c r="I175" s="40" t="e">
        <f>$D175*I114</f>
        <v>#NAME?</v>
      </c>
      <c r="J175" s="55" t="e">
        <f t="shared" si="27"/>
        <v>#NAME?</v>
      </c>
      <c r="K175" s="54"/>
    </row>
    <row r="176" spans="1:11">
      <c r="C176" s="52" t="str">
        <f t="shared" si="25"/>
        <v>Driver 9</v>
      </c>
      <c r="D176" s="39">
        <f t="shared" si="26"/>
        <v>1</v>
      </c>
      <c r="E176" s="223" t="e">
        <f>$D176*E126</f>
        <v>#NAME?</v>
      </c>
      <c r="F176" s="39" t="e">
        <f>$D176*F126</f>
        <v>#NAME?</v>
      </c>
      <c r="G176" s="39" t="e">
        <f>$D176*G126</f>
        <v>#NAME?</v>
      </c>
      <c r="H176" s="39" t="e">
        <f>$D176*H126</f>
        <v>#NAME?</v>
      </c>
      <c r="I176" s="40" t="e">
        <f>$D176*I126</f>
        <v>#NAME?</v>
      </c>
      <c r="J176" s="55" t="e">
        <f t="shared" si="27"/>
        <v>#NAME?</v>
      </c>
      <c r="K176" s="54"/>
    </row>
    <row r="177" spans="1:11">
      <c r="C177" s="52" t="str">
        <f t="shared" si="25"/>
        <v>Driver 10</v>
      </c>
      <c r="D177" s="39">
        <f t="shared" si="26"/>
        <v>1</v>
      </c>
      <c r="E177" s="223" t="e">
        <f>$D177*E138</f>
        <v>#NAME?</v>
      </c>
      <c r="F177" s="39" t="e">
        <f>$D177*F138</f>
        <v>#NAME?</v>
      </c>
      <c r="G177" s="39" t="e">
        <f>$D177*G138</f>
        <v>#NAME?</v>
      </c>
      <c r="H177" s="39" t="e">
        <f>$D177*H138</f>
        <v>#NAME?</v>
      </c>
      <c r="I177" s="40" t="e">
        <f>$D177*I138</f>
        <v>#NAME?</v>
      </c>
      <c r="J177" s="55" t="e">
        <f t="shared" si="27"/>
        <v>#NAME?</v>
      </c>
      <c r="K177" s="54"/>
    </row>
    <row r="178" spans="1:11">
      <c r="C178" s="153" t="s">
        <v>1828</v>
      </c>
      <c r="D178" s="38"/>
      <c r="E178" s="224" t="e">
        <f>E150*SUM($E$168:$I$177)</f>
        <v>#NAME?</v>
      </c>
      <c r="F178" s="42" t="e">
        <f>F150*SUM($E$168:$I$177)</f>
        <v>#NAME?</v>
      </c>
      <c r="G178" s="42" t="e">
        <f>G150*SUM($E$168:$I$177)</f>
        <v>#NAME?</v>
      </c>
      <c r="H178" s="42" t="e">
        <f>H150*SUM($E$168:$I$177)</f>
        <v>#NAME?</v>
      </c>
      <c r="I178" s="225" t="e">
        <f>I150*SUM($E$168:$I$177)</f>
        <v>#NAME?</v>
      </c>
      <c r="J178" s="55" t="e">
        <f t="shared" si="27"/>
        <v>#NAME?</v>
      </c>
      <c r="K178" s="54"/>
    </row>
    <row r="179" spans="1:11" ht="12" thickBot="1">
      <c r="C179" s="52" t="s">
        <v>2959</v>
      </c>
      <c r="D179" s="38"/>
      <c r="E179" s="226" t="e">
        <f t="shared" ref="E179:J179" si="28">SUM(E168:E178)</f>
        <v>#NAME?</v>
      </c>
      <c r="F179" s="58" t="e">
        <f t="shared" si="28"/>
        <v>#NAME?</v>
      </c>
      <c r="G179" s="58" t="e">
        <f t="shared" si="28"/>
        <v>#NAME?</v>
      </c>
      <c r="H179" s="58" t="e">
        <f t="shared" si="28"/>
        <v>#NAME?</v>
      </c>
      <c r="I179" s="227" t="e">
        <f t="shared" si="28"/>
        <v>#NAME?</v>
      </c>
      <c r="J179" s="155" t="e">
        <f t="shared" si="28"/>
        <v>#NAME?</v>
      </c>
      <c r="K179" s="54"/>
    </row>
    <row r="180" spans="1:11">
      <c r="C180" s="52" t="s">
        <v>974</v>
      </c>
      <c r="D180" s="38"/>
      <c r="E180" s="38" t="e">
        <f>RANK(E179,$E179:$I179)</f>
        <v>#NAME?</v>
      </c>
      <c r="F180" s="38" t="e">
        <f>RANK(F179,$E179:$I179)</f>
        <v>#NAME?</v>
      </c>
      <c r="G180" s="38" t="e">
        <f>RANK(G179,$E179:$I179)</f>
        <v>#NAME?</v>
      </c>
      <c r="H180" s="38" t="e">
        <f>RANK(H179,$E179:$I179)</f>
        <v>#NAME?</v>
      </c>
      <c r="I180" s="38" t="e">
        <f>RANK(I179,$E179:$I179)</f>
        <v>#NAME?</v>
      </c>
      <c r="J180" s="38"/>
      <c r="K180" s="54"/>
    </row>
    <row r="181" spans="1:11" ht="12" thickBot="1">
      <c r="C181" s="56" t="s">
        <v>2830</v>
      </c>
      <c r="D181" s="50"/>
      <c r="E181" s="366" t="e">
        <f>E179/SUM($E179:$I179)</f>
        <v>#NAME?</v>
      </c>
      <c r="F181" s="366" t="e">
        <f>F179/SUM($E179:$I179)</f>
        <v>#NAME?</v>
      </c>
      <c r="G181" s="366" t="e">
        <f>G179/SUM($E179:$I179)</f>
        <v>#NAME?</v>
      </c>
      <c r="H181" s="366" t="e">
        <f>H179/SUM($E179:$I179)</f>
        <v>#NAME?</v>
      </c>
      <c r="I181" s="366" t="e">
        <f>I179/SUM($E179:$I179)</f>
        <v>#NAME?</v>
      </c>
      <c r="J181" s="367">
        <f>J166</f>
        <v>0</v>
      </c>
      <c r="K181" s="368" t="s">
        <v>2327</v>
      </c>
    </row>
    <row r="182" spans="1:11">
      <c r="A182" s="3"/>
      <c r="B182" s="3"/>
      <c r="C182" s="2"/>
      <c r="D182" s="39"/>
      <c r="E182" s="3"/>
      <c r="F182" s="3"/>
      <c r="G182" s="3"/>
      <c r="H182" s="3"/>
      <c r="I182" s="3"/>
      <c r="J182" s="3"/>
      <c r="K182" s="30"/>
    </row>
    <row r="183" spans="1:11">
      <c r="C183" s="49" t="s">
        <v>2830</v>
      </c>
      <c r="D183" s="95"/>
      <c r="E183" s="95"/>
      <c r="F183" s="95"/>
      <c r="G183" s="95"/>
      <c r="H183" s="95"/>
      <c r="I183" s="95"/>
      <c r="J183" s="96"/>
      <c r="K183" s="30"/>
    </row>
    <row r="184" spans="1:11">
      <c r="C184" s="91" t="s">
        <v>129</v>
      </c>
      <c r="D184" s="359" t="s">
        <v>2329</v>
      </c>
      <c r="E184" s="360"/>
      <c r="F184" s="361"/>
      <c r="G184" s="361"/>
      <c r="H184" s="361"/>
      <c r="I184" s="361"/>
      <c r="J184" s="362"/>
      <c r="K184" s="363" t="s">
        <v>2328</v>
      </c>
    </row>
    <row r="185" spans="1:11">
      <c r="C185" s="91" t="s">
        <v>130</v>
      </c>
      <c r="D185" s="21"/>
      <c r="E185" s="361"/>
      <c r="F185" s="361"/>
      <c r="G185" s="361"/>
      <c r="H185" s="361"/>
      <c r="I185" s="361"/>
      <c r="J185" s="362"/>
    </row>
    <row r="186" spans="1:11">
      <c r="C186" s="91" t="s">
        <v>131</v>
      </c>
      <c r="D186" s="21"/>
      <c r="E186" s="361"/>
      <c r="F186" s="361"/>
      <c r="G186" s="361"/>
      <c r="H186" s="361"/>
      <c r="I186" s="361"/>
      <c r="J186" s="362"/>
    </row>
    <row r="187" spans="1:11">
      <c r="C187" s="91" t="s">
        <v>1133</v>
      </c>
      <c r="D187" s="21"/>
      <c r="E187" s="361"/>
      <c r="F187" s="361"/>
      <c r="G187" s="361"/>
      <c r="H187" s="361"/>
      <c r="I187" s="361"/>
      <c r="J187" s="362"/>
    </row>
    <row r="188" spans="1:11">
      <c r="C188" s="91" t="s">
        <v>1134</v>
      </c>
      <c r="D188" s="21"/>
      <c r="E188" s="361"/>
      <c r="F188" s="361"/>
      <c r="G188" s="361"/>
      <c r="H188" s="361"/>
      <c r="I188" s="361"/>
      <c r="J188" s="362"/>
    </row>
    <row r="189" spans="1:11">
      <c r="C189" s="206"/>
      <c r="D189" s="207"/>
      <c r="E189" s="242"/>
      <c r="F189" s="242"/>
      <c r="G189" s="242"/>
      <c r="H189" s="242"/>
      <c r="I189" s="242"/>
      <c r="J189" s="243"/>
    </row>
    <row r="191" spans="1:11">
      <c r="C191" s="49" t="s">
        <v>3939</v>
      </c>
      <c r="D191" s="95"/>
      <c r="E191" s="60" t="s">
        <v>3119</v>
      </c>
      <c r="F191" s="60"/>
      <c r="G191" s="60"/>
      <c r="H191" s="60"/>
      <c r="I191" s="60"/>
      <c r="J191" s="96"/>
    </row>
    <row r="192" spans="1:11">
      <c r="C192" s="91" t="s">
        <v>129</v>
      </c>
      <c r="D192" s="21"/>
      <c r="E192" s="214"/>
      <c r="F192" s="214"/>
      <c r="G192" s="214"/>
      <c r="H192" s="214"/>
      <c r="I192" s="214"/>
      <c r="J192" s="97"/>
    </row>
    <row r="193" spans="1:11">
      <c r="C193" s="91" t="s">
        <v>130</v>
      </c>
      <c r="D193" s="21"/>
      <c r="E193" s="214"/>
      <c r="F193" s="214"/>
      <c r="G193" s="214"/>
      <c r="H193" s="214"/>
      <c r="I193" s="214"/>
      <c r="J193" s="97"/>
    </row>
    <row r="194" spans="1:11">
      <c r="C194" s="91" t="s">
        <v>131</v>
      </c>
      <c r="D194" s="21"/>
      <c r="E194" s="214"/>
      <c r="F194" s="214"/>
      <c r="G194" s="214"/>
      <c r="H194" s="214"/>
      <c r="I194" s="214"/>
      <c r="J194" s="97"/>
    </row>
    <row r="195" spans="1:11">
      <c r="C195" s="91" t="s">
        <v>1133</v>
      </c>
      <c r="D195" s="21"/>
      <c r="E195" s="214"/>
      <c r="F195" s="214"/>
      <c r="G195" s="214"/>
      <c r="H195" s="214"/>
      <c r="I195" s="214"/>
      <c r="J195" s="97"/>
    </row>
    <row r="196" spans="1:11">
      <c r="C196" s="91" t="s">
        <v>1134</v>
      </c>
      <c r="D196" s="21"/>
      <c r="E196" s="214"/>
      <c r="F196" s="214"/>
      <c r="G196" s="214"/>
      <c r="H196" s="214"/>
      <c r="I196" s="214"/>
      <c r="J196" s="97"/>
    </row>
    <row r="197" spans="1:11">
      <c r="C197" s="206"/>
      <c r="D197" s="207"/>
      <c r="E197" s="207"/>
      <c r="F197" s="207"/>
      <c r="G197" s="207"/>
      <c r="H197" s="207"/>
      <c r="I197" s="207"/>
      <c r="J197" s="208"/>
    </row>
    <row r="199" spans="1:11">
      <c r="C199" s="49" t="s">
        <v>3744</v>
      </c>
      <c r="D199" s="95"/>
      <c r="E199" s="95"/>
      <c r="F199" s="95"/>
      <c r="G199" s="95"/>
      <c r="H199" s="95"/>
      <c r="I199" s="95"/>
      <c r="J199" s="96" t="s">
        <v>1403</v>
      </c>
    </row>
    <row r="200" spans="1:11">
      <c r="C200" s="91" t="s">
        <v>129</v>
      </c>
      <c r="D200" s="21"/>
      <c r="E200" s="244">
        <f t="shared" ref="E200:I204" si="29">IF(ISBLANK(E192),E184,E192)</f>
        <v>0</v>
      </c>
      <c r="F200" s="244">
        <f t="shared" si="29"/>
        <v>0</v>
      </c>
      <c r="G200" s="244">
        <f t="shared" si="29"/>
        <v>0</v>
      </c>
      <c r="H200" s="244">
        <f t="shared" si="29"/>
        <v>0</v>
      </c>
      <c r="I200" s="244">
        <f t="shared" si="29"/>
        <v>0</v>
      </c>
      <c r="J200" s="101">
        <f>J184</f>
        <v>0</v>
      </c>
    </row>
    <row r="201" spans="1:11">
      <c r="C201" s="91" t="s">
        <v>130</v>
      </c>
      <c r="D201" s="21"/>
      <c r="E201" s="244">
        <f t="shared" si="29"/>
        <v>0</v>
      </c>
      <c r="F201" s="244">
        <f t="shared" si="29"/>
        <v>0</v>
      </c>
      <c r="G201" s="244">
        <f t="shared" si="29"/>
        <v>0</v>
      </c>
      <c r="H201" s="244">
        <f t="shared" si="29"/>
        <v>0</v>
      </c>
      <c r="I201" s="244">
        <f t="shared" si="29"/>
        <v>0</v>
      </c>
      <c r="J201" s="101">
        <f>J185</f>
        <v>0</v>
      </c>
    </row>
    <row r="202" spans="1:11">
      <c r="C202" s="91" t="s">
        <v>131</v>
      </c>
      <c r="D202" s="21"/>
      <c r="E202" s="244">
        <f t="shared" si="29"/>
        <v>0</v>
      </c>
      <c r="F202" s="244">
        <f t="shared" si="29"/>
        <v>0</v>
      </c>
      <c r="G202" s="244">
        <f t="shared" si="29"/>
        <v>0</v>
      </c>
      <c r="H202" s="244">
        <f t="shared" si="29"/>
        <v>0</v>
      </c>
      <c r="I202" s="244">
        <f t="shared" si="29"/>
        <v>0</v>
      </c>
      <c r="J202" s="101">
        <f>J186</f>
        <v>0</v>
      </c>
    </row>
    <row r="203" spans="1:11">
      <c r="C203" s="91" t="s">
        <v>1133</v>
      </c>
      <c r="D203" s="21"/>
      <c r="E203" s="244">
        <f t="shared" si="29"/>
        <v>0</v>
      </c>
      <c r="F203" s="244">
        <f t="shared" si="29"/>
        <v>0</v>
      </c>
      <c r="G203" s="244">
        <f t="shared" si="29"/>
        <v>0</v>
      </c>
      <c r="H203" s="244">
        <f t="shared" si="29"/>
        <v>0</v>
      </c>
      <c r="I203" s="244">
        <f t="shared" si="29"/>
        <v>0</v>
      </c>
      <c r="J203" s="101">
        <f>J187</f>
        <v>0</v>
      </c>
    </row>
    <row r="204" spans="1:11">
      <c r="C204" s="91" t="s">
        <v>1134</v>
      </c>
      <c r="D204" s="21"/>
      <c r="E204" s="244">
        <f t="shared" si="29"/>
        <v>0</v>
      </c>
      <c r="F204" s="244">
        <f t="shared" si="29"/>
        <v>0</v>
      </c>
      <c r="G204" s="244">
        <f t="shared" si="29"/>
        <v>0</v>
      </c>
      <c r="H204" s="244">
        <f t="shared" si="29"/>
        <v>0</v>
      </c>
      <c r="I204" s="244">
        <f t="shared" si="29"/>
        <v>0</v>
      </c>
      <c r="J204" s="101">
        <f>J188</f>
        <v>0</v>
      </c>
    </row>
    <row r="205" spans="1:11">
      <c r="C205" s="206"/>
      <c r="D205" s="207"/>
      <c r="E205" s="242"/>
      <c r="F205" s="242"/>
      <c r="G205" s="242"/>
      <c r="H205" s="242"/>
      <c r="I205" s="242"/>
      <c r="J205" s="208"/>
    </row>
    <row r="206" spans="1:11">
      <c r="C206" s="93" t="s">
        <v>1136</v>
      </c>
      <c r="D206" s="94"/>
      <c r="E206" s="245">
        <f>SUMPRODUCT(E200:E205,$J$200:$J$205)</f>
        <v>0</v>
      </c>
      <c r="F206" s="245">
        <f>SUMPRODUCT(F200:F205,$J$200:$J$205)</f>
        <v>0</v>
      </c>
      <c r="G206" s="245">
        <f>SUMPRODUCT(G200:G205,$J$200:$J$205)</f>
        <v>0</v>
      </c>
      <c r="H206" s="245">
        <f>SUMPRODUCT(H200:H205,$J$200:$J$205)</f>
        <v>0</v>
      </c>
      <c r="I206" s="245">
        <f>SUMPRODUCT(I200:I205,$J$200:$J$205)</f>
        <v>0</v>
      </c>
      <c r="J206" s="103">
        <f>SUM(E206:I206)</f>
        <v>0</v>
      </c>
    </row>
    <row r="207" spans="1:11">
      <c r="C207" s="30" t="s">
        <v>2830</v>
      </c>
      <c r="D207" s="30"/>
      <c r="E207" s="104">
        <f>IF(E206=0,0,E206/$J$206)</f>
        <v>0</v>
      </c>
      <c r="F207" s="104">
        <f>IF(F206=0,0,F206/$J$206)</f>
        <v>0</v>
      </c>
      <c r="G207" s="104">
        <f>IF(G206=0,0,G206/$J$206)</f>
        <v>0</v>
      </c>
      <c r="H207" s="104">
        <f>IF(H206=0,0,H206/$J$206)</f>
        <v>0</v>
      </c>
      <c r="I207" s="104">
        <f>IF(I206=0,0,I206/$J$206)</f>
        <v>0</v>
      </c>
    </row>
    <row r="208" spans="1:11">
      <c r="A208" s="3"/>
      <c r="B208" s="3"/>
      <c r="C208" s="2"/>
      <c r="D208" s="39"/>
      <c r="E208" s="3"/>
      <c r="F208" s="3"/>
      <c r="G208" s="3"/>
      <c r="H208" s="3"/>
      <c r="I208" s="3"/>
      <c r="J208" s="3"/>
      <c r="K208" s="3"/>
    </row>
    <row r="209" spans="1:11">
      <c r="A209" s="3"/>
      <c r="B209" s="3"/>
      <c r="C209" s="2" t="s">
        <v>975</v>
      </c>
      <c r="D209" s="3"/>
      <c r="E209" s="72">
        <f>E207</f>
        <v>0</v>
      </c>
      <c r="F209" s="72">
        <f>F207</f>
        <v>0</v>
      </c>
      <c r="G209" s="72">
        <f>G207</f>
        <v>0</v>
      </c>
      <c r="H209" s="72">
        <f>H207</f>
        <v>0</v>
      </c>
      <c r="I209" s="72">
        <f>I207</f>
        <v>0</v>
      </c>
      <c r="J209" s="3"/>
      <c r="K209" s="3"/>
    </row>
    <row r="210" spans="1:11">
      <c r="A210" s="3"/>
      <c r="B210" s="3"/>
      <c r="C210" s="73" t="s">
        <v>976</v>
      </c>
      <c r="D210" s="61"/>
      <c r="E210" s="197">
        <f>ROUNDDOWN(E207*$J206,0)</f>
        <v>0</v>
      </c>
      <c r="F210" s="197">
        <f>ROUNDDOWN(F207*$J206,0)</f>
        <v>0</v>
      </c>
      <c r="G210" s="197">
        <f>ROUNDDOWN(G207*$J206,0)</f>
        <v>0</v>
      </c>
      <c r="H210" s="197">
        <f>ROUNDDOWN(H207*$J206,0)</f>
        <v>0</v>
      </c>
      <c r="I210" s="197">
        <f>ROUNDDOWN(I207*$J206,0)</f>
        <v>0</v>
      </c>
      <c r="J210" s="199">
        <f>SUM(E210:I210)</f>
        <v>0</v>
      </c>
      <c r="K210" s="37"/>
    </row>
    <row r="211" spans="1:11">
      <c r="A211" s="3"/>
      <c r="B211" s="3"/>
      <c r="C211" s="233" t="s">
        <v>977</v>
      </c>
      <c r="D211" s="150"/>
      <c r="E211" s="232" t="e">
        <f>decProd5Units</f>
        <v>#NAME?</v>
      </c>
      <c r="F211" s="232" t="e">
        <f>decProd5Units</f>
        <v>#NAME?</v>
      </c>
      <c r="G211" s="232" t="e">
        <f>decProd5Units</f>
        <v>#NAME?</v>
      </c>
      <c r="H211" s="232" t="e">
        <f>decProd5Units</f>
        <v>#NAME?</v>
      </c>
      <c r="I211" s="232" t="e">
        <f>decProd5Units</f>
        <v>#NAME?</v>
      </c>
      <c r="J211" s="198" t="e">
        <f>SUM(E211:I211)</f>
        <v>#NAME?</v>
      </c>
      <c r="K211" s="37"/>
    </row>
    <row r="212" spans="1:11">
      <c r="A212" s="3"/>
      <c r="B212" s="3"/>
      <c r="C212" s="37" t="s">
        <v>3325</v>
      </c>
      <c r="D212" s="38"/>
      <c r="E212" s="87" t="e">
        <f>E211-E210</f>
        <v>#NAME?</v>
      </c>
      <c r="F212" s="87" t="e">
        <f>F211-F210</f>
        <v>#NAME?</v>
      </c>
      <c r="G212" s="87" t="e">
        <f>G211-G210</f>
        <v>#NAME?</v>
      </c>
      <c r="H212" s="87" t="e">
        <f>H211-H210</f>
        <v>#NAME?</v>
      </c>
      <c r="I212" s="87" t="e">
        <f>I211-I210</f>
        <v>#NAME?</v>
      </c>
      <c r="J212" s="200" t="e">
        <f>SUM(E212:I212)-SUMPRODUCT(E212:I212,E213:I213)</f>
        <v>#NAME?</v>
      </c>
      <c r="K212" s="37"/>
    </row>
    <row r="213" spans="1:11">
      <c r="A213" s="3"/>
      <c r="B213" s="3"/>
      <c r="C213" s="37" t="s">
        <v>1068</v>
      </c>
      <c r="D213" s="38"/>
      <c r="E213" s="38" t="e">
        <f>1*(E212&gt;0)</f>
        <v>#NAME?</v>
      </c>
      <c r="F213" s="38" t="e">
        <f>1*(F212&gt;0)</f>
        <v>#NAME?</v>
      </c>
      <c r="G213" s="38" t="e">
        <f>1*(G212&gt;0)</f>
        <v>#NAME?</v>
      </c>
      <c r="H213" s="38" t="e">
        <f>1*(H212&gt;0)</f>
        <v>#NAME?</v>
      </c>
      <c r="I213" s="38" t="e">
        <f>1*(I212&gt;0)</f>
        <v>#NAME?</v>
      </c>
      <c r="J213" s="37" t="e">
        <f>SUM(E213:I213)</f>
        <v>#NAME?</v>
      </c>
      <c r="K213" s="37"/>
    </row>
    <row r="214" spans="1:11">
      <c r="A214" s="3"/>
      <c r="B214" s="3"/>
      <c r="C214" s="37" t="s">
        <v>1069</v>
      </c>
      <c r="D214" s="38"/>
      <c r="E214" s="48" t="e">
        <f>IF(AND(E213&gt;0,E210&gt;0),+E209*E213/SUMPRODUCT($E209:$I209,$E213:$I213),0)</f>
        <v>#NAME?</v>
      </c>
      <c r="F214" s="48" t="e">
        <f>IF(AND(F213&gt;0,F210&gt;0),+F209*F213/SUMPRODUCT($E209:$I209,$E213:$I213),0)</f>
        <v>#NAME?</v>
      </c>
      <c r="G214" s="48" t="e">
        <f>IF(AND(G213&gt;0,G210&gt;0),+G209*G213/SUMPRODUCT($E209:$I209,$E213:$I213),0)</f>
        <v>#NAME?</v>
      </c>
      <c r="H214" s="48" t="e">
        <f>IF(AND(H213&gt;0,H210&gt;0),+H209*H213/SUMPRODUCT($E209:$I209,$E213:$I213),0)</f>
        <v>#NAME?</v>
      </c>
      <c r="I214" s="48" t="e">
        <f>IF(AND(I213&gt;0,I210&gt;0),+I209*I213/SUMPRODUCT($E209:$I209,$E213:$I213),0)</f>
        <v>#NAME?</v>
      </c>
      <c r="J214" s="37"/>
      <c r="K214" s="37"/>
    </row>
    <row r="215" spans="1:11">
      <c r="A215" s="3"/>
      <c r="B215" s="3"/>
      <c r="C215" s="37" t="s">
        <v>3782</v>
      </c>
      <c r="D215" s="38"/>
      <c r="E215" s="39" t="e">
        <f>-MAX(-E212,ROUND(E214*$J212,0))*E213</f>
        <v>#NAME?</v>
      </c>
      <c r="F215" s="39" t="e">
        <f>-MAX(-F212,ROUND(F214*$J212,0))*F213</f>
        <v>#NAME?</v>
      </c>
      <c r="G215" s="39" t="e">
        <f>-MAX(-G212,ROUND(G214*$J212,0))*G213</f>
        <v>#NAME?</v>
      </c>
      <c r="H215" s="39" t="e">
        <f>-MAX(-H212,ROUND(H214*$J212,0))*H213</f>
        <v>#NAME?</v>
      </c>
      <c r="I215" s="39" t="e">
        <f>-MAX(-I212,ROUND(I214*$J212,0))*I213</f>
        <v>#NAME?</v>
      </c>
      <c r="J215" s="37" t="e">
        <f>ROUND(SUM(E215:I215),0)</f>
        <v>#NAME?</v>
      </c>
      <c r="K215" s="37"/>
    </row>
    <row r="216" spans="1:11">
      <c r="A216" s="3"/>
      <c r="B216" s="3"/>
      <c r="C216" s="37" t="s">
        <v>2324</v>
      </c>
      <c r="D216" s="38"/>
      <c r="E216" s="236"/>
      <c r="F216" s="236"/>
      <c r="G216" s="236"/>
      <c r="H216" s="236"/>
      <c r="I216" s="236"/>
      <c r="J216" s="37"/>
      <c r="K216" s="37"/>
    </row>
    <row r="217" spans="1:11">
      <c r="A217" s="3"/>
      <c r="B217" s="3"/>
      <c r="C217" s="37" t="s">
        <v>3783</v>
      </c>
      <c r="D217" s="38"/>
      <c r="E217" s="353"/>
      <c r="F217" s="353"/>
      <c r="G217" s="353"/>
      <c r="H217" s="353"/>
      <c r="I217" s="353"/>
      <c r="J217" s="37"/>
      <c r="K217" s="37"/>
    </row>
    <row r="218" spans="1:11">
      <c r="A218" s="3"/>
      <c r="B218" s="3"/>
      <c r="C218" s="37" t="s">
        <v>3784</v>
      </c>
      <c r="D218" s="38"/>
      <c r="E218" s="87" t="e">
        <f>MIN(E211,E212-E217-E215-E216*$J210)</f>
        <v>#NAME?</v>
      </c>
      <c r="F218" s="87" t="e">
        <f>MIN(F211,F212-F217-F215-F216*$J210)</f>
        <v>#NAME?</v>
      </c>
      <c r="G218" s="87" t="e">
        <f>MIN(G211,G212-G217-G215-G216*$J210)</f>
        <v>#NAME?</v>
      </c>
      <c r="H218" s="87" t="e">
        <f>MIN(H211,H212-H217-H215-H216*$J210)</f>
        <v>#NAME?</v>
      </c>
      <c r="I218" s="87" t="e">
        <f>MIN(I211,I212-I217-I215-I216*$J210)</f>
        <v>#NAME?</v>
      </c>
      <c r="J218" s="198"/>
      <c r="K218" s="37"/>
    </row>
    <row r="219" spans="1:11">
      <c r="A219" s="3"/>
      <c r="B219" s="3"/>
      <c r="C219" s="37" t="s">
        <v>3785</v>
      </c>
      <c r="D219" s="38"/>
      <c r="E219" s="87" t="e">
        <f>MAX(E218,0)</f>
        <v>#NAME?</v>
      </c>
      <c r="F219" s="87" t="e">
        <f>MAX(F218,0)</f>
        <v>#NAME?</v>
      </c>
      <c r="G219" s="87" t="e">
        <f>MAX(G218,0)</f>
        <v>#NAME?</v>
      </c>
      <c r="H219" s="87" t="e">
        <f>MAX(H218,0)</f>
        <v>#NAME?</v>
      </c>
      <c r="I219" s="87" t="e">
        <f>MAX(I218,0)</f>
        <v>#NAME?</v>
      </c>
      <c r="J219" s="198"/>
      <c r="K219" s="37"/>
    </row>
    <row r="220" spans="1:11">
      <c r="A220" s="3"/>
      <c r="B220" s="3"/>
      <c r="C220" s="74" t="s">
        <v>3786</v>
      </c>
      <c r="D220" s="38"/>
      <c r="E220" s="178" t="e">
        <f>MAX(0,MIN(E210+E215+E217+E216*$J210,E211))</f>
        <v>#NAME?</v>
      </c>
      <c r="F220" s="178" t="e">
        <f>MAX(0,MIN(F210+F215+F217+F216*$J210,F211))</f>
        <v>#NAME?</v>
      </c>
      <c r="G220" s="178" t="e">
        <f>MAX(0,MIN(G210+G215+G217+G216*$J210,G211))</f>
        <v>#NAME?</v>
      </c>
      <c r="H220" s="178" t="e">
        <f>MAX(0,MIN(H210+H215+H217+H216*$J210,H211))</f>
        <v>#NAME?</v>
      </c>
      <c r="I220" s="178" t="e">
        <f>MAX(0,MIN(I210+I215+I217+I216*$J210,I211))</f>
        <v>#NAME?</v>
      </c>
      <c r="J220" s="198" t="e">
        <f>SUM(E220:I220)</f>
        <v>#NAME?</v>
      </c>
      <c r="K220" s="37"/>
    </row>
    <row r="221" spans="1:11">
      <c r="A221" s="3"/>
      <c r="B221" s="3"/>
      <c r="C221" s="63" t="s">
        <v>3787</v>
      </c>
      <c r="D221" s="67"/>
      <c r="E221" s="68" t="e">
        <f>E220/MAX(1,$J220)</f>
        <v>#NAME?</v>
      </c>
      <c r="F221" s="68" t="e">
        <f>F220/MAX(1,$J220)</f>
        <v>#NAME?</v>
      </c>
      <c r="G221" s="68" t="e">
        <f>G220/MAX(1,$J220)</f>
        <v>#NAME?</v>
      </c>
      <c r="H221" s="68" t="e">
        <f>H220/MAX(1,$J220)</f>
        <v>#NAME?</v>
      </c>
      <c r="I221" s="68" t="e">
        <f>I220/MAX(1,$J220)</f>
        <v>#NAME?</v>
      </c>
      <c r="J221" s="198" t="e">
        <f>J210-J220</f>
        <v>#NAME?</v>
      </c>
      <c r="K221" s="37"/>
    </row>
    <row r="222" spans="1:11">
      <c r="A222" s="3"/>
      <c r="B222" s="3"/>
      <c r="C222" s="75" t="s">
        <v>974</v>
      </c>
      <c r="D222" s="35"/>
      <c r="E222" s="35" t="e">
        <f>RANK(E221,$E$221:$I$221)</f>
        <v>#NAME?</v>
      </c>
      <c r="F222" s="35" t="e">
        <f>RANK(F221,$E$221:$I$221)</f>
        <v>#NAME?</v>
      </c>
      <c r="G222" s="35" t="e">
        <f>RANK(G221,$E$221:$I$221)</f>
        <v>#NAME?</v>
      </c>
      <c r="H222" s="35" t="e">
        <f>RANK(H221,$E$221:$I$221)</f>
        <v>#NAME?</v>
      </c>
      <c r="I222" s="35" t="e">
        <f>RANK(I221,$E$221:$I$221)</f>
        <v>#NAME?</v>
      </c>
      <c r="J222" s="63"/>
      <c r="K222" s="37"/>
    </row>
    <row r="223" spans="1:11">
      <c r="A223" s="3"/>
      <c r="B223" s="3"/>
      <c r="C223" s="2"/>
      <c r="D223" s="39"/>
      <c r="E223" s="3"/>
      <c r="F223" s="3"/>
      <c r="G223" s="3"/>
      <c r="H223" s="3"/>
      <c r="I223" s="3"/>
      <c r="J223" s="3"/>
      <c r="K223" s="3"/>
    </row>
    <row r="225" spans="3:11">
      <c r="C225" s="49" t="s">
        <v>648</v>
      </c>
      <c r="D225" s="95"/>
      <c r="E225" s="95"/>
      <c r="F225" s="95"/>
      <c r="G225" s="95"/>
      <c r="H225" s="95"/>
      <c r="I225" s="95"/>
      <c r="J225" s="96"/>
    </row>
    <row r="226" spans="3:11">
      <c r="C226" s="108" t="s">
        <v>129</v>
      </c>
      <c r="D226" s="246">
        <f>IF(J200=0,0,J200/SUM($J$200:$J$205))</f>
        <v>0</v>
      </c>
      <c r="E226" s="247">
        <f t="shared" ref="E226:I230" si="30">E200*$D226</f>
        <v>0</v>
      </c>
      <c r="F226" s="247">
        <f t="shared" si="30"/>
        <v>0</v>
      </c>
      <c r="G226" s="247">
        <f t="shared" si="30"/>
        <v>0</v>
      </c>
      <c r="H226" s="247">
        <f t="shared" si="30"/>
        <v>0</v>
      </c>
      <c r="I226" s="247">
        <f t="shared" si="30"/>
        <v>0</v>
      </c>
      <c r="J226" s="90"/>
    </row>
    <row r="227" spans="3:11">
      <c r="C227" s="91" t="s">
        <v>130</v>
      </c>
      <c r="D227" s="244">
        <f>IF(J201=0,0,J201/SUM($J$200:$J$205))</f>
        <v>0</v>
      </c>
      <c r="E227" s="248">
        <f t="shared" si="30"/>
        <v>0</v>
      </c>
      <c r="F227" s="248">
        <f t="shared" si="30"/>
        <v>0</v>
      </c>
      <c r="G227" s="248">
        <f t="shared" si="30"/>
        <v>0</v>
      </c>
      <c r="H227" s="248">
        <f t="shared" si="30"/>
        <v>0</v>
      </c>
      <c r="I227" s="248">
        <f t="shared" si="30"/>
        <v>0</v>
      </c>
      <c r="J227" s="97"/>
    </row>
    <row r="228" spans="3:11">
      <c r="C228" s="91" t="s">
        <v>131</v>
      </c>
      <c r="D228" s="244">
        <f>IF(J202=0,0,J202/SUM($J$200:$J$205))</f>
        <v>0</v>
      </c>
      <c r="E228" s="248">
        <f t="shared" si="30"/>
        <v>0</v>
      </c>
      <c r="F228" s="248">
        <f t="shared" si="30"/>
        <v>0</v>
      </c>
      <c r="G228" s="248">
        <f t="shared" si="30"/>
        <v>0</v>
      </c>
      <c r="H228" s="248">
        <f t="shared" si="30"/>
        <v>0</v>
      </c>
      <c r="I228" s="248">
        <f t="shared" si="30"/>
        <v>0</v>
      </c>
      <c r="J228" s="97"/>
    </row>
    <row r="229" spans="3:11">
      <c r="C229" s="91" t="s">
        <v>1133</v>
      </c>
      <c r="D229" s="244">
        <f>IF(J203=0,0,J203/SUM($J$200:$J$205))</f>
        <v>0</v>
      </c>
      <c r="E229" s="248">
        <f t="shared" si="30"/>
        <v>0</v>
      </c>
      <c r="F229" s="248">
        <f t="shared" si="30"/>
        <v>0</v>
      </c>
      <c r="G229" s="248">
        <f t="shared" si="30"/>
        <v>0</v>
      </c>
      <c r="H229" s="248">
        <f t="shared" si="30"/>
        <v>0</v>
      </c>
      <c r="I229" s="248">
        <f t="shared" si="30"/>
        <v>0</v>
      </c>
      <c r="J229" s="97"/>
    </row>
    <row r="230" spans="3:11">
      <c r="C230" s="91" t="s">
        <v>1134</v>
      </c>
      <c r="D230" s="244">
        <f>IF(J204=0,0,J204/SUM($J$200:$J$205))</f>
        <v>0</v>
      </c>
      <c r="E230" s="248">
        <f t="shared" si="30"/>
        <v>0</v>
      </c>
      <c r="F230" s="248">
        <f t="shared" si="30"/>
        <v>0</v>
      </c>
      <c r="G230" s="248">
        <f t="shared" si="30"/>
        <v>0</v>
      </c>
      <c r="H230" s="248">
        <f t="shared" si="30"/>
        <v>0</v>
      </c>
      <c r="I230" s="248">
        <f t="shared" si="30"/>
        <v>0</v>
      </c>
      <c r="J230" s="97"/>
    </row>
    <row r="231" spans="3:11">
      <c r="C231" s="206"/>
      <c r="D231" s="242"/>
      <c r="E231" s="249"/>
      <c r="F231" s="249"/>
      <c r="G231" s="249"/>
      <c r="H231" s="249"/>
      <c r="I231" s="249"/>
      <c r="J231" s="208"/>
    </row>
    <row r="232" spans="3:11">
      <c r="C232" s="70" t="s">
        <v>2377</v>
      </c>
      <c r="D232" s="64"/>
      <c r="E232" s="107">
        <f>ROUND(SUM(E226:E231),4)</f>
        <v>0</v>
      </c>
      <c r="F232" s="107">
        <f>ROUND(SUM(F226:F231),4)</f>
        <v>0</v>
      </c>
      <c r="G232" s="107">
        <f>ROUND(SUM(G226:G231),4)</f>
        <v>0</v>
      </c>
      <c r="H232" s="107">
        <f>ROUND(SUM(H226:H231),4)</f>
        <v>0</v>
      </c>
      <c r="I232" s="107">
        <f>ROUND(SUM(I226:I231),4)</f>
        <v>0</v>
      </c>
      <c r="J232" s="98"/>
    </row>
    <row r="233" spans="3:11">
      <c r="E233" s="105"/>
      <c r="F233" s="105"/>
      <c r="G233" s="105"/>
      <c r="H233" s="105"/>
      <c r="I233" s="105"/>
    </row>
    <row r="234" spans="3:11">
      <c r="C234" s="73" t="s">
        <v>3745</v>
      </c>
      <c r="D234" s="89"/>
      <c r="E234" s="89"/>
      <c r="F234" s="89"/>
      <c r="G234" s="89"/>
      <c r="H234" s="89"/>
      <c r="I234" s="89"/>
      <c r="J234" s="90"/>
      <c r="K234" s="113" t="s">
        <v>3746</v>
      </c>
    </row>
    <row r="235" spans="3:11">
      <c r="C235" s="49" t="s">
        <v>3747</v>
      </c>
      <c r="D235" s="60"/>
      <c r="E235" s="110" t="e">
        <f>E221-E232</f>
        <v>#NAME?</v>
      </c>
      <c r="F235" s="110" t="e">
        <f>F221-F232</f>
        <v>#NAME?</v>
      </c>
      <c r="G235" s="110" t="e">
        <f>G221-G232</f>
        <v>#NAME?</v>
      </c>
      <c r="H235" s="110" t="e">
        <f>H221-H232</f>
        <v>#NAME?</v>
      </c>
      <c r="I235" s="110" t="e">
        <f>I221-I232</f>
        <v>#NAME?</v>
      </c>
      <c r="J235" s="96"/>
      <c r="K235" s="114" t="s">
        <v>973</v>
      </c>
    </row>
    <row r="236" spans="3:11">
      <c r="C236" s="108" t="s">
        <v>129</v>
      </c>
      <c r="D236" s="89"/>
      <c r="E236" s="111">
        <f t="shared" ref="E236:I238" si="31">IF(E226=0,0,E226+E$235*E226/E$232)</f>
        <v>0</v>
      </c>
      <c r="F236" s="111">
        <f t="shared" si="31"/>
        <v>0</v>
      </c>
      <c r="G236" s="111">
        <f t="shared" si="31"/>
        <v>0</v>
      </c>
      <c r="H236" s="111">
        <f t="shared" si="31"/>
        <v>0</v>
      </c>
      <c r="I236" s="111">
        <f t="shared" si="31"/>
        <v>0</v>
      </c>
      <c r="J236" s="250">
        <f>SUM(E236:I236)</f>
        <v>0</v>
      </c>
      <c r="K236" s="251">
        <f>IF(J236=0,0,D226/J236)</f>
        <v>0</v>
      </c>
    </row>
    <row r="237" spans="3:11">
      <c r="C237" s="91" t="s">
        <v>130</v>
      </c>
      <c r="D237" s="21"/>
      <c r="E237" s="109">
        <f t="shared" si="31"/>
        <v>0</v>
      </c>
      <c r="F237" s="109">
        <f t="shared" si="31"/>
        <v>0</v>
      </c>
      <c r="G237" s="109">
        <f t="shared" si="31"/>
        <v>0</v>
      </c>
      <c r="H237" s="109">
        <f t="shared" si="31"/>
        <v>0</v>
      </c>
      <c r="I237" s="109">
        <f t="shared" si="31"/>
        <v>0</v>
      </c>
      <c r="J237" s="252">
        <f>SUM(E237:I237)</f>
        <v>0</v>
      </c>
      <c r="K237" s="251">
        <f>IF(J237=0,0,D227/J237)</f>
        <v>0</v>
      </c>
    </row>
    <row r="238" spans="3:11">
      <c r="C238" s="91" t="s">
        <v>131</v>
      </c>
      <c r="D238" s="21"/>
      <c r="E238" s="109">
        <f t="shared" si="31"/>
        <v>0</v>
      </c>
      <c r="F238" s="109">
        <f t="shared" si="31"/>
        <v>0</v>
      </c>
      <c r="G238" s="109">
        <f t="shared" si="31"/>
        <v>0</v>
      </c>
      <c r="H238" s="109">
        <f t="shared" si="31"/>
        <v>0</v>
      </c>
      <c r="I238" s="109">
        <f t="shared" si="31"/>
        <v>0</v>
      </c>
      <c r="J238" s="252">
        <f>SUM(E238:I238)</f>
        <v>0</v>
      </c>
      <c r="K238" s="251">
        <f>IF(J238=0,0,D228/J238)</f>
        <v>0</v>
      </c>
    </row>
    <row r="239" spans="3:11">
      <c r="C239" s="91" t="s">
        <v>1133</v>
      </c>
      <c r="D239" s="21"/>
      <c r="E239" s="109">
        <f t="shared" ref="E239:I240" si="32">IF(E229=0,0,E229+E$235*E229/E$232)</f>
        <v>0</v>
      </c>
      <c r="F239" s="109">
        <f t="shared" si="32"/>
        <v>0</v>
      </c>
      <c r="G239" s="109">
        <f t="shared" si="32"/>
        <v>0</v>
      </c>
      <c r="H239" s="109">
        <f t="shared" si="32"/>
        <v>0</v>
      </c>
      <c r="I239" s="109">
        <f t="shared" si="32"/>
        <v>0</v>
      </c>
      <c r="J239" s="252">
        <f>SUM(E239:I239)</f>
        <v>0</v>
      </c>
      <c r="K239" s="251">
        <f>IF(J239=0,0,D229/J239)</f>
        <v>0</v>
      </c>
    </row>
    <row r="240" spans="3:11">
      <c r="C240" s="91" t="s">
        <v>1134</v>
      </c>
      <c r="D240" s="21"/>
      <c r="E240" s="109">
        <f t="shared" si="32"/>
        <v>0</v>
      </c>
      <c r="F240" s="109">
        <f t="shared" si="32"/>
        <v>0</v>
      </c>
      <c r="G240" s="109">
        <f t="shared" si="32"/>
        <v>0</v>
      </c>
      <c r="H240" s="109">
        <f t="shared" si="32"/>
        <v>0</v>
      </c>
      <c r="I240" s="109">
        <f t="shared" si="32"/>
        <v>0</v>
      </c>
      <c r="J240" s="252">
        <f>SUM(E240:I240)</f>
        <v>0</v>
      </c>
      <c r="K240" s="251">
        <f>IF(J240=0,0,D230/J240)</f>
        <v>0</v>
      </c>
    </row>
    <row r="241" spans="3:11">
      <c r="C241" s="206"/>
      <c r="D241" s="207"/>
      <c r="E241" s="212"/>
      <c r="F241" s="212"/>
      <c r="G241" s="212"/>
      <c r="H241" s="212"/>
      <c r="I241" s="212"/>
      <c r="J241" s="208"/>
      <c r="K241" s="112"/>
    </row>
    <row r="243" spans="3:11">
      <c r="C243" s="49" t="s">
        <v>3750</v>
      </c>
      <c r="D243" s="95"/>
      <c r="E243" s="95"/>
      <c r="F243" s="95"/>
      <c r="G243" s="95"/>
      <c r="H243" s="95"/>
      <c r="I243" s="95"/>
      <c r="J243" s="96"/>
    </row>
    <row r="244" spans="3:11">
      <c r="C244" s="91" t="s">
        <v>129</v>
      </c>
      <c r="D244" s="21"/>
      <c r="E244" s="248">
        <f t="shared" ref="E244:I248" si="33">E236*$K236</f>
        <v>0</v>
      </c>
      <c r="F244" s="248">
        <f t="shared" si="33"/>
        <v>0</v>
      </c>
      <c r="G244" s="248">
        <f t="shared" si="33"/>
        <v>0</v>
      </c>
      <c r="H244" s="248">
        <f t="shared" si="33"/>
        <v>0</v>
      </c>
      <c r="I244" s="248">
        <f t="shared" si="33"/>
        <v>0</v>
      </c>
      <c r="J244" s="252">
        <f>SUM(E244:I244)</f>
        <v>0</v>
      </c>
    </row>
    <row r="245" spans="3:11">
      <c r="C245" s="91" t="s">
        <v>130</v>
      </c>
      <c r="D245" s="21"/>
      <c r="E245" s="248">
        <f t="shared" si="33"/>
        <v>0</v>
      </c>
      <c r="F245" s="248">
        <f t="shared" si="33"/>
        <v>0</v>
      </c>
      <c r="G245" s="248">
        <f t="shared" si="33"/>
        <v>0</v>
      </c>
      <c r="H245" s="248">
        <f t="shared" si="33"/>
        <v>0</v>
      </c>
      <c r="I245" s="248">
        <f t="shared" si="33"/>
        <v>0</v>
      </c>
      <c r="J245" s="252">
        <f>SUM(E245:I245)</f>
        <v>0</v>
      </c>
    </row>
    <row r="246" spans="3:11">
      <c r="C246" s="91" t="s">
        <v>131</v>
      </c>
      <c r="D246" s="21"/>
      <c r="E246" s="248">
        <f t="shared" si="33"/>
        <v>0</v>
      </c>
      <c r="F246" s="248">
        <f t="shared" si="33"/>
        <v>0</v>
      </c>
      <c r="G246" s="248">
        <f t="shared" si="33"/>
        <v>0</v>
      </c>
      <c r="H246" s="248">
        <f t="shared" si="33"/>
        <v>0</v>
      </c>
      <c r="I246" s="248">
        <f t="shared" si="33"/>
        <v>0</v>
      </c>
      <c r="J246" s="252">
        <f>SUM(E246:I246)</f>
        <v>0</v>
      </c>
    </row>
    <row r="247" spans="3:11">
      <c r="C247" s="91" t="s">
        <v>1133</v>
      </c>
      <c r="D247" s="21"/>
      <c r="E247" s="248">
        <f t="shared" si="33"/>
        <v>0</v>
      </c>
      <c r="F247" s="248">
        <f t="shared" si="33"/>
        <v>0</v>
      </c>
      <c r="G247" s="248">
        <f t="shared" si="33"/>
        <v>0</v>
      </c>
      <c r="H247" s="248">
        <f t="shared" si="33"/>
        <v>0</v>
      </c>
      <c r="I247" s="248">
        <f t="shared" si="33"/>
        <v>0</v>
      </c>
      <c r="J247" s="252">
        <f>SUM(E247:I247)</f>
        <v>0</v>
      </c>
    </row>
    <row r="248" spans="3:11">
      <c r="C248" s="91" t="s">
        <v>1134</v>
      </c>
      <c r="D248" s="21"/>
      <c r="E248" s="248">
        <f t="shared" si="33"/>
        <v>0</v>
      </c>
      <c r="F248" s="248">
        <f t="shared" si="33"/>
        <v>0</v>
      </c>
      <c r="G248" s="248">
        <f t="shared" si="33"/>
        <v>0</v>
      </c>
      <c r="H248" s="248">
        <f t="shared" si="33"/>
        <v>0</v>
      </c>
      <c r="I248" s="248">
        <f t="shared" si="33"/>
        <v>0</v>
      </c>
      <c r="J248" s="252">
        <f>SUM(E248:I248)</f>
        <v>0</v>
      </c>
    </row>
    <row r="249" spans="3:11">
      <c r="C249" s="209"/>
      <c r="D249" s="210"/>
      <c r="E249" s="210"/>
      <c r="F249" s="210"/>
      <c r="G249" s="210"/>
      <c r="H249" s="210"/>
      <c r="I249" s="210"/>
      <c r="J249" s="211"/>
    </row>
    <row r="250" spans="3:11">
      <c r="C250" s="49" t="s">
        <v>3751</v>
      </c>
      <c r="D250" s="95"/>
      <c r="E250" s="115" t="e">
        <f>SUM(E244:E249)-E221</f>
        <v>#NAME?</v>
      </c>
      <c r="F250" s="115" t="e">
        <f>SUM(F244:F249)-F221</f>
        <v>#NAME?</v>
      </c>
      <c r="G250" s="115" t="e">
        <f>SUM(G244:G249)-G221</f>
        <v>#NAME?</v>
      </c>
      <c r="H250" s="115" t="e">
        <f>SUM(H244:H249)-H221</f>
        <v>#NAME?</v>
      </c>
      <c r="I250" s="115" t="e">
        <f>SUM(I244:I249)-I221</f>
        <v>#NAME?</v>
      </c>
      <c r="J250" s="96"/>
    </row>
    <row r="252" spans="3:11">
      <c r="C252" s="49" t="s">
        <v>3748</v>
      </c>
      <c r="D252" s="95"/>
      <c r="E252" s="95"/>
      <c r="F252" s="95"/>
      <c r="G252" s="95"/>
      <c r="H252" s="95"/>
      <c r="I252" s="95"/>
      <c r="J252" s="96"/>
    </row>
    <row r="253" spans="3:11">
      <c r="C253" s="91" t="s">
        <v>129</v>
      </c>
      <c r="D253" s="21"/>
      <c r="E253" s="253">
        <f>IF(E244=0,0,ROUND(E$220*E244/SUM(E$244:E$249),0))</f>
        <v>0</v>
      </c>
      <c r="F253" s="253">
        <f>IF(F244=0,0,ROUND(F$220*F244/SUM(F$244:F$249),0))</f>
        <v>0</v>
      </c>
      <c r="G253" s="253">
        <f>IF(G244=0,0,ROUND(G$220*G244/SUM(G$244:G$249),0))</f>
        <v>0</v>
      </c>
      <c r="H253" s="253">
        <f>IF(H244=0,0,ROUND(H$220*H244/SUM(H$244:H$249),0))</f>
        <v>0</v>
      </c>
      <c r="I253" s="253">
        <f>IF(I244=0,0,ROUND(I$220*I244/SUM(I$244:I$249),0))</f>
        <v>0</v>
      </c>
      <c r="J253" s="254">
        <f>SUM(E253:I253)</f>
        <v>0</v>
      </c>
    </row>
    <row r="254" spans="3:11">
      <c r="C254" s="91" t="s">
        <v>130</v>
      </c>
      <c r="D254" s="21"/>
      <c r="E254" s="253">
        <f t="shared" ref="E254:I257" si="34">IF(E245=0,0,ROUND(E$220*E245/SUM(E$244:E$249),0))</f>
        <v>0</v>
      </c>
      <c r="F254" s="253">
        <f t="shared" si="34"/>
        <v>0</v>
      </c>
      <c r="G254" s="253">
        <f t="shared" si="34"/>
        <v>0</v>
      </c>
      <c r="H254" s="253">
        <f t="shared" si="34"/>
        <v>0</v>
      </c>
      <c r="I254" s="253">
        <f t="shared" si="34"/>
        <v>0</v>
      </c>
      <c r="J254" s="254">
        <f>SUM(E254:I254)</f>
        <v>0</v>
      </c>
    </row>
    <row r="255" spans="3:11">
      <c r="C255" s="91" t="s">
        <v>131</v>
      </c>
      <c r="D255" s="21"/>
      <c r="E255" s="253">
        <f t="shared" si="34"/>
        <v>0</v>
      </c>
      <c r="F255" s="253">
        <f t="shared" si="34"/>
        <v>0</v>
      </c>
      <c r="G255" s="253">
        <f t="shared" si="34"/>
        <v>0</v>
      </c>
      <c r="H255" s="253">
        <f t="shared" si="34"/>
        <v>0</v>
      </c>
      <c r="I255" s="253">
        <f t="shared" si="34"/>
        <v>0</v>
      </c>
      <c r="J255" s="254">
        <f>SUM(E255:I255)</f>
        <v>0</v>
      </c>
    </row>
    <row r="256" spans="3:11">
      <c r="C256" s="91" t="s">
        <v>1133</v>
      </c>
      <c r="D256" s="21"/>
      <c r="E256" s="253">
        <f t="shared" si="34"/>
        <v>0</v>
      </c>
      <c r="F256" s="253">
        <f t="shared" si="34"/>
        <v>0</v>
      </c>
      <c r="G256" s="253">
        <f t="shared" si="34"/>
        <v>0</v>
      </c>
      <c r="H256" s="253">
        <f t="shared" si="34"/>
        <v>0</v>
      </c>
      <c r="I256" s="253">
        <f t="shared" si="34"/>
        <v>0</v>
      </c>
      <c r="J256" s="254">
        <f>SUM(E256:I256)</f>
        <v>0</v>
      </c>
    </row>
    <row r="257" spans="2:11">
      <c r="C257" s="91" t="s">
        <v>1134</v>
      </c>
      <c r="D257" s="21"/>
      <c r="E257" s="253">
        <f t="shared" si="34"/>
        <v>0</v>
      </c>
      <c r="F257" s="253">
        <f t="shared" si="34"/>
        <v>0</v>
      </c>
      <c r="G257" s="253">
        <f t="shared" si="34"/>
        <v>0</v>
      </c>
      <c r="H257" s="253">
        <f t="shared" si="34"/>
        <v>0</v>
      </c>
      <c r="I257" s="253">
        <f t="shared" si="34"/>
        <v>0</v>
      </c>
      <c r="J257" s="254">
        <f>SUM(E257:I257)</f>
        <v>0</v>
      </c>
    </row>
    <row r="258" spans="2:11">
      <c r="C258" s="206"/>
      <c r="D258" s="207"/>
      <c r="E258" s="207"/>
      <c r="F258" s="207"/>
      <c r="G258" s="207"/>
      <c r="H258" s="207"/>
      <c r="I258" s="207"/>
      <c r="J258" s="208"/>
    </row>
    <row r="259" spans="2:11">
      <c r="C259" s="49" t="s">
        <v>3749</v>
      </c>
      <c r="D259" s="60"/>
      <c r="E259" s="239">
        <f t="shared" ref="E259:J259" si="35">SUM(E253:E258)</f>
        <v>0</v>
      </c>
      <c r="F259" s="239">
        <f t="shared" si="35"/>
        <v>0</v>
      </c>
      <c r="G259" s="239">
        <f t="shared" si="35"/>
        <v>0</v>
      </c>
      <c r="H259" s="239">
        <f t="shared" si="35"/>
        <v>0</v>
      </c>
      <c r="I259" s="239">
        <f t="shared" si="35"/>
        <v>0</v>
      </c>
      <c r="J259" s="255">
        <f t="shared" si="35"/>
        <v>0</v>
      </c>
      <c r="K259" s="238" t="s">
        <v>2330</v>
      </c>
    </row>
    <row r="260" spans="2:11">
      <c r="C260" s="70" t="s">
        <v>2830</v>
      </c>
      <c r="D260" s="64"/>
      <c r="E260" s="116" t="e">
        <f>SUM(E253:E258)/SUM($E$253:$I$258)</f>
        <v>#DIV/0!</v>
      </c>
      <c r="F260" s="116" t="e">
        <f>SUM(F253:F258)/SUM($E$253:$I$258)</f>
        <v>#DIV/0!</v>
      </c>
      <c r="G260" s="116" t="e">
        <f>SUM(G253:G258)/SUM($E$253:$I$258)</f>
        <v>#DIV/0!</v>
      </c>
      <c r="H260" s="116" t="e">
        <f>SUM(H253:H258)/SUM($E$253:$I$258)</f>
        <v>#DIV/0!</v>
      </c>
      <c r="I260" s="116" t="e">
        <f>SUM(I253:I258)/SUM($E$253:$I$258)</f>
        <v>#DIV/0!</v>
      </c>
      <c r="J260" s="98"/>
    </row>
    <row r="262" spans="2:11" ht="12" thickBot="1"/>
    <row r="263" spans="2:11" ht="12" thickBot="1">
      <c r="B263" t="s">
        <v>2332</v>
      </c>
      <c r="C263" s="340" t="s">
        <v>1979</v>
      </c>
      <c r="D263" s="162"/>
      <c r="E263" s="158"/>
      <c r="F263" s="158"/>
      <c r="G263" s="159"/>
      <c r="H263" s="159"/>
      <c r="I263" s="159"/>
      <c r="J263" s="159"/>
      <c r="K263" s="51"/>
    </row>
    <row r="264" spans="2:11" ht="12" thickBot="1">
      <c r="C264" s="160" t="s">
        <v>2672</v>
      </c>
      <c r="D264" s="355">
        <v>450004</v>
      </c>
      <c r="E264" s="162"/>
      <c r="F264" s="164"/>
      <c r="G264" s="162"/>
      <c r="H264" s="165"/>
      <c r="I264" s="157" t="s">
        <v>2673</v>
      </c>
      <c r="J264" s="205">
        <v>450004</v>
      </c>
      <c r="K264" s="51"/>
    </row>
    <row r="265" spans="2:11">
      <c r="C265" s="167" t="s">
        <v>2958</v>
      </c>
      <c r="D265" s="168"/>
      <c r="E265" s="161" t="s">
        <v>1834</v>
      </c>
      <c r="F265" s="161" t="s">
        <v>1835</v>
      </c>
      <c r="G265" s="161" t="s">
        <v>1836</v>
      </c>
      <c r="H265" s="161" t="s">
        <v>1837</v>
      </c>
      <c r="I265" s="161" t="s">
        <v>1838</v>
      </c>
      <c r="J265" s="161"/>
      <c r="K265" s="54"/>
    </row>
    <row r="266" spans="2:11">
      <c r="C266" s="52" t="s">
        <v>1402</v>
      </c>
      <c r="D266" s="39">
        <v>10</v>
      </c>
      <c r="E266" s="173">
        <v>5.0000000021827917</v>
      </c>
      <c r="F266" s="47">
        <v>5.0000000021827917</v>
      </c>
      <c r="G266" s="47">
        <v>5.0000000021827917</v>
      </c>
      <c r="H266" s="47">
        <v>5.0000000021827917</v>
      </c>
      <c r="I266" s="65">
        <v>5.0000000021827917</v>
      </c>
      <c r="J266" s="53">
        <v>25.000000010913958</v>
      </c>
      <c r="K266" s="54"/>
    </row>
    <row r="267" spans="2:11">
      <c r="C267" s="52" t="s">
        <v>1404</v>
      </c>
      <c r="D267" s="39">
        <v>8</v>
      </c>
      <c r="E267" s="174">
        <v>3.9999999982537666</v>
      </c>
      <c r="F267" s="48">
        <v>3.9999999982537666</v>
      </c>
      <c r="G267" s="48">
        <v>3.9999999982537666</v>
      </c>
      <c r="H267" s="48">
        <v>3.9999999982537666</v>
      </c>
      <c r="I267" s="66">
        <v>3.9999999982537666</v>
      </c>
      <c r="J267" s="55">
        <v>19.999999991268833</v>
      </c>
      <c r="K267" s="54"/>
    </row>
    <row r="268" spans="2:11">
      <c r="C268" s="52" t="s">
        <v>21</v>
      </c>
      <c r="D268" s="39">
        <v>5</v>
      </c>
      <c r="E268" s="174">
        <v>0</v>
      </c>
      <c r="F268" s="48">
        <v>0</v>
      </c>
      <c r="G268" s="48">
        <v>0</v>
      </c>
      <c r="H268" s="48">
        <v>0</v>
      </c>
      <c r="I268" s="66">
        <v>0</v>
      </c>
      <c r="J268" s="55">
        <v>0</v>
      </c>
      <c r="K268" s="54"/>
    </row>
    <row r="269" spans="2:11">
      <c r="C269" s="52" t="s">
        <v>126</v>
      </c>
      <c r="D269" s="39">
        <v>1</v>
      </c>
      <c r="E269" s="174">
        <v>0</v>
      </c>
      <c r="F269" s="48">
        <v>0</v>
      </c>
      <c r="G269" s="48">
        <v>0</v>
      </c>
      <c r="H269" s="48">
        <v>0</v>
      </c>
      <c r="I269" s="66">
        <v>0</v>
      </c>
      <c r="J269" s="55">
        <v>0</v>
      </c>
      <c r="K269" s="54"/>
    </row>
    <row r="270" spans="2:11">
      <c r="C270" s="52" t="s">
        <v>127</v>
      </c>
      <c r="D270" s="39">
        <v>1</v>
      </c>
      <c r="E270" s="174">
        <v>0</v>
      </c>
      <c r="F270" s="48">
        <v>0</v>
      </c>
      <c r="G270" s="48">
        <v>0</v>
      </c>
      <c r="H270" s="48">
        <v>0</v>
      </c>
      <c r="I270" s="66">
        <v>0</v>
      </c>
      <c r="J270" s="55">
        <v>0</v>
      </c>
      <c r="K270" s="54"/>
    </row>
    <row r="271" spans="2:11">
      <c r="C271" s="52" t="s">
        <v>128</v>
      </c>
      <c r="D271" s="39">
        <v>1</v>
      </c>
      <c r="E271" s="174">
        <v>0</v>
      </c>
      <c r="F271" s="48">
        <v>0</v>
      </c>
      <c r="G271" s="48">
        <v>0</v>
      </c>
      <c r="H271" s="48">
        <v>0</v>
      </c>
      <c r="I271" s="66">
        <v>0</v>
      </c>
      <c r="J271" s="55">
        <v>0</v>
      </c>
      <c r="K271" s="54"/>
    </row>
    <row r="272" spans="2:11">
      <c r="C272" s="52" t="s">
        <v>1139</v>
      </c>
      <c r="D272" s="39">
        <v>1</v>
      </c>
      <c r="E272" s="174">
        <v>0</v>
      </c>
      <c r="F272" s="48">
        <v>0</v>
      </c>
      <c r="G272" s="48">
        <v>0</v>
      </c>
      <c r="H272" s="48">
        <v>0</v>
      </c>
      <c r="I272" s="66">
        <v>0</v>
      </c>
      <c r="J272" s="55">
        <v>0</v>
      </c>
      <c r="K272" s="54"/>
    </row>
    <row r="273" spans="2:11">
      <c r="C273" s="52" t="s">
        <v>2384</v>
      </c>
      <c r="D273" s="39">
        <v>1</v>
      </c>
      <c r="E273" s="174">
        <v>0</v>
      </c>
      <c r="F273" s="48">
        <v>0</v>
      </c>
      <c r="G273" s="48">
        <v>0</v>
      </c>
      <c r="H273" s="48">
        <v>0</v>
      </c>
      <c r="I273" s="66">
        <v>0</v>
      </c>
      <c r="J273" s="55">
        <v>0</v>
      </c>
      <c r="K273" s="54"/>
    </row>
    <row r="274" spans="2:11">
      <c r="C274" s="52" t="s">
        <v>2386</v>
      </c>
      <c r="D274" s="39">
        <v>1</v>
      </c>
      <c r="E274" s="174">
        <v>0</v>
      </c>
      <c r="F274" s="48">
        <v>0</v>
      </c>
      <c r="G274" s="48">
        <v>0</v>
      </c>
      <c r="H274" s="48">
        <v>0</v>
      </c>
      <c r="I274" s="66">
        <v>0</v>
      </c>
      <c r="J274" s="55">
        <v>0</v>
      </c>
      <c r="K274" s="54"/>
    </row>
    <row r="275" spans="2:11">
      <c r="C275" s="52" t="s">
        <v>2956</v>
      </c>
      <c r="D275" s="39">
        <v>1</v>
      </c>
      <c r="E275" s="174">
        <v>0</v>
      </c>
      <c r="F275" s="48">
        <v>0</v>
      </c>
      <c r="G275" s="48">
        <v>0</v>
      </c>
      <c r="H275" s="48">
        <v>0</v>
      </c>
      <c r="I275" s="66">
        <v>0</v>
      </c>
      <c r="J275" s="55">
        <v>0</v>
      </c>
      <c r="K275" s="54"/>
    </row>
    <row r="276" spans="2:11">
      <c r="C276" s="153" t="s">
        <v>1828</v>
      </c>
      <c r="D276" s="38"/>
      <c r="E276" s="175">
        <v>0</v>
      </c>
      <c r="F276" s="68">
        <v>0</v>
      </c>
      <c r="G276" s="68">
        <v>0</v>
      </c>
      <c r="H276" s="68">
        <v>0</v>
      </c>
      <c r="I276" s="69">
        <v>0</v>
      </c>
      <c r="J276" s="55">
        <v>0</v>
      </c>
      <c r="K276" s="54"/>
    </row>
    <row r="277" spans="2:11" ht="12" thickBot="1">
      <c r="C277" s="52" t="s">
        <v>2959</v>
      </c>
      <c r="D277" s="38"/>
      <c r="E277" s="170">
        <v>9.0000000004365575</v>
      </c>
      <c r="F277" s="171">
        <v>9.0000000004365575</v>
      </c>
      <c r="G277" s="171">
        <v>9.0000000004365575</v>
      </c>
      <c r="H277" s="171">
        <v>9.0000000004365575</v>
      </c>
      <c r="I277" s="172">
        <v>9.0000000004365575</v>
      </c>
      <c r="J277" s="155">
        <v>45.000000002182787</v>
      </c>
      <c r="K277" s="54"/>
    </row>
    <row r="278" spans="2:11">
      <c r="C278" s="52" t="s">
        <v>974</v>
      </c>
      <c r="D278" s="38"/>
      <c r="E278" s="38">
        <v>1</v>
      </c>
      <c r="F278" s="38">
        <v>1</v>
      </c>
      <c r="G278" s="38">
        <v>1</v>
      </c>
      <c r="H278" s="38">
        <v>1</v>
      </c>
      <c r="I278" s="38">
        <v>1</v>
      </c>
      <c r="J278" s="38"/>
      <c r="K278" s="54"/>
    </row>
    <row r="279" spans="2:11" ht="12" thickBot="1">
      <c r="C279" s="56" t="s">
        <v>2830</v>
      </c>
      <c r="D279" s="50"/>
      <c r="E279" s="57">
        <v>0.2</v>
      </c>
      <c r="F279" s="57">
        <v>0.2</v>
      </c>
      <c r="G279" s="57">
        <v>0.2</v>
      </c>
      <c r="H279" s="57">
        <v>0.2</v>
      </c>
      <c r="I279" s="57">
        <v>0.2</v>
      </c>
      <c r="J279" s="58">
        <v>450004</v>
      </c>
      <c r="K279" s="59" t="s">
        <v>2327</v>
      </c>
    </row>
    <row r="280" spans="2:11" ht="12" thickBot="1">
      <c r="C280" t="s">
        <v>2830</v>
      </c>
      <c r="E280">
        <v>0.2</v>
      </c>
      <c r="F280">
        <v>0.2</v>
      </c>
      <c r="G280">
        <v>0.2</v>
      </c>
      <c r="H280">
        <v>0.2</v>
      </c>
      <c r="I280">
        <v>0.2</v>
      </c>
      <c r="J280">
        <v>45000</v>
      </c>
      <c r="K280" t="s">
        <v>2327</v>
      </c>
    </row>
    <row r="281" spans="2:11" ht="12" thickBot="1">
      <c r="B281" t="s">
        <v>2336</v>
      </c>
      <c r="C281" s="340" t="e">
        <v>#NAME?</v>
      </c>
      <c r="D281" s="162"/>
      <c r="E281" s="158"/>
      <c r="F281" s="158"/>
      <c r="G281" s="159"/>
      <c r="H281" s="159"/>
      <c r="I281" s="159"/>
      <c r="J281" s="159"/>
      <c r="K281" s="51"/>
    </row>
    <row r="282" spans="2:11" ht="12" thickBot="1">
      <c r="C282" s="160" t="s">
        <v>2672</v>
      </c>
      <c r="D282" s="163">
        <v>450000</v>
      </c>
      <c r="E282" s="162"/>
      <c r="F282" s="164"/>
      <c r="G282" s="162"/>
      <c r="H282" s="165"/>
      <c r="I282" s="157" t="s">
        <v>2673</v>
      </c>
      <c r="J282" s="166">
        <v>45000</v>
      </c>
      <c r="K282" s="51"/>
    </row>
    <row r="283" spans="2:11">
      <c r="C283" s="167" t="s">
        <v>2958</v>
      </c>
      <c r="D283" s="168"/>
      <c r="E283" s="161" t="s">
        <v>1834</v>
      </c>
      <c r="F283" s="161" t="s">
        <v>1835</v>
      </c>
      <c r="G283" s="161" t="s">
        <v>1836</v>
      </c>
      <c r="H283" s="161" t="s">
        <v>1837</v>
      </c>
      <c r="I283" s="161" t="s">
        <v>1838</v>
      </c>
      <c r="J283" s="161"/>
      <c r="K283" s="54"/>
    </row>
    <row r="284" spans="2:11">
      <c r="C284" s="52" t="s">
        <v>1402</v>
      </c>
      <c r="D284" s="39">
        <v>10</v>
      </c>
      <c r="E284" s="173">
        <v>5.0000000021827917</v>
      </c>
      <c r="F284" s="47">
        <v>5.0000000021827917</v>
      </c>
      <c r="G284" s="47">
        <v>5.0000000021827917</v>
      </c>
      <c r="H284" s="47">
        <v>5.0000000021827917</v>
      </c>
      <c r="I284" s="65">
        <v>5.0000000021827917</v>
      </c>
      <c r="J284" s="53">
        <v>25.000000010913958</v>
      </c>
      <c r="K284" s="54"/>
    </row>
    <row r="285" spans="2:11">
      <c r="C285" s="52" t="s">
        <v>1404</v>
      </c>
      <c r="D285" s="39">
        <v>8</v>
      </c>
      <c r="E285" s="174">
        <v>3.9999999982537666</v>
      </c>
      <c r="F285" s="48">
        <v>3.9999999982537666</v>
      </c>
      <c r="G285" s="48">
        <v>3.9999999982537666</v>
      </c>
      <c r="H285" s="48">
        <v>3.9999999982537666</v>
      </c>
      <c r="I285" s="66">
        <v>3.9999999982537666</v>
      </c>
      <c r="J285" s="55">
        <v>19.999999991268833</v>
      </c>
      <c r="K285" s="54"/>
    </row>
    <row r="286" spans="2:11">
      <c r="C286" s="52" t="s">
        <v>125</v>
      </c>
      <c r="D286" s="39">
        <v>5</v>
      </c>
      <c r="E286" s="174">
        <v>0</v>
      </c>
      <c r="F286" s="48">
        <v>0</v>
      </c>
      <c r="G286" s="48">
        <v>0</v>
      </c>
      <c r="H286" s="48">
        <v>0</v>
      </c>
      <c r="I286" s="66">
        <v>0</v>
      </c>
      <c r="J286" s="55">
        <v>0</v>
      </c>
      <c r="K286" s="54"/>
    </row>
    <row r="287" spans="2:11">
      <c r="C287" s="52" t="s">
        <v>126</v>
      </c>
      <c r="D287" s="39">
        <v>1</v>
      </c>
      <c r="E287" s="174">
        <v>0</v>
      </c>
      <c r="F287" s="48">
        <v>0</v>
      </c>
      <c r="G287" s="48">
        <v>0</v>
      </c>
      <c r="H287" s="48">
        <v>0</v>
      </c>
      <c r="I287" s="66">
        <v>0</v>
      </c>
      <c r="J287" s="55">
        <v>0</v>
      </c>
      <c r="K287" s="54"/>
    </row>
    <row r="288" spans="2:11">
      <c r="C288" s="52" t="s">
        <v>127</v>
      </c>
      <c r="D288" s="39">
        <v>1</v>
      </c>
      <c r="E288" s="174">
        <v>0</v>
      </c>
      <c r="F288" s="48">
        <v>0</v>
      </c>
      <c r="G288" s="48">
        <v>0</v>
      </c>
      <c r="H288" s="48">
        <v>0</v>
      </c>
      <c r="I288" s="66">
        <v>0</v>
      </c>
      <c r="J288" s="55">
        <v>0</v>
      </c>
      <c r="K288" s="54"/>
    </row>
    <row r="289" spans="2:11">
      <c r="C289" s="52" t="s">
        <v>128</v>
      </c>
      <c r="D289" s="39">
        <v>1</v>
      </c>
      <c r="E289" s="174">
        <v>0</v>
      </c>
      <c r="F289" s="48">
        <v>0</v>
      </c>
      <c r="G289" s="48">
        <v>0</v>
      </c>
      <c r="H289" s="48">
        <v>0</v>
      </c>
      <c r="I289" s="66">
        <v>0</v>
      </c>
      <c r="J289" s="55">
        <v>0</v>
      </c>
      <c r="K289" s="54"/>
    </row>
    <row r="290" spans="2:11">
      <c r="C290" s="52" t="s">
        <v>1139</v>
      </c>
      <c r="D290" s="39">
        <v>1</v>
      </c>
      <c r="E290" s="174">
        <v>0</v>
      </c>
      <c r="F290" s="48">
        <v>0</v>
      </c>
      <c r="G290" s="48">
        <v>0</v>
      </c>
      <c r="H290" s="48">
        <v>0</v>
      </c>
      <c r="I290" s="66">
        <v>0</v>
      </c>
      <c r="J290" s="55">
        <v>0</v>
      </c>
      <c r="K290" s="54"/>
    </row>
    <row r="291" spans="2:11">
      <c r="C291" s="52" t="s">
        <v>2384</v>
      </c>
      <c r="D291" s="39">
        <v>1</v>
      </c>
      <c r="E291" s="174">
        <v>0</v>
      </c>
      <c r="F291" s="48">
        <v>0</v>
      </c>
      <c r="G291" s="48">
        <v>0</v>
      </c>
      <c r="H291" s="48">
        <v>0</v>
      </c>
      <c r="I291" s="66">
        <v>0</v>
      </c>
      <c r="J291" s="55">
        <v>0</v>
      </c>
      <c r="K291" s="54"/>
    </row>
    <row r="292" spans="2:11">
      <c r="C292" s="52" t="s">
        <v>2386</v>
      </c>
      <c r="D292" s="39">
        <v>1</v>
      </c>
      <c r="E292" s="174">
        <v>0</v>
      </c>
      <c r="F292" s="48">
        <v>0</v>
      </c>
      <c r="G292" s="48">
        <v>0</v>
      </c>
      <c r="H292" s="48">
        <v>0</v>
      </c>
      <c r="I292" s="66">
        <v>0</v>
      </c>
      <c r="J292" s="55">
        <v>0</v>
      </c>
      <c r="K292" s="54"/>
    </row>
    <row r="293" spans="2:11">
      <c r="C293" s="52" t="s">
        <v>2956</v>
      </c>
      <c r="D293" s="39">
        <v>1</v>
      </c>
      <c r="E293" s="174">
        <v>0</v>
      </c>
      <c r="F293" s="48">
        <v>0</v>
      </c>
      <c r="G293" s="48">
        <v>0</v>
      </c>
      <c r="H293" s="48">
        <v>0</v>
      </c>
      <c r="I293" s="66">
        <v>0</v>
      </c>
      <c r="J293" s="55">
        <v>0</v>
      </c>
      <c r="K293" s="54"/>
    </row>
    <row r="294" spans="2:11">
      <c r="C294" s="153" t="s">
        <v>1828</v>
      </c>
      <c r="D294" s="38"/>
      <c r="E294" s="175">
        <v>0</v>
      </c>
      <c r="F294" s="68">
        <v>0</v>
      </c>
      <c r="G294" s="68">
        <v>0</v>
      </c>
      <c r="H294" s="68">
        <v>0</v>
      </c>
      <c r="I294" s="69">
        <v>0</v>
      </c>
      <c r="J294" s="55">
        <v>0</v>
      </c>
      <c r="K294" s="54"/>
    </row>
    <row r="295" spans="2:11" ht="12" thickBot="1">
      <c r="C295" s="52" t="s">
        <v>2959</v>
      </c>
      <c r="D295" s="38"/>
      <c r="E295" s="170">
        <v>9.0000000004365575</v>
      </c>
      <c r="F295" s="171">
        <v>9.0000000004365575</v>
      </c>
      <c r="G295" s="171">
        <v>9.0000000004365575</v>
      </c>
      <c r="H295" s="171">
        <v>9.0000000004365575</v>
      </c>
      <c r="I295" s="172">
        <v>9.0000000004365575</v>
      </c>
      <c r="J295" s="155">
        <v>45.000000002182787</v>
      </c>
      <c r="K295" s="54"/>
    </row>
    <row r="296" spans="2:11">
      <c r="C296" s="52" t="s">
        <v>3431</v>
      </c>
      <c r="D296" s="38"/>
      <c r="E296" s="38">
        <v>90.000000004365575</v>
      </c>
      <c r="F296" s="38">
        <v>72.00000000349246</v>
      </c>
      <c r="G296" s="38">
        <v>81.000000003929017</v>
      </c>
      <c r="H296" s="38">
        <v>81.000000003929017</v>
      </c>
      <c r="I296" s="38">
        <v>90.000000004365575</v>
      </c>
      <c r="J296" s="38"/>
      <c r="K296" s="54"/>
    </row>
    <row r="297" spans="2:11" ht="12" thickBot="1">
      <c r="C297" s="56" t="s">
        <v>974</v>
      </c>
      <c r="D297" s="50"/>
      <c r="E297" s="57">
        <v>1</v>
      </c>
      <c r="F297" s="57">
        <v>1</v>
      </c>
      <c r="G297" s="57">
        <v>1</v>
      </c>
      <c r="H297" s="57">
        <v>1</v>
      </c>
      <c r="I297" s="57">
        <v>1</v>
      </c>
      <c r="J297" s="58"/>
      <c r="K297" s="59"/>
    </row>
    <row r="298" spans="2:11" ht="12" thickBot="1">
      <c r="C298" t="s">
        <v>2830</v>
      </c>
      <c r="E298">
        <v>0.2</v>
      </c>
      <c r="F298">
        <v>0.2</v>
      </c>
      <c r="G298">
        <v>0.2</v>
      </c>
      <c r="H298">
        <v>0.2</v>
      </c>
      <c r="I298">
        <v>0.2</v>
      </c>
      <c r="J298">
        <v>45000</v>
      </c>
      <c r="K298" t="s">
        <v>2327</v>
      </c>
    </row>
    <row r="299" spans="2:11" ht="12" thickBot="1">
      <c r="B299" t="s">
        <v>2335</v>
      </c>
      <c r="C299" s="340" t="e">
        <v>#NAME?</v>
      </c>
      <c r="D299" s="162"/>
      <c r="E299" s="158"/>
      <c r="F299" s="158"/>
      <c r="G299" s="159"/>
      <c r="H299" s="159"/>
      <c r="I299" s="159"/>
      <c r="J299" s="159"/>
      <c r="K299" s="51"/>
    </row>
    <row r="300" spans="2:11" ht="12" thickBot="1">
      <c r="C300" s="160" t="s">
        <v>2672</v>
      </c>
      <c r="D300" s="163">
        <v>450000</v>
      </c>
      <c r="E300" s="162"/>
      <c r="F300" s="164"/>
      <c r="G300" s="162"/>
      <c r="H300" s="165"/>
      <c r="I300" s="157" t="s">
        <v>2673</v>
      </c>
      <c r="J300" s="166">
        <v>45000</v>
      </c>
      <c r="K300" s="51"/>
    </row>
    <row r="301" spans="2:11">
      <c r="C301" s="167" t="s">
        <v>2958</v>
      </c>
      <c r="D301" s="168"/>
      <c r="E301" s="161" t="s">
        <v>1834</v>
      </c>
      <c r="F301" s="161" t="s">
        <v>1835</v>
      </c>
      <c r="G301" s="161" t="s">
        <v>1836</v>
      </c>
      <c r="H301" s="161" t="s">
        <v>1837</v>
      </c>
      <c r="I301" s="161" t="s">
        <v>1838</v>
      </c>
      <c r="J301" s="161"/>
      <c r="K301" s="54"/>
    </row>
    <row r="302" spans="2:11">
      <c r="C302" s="52" t="s">
        <v>1402</v>
      </c>
      <c r="D302" s="39">
        <v>10</v>
      </c>
      <c r="E302" s="173">
        <v>5.0000000021827917</v>
      </c>
      <c r="F302" s="47">
        <v>5.0000000021827917</v>
      </c>
      <c r="G302" s="47">
        <v>5.0000000021827917</v>
      </c>
      <c r="H302" s="47">
        <v>5.0000000021827917</v>
      </c>
      <c r="I302" s="65">
        <v>5.0000000021827917</v>
      </c>
      <c r="J302" s="53">
        <v>25.000000010913958</v>
      </c>
      <c r="K302" s="54"/>
    </row>
    <row r="303" spans="2:11">
      <c r="C303" s="52" t="s">
        <v>1404</v>
      </c>
      <c r="D303" s="39">
        <v>8</v>
      </c>
      <c r="E303" s="174">
        <v>3.9999999982537666</v>
      </c>
      <c r="F303" s="48">
        <v>3.9999999982537666</v>
      </c>
      <c r="G303" s="48">
        <v>3.9999999982537666</v>
      </c>
      <c r="H303" s="48">
        <v>3.9999999982537666</v>
      </c>
      <c r="I303" s="66">
        <v>3.9999999982537666</v>
      </c>
      <c r="J303" s="55">
        <v>19.999999991268833</v>
      </c>
      <c r="K303" s="54"/>
    </row>
    <row r="304" spans="2:11">
      <c r="C304" s="52" t="s">
        <v>125</v>
      </c>
      <c r="D304" s="39">
        <v>5</v>
      </c>
      <c r="E304" s="174">
        <v>0</v>
      </c>
      <c r="F304" s="48">
        <v>0</v>
      </c>
      <c r="G304" s="48">
        <v>0</v>
      </c>
      <c r="H304" s="48">
        <v>0</v>
      </c>
      <c r="I304" s="66">
        <v>0</v>
      </c>
      <c r="J304" s="55">
        <v>0</v>
      </c>
      <c r="K304" s="54"/>
    </row>
    <row r="305" spans="2:11">
      <c r="C305" s="52" t="s">
        <v>126</v>
      </c>
      <c r="D305" s="39">
        <v>1</v>
      </c>
      <c r="E305" s="174">
        <v>0</v>
      </c>
      <c r="F305" s="48">
        <v>0</v>
      </c>
      <c r="G305" s="48">
        <v>0</v>
      </c>
      <c r="H305" s="48">
        <v>0</v>
      </c>
      <c r="I305" s="66">
        <v>0</v>
      </c>
      <c r="J305" s="55">
        <v>0</v>
      </c>
      <c r="K305" s="54"/>
    </row>
    <row r="306" spans="2:11">
      <c r="C306" s="52" t="s">
        <v>127</v>
      </c>
      <c r="D306" s="39">
        <v>1</v>
      </c>
      <c r="E306" s="174">
        <v>0</v>
      </c>
      <c r="F306" s="48">
        <v>0</v>
      </c>
      <c r="G306" s="48">
        <v>0</v>
      </c>
      <c r="H306" s="48">
        <v>0</v>
      </c>
      <c r="I306" s="66">
        <v>0</v>
      </c>
      <c r="J306" s="55">
        <v>0</v>
      </c>
      <c r="K306" s="54"/>
    </row>
    <row r="307" spans="2:11">
      <c r="C307" s="52" t="s">
        <v>128</v>
      </c>
      <c r="D307" s="39">
        <v>1</v>
      </c>
      <c r="E307" s="174">
        <v>0</v>
      </c>
      <c r="F307" s="48">
        <v>0</v>
      </c>
      <c r="G307" s="48">
        <v>0</v>
      </c>
      <c r="H307" s="48">
        <v>0</v>
      </c>
      <c r="I307" s="66">
        <v>0</v>
      </c>
      <c r="J307" s="55">
        <v>0</v>
      </c>
      <c r="K307" s="54"/>
    </row>
    <row r="308" spans="2:11">
      <c r="C308" s="52" t="s">
        <v>1139</v>
      </c>
      <c r="D308" s="39">
        <v>1</v>
      </c>
      <c r="E308" s="174">
        <v>0</v>
      </c>
      <c r="F308" s="48">
        <v>0</v>
      </c>
      <c r="G308" s="48">
        <v>0</v>
      </c>
      <c r="H308" s="48">
        <v>0</v>
      </c>
      <c r="I308" s="66">
        <v>0</v>
      </c>
      <c r="J308" s="55">
        <v>0</v>
      </c>
      <c r="K308" s="54"/>
    </row>
    <row r="309" spans="2:11">
      <c r="C309" s="52" t="s">
        <v>2384</v>
      </c>
      <c r="D309" s="39">
        <v>1</v>
      </c>
      <c r="E309" s="174">
        <v>0</v>
      </c>
      <c r="F309" s="48">
        <v>0</v>
      </c>
      <c r="G309" s="48">
        <v>0</v>
      </c>
      <c r="H309" s="48">
        <v>0</v>
      </c>
      <c r="I309" s="66">
        <v>0</v>
      </c>
      <c r="J309" s="55">
        <v>0</v>
      </c>
      <c r="K309" s="54"/>
    </row>
    <row r="310" spans="2:11">
      <c r="C310" s="52" t="s">
        <v>2386</v>
      </c>
      <c r="D310" s="39">
        <v>1</v>
      </c>
      <c r="E310" s="174">
        <v>0</v>
      </c>
      <c r="F310" s="48">
        <v>0</v>
      </c>
      <c r="G310" s="48">
        <v>0</v>
      </c>
      <c r="H310" s="48">
        <v>0</v>
      </c>
      <c r="I310" s="66">
        <v>0</v>
      </c>
      <c r="J310" s="55">
        <v>0</v>
      </c>
      <c r="K310" s="54"/>
    </row>
    <row r="311" spans="2:11">
      <c r="C311" s="52" t="s">
        <v>2956</v>
      </c>
      <c r="D311" s="39">
        <v>1</v>
      </c>
      <c r="E311" s="174">
        <v>0</v>
      </c>
      <c r="F311" s="48">
        <v>0</v>
      </c>
      <c r="G311" s="48">
        <v>0</v>
      </c>
      <c r="H311" s="48">
        <v>0</v>
      </c>
      <c r="I311" s="66">
        <v>0</v>
      </c>
      <c r="J311" s="55">
        <v>0</v>
      </c>
      <c r="K311" s="54"/>
    </row>
    <row r="312" spans="2:11">
      <c r="C312" s="153" t="s">
        <v>1828</v>
      </c>
      <c r="D312" s="38"/>
      <c r="E312" s="175">
        <v>0</v>
      </c>
      <c r="F312" s="68">
        <v>0</v>
      </c>
      <c r="G312" s="68">
        <v>0</v>
      </c>
      <c r="H312" s="68">
        <v>0</v>
      </c>
      <c r="I312" s="69">
        <v>0</v>
      </c>
      <c r="J312" s="55">
        <v>0</v>
      </c>
      <c r="K312" s="54"/>
    </row>
    <row r="313" spans="2:11" ht="12" thickBot="1">
      <c r="C313" s="52" t="s">
        <v>2959</v>
      </c>
      <c r="D313" s="38"/>
      <c r="E313" s="170">
        <v>9.0000000004365575</v>
      </c>
      <c r="F313" s="171">
        <v>9.0000000004365575</v>
      </c>
      <c r="G313" s="171">
        <v>9.0000000004365575</v>
      </c>
      <c r="H313" s="171">
        <v>9.0000000004365575</v>
      </c>
      <c r="I313" s="172">
        <v>9.0000000004365575</v>
      </c>
      <c r="J313" s="155">
        <v>45.000000002182787</v>
      </c>
      <c r="K313" s="54"/>
    </row>
    <row r="314" spans="2:11">
      <c r="C314" s="52" t="s">
        <v>3431</v>
      </c>
      <c r="D314" s="38"/>
      <c r="E314" s="38">
        <v>90.000000004365575</v>
      </c>
      <c r="F314" s="38">
        <v>72.00000000349246</v>
      </c>
      <c r="G314" s="38">
        <v>81.000000003929017</v>
      </c>
      <c r="H314" s="38">
        <v>81.000000003929017</v>
      </c>
      <c r="I314" s="38">
        <v>90.000000004365575</v>
      </c>
      <c r="J314" s="38"/>
      <c r="K314" s="54"/>
    </row>
    <row r="315" spans="2:11" ht="12" thickBot="1">
      <c r="C315" s="56" t="s">
        <v>974</v>
      </c>
      <c r="D315" s="50"/>
      <c r="E315" s="57">
        <v>1</v>
      </c>
      <c r="F315" s="57">
        <v>1</v>
      </c>
      <c r="G315" s="57">
        <v>1</v>
      </c>
      <c r="H315" s="57">
        <v>1</v>
      </c>
      <c r="I315" s="57">
        <v>1</v>
      </c>
      <c r="J315" s="58"/>
      <c r="K315" s="59"/>
    </row>
    <row r="316" spans="2:11" ht="12" thickBot="1">
      <c r="C316" t="s">
        <v>2830</v>
      </c>
      <c r="E316">
        <v>0.2</v>
      </c>
      <c r="F316">
        <v>0.2</v>
      </c>
      <c r="G316">
        <v>0.2</v>
      </c>
      <c r="H316">
        <v>0.2</v>
      </c>
      <c r="I316">
        <v>0.2</v>
      </c>
      <c r="J316">
        <v>45000</v>
      </c>
      <c r="K316" t="s">
        <v>2327</v>
      </c>
    </row>
    <row r="317" spans="2:11" ht="12" thickBot="1">
      <c r="B317" t="s">
        <v>2334</v>
      </c>
      <c r="C317" s="340" t="e">
        <v>#NAME?</v>
      </c>
      <c r="D317" s="162"/>
      <c r="E317" s="158"/>
      <c r="F317" s="158"/>
      <c r="G317" s="159"/>
      <c r="H317" s="159"/>
      <c r="I317" s="159"/>
      <c r="J317" s="159"/>
      <c r="K317" s="51"/>
    </row>
    <row r="318" spans="2:11" ht="12" thickBot="1">
      <c r="C318" s="160" t="s">
        <v>2672</v>
      </c>
      <c r="D318" s="163">
        <v>450000</v>
      </c>
      <c r="E318" s="162"/>
      <c r="F318" s="164"/>
      <c r="G318" s="162"/>
      <c r="H318" s="165"/>
      <c r="I318" s="157" t="s">
        <v>2673</v>
      </c>
      <c r="J318" s="166">
        <v>45000</v>
      </c>
      <c r="K318" s="51"/>
    </row>
    <row r="319" spans="2:11">
      <c r="C319" s="167" t="s">
        <v>2958</v>
      </c>
      <c r="D319" s="168"/>
      <c r="E319" s="161" t="s">
        <v>1834</v>
      </c>
      <c r="F319" s="161" t="s">
        <v>1835</v>
      </c>
      <c r="G319" s="161" t="s">
        <v>1836</v>
      </c>
      <c r="H319" s="161" t="s">
        <v>1837</v>
      </c>
      <c r="I319" s="161" t="s">
        <v>1838</v>
      </c>
      <c r="J319" s="161"/>
      <c r="K319" s="54"/>
    </row>
    <row r="320" spans="2:11">
      <c r="C320" s="52" t="s">
        <v>1402</v>
      </c>
      <c r="D320" s="39">
        <v>10</v>
      </c>
      <c r="E320" s="173">
        <v>5.0000000021827917</v>
      </c>
      <c r="F320" s="47">
        <v>5.0000000021827917</v>
      </c>
      <c r="G320" s="47">
        <v>5.0000000021827917</v>
      </c>
      <c r="H320" s="47">
        <v>5.0000000021827917</v>
      </c>
      <c r="I320" s="65">
        <v>5.0000000021827917</v>
      </c>
      <c r="J320" s="53">
        <v>25.000000010913958</v>
      </c>
      <c r="K320" s="54"/>
    </row>
    <row r="321" spans="2:11">
      <c r="C321" s="52" t="s">
        <v>1404</v>
      </c>
      <c r="D321" s="39">
        <v>8</v>
      </c>
      <c r="E321" s="174">
        <v>3.9999999982537666</v>
      </c>
      <c r="F321" s="48">
        <v>3.9999999982537666</v>
      </c>
      <c r="G321" s="48">
        <v>3.9999999982537666</v>
      </c>
      <c r="H321" s="48">
        <v>3.9999999982537666</v>
      </c>
      <c r="I321" s="66">
        <v>3.9999999982537666</v>
      </c>
      <c r="J321" s="55">
        <v>19.999999991268833</v>
      </c>
      <c r="K321" s="54"/>
    </row>
    <row r="322" spans="2:11">
      <c r="C322" s="52" t="s">
        <v>125</v>
      </c>
      <c r="D322" s="39">
        <v>5</v>
      </c>
      <c r="E322" s="174">
        <v>0</v>
      </c>
      <c r="F322" s="48">
        <v>0</v>
      </c>
      <c r="G322" s="48">
        <v>0</v>
      </c>
      <c r="H322" s="48">
        <v>0</v>
      </c>
      <c r="I322" s="66">
        <v>0</v>
      </c>
      <c r="J322" s="55">
        <v>0</v>
      </c>
      <c r="K322" s="54"/>
    </row>
    <row r="323" spans="2:11">
      <c r="C323" s="52" t="s">
        <v>126</v>
      </c>
      <c r="D323" s="39">
        <v>1</v>
      </c>
      <c r="E323" s="174">
        <v>0</v>
      </c>
      <c r="F323" s="48">
        <v>0</v>
      </c>
      <c r="G323" s="48">
        <v>0</v>
      </c>
      <c r="H323" s="48">
        <v>0</v>
      </c>
      <c r="I323" s="66">
        <v>0</v>
      </c>
      <c r="J323" s="55">
        <v>0</v>
      </c>
      <c r="K323" s="54"/>
    </row>
    <row r="324" spans="2:11">
      <c r="C324" s="52" t="s">
        <v>127</v>
      </c>
      <c r="D324" s="39">
        <v>1</v>
      </c>
      <c r="E324" s="174">
        <v>0</v>
      </c>
      <c r="F324" s="48">
        <v>0</v>
      </c>
      <c r="G324" s="48">
        <v>0</v>
      </c>
      <c r="H324" s="48">
        <v>0</v>
      </c>
      <c r="I324" s="66">
        <v>0</v>
      </c>
      <c r="J324" s="55">
        <v>0</v>
      </c>
      <c r="K324" s="54"/>
    </row>
    <row r="325" spans="2:11">
      <c r="C325" s="52" t="s">
        <v>128</v>
      </c>
      <c r="D325" s="39">
        <v>1</v>
      </c>
      <c r="E325" s="174">
        <v>0</v>
      </c>
      <c r="F325" s="48">
        <v>0</v>
      </c>
      <c r="G325" s="48">
        <v>0</v>
      </c>
      <c r="H325" s="48">
        <v>0</v>
      </c>
      <c r="I325" s="66">
        <v>0</v>
      </c>
      <c r="J325" s="55">
        <v>0</v>
      </c>
      <c r="K325" s="54"/>
    </row>
    <row r="326" spans="2:11">
      <c r="C326" s="52" t="s">
        <v>1139</v>
      </c>
      <c r="D326" s="39">
        <v>1</v>
      </c>
      <c r="E326" s="174">
        <v>0</v>
      </c>
      <c r="F326" s="48">
        <v>0</v>
      </c>
      <c r="G326" s="48">
        <v>0</v>
      </c>
      <c r="H326" s="48">
        <v>0</v>
      </c>
      <c r="I326" s="66">
        <v>0</v>
      </c>
      <c r="J326" s="55">
        <v>0</v>
      </c>
      <c r="K326" s="54"/>
    </row>
    <row r="327" spans="2:11">
      <c r="C327" s="52" t="s">
        <v>2384</v>
      </c>
      <c r="D327" s="39">
        <v>1</v>
      </c>
      <c r="E327" s="174">
        <v>0</v>
      </c>
      <c r="F327" s="48">
        <v>0</v>
      </c>
      <c r="G327" s="48">
        <v>0</v>
      </c>
      <c r="H327" s="48">
        <v>0</v>
      </c>
      <c r="I327" s="66">
        <v>0</v>
      </c>
      <c r="J327" s="55">
        <v>0</v>
      </c>
      <c r="K327" s="54"/>
    </row>
    <row r="328" spans="2:11">
      <c r="C328" s="52" t="s">
        <v>2386</v>
      </c>
      <c r="D328" s="39">
        <v>1</v>
      </c>
      <c r="E328" s="174">
        <v>0</v>
      </c>
      <c r="F328" s="48">
        <v>0</v>
      </c>
      <c r="G328" s="48">
        <v>0</v>
      </c>
      <c r="H328" s="48">
        <v>0</v>
      </c>
      <c r="I328" s="66">
        <v>0</v>
      </c>
      <c r="J328" s="55">
        <v>0</v>
      </c>
      <c r="K328" s="54"/>
    </row>
    <row r="329" spans="2:11">
      <c r="C329" s="52" t="s">
        <v>2956</v>
      </c>
      <c r="D329" s="39">
        <v>1</v>
      </c>
      <c r="E329" s="174">
        <v>0</v>
      </c>
      <c r="F329" s="48">
        <v>0</v>
      </c>
      <c r="G329" s="48">
        <v>0</v>
      </c>
      <c r="H329" s="48">
        <v>0</v>
      </c>
      <c r="I329" s="66">
        <v>0</v>
      </c>
      <c r="J329" s="55">
        <v>0</v>
      </c>
      <c r="K329" s="54"/>
    </row>
    <row r="330" spans="2:11">
      <c r="C330" s="153" t="s">
        <v>1828</v>
      </c>
      <c r="D330" s="38"/>
      <c r="E330" s="175">
        <v>0</v>
      </c>
      <c r="F330" s="68">
        <v>0</v>
      </c>
      <c r="G330" s="68">
        <v>0</v>
      </c>
      <c r="H330" s="68">
        <v>0</v>
      </c>
      <c r="I330" s="69">
        <v>0</v>
      </c>
      <c r="J330" s="55">
        <v>0</v>
      </c>
      <c r="K330" s="54"/>
    </row>
    <row r="331" spans="2:11" ht="12" thickBot="1">
      <c r="C331" s="52" t="s">
        <v>2959</v>
      </c>
      <c r="D331" s="38"/>
      <c r="E331" s="170">
        <v>9.0000000004365575</v>
      </c>
      <c r="F331" s="171">
        <v>9.0000000004365575</v>
      </c>
      <c r="G331" s="171">
        <v>9.0000000004365575</v>
      </c>
      <c r="H331" s="171">
        <v>9.0000000004365575</v>
      </c>
      <c r="I331" s="172">
        <v>9.0000000004365575</v>
      </c>
      <c r="J331" s="155">
        <v>45.000000002182787</v>
      </c>
      <c r="K331" s="54"/>
    </row>
    <row r="332" spans="2:11">
      <c r="C332" s="52" t="s">
        <v>3431</v>
      </c>
      <c r="D332" s="38"/>
      <c r="E332" s="38">
        <v>90.000000004365575</v>
      </c>
      <c r="F332" s="38">
        <v>72.00000000349246</v>
      </c>
      <c r="G332" s="38">
        <v>81.000000003929017</v>
      </c>
      <c r="H332" s="38">
        <v>81.000000003929017</v>
      </c>
      <c r="I332" s="38">
        <v>90.000000004365575</v>
      </c>
      <c r="J332" s="38"/>
      <c r="K332" s="54"/>
    </row>
    <row r="333" spans="2:11" ht="12" thickBot="1">
      <c r="C333" s="56" t="s">
        <v>974</v>
      </c>
      <c r="D333" s="50"/>
      <c r="E333" s="57">
        <v>1</v>
      </c>
      <c r="F333" s="57">
        <v>1</v>
      </c>
      <c r="G333" s="57">
        <v>1</v>
      </c>
      <c r="H333" s="57">
        <v>1</v>
      </c>
      <c r="I333" s="57">
        <v>1</v>
      </c>
      <c r="J333" s="58"/>
      <c r="K333" s="59"/>
    </row>
    <row r="334" spans="2:11" ht="12" thickBot="1">
      <c r="C334" t="s">
        <v>2830</v>
      </c>
      <c r="E334">
        <v>0.2</v>
      </c>
      <c r="F334">
        <v>0.2</v>
      </c>
      <c r="G334">
        <v>0.2</v>
      </c>
      <c r="H334">
        <v>0.2</v>
      </c>
      <c r="I334">
        <v>0.2</v>
      </c>
      <c r="J334">
        <v>45000</v>
      </c>
      <c r="K334" t="s">
        <v>2327</v>
      </c>
    </row>
    <row r="335" spans="2:11" ht="12" thickBot="1">
      <c r="B335" t="s">
        <v>2333</v>
      </c>
      <c r="C335" s="340" t="e">
        <v>#NAME?</v>
      </c>
      <c r="D335" s="162"/>
      <c r="E335" s="158"/>
      <c r="F335" s="158"/>
      <c r="G335" s="159"/>
      <c r="H335" s="159"/>
      <c r="I335" s="159"/>
      <c r="J335" s="159"/>
      <c r="K335" s="51"/>
    </row>
    <row r="336" spans="2:11" ht="12" thickBot="1">
      <c r="C336" s="160" t="s">
        <v>2672</v>
      </c>
      <c r="D336" s="163">
        <v>450000</v>
      </c>
      <c r="E336" s="162"/>
      <c r="F336" s="164"/>
      <c r="G336" s="162"/>
      <c r="H336" s="165"/>
      <c r="I336" s="157" t="s">
        <v>2673</v>
      </c>
      <c r="J336" s="166">
        <v>45000</v>
      </c>
      <c r="K336" s="51"/>
    </row>
    <row r="337" spans="3:11">
      <c r="C337" s="167" t="s">
        <v>2958</v>
      </c>
      <c r="D337" s="168"/>
      <c r="E337" s="161" t="s">
        <v>1834</v>
      </c>
      <c r="F337" s="161" t="s">
        <v>1835</v>
      </c>
      <c r="G337" s="161" t="s">
        <v>1836</v>
      </c>
      <c r="H337" s="161" t="s">
        <v>1837</v>
      </c>
      <c r="I337" s="161" t="s">
        <v>1838</v>
      </c>
      <c r="J337" s="161"/>
      <c r="K337" s="54"/>
    </row>
    <row r="338" spans="3:11">
      <c r="C338" s="52" t="s">
        <v>1402</v>
      </c>
      <c r="D338" s="39">
        <v>10</v>
      </c>
      <c r="E338" s="173">
        <v>5.0000000021827917</v>
      </c>
      <c r="F338" s="47">
        <v>5.0000000021827917</v>
      </c>
      <c r="G338" s="47">
        <v>5.0000000021827917</v>
      </c>
      <c r="H338" s="47">
        <v>5.0000000021827917</v>
      </c>
      <c r="I338" s="65">
        <v>5.0000000021827917</v>
      </c>
      <c r="J338" s="53">
        <v>25.000000010913958</v>
      </c>
      <c r="K338" s="54"/>
    </row>
    <row r="339" spans="3:11">
      <c r="C339" s="52" t="s">
        <v>1404</v>
      </c>
      <c r="D339" s="39">
        <v>8</v>
      </c>
      <c r="E339" s="174">
        <v>3.9999999982537666</v>
      </c>
      <c r="F339" s="48">
        <v>3.9999999982537666</v>
      </c>
      <c r="G339" s="48">
        <v>3.9999999982537666</v>
      </c>
      <c r="H339" s="48">
        <v>3.9999999982537666</v>
      </c>
      <c r="I339" s="66">
        <v>3.9999999982537666</v>
      </c>
      <c r="J339" s="55">
        <v>19.999999991268833</v>
      </c>
      <c r="K339" s="54"/>
    </row>
    <row r="340" spans="3:11">
      <c r="C340" s="52" t="s">
        <v>125</v>
      </c>
      <c r="D340" s="39">
        <v>5</v>
      </c>
      <c r="E340" s="174">
        <v>0</v>
      </c>
      <c r="F340" s="48">
        <v>0</v>
      </c>
      <c r="G340" s="48">
        <v>0</v>
      </c>
      <c r="H340" s="48">
        <v>0</v>
      </c>
      <c r="I340" s="66">
        <v>0</v>
      </c>
      <c r="J340" s="55">
        <v>0</v>
      </c>
      <c r="K340" s="54"/>
    </row>
    <row r="341" spans="3:11">
      <c r="C341" s="52" t="s">
        <v>126</v>
      </c>
      <c r="D341" s="39">
        <v>1</v>
      </c>
      <c r="E341" s="174">
        <v>0</v>
      </c>
      <c r="F341" s="48">
        <v>0</v>
      </c>
      <c r="G341" s="48">
        <v>0</v>
      </c>
      <c r="H341" s="48">
        <v>0</v>
      </c>
      <c r="I341" s="66">
        <v>0</v>
      </c>
      <c r="J341" s="55">
        <v>0</v>
      </c>
      <c r="K341" s="54"/>
    </row>
    <row r="342" spans="3:11">
      <c r="C342" s="52" t="s">
        <v>127</v>
      </c>
      <c r="D342" s="39">
        <v>1</v>
      </c>
      <c r="E342" s="174">
        <v>0</v>
      </c>
      <c r="F342" s="48">
        <v>0</v>
      </c>
      <c r="G342" s="48">
        <v>0</v>
      </c>
      <c r="H342" s="48">
        <v>0</v>
      </c>
      <c r="I342" s="66">
        <v>0</v>
      </c>
      <c r="J342" s="55">
        <v>0</v>
      </c>
      <c r="K342" s="54"/>
    </row>
    <row r="343" spans="3:11">
      <c r="C343" s="52" t="s">
        <v>128</v>
      </c>
      <c r="D343" s="39">
        <v>1</v>
      </c>
      <c r="E343" s="174">
        <v>0</v>
      </c>
      <c r="F343" s="48">
        <v>0</v>
      </c>
      <c r="G343" s="48">
        <v>0</v>
      </c>
      <c r="H343" s="48">
        <v>0</v>
      </c>
      <c r="I343" s="66">
        <v>0</v>
      </c>
      <c r="J343" s="55">
        <v>0</v>
      </c>
      <c r="K343" s="54"/>
    </row>
    <row r="344" spans="3:11">
      <c r="C344" s="52" t="s">
        <v>1139</v>
      </c>
      <c r="D344" s="39">
        <v>1</v>
      </c>
      <c r="E344" s="174">
        <v>0</v>
      </c>
      <c r="F344" s="48">
        <v>0</v>
      </c>
      <c r="G344" s="48">
        <v>0</v>
      </c>
      <c r="H344" s="48">
        <v>0</v>
      </c>
      <c r="I344" s="66">
        <v>0</v>
      </c>
      <c r="J344" s="55">
        <v>0</v>
      </c>
      <c r="K344" s="54"/>
    </row>
    <row r="345" spans="3:11">
      <c r="C345" s="52" t="s">
        <v>2384</v>
      </c>
      <c r="D345" s="39">
        <v>1</v>
      </c>
      <c r="E345" s="174">
        <v>0</v>
      </c>
      <c r="F345" s="48">
        <v>0</v>
      </c>
      <c r="G345" s="48">
        <v>0</v>
      </c>
      <c r="H345" s="48">
        <v>0</v>
      </c>
      <c r="I345" s="66">
        <v>0</v>
      </c>
      <c r="J345" s="55">
        <v>0</v>
      </c>
      <c r="K345" s="54"/>
    </row>
    <row r="346" spans="3:11">
      <c r="C346" s="52" t="s">
        <v>2386</v>
      </c>
      <c r="D346" s="39">
        <v>1</v>
      </c>
      <c r="E346" s="174">
        <v>0</v>
      </c>
      <c r="F346" s="48">
        <v>0</v>
      </c>
      <c r="G346" s="48">
        <v>0</v>
      </c>
      <c r="H346" s="48">
        <v>0</v>
      </c>
      <c r="I346" s="66">
        <v>0</v>
      </c>
      <c r="J346" s="55">
        <v>0</v>
      </c>
      <c r="K346" s="54"/>
    </row>
    <row r="347" spans="3:11">
      <c r="C347" s="52" t="s">
        <v>2956</v>
      </c>
      <c r="D347" s="39">
        <v>1</v>
      </c>
      <c r="E347" s="174">
        <v>0</v>
      </c>
      <c r="F347" s="48">
        <v>0</v>
      </c>
      <c r="G347" s="48">
        <v>0</v>
      </c>
      <c r="H347" s="48">
        <v>0</v>
      </c>
      <c r="I347" s="66">
        <v>0</v>
      </c>
      <c r="J347" s="55">
        <v>0</v>
      </c>
      <c r="K347" s="54"/>
    </row>
    <row r="348" spans="3:11">
      <c r="C348" s="153" t="s">
        <v>1828</v>
      </c>
      <c r="D348" s="38"/>
      <c r="E348" s="175">
        <v>0</v>
      </c>
      <c r="F348" s="68">
        <v>0</v>
      </c>
      <c r="G348" s="68">
        <v>0</v>
      </c>
      <c r="H348" s="68">
        <v>0</v>
      </c>
      <c r="I348" s="69">
        <v>0</v>
      </c>
      <c r="J348" s="55">
        <v>0</v>
      </c>
      <c r="K348" s="54"/>
    </row>
    <row r="349" spans="3:11" ht="12" thickBot="1">
      <c r="C349" s="52" t="s">
        <v>2959</v>
      </c>
      <c r="D349" s="38"/>
      <c r="E349" s="170">
        <v>9.0000000004365575</v>
      </c>
      <c r="F349" s="171">
        <v>9.0000000004365575</v>
      </c>
      <c r="G349" s="171">
        <v>9.0000000004365575</v>
      </c>
      <c r="H349" s="171">
        <v>9.0000000004365575</v>
      </c>
      <c r="I349" s="172">
        <v>9.0000000004365575</v>
      </c>
      <c r="J349" s="155">
        <v>45.000000002182787</v>
      </c>
      <c r="K349" s="54"/>
    </row>
    <row r="350" spans="3:11">
      <c r="C350" s="52" t="s">
        <v>3431</v>
      </c>
      <c r="D350" s="38"/>
      <c r="E350" s="38">
        <v>90.000000004365575</v>
      </c>
      <c r="F350" s="38">
        <v>72.00000000349246</v>
      </c>
      <c r="G350" s="38">
        <v>81.000000003929017</v>
      </c>
      <c r="H350" s="38">
        <v>81.000000003929017</v>
      </c>
      <c r="I350" s="38">
        <v>90.000000004365575</v>
      </c>
      <c r="J350" s="38"/>
      <c r="K350" s="54"/>
    </row>
    <row r="351" spans="3:11" ht="12" thickBot="1">
      <c r="C351" s="56" t="s">
        <v>974</v>
      </c>
      <c r="D351" s="50"/>
      <c r="E351" s="57">
        <v>1</v>
      </c>
      <c r="F351" s="57">
        <v>1</v>
      </c>
      <c r="G351" s="57">
        <v>1</v>
      </c>
      <c r="H351" s="57">
        <v>1</v>
      </c>
      <c r="I351" s="57">
        <v>1</v>
      </c>
      <c r="J351" s="58"/>
      <c r="K351" s="59"/>
    </row>
    <row r="352" spans="3:11">
      <c r="C352" t="s">
        <v>2830</v>
      </c>
      <c r="E352">
        <v>0.2</v>
      </c>
      <c r="F352">
        <v>0.2</v>
      </c>
      <c r="G352">
        <v>0.2</v>
      </c>
      <c r="H352">
        <v>0.2</v>
      </c>
      <c r="I352">
        <v>0.2</v>
      </c>
      <c r="J352">
        <v>45000</v>
      </c>
      <c r="K352" t="s">
        <v>2327</v>
      </c>
    </row>
  </sheetData>
  <phoneticPr fontId="0" type="noConversion"/>
  <dataValidations count="1">
    <dataValidation type="decimal" allowBlank="1" showInputMessage="1" showErrorMessage="1" sqref="E192:I196 E216:I216">
      <formula1>-1</formula1>
      <formula2>1</formula2>
    </dataValidation>
  </dataValidations>
  <pageMargins left="0.5" right="0.5" top="0.5" bottom="0.5" header="0.5" footer="0.5"/>
  <pageSetup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MProd6"/>
  <dimension ref="A1:M351"/>
  <sheetViews>
    <sheetView showGridLines="0" workbookViewId="0">
      <pane ySplit="1" topLeftCell="A245" activePane="bottomLeft" state="frozen"/>
      <selection activeCell="C352" sqref="C352"/>
      <selection pane="bottomLeft" activeCell="I260" sqref="I260"/>
    </sheetView>
  </sheetViews>
  <sheetFormatPr defaultRowHeight="11.25"/>
  <cols>
    <col min="1" max="1" width="1.83203125" customWidth="1"/>
    <col min="2" max="2" width="18.5" customWidth="1"/>
    <col min="3" max="3" width="15.5" customWidth="1"/>
    <col min="4" max="4" width="18.5" customWidth="1"/>
    <col min="5" max="9" width="13.1640625" customWidth="1"/>
    <col min="10" max="10" width="17.5" bestFit="1" customWidth="1"/>
    <col min="11" max="11" width="11.5" customWidth="1"/>
    <col min="12" max="12" width="11.1640625" customWidth="1"/>
  </cols>
  <sheetData>
    <row r="1" spans="1:11" s="145" customFormat="1" ht="15.75">
      <c r="A1" s="148" t="str">
        <f>"Market Model "&amp; DataNameProd6</f>
        <v>Market Model Product Six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1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3"/>
      <c r="B3" s="3"/>
      <c r="C3" s="77" t="s">
        <v>1132</v>
      </c>
      <c r="D3" s="2">
        <v>-1</v>
      </c>
      <c r="E3" s="2">
        <v>0</v>
      </c>
      <c r="F3" s="2">
        <v>1</v>
      </c>
      <c r="G3" s="2">
        <v>2</v>
      </c>
      <c r="H3" s="2">
        <v>3</v>
      </c>
      <c r="I3" s="2">
        <v>4</v>
      </c>
      <c r="J3" s="2">
        <v>5</v>
      </c>
      <c r="K3" s="3"/>
    </row>
    <row r="4" spans="1:11">
      <c r="A4" s="3"/>
      <c r="B4" s="3"/>
      <c r="C4" s="25" t="str">
        <f>DataNameProd6Seg1</f>
        <v>Product 6 Segment 1</v>
      </c>
      <c r="D4" s="216">
        <f t="shared" ref="D4:J4" si="0">xxMMProd6Seg1Units</f>
        <v>0</v>
      </c>
      <c r="E4" s="216">
        <f t="shared" si="0"/>
        <v>0</v>
      </c>
      <c r="F4" s="216">
        <f t="shared" si="0"/>
        <v>0</v>
      </c>
      <c r="G4" s="216">
        <f t="shared" si="0"/>
        <v>0</v>
      </c>
      <c r="H4" s="216">
        <f t="shared" si="0"/>
        <v>0</v>
      </c>
      <c r="I4" s="216">
        <f t="shared" si="0"/>
        <v>0</v>
      </c>
      <c r="J4" s="216">
        <f t="shared" si="0"/>
        <v>0</v>
      </c>
      <c r="K4" s="3"/>
    </row>
    <row r="5" spans="1:11">
      <c r="A5" s="3"/>
      <c r="B5" s="3"/>
      <c r="C5" s="25" t="str">
        <f>DataNameProd6Seg2</f>
        <v>Product 6 Segment 2</v>
      </c>
      <c r="D5" s="216">
        <f t="shared" ref="D5:J5" si="1">xxMMProd6Seg2Units</f>
        <v>0</v>
      </c>
      <c r="E5" s="216">
        <f t="shared" si="1"/>
        <v>0</v>
      </c>
      <c r="F5" s="216">
        <f t="shared" si="1"/>
        <v>0</v>
      </c>
      <c r="G5" s="216">
        <f t="shared" si="1"/>
        <v>0</v>
      </c>
      <c r="H5" s="216">
        <f t="shared" si="1"/>
        <v>0</v>
      </c>
      <c r="I5" s="216">
        <f t="shared" si="1"/>
        <v>0</v>
      </c>
      <c r="J5" s="216">
        <f t="shared" si="1"/>
        <v>0</v>
      </c>
      <c r="K5" s="3"/>
    </row>
    <row r="6" spans="1:11">
      <c r="A6" s="3"/>
      <c r="B6" s="3"/>
      <c r="C6" s="25" t="str">
        <f>DataNameProd6Seg3</f>
        <v>Product 6 Segment 3</v>
      </c>
      <c r="D6" s="216">
        <f t="shared" ref="D6:J6" si="2">xxMMProd6Seg3Units</f>
        <v>0</v>
      </c>
      <c r="E6" s="216">
        <f t="shared" si="2"/>
        <v>0</v>
      </c>
      <c r="F6" s="216">
        <f t="shared" si="2"/>
        <v>0</v>
      </c>
      <c r="G6" s="216">
        <f t="shared" si="2"/>
        <v>0</v>
      </c>
      <c r="H6" s="216">
        <f t="shared" si="2"/>
        <v>0</v>
      </c>
      <c r="I6" s="216">
        <f t="shared" si="2"/>
        <v>0</v>
      </c>
      <c r="J6" s="216">
        <f t="shared" si="2"/>
        <v>0</v>
      </c>
      <c r="K6" s="3"/>
    </row>
    <row r="7" spans="1:11">
      <c r="A7" s="3"/>
      <c r="B7" s="3"/>
      <c r="C7" s="25" t="str">
        <f>DataNameProd6Seg4</f>
        <v>Product 6 Segment 4</v>
      </c>
      <c r="D7" s="216">
        <f t="shared" ref="D7:J7" si="3">xxMMProd6Seg4Units</f>
        <v>0</v>
      </c>
      <c r="E7" s="216">
        <f t="shared" si="3"/>
        <v>0</v>
      </c>
      <c r="F7" s="216">
        <f t="shared" si="3"/>
        <v>0</v>
      </c>
      <c r="G7" s="216">
        <f t="shared" si="3"/>
        <v>0</v>
      </c>
      <c r="H7" s="216">
        <f t="shared" si="3"/>
        <v>0</v>
      </c>
      <c r="I7" s="216">
        <f t="shared" si="3"/>
        <v>0</v>
      </c>
      <c r="J7" s="216">
        <f t="shared" si="3"/>
        <v>0</v>
      </c>
      <c r="K7" s="3"/>
    </row>
    <row r="8" spans="1:11">
      <c r="A8" s="3"/>
      <c r="B8" s="3"/>
      <c r="C8" s="25" t="str">
        <f>DataNameProd6Seg5</f>
        <v>Product 6 Segment 5</v>
      </c>
      <c r="D8" s="216">
        <f t="shared" ref="D8:J8" si="4">xxMMProd6Seg5Units</f>
        <v>0</v>
      </c>
      <c r="E8" s="216">
        <f t="shared" si="4"/>
        <v>0</v>
      </c>
      <c r="F8" s="216">
        <f t="shared" si="4"/>
        <v>0</v>
      </c>
      <c r="G8" s="216">
        <f t="shared" si="4"/>
        <v>0</v>
      </c>
      <c r="H8" s="216">
        <f t="shared" si="4"/>
        <v>0</v>
      </c>
      <c r="I8" s="216">
        <f t="shared" si="4"/>
        <v>0</v>
      </c>
      <c r="J8" s="216">
        <f t="shared" si="4"/>
        <v>0</v>
      </c>
      <c r="K8" s="3"/>
    </row>
    <row r="9" spans="1:11">
      <c r="A9" s="3"/>
      <c r="B9" s="3"/>
      <c r="C9" s="3"/>
      <c r="D9" s="85"/>
      <c r="E9" s="85"/>
      <c r="F9" s="85"/>
      <c r="G9" s="85"/>
      <c r="H9" s="85"/>
      <c r="I9" s="85"/>
      <c r="J9" s="85"/>
      <c r="K9" s="3"/>
    </row>
    <row r="10" spans="1:11">
      <c r="A10" s="3"/>
      <c r="B10" s="3"/>
      <c r="C10" s="2" t="s">
        <v>2671</v>
      </c>
      <c r="D10" s="279">
        <v>1</v>
      </c>
      <c r="E10" s="280" t="s">
        <v>2325</v>
      </c>
      <c r="F10" s="3"/>
      <c r="G10" s="3"/>
      <c r="H10" s="3"/>
      <c r="I10" s="3"/>
      <c r="J10" s="3"/>
      <c r="K10" s="3"/>
    </row>
    <row r="11" spans="1:11">
      <c r="A11" s="3"/>
      <c r="B11" s="3"/>
      <c r="C11" s="2"/>
      <c r="D11" s="88"/>
      <c r="E11" s="3"/>
      <c r="F11" s="3"/>
      <c r="G11" s="3"/>
      <c r="H11" s="3"/>
      <c r="I11" s="3"/>
      <c r="J11" s="3"/>
      <c r="K11" s="3"/>
    </row>
    <row r="12" spans="1:11" ht="12" thickBot="1">
      <c r="A12" s="3"/>
      <c r="B12" s="3"/>
      <c r="C12" s="2" t="s">
        <v>3788</v>
      </c>
      <c r="D12" s="3"/>
      <c r="E12" s="3"/>
      <c r="F12" s="3"/>
      <c r="G12" s="3"/>
      <c r="H12" s="3"/>
      <c r="I12" s="3"/>
      <c r="J12" s="3"/>
      <c r="K12" s="3"/>
    </row>
    <row r="13" spans="1:11" ht="12" thickBot="1">
      <c r="A13" s="3"/>
      <c r="B13" s="3"/>
      <c r="C13" s="276" t="str">
        <f>C4</f>
        <v>Product 6 Segment 1</v>
      </c>
      <c r="D13" s="270">
        <f>INDEX($D4:$J4,xxYear+2)</f>
        <v>0</v>
      </c>
      <c r="E13" s="3"/>
      <c r="F13" s="3"/>
      <c r="G13" s="3"/>
      <c r="H13" s="3"/>
      <c r="I13" s="3"/>
      <c r="J13" s="3"/>
      <c r="K13" s="3"/>
    </row>
    <row r="14" spans="1:11" ht="12" thickBot="1">
      <c r="A14" s="3"/>
      <c r="B14" s="3"/>
      <c r="C14" s="276" t="str">
        <f>C5</f>
        <v>Product 6 Segment 2</v>
      </c>
      <c r="D14" s="270">
        <f>INDEX($D5:$J5,xxYear+2)</f>
        <v>0</v>
      </c>
      <c r="E14" s="3"/>
      <c r="F14" s="3"/>
      <c r="G14" s="3"/>
      <c r="H14" s="3"/>
      <c r="I14" s="3"/>
      <c r="J14" s="3"/>
      <c r="K14" s="3"/>
    </row>
    <row r="15" spans="1:11" ht="12" thickBot="1">
      <c r="A15" s="3"/>
      <c r="B15" s="3"/>
      <c r="C15" s="276" t="str">
        <f>C6</f>
        <v>Product 6 Segment 3</v>
      </c>
      <c r="D15" s="270">
        <f>INDEX($D6:$J6,xxYear+2)</f>
        <v>0</v>
      </c>
      <c r="E15" s="3"/>
      <c r="F15" s="3"/>
      <c r="G15" s="3"/>
      <c r="H15" s="3"/>
      <c r="I15" s="3"/>
      <c r="J15" s="3"/>
      <c r="K15" s="3"/>
    </row>
    <row r="16" spans="1:11" ht="12" thickBot="1">
      <c r="A16" s="3"/>
      <c r="B16" s="3"/>
      <c r="C16" s="276" t="str">
        <f>C7</f>
        <v>Product 6 Segment 4</v>
      </c>
      <c r="D16" s="270">
        <f>INDEX($D7:$J7,xxYear+2)</f>
        <v>0</v>
      </c>
      <c r="E16" s="3"/>
      <c r="F16" s="3"/>
      <c r="G16" s="3"/>
      <c r="H16" s="3"/>
      <c r="I16" s="3"/>
      <c r="J16" s="3"/>
      <c r="K16" s="3"/>
    </row>
    <row r="17" spans="1:13" ht="12" thickBot="1">
      <c r="A17" s="3"/>
      <c r="B17" s="3"/>
      <c r="C17" s="276" t="str">
        <f>C8</f>
        <v>Product 6 Segment 5</v>
      </c>
      <c r="D17" s="270">
        <f>INDEX($D8:$J8,xxYear+2)</f>
        <v>0</v>
      </c>
      <c r="E17" s="3"/>
      <c r="F17" s="3"/>
      <c r="G17" s="3"/>
      <c r="H17" s="3"/>
      <c r="I17" s="3"/>
      <c r="J17" s="3"/>
      <c r="K17" s="3"/>
    </row>
    <row r="18" spans="1:13" ht="12" thickBot="1">
      <c r="A18" s="3"/>
      <c r="B18" s="3"/>
      <c r="C18" s="269"/>
      <c r="D18" s="271"/>
      <c r="E18" s="3"/>
      <c r="F18" s="3"/>
      <c r="G18" s="3"/>
      <c r="H18" s="3"/>
      <c r="I18" s="3"/>
      <c r="J18" s="3"/>
      <c r="K18" s="3"/>
    </row>
    <row r="19" spans="1:13" ht="12" thickBot="1">
      <c r="A19" s="3"/>
      <c r="B19" s="3"/>
      <c r="C19" s="2" t="s">
        <v>3749</v>
      </c>
      <c r="D19" s="270">
        <f>SUM(D13:D18)</f>
        <v>0</v>
      </c>
      <c r="E19" s="3"/>
      <c r="F19" s="3"/>
      <c r="G19" s="3"/>
      <c r="H19" s="3"/>
      <c r="I19" s="3"/>
      <c r="J19" s="3"/>
      <c r="K19" s="3"/>
    </row>
    <row r="20" spans="1:13" ht="12" thickBot="1">
      <c r="A20" s="3"/>
      <c r="B20" s="3"/>
      <c r="C20" s="2"/>
      <c r="D20" s="2"/>
      <c r="E20" s="2"/>
      <c r="F20" s="3"/>
      <c r="G20" s="3"/>
      <c r="H20" s="3"/>
      <c r="I20" s="3"/>
      <c r="J20" s="3"/>
      <c r="K20" s="3"/>
    </row>
    <row r="21" spans="1:13" ht="12" thickBot="1">
      <c r="A21" s="3"/>
      <c r="B21" s="3"/>
      <c r="C21" s="2" t="s">
        <v>3753</v>
      </c>
      <c r="D21" s="278">
        <f>COUNTIF(D13:D18,"&gt;0")</f>
        <v>0</v>
      </c>
      <c r="E21" s="281" t="s">
        <v>2326</v>
      </c>
      <c r="F21" s="85"/>
      <c r="G21" s="85"/>
      <c r="H21" s="85"/>
      <c r="I21" s="85"/>
      <c r="J21" s="85"/>
      <c r="K21" s="3"/>
    </row>
    <row r="22" spans="1:13" ht="12" thickBot="1">
      <c r="A22" s="3"/>
      <c r="B22" s="3"/>
      <c r="C22" s="2" t="s">
        <v>23</v>
      </c>
      <c r="D22" s="278" t="str">
        <f>INDEX(C13:C18,MMSegCurrent)</f>
        <v>Product 6 Segment 1</v>
      </c>
      <c r="E22" s="281" t="s">
        <v>22</v>
      </c>
      <c r="F22" s="85"/>
      <c r="G22" s="85"/>
      <c r="H22" s="85"/>
      <c r="I22" s="85"/>
      <c r="J22" s="85"/>
      <c r="K22" s="3"/>
    </row>
    <row r="23" spans="1:13">
      <c r="A23" s="3"/>
      <c r="B23" s="3"/>
      <c r="C23" s="2"/>
      <c r="D23" s="151"/>
      <c r="E23" s="85"/>
      <c r="F23" s="85"/>
      <c r="G23" s="85"/>
      <c r="H23" s="85"/>
      <c r="I23" s="85"/>
      <c r="J23" s="85"/>
      <c r="K23" s="3"/>
    </row>
    <row r="24" spans="1:13">
      <c r="A24" s="3"/>
      <c r="B24" s="3"/>
      <c r="C24" s="34" t="s">
        <v>61</v>
      </c>
      <c r="D24" s="35"/>
      <c r="E24" s="277" t="e">
        <f>AND(decProd6Price&gt;0,decProd6Units&gt;0)</f>
        <v>#NAME?</v>
      </c>
      <c r="F24" s="277" t="e">
        <f>AND(decProd6Price&gt;0,decProd6Units&gt;0)</f>
        <v>#NAME?</v>
      </c>
      <c r="G24" s="277" t="e">
        <f>AND(decProd6Price&gt;0,decProd6Units&gt;0)</f>
        <v>#NAME?</v>
      </c>
      <c r="H24" s="277" t="e">
        <f>AND(decProd6Price&gt;0,decProd6Units&gt;0)</f>
        <v>#NAME?</v>
      </c>
      <c r="I24" s="277" t="e">
        <f>AND(decProd6Price&gt;0,decProd6Units&gt;0)</f>
        <v>#NAME?</v>
      </c>
      <c r="J24" s="36">
        <f>COUNTIF(E24:I24,TRUE)</f>
        <v>0</v>
      </c>
      <c r="K24" s="3" t="s">
        <v>2331</v>
      </c>
    </row>
    <row r="25" spans="1:13">
      <c r="A25" s="3"/>
      <c r="B25" s="3"/>
      <c r="C25" s="2"/>
      <c r="D25" s="151"/>
      <c r="E25" s="85"/>
      <c r="F25" s="85"/>
      <c r="G25" s="85"/>
      <c r="H25" s="85"/>
      <c r="I25" s="85"/>
      <c r="J25" s="85"/>
      <c r="K25" s="3"/>
    </row>
    <row r="26" spans="1:13">
      <c r="A26" s="3"/>
      <c r="B26" s="2" t="s">
        <v>2380</v>
      </c>
      <c r="C26" s="230" t="str">
        <f>xxMMProd6Driver1</f>
        <v>Price</v>
      </c>
      <c r="D26" s="231"/>
      <c r="E26" s="217" t="e">
        <f>decProd6Price</f>
        <v>#NAME?</v>
      </c>
      <c r="F26" s="217" t="e">
        <f>decProd6Price</f>
        <v>#NAME?</v>
      </c>
      <c r="G26" s="217" t="e">
        <f>decProd6Price</f>
        <v>#NAME?</v>
      </c>
      <c r="H26" s="217" t="e">
        <f>decProd6Price</f>
        <v>#NAME?</v>
      </c>
      <c r="I26" s="217" t="e">
        <f>decProd6Price</f>
        <v>#NAME?</v>
      </c>
      <c r="J26" s="154"/>
    </row>
    <row r="27" spans="1:13">
      <c r="A27" s="3"/>
      <c r="B27" s="3"/>
      <c r="C27" s="37" t="s">
        <v>62</v>
      </c>
      <c r="D27" s="41"/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0"/>
    </row>
    <row r="28" spans="1:13">
      <c r="A28" s="3"/>
      <c r="B28" s="3"/>
      <c r="C28" s="37" t="s">
        <v>63</v>
      </c>
      <c r="D28" s="41">
        <v>0.1</v>
      </c>
      <c r="E28" s="42" t="e">
        <f>E26/(1+$D28)^(E27/365)</f>
        <v>#NAME?</v>
      </c>
      <c r="F28" s="42" t="e">
        <f>F26/(1+$D28)^(F27/365)</f>
        <v>#NAME?</v>
      </c>
      <c r="G28" s="42" t="e">
        <f>G26/(1+$D28)^(G27/365)</f>
        <v>#NAME?</v>
      </c>
      <c r="H28" s="42" t="e">
        <f>H26/(1+$D28)^(H27/365)</f>
        <v>#NAME?</v>
      </c>
      <c r="I28" s="42" t="e">
        <f>I26/(1+$D28)^(I27/365)</f>
        <v>#NAME?</v>
      </c>
      <c r="J28" s="40"/>
    </row>
    <row r="29" spans="1:13">
      <c r="A29" s="3"/>
      <c r="B29" s="3"/>
      <c r="C29" s="37" t="s">
        <v>965</v>
      </c>
      <c r="D29" s="48">
        <v>1</v>
      </c>
      <c r="E29" s="39" t="e">
        <f>IF(MMInMarket=TRUE,E28,0)</f>
        <v>#NAME?</v>
      </c>
      <c r="F29" s="39" t="e">
        <f>IF(MMInMarket=TRUE,F28,0)</f>
        <v>#NAME?</v>
      </c>
      <c r="G29" s="39" t="e">
        <f>IF(MMInMarket=TRUE,G28,0)</f>
        <v>#NAME?</v>
      </c>
      <c r="H29" s="39" t="e">
        <f>IF(MMInMarket=TRUE,H28,0)</f>
        <v>#NAME?</v>
      </c>
      <c r="I29" s="39" t="e">
        <f>IF(MMInMarket=TRUE,I28,0)</f>
        <v>#NAME?</v>
      </c>
      <c r="J29" s="40"/>
      <c r="L29" s="240" t="s">
        <v>3209</v>
      </c>
      <c r="M29" s="240" t="s">
        <v>3210</v>
      </c>
    </row>
    <row r="30" spans="1:13">
      <c r="A30" s="3"/>
      <c r="B30" s="3"/>
      <c r="C30" s="43" t="s">
        <v>966</v>
      </c>
      <c r="D30" s="42" t="e">
        <f>STDEVP(E29:I29)*D29+(STDEVP(E29:I29)=0)</f>
        <v>#NAME?</v>
      </c>
      <c r="E30" s="71" t="e">
        <f>IF(E29=0,0,(1-NORMDIST(E29,$J30,$D30,TRUE)))*(MMInMarket=TRUE)</f>
        <v>#NAME?</v>
      </c>
      <c r="F30" s="71" t="e">
        <f>IF(F29=0,0,(1-NORMDIST(F29,$J30,$D30,TRUE)))*(MMInMarket=TRUE)</f>
        <v>#NAME?</v>
      </c>
      <c r="G30" s="71" t="e">
        <f>IF(G29=0,0,(1-NORMDIST(G29,$J30,$D30,TRUE)))*(MMInMarket=TRUE)</f>
        <v>#NAME?</v>
      </c>
      <c r="H30" s="71" t="e">
        <f>IF(H29=0,0,(1-NORMDIST(H29,$J30,$D30,TRUE)))*(MMInMarket=TRUE)</f>
        <v>#NAME?</v>
      </c>
      <c r="I30" s="71" t="e">
        <f>IF(I29=0,0,(1-NORMDIST(I29,$J30,$D30,TRUE)))*(MMInMarket=TRUE)</f>
        <v>#NAME?</v>
      </c>
      <c r="J30" s="201">
        <f>IF($J$24=0,0,SUM(E29:I29)/$J$24)</f>
        <v>0</v>
      </c>
      <c r="K30" s="241">
        <v>0</v>
      </c>
      <c r="L30" s="14">
        <f t="shared" ref="L30:L36" si="5">K30*$J$30</f>
        <v>0</v>
      </c>
      <c r="M30" s="261" t="e">
        <f t="shared" ref="M30:M36" si="6">1-NORMDIST(L30,$J$30,$D$30,TRUE)</f>
        <v>#NAME?</v>
      </c>
    </row>
    <row r="31" spans="1:13">
      <c r="A31" s="3"/>
      <c r="B31" s="3"/>
      <c r="C31" s="2"/>
      <c r="D31" s="39"/>
      <c r="E31" s="3"/>
      <c r="F31" s="3"/>
      <c r="G31" s="3"/>
      <c r="H31" s="3"/>
      <c r="I31" s="3"/>
      <c r="J31" s="3"/>
      <c r="K31" s="241">
        <v>0.33</v>
      </c>
      <c r="L31" s="14">
        <f t="shared" si="5"/>
        <v>0</v>
      </c>
      <c r="M31" s="261" t="e">
        <f t="shared" si="6"/>
        <v>#NAME?</v>
      </c>
    </row>
    <row r="32" spans="1:13">
      <c r="A32" s="3"/>
      <c r="B32" s="3"/>
      <c r="C32" s="2"/>
      <c r="D32" s="39"/>
      <c r="E32" s="3"/>
      <c r="F32" s="3"/>
      <c r="G32" s="3"/>
      <c r="H32" s="3"/>
      <c r="I32" s="3"/>
      <c r="J32" s="3"/>
      <c r="K32" s="241">
        <v>0.66</v>
      </c>
      <c r="L32" s="14">
        <f t="shared" si="5"/>
        <v>0</v>
      </c>
      <c r="M32" s="261" t="e">
        <f t="shared" si="6"/>
        <v>#NAME?</v>
      </c>
    </row>
    <row r="33" spans="1:13">
      <c r="A33" s="3"/>
      <c r="B33" s="3"/>
      <c r="C33" s="2"/>
      <c r="D33" s="39"/>
      <c r="E33" s="3"/>
      <c r="F33" s="3"/>
      <c r="G33" s="3"/>
      <c r="H33" s="3"/>
      <c r="I33" s="3"/>
      <c r="J33" s="3"/>
      <c r="K33" s="241">
        <v>1</v>
      </c>
      <c r="L33" s="14">
        <f t="shared" si="5"/>
        <v>0</v>
      </c>
      <c r="M33" s="261" t="e">
        <f t="shared" si="6"/>
        <v>#NAME?</v>
      </c>
    </row>
    <row r="34" spans="1:13">
      <c r="A34" s="3"/>
      <c r="B34" s="3"/>
      <c r="C34" s="2"/>
      <c r="D34" s="39"/>
      <c r="E34" s="3"/>
      <c r="F34" s="3"/>
      <c r="G34" s="3"/>
      <c r="H34" s="3"/>
      <c r="I34" s="3"/>
      <c r="J34" s="3"/>
      <c r="K34" s="241">
        <v>1.33</v>
      </c>
      <c r="L34" s="14">
        <f t="shared" si="5"/>
        <v>0</v>
      </c>
      <c r="M34" s="261" t="e">
        <f t="shared" si="6"/>
        <v>#NAME?</v>
      </c>
    </row>
    <row r="35" spans="1:13">
      <c r="A35" s="3"/>
      <c r="B35" s="3"/>
      <c r="C35" s="2"/>
      <c r="D35" s="39"/>
      <c r="E35" s="3"/>
      <c r="F35" s="3"/>
      <c r="G35" s="3"/>
      <c r="H35" s="3"/>
      <c r="I35" s="3"/>
      <c r="J35" s="3"/>
      <c r="K35" s="241">
        <v>1.66</v>
      </c>
      <c r="L35" s="14">
        <f t="shared" si="5"/>
        <v>0</v>
      </c>
      <c r="M35" s="261" t="e">
        <f t="shared" si="6"/>
        <v>#NAME?</v>
      </c>
    </row>
    <row r="36" spans="1:13">
      <c r="A36" s="3"/>
      <c r="B36" s="3"/>
      <c r="C36" s="2"/>
      <c r="D36" s="39"/>
      <c r="E36" s="38"/>
      <c r="F36" s="38"/>
      <c r="G36" s="38"/>
      <c r="H36" s="38"/>
      <c r="I36" s="38"/>
      <c r="J36" s="38"/>
      <c r="K36" s="241">
        <v>2</v>
      </c>
      <c r="L36" s="14">
        <f t="shared" si="5"/>
        <v>0</v>
      </c>
      <c r="M36" s="261" t="e">
        <f t="shared" si="6"/>
        <v>#NAME?</v>
      </c>
    </row>
    <row r="37" spans="1:13">
      <c r="A37" s="3"/>
      <c r="B37" s="3"/>
      <c r="C37" s="2"/>
      <c r="D37" s="39"/>
      <c r="E37" s="38"/>
      <c r="F37" s="38"/>
      <c r="G37" s="38"/>
      <c r="H37" s="38"/>
      <c r="I37" s="38"/>
      <c r="J37" s="38"/>
      <c r="L37" s="14"/>
      <c r="M37" s="241"/>
    </row>
    <row r="38" spans="1:13">
      <c r="B38" s="2" t="s">
        <v>2381</v>
      </c>
      <c r="C38" s="230" t="str">
        <f>xxMMProd6Driver2</f>
        <v>Advertising</v>
      </c>
      <c r="D38" s="231"/>
      <c r="E38" s="218" t="e">
        <f>decAdv</f>
        <v>#NAME?</v>
      </c>
      <c r="F38" s="218" t="e">
        <f>decAdv</f>
        <v>#NAME?</v>
      </c>
      <c r="G38" s="218" t="e">
        <f>decAdv</f>
        <v>#NAME?</v>
      </c>
      <c r="H38" s="218" t="e">
        <f>decAdv</f>
        <v>#NAME?</v>
      </c>
      <c r="I38" s="218" t="e">
        <f>decAdv</f>
        <v>#NAME?</v>
      </c>
      <c r="J38" s="154"/>
    </row>
    <row r="39" spans="1:13">
      <c r="C39" s="37"/>
      <c r="D39" s="38"/>
      <c r="E39" s="39"/>
      <c r="F39" s="39"/>
      <c r="G39" s="39"/>
      <c r="H39" s="39"/>
      <c r="I39" s="39"/>
      <c r="J39" s="40"/>
    </row>
    <row r="40" spans="1:13">
      <c r="C40" s="37" t="s">
        <v>1137</v>
      </c>
      <c r="D40" s="38"/>
      <c r="E40" s="87" t="e">
        <f>E38</f>
        <v>#NAME?</v>
      </c>
      <c r="F40" s="87" t="e">
        <f>F38</f>
        <v>#NAME?</v>
      </c>
      <c r="G40" s="87" t="e">
        <f>G38</f>
        <v>#NAME?</v>
      </c>
      <c r="H40" s="87" t="e">
        <f>H38</f>
        <v>#NAME?</v>
      </c>
      <c r="I40" s="87" t="e">
        <f>I38</f>
        <v>#NAME?</v>
      </c>
      <c r="J40" s="40"/>
    </row>
    <row r="41" spans="1:13">
      <c r="C41" s="37" t="s">
        <v>965</v>
      </c>
      <c r="D41" s="48">
        <v>1</v>
      </c>
      <c r="E41" s="39" t="e">
        <f>IF(MMInMarket=TRUE,E40,0)</f>
        <v>#NAME?</v>
      </c>
      <c r="F41" s="39" t="e">
        <f>IF(MMInMarket=TRUE,F40,0)</f>
        <v>#NAME?</v>
      </c>
      <c r="G41" s="39" t="e">
        <f>IF(MMInMarket=TRUE,G40,0)</f>
        <v>#NAME?</v>
      </c>
      <c r="H41" s="39" t="e">
        <f>IF(MMInMarket=TRUE,H40,0)</f>
        <v>#NAME?</v>
      </c>
      <c r="I41" s="39" t="e">
        <f>IF(MMInMarket=TRUE,I40,0)</f>
        <v>#NAME?</v>
      </c>
      <c r="J41" s="40"/>
      <c r="L41" s="240" t="s">
        <v>3209</v>
      </c>
      <c r="M41" s="240" t="s">
        <v>3210</v>
      </c>
    </row>
    <row r="42" spans="1:13">
      <c r="C42" s="43" t="s">
        <v>967</v>
      </c>
      <c r="D42" s="42" t="e">
        <f>STDEVP(E41:I41)*D41+(STDEVP(E41:I41)=0)</f>
        <v>#NAME?</v>
      </c>
      <c r="E42" s="71" t="e">
        <f>IF(E41=0,0,NORMDIST(E41,$J42,$D42,TRUE))*(MMInMarket=TRUE)</f>
        <v>#NAME?</v>
      </c>
      <c r="F42" s="71" t="e">
        <f>IF(F41=0,0,NORMDIST(F41,$J42,$D42,TRUE))*(MMInMarket=TRUE)</f>
        <v>#NAME?</v>
      </c>
      <c r="G42" s="71" t="e">
        <f>IF(G41=0,0,NORMDIST(G41,$J42,$D42,TRUE))*(MMInMarket=TRUE)</f>
        <v>#NAME?</v>
      </c>
      <c r="H42" s="71" t="e">
        <f>IF(H41=0,0,NORMDIST(H41,$J42,$D42,TRUE))*(MMInMarket=TRUE)</f>
        <v>#NAME?</v>
      </c>
      <c r="I42" s="71" t="e">
        <f>IF(I41=0,0,NORMDIST(I41,$J42,$D42,TRUE))*(MMInMarket=TRUE)</f>
        <v>#NAME?</v>
      </c>
      <c r="J42" s="201">
        <f>IF($J$24=0,0,SUM(E41:I41)/$J$24)</f>
        <v>0</v>
      </c>
      <c r="K42" s="241">
        <v>0</v>
      </c>
      <c r="L42" s="14">
        <f t="shared" ref="L42:L48" si="7">K42*$J$42</f>
        <v>0</v>
      </c>
      <c r="M42" s="261" t="e">
        <f t="shared" ref="M42:M48" si="8">NORMDIST(L42,$J$42,$D$42,TRUE)</f>
        <v>#NAME?</v>
      </c>
    </row>
    <row r="43" spans="1:13">
      <c r="A43" s="3"/>
      <c r="C43" s="2"/>
      <c r="D43" s="39"/>
      <c r="E43" s="3"/>
      <c r="F43" s="3"/>
      <c r="G43" s="3"/>
      <c r="H43" s="3"/>
      <c r="I43" s="3"/>
      <c r="J43" s="3"/>
      <c r="K43" s="241">
        <v>0.33</v>
      </c>
      <c r="L43" s="14">
        <f t="shared" si="7"/>
        <v>0</v>
      </c>
      <c r="M43" s="261" t="e">
        <f t="shared" si="8"/>
        <v>#NAME?</v>
      </c>
    </row>
    <row r="44" spans="1:13">
      <c r="A44" s="3"/>
      <c r="C44" s="2"/>
      <c r="D44" s="39"/>
      <c r="E44" s="3"/>
      <c r="F44" s="3"/>
      <c r="G44" s="3"/>
      <c r="H44" s="3"/>
      <c r="I44" s="3"/>
      <c r="J44" s="3"/>
      <c r="K44" s="241">
        <v>0.66</v>
      </c>
      <c r="L44" s="14">
        <f t="shared" si="7"/>
        <v>0</v>
      </c>
      <c r="M44" s="261" t="e">
        <f t="shared" si="8"/>
        <v>#NAME?</v>
      </c>
    </row>
    <row r="45" spans="1:13">
      <c r="A45" s="3"/>
      <c r="C45" s="2"/>
      <c r="D45" s="39"/>
      <c r="E45" s="3"/>
      <c r="F45" s="3"/>
      <c r="G45" s="3"/>
      <c r="H45" s="3"/>
      <c r="I45" s="3"/>
      <c r="J45" s="3"/>
      <c r="K45" s="241">
        <v>1</v>
      </c>
      <c r="L45" s="14">
        <f t="shared" si="7"/>
        <v>0</v>
      </c>
      <c r="M45" s="261" t="e">
        <f t="shared" si="8"/>
        <v>#NAME?</v>
      </c>
    </row>
    <row r="46" spans="1:13">
      <c r="A46" s="3"/>
      <c r="C46" s="2"/>
      <c r="D46" s="39"/>
      <c r="E46" s="3"/>
      <c r="F46" s="3"/>
      <c r="G46" s="3"/>
      <c r="H46" s="3"/>
      <c r="I46" s="3"/>
      <c r="J46" s="3"/>
      <c r="K46" s="241">
        <v>1.33</v>
      </c>
      <c r="L46" s="14">
        <f t="shared" si="7"/>
        <v>0</v>
      </c>
      <c r="M46" s="261" t="e">
        <f t="shared" si="8"/>
        <v>#NAME?</v>
      </c>
    </row>
    <row r="47" spans="1:13">
      <c r="A47" s="3"/>
      <c r="B47" s="3"/>
      <c r="C47" s="2"/>
      <c r="D47" s="39"/>
      <c r="E47" s="3"/>
      <c r="F47" s="3"/>
      <c r="G47" s="3"/>
      <c r="H47" s="3"/>
      <c r="I47" s="3"/>
      <c r="J47" s="3"/>
      <c r="K47" s="241">
        <v>1.66</v>
      </c>
      <c r="L47" s="14">
        <f t="shared" si="7"/>
        <v>0</v>
      </c>
      <c r="M47" s="261" t="e">
        <f t="shared" si="8"/>
        <v>#NAME?</v>
      </c>
    </row>
    <row r="48" spans="1:13">
      <c r="A48" s="3"/>
      <c r="B48" s="3"/>
      <c r="C48" s="2"/>
      <c r="D48" s="39"/>
      <c r="E48" s="3"/>
      <c r="F48" s="3"/>
      <c r="G48" s="3"/>
      <c r="H48" s="3"/>
      <c r="I48" s="3"/>
      <c r="J48" s="3"/>
      <c r="K48" s="241">
        <v>2</v>
      </c>
      <c r="L48" s="14">
        <f t="shared" si="7"/>
        <v>0</v>
      </c>
      <c r="M48" s="261" t="e">
        <f t="shared" si="8"/>
        <v>#NAME?</v>
      </c>
    </row>
    <row r="49" spans="1:13">
      <c r="A49" s="3"/>
      <c r="B49" s="3"/>
      <c r="C49" s="2"/>
      <c r="D49" s="39"/>
      <c r="E49" s="3"/>
      <c r="F49" s="3"/>
      <c r="G49" s="3"/>
      <c r="H49" s="3"/>
      <c r="I49" s="3"/>
      <c r="J49" s="3"/>
      <c r="L49" s="14"/>
      <c r="M49" s="241"/>
    </row>
    <row r="50" spans="1:13">
      <c r="B50" s="2" t="s">
        <v>2315</v>
      </c>
      <c r="C50" s="230" t="str">
        <f>xxMMProd6Driver3</f>
        <v>Driver 3</v>
      </c>
      <c r="D50" s="231"/>
      <c r="E50" s="218"/>
      <c r="F50" s="218"/>
      <c r="G50" s="218"/>
      <c r="H50" s="218"/>
      <c r="I50" s="218"/>
      <c r="J50" s="154"/>
    </row>
    <row r="51" spans="1:13">
      <c r="C51" s="37"/>
      <c r="D51" s="38"/>
      <c r="E51" s="39"/>
      <c r="F51" s="39"/>
      <c r="G51" s="39"/>
      <c r="H51" s="39"/>
      <c r="I51" s="39"/>
      <c r="J51" s="40"/>
    </row>
    <row r="52" spans="1:13">
      <c r="C52" s="37" t="s">
        <v>2383</v>
      </c>
      <c r="D52" s="38"/>
      <c r="E52" s="87">
        <f>E50</f>
        <v>0</v>
      </c>
      <c r="F52" s="87">
        <f>F50</f>
        <v>0</v>
      </c>
      <c r="G52" s="87">
        <f>G50</f>
        <v>0</v>
      </c>
      <c r="H52" s="87">
        <f>H50</f>
        <v>0</v>
      </c>
      <c r="I52" s="87">
        <f>I50</f>
        <v>0</v>
      </c>
      <c r="J52" s="40"/>
    </row>
    <row r="53" spans="1:13">
      <c r="C53" s="37" t="s">
        <v>965</v>
      </c>
      <c r="D53" s="48">
        <v>1</v>
      </c>
      <c r="E53" s="87" t="e">
        <f>IF(MMInMarket=TRUE,E52,0)</f>
        <v>#NAME?</v>
      </c>
      <c r="F53" s="87" t="e">
        <f>IF(MMInMarket=TRUE,F52,0)</f>
        <v>#NAME?</v>
      </c>
      <c r="G53" s="87" t="e">
        <f>IF(MMInMarket=TRUE,G52,0)</f>
        <v>#NAME?</v>
      </c>
      <c r="H53" s="87" t="e">
        <f>IF(MMInMarket=TRUE,H52,0)</f>
        <v>#NAME?</v>
      </c>
      <c r="I53" s="87" t="e">
        <f>IF(MMInMarket=TRUE,I52,0)</f>
        <v>#NAME?</v>
      </c>
      <c r="J53" s="40"/>
      <c r="L53" s="240" t="s">
        <v>3209</v>
      </c>
      <c r="M53" s="240" t="s">
        <v>3210</v>
      </c>
    </row>
    <row r="54" spans="1:13">
      <c r="C54" s="43" t="s">
        <v>968</v>
      </c>
      <c r="D54" s="42" t="e">
        <f>STDEVP(E53:I53)*D53+(STDEVP(E53:I53)=0)</f>
        <v>#NAME?</v>
      </c>
      <c r="E54" s="71" t="e">
        <f>IF(E53=0,0,NORMDIST(E53,$J54,$D54,TRUE))*(MMInMarket=TRUE)</f>
        <v>#NAME?</v>
      </c>
      <c r="F54" s="71" t="e">
        <f>IF(F53=0,0,NORMDIST(F53,$J54,$D54,TRUE))*(MMInMarket=TRUE)</f>
        <v>#NAME?</v>
      </c>
      <c r="G54" s="71" t="e">
        <f>IF(G53=0,0,NORMDIST(G53,$J54,$D54,TRUE))*(MMInMarket=TRUE)</f>
        <v>#NAME?</v>
      </c>
      <c r="H54" s="71" t="e">
        <f>IF(H53=0,0,NORMDIST(H53,$J54,$D54,TRUE))*(MMInMarket=TRUE)</f>
        <v>#NAME?</v>
      </c>
      <c r="I54" s="71" t="e">
        <f>IF(I53=0,0,NORMDIST(I53,$J54,$D54,TRUE))*(MMInMarket=TRUE)</f>
        <v>#NAME?</v>
      </c>
      <c r="J54" s="44">
        <f>IF($J$24=0,0,SUM(E53:I53)/$J$24)</f>
        <v>0</v>
      </c>
      <c r="K54" s="241">
        <v>0</v>
      </c>
      <c r="L54" s="14">
        <f t="shared" ref="L54:L60" si="9">K54*$J$54</f>
        <v>0</v>
      </c>
      <c r="M54" s="261" t="e">
        <f t="shared" ref="M54:M60" si="10">NORMDIST(L54,$J$54,$D$54,TRUE)</f>
        <v>#NAME?</v>
      </c>
    </row>
    <row r="55" spans="1:13">
      <c r="A55" s="3"/>
      <c r="C55" s="2"/>
      <c r="D55" s="39"/>
      <c r="E55" s="3"/>
      <c r="F55" s="3"/>
      <c r="G55" s="3"/>
      <c r="H55" s="3"/>
      <c r="I55" s="3"/>
      <c r="J55" s="3"/>
      <c r="K55" s="241">
        <v>0.33</v>
      </c>
      <c r="L55" s="14">
        <f t="shared" si="9"/>
        <v>0</v>
      </c>
      <c r="M55" s="261" t="e">
        <f t="shared" si="10"/>
        <v>#NAME?</v>
      </c>
    </row>
    <row r="56" spans="1:13">
      <c r="A56" s="3"/>
      <c r="C56" s="2"/>
      <c r="D56" s="39"/>
      <c r="E56" s="3"/>
      <c r="F56" s="3"/>
      <c r="G56" s="3"/>
      <c r="H56" s="3"/>
      <c r="I56" s="3"/>
      <c r="J56" s="3"/>
      <c r="K56" s="241">
        <v>0.66</v>
      </c>
      <c r="L56" s="14">
        <f t="shared" si="9"/>
        <v>0</v>
      </c>
      <c r="M56" s="261" t="e">
        <f t="shared" si="10"/>
        <v>#NAME?</v>
      </c>
    </row>
    <row r="57" spans="1:13">
      <c r="A57" s="3"/>
      <c r="C57" s="2"/>
      <c r="D57" s="39"/>
      <c r="E57" s="3"/>
      <c r="F57" s="3"/>
      <c r="G57" s="3"/>
      <c r="H57" s="3"/>
      <c r="I57" s="3"/>
      <c r="J57" s="3"/>
      <c r="K57" s="241">
        <v>1</v>
      </c>
      <c r="L57" s="14">
        <f t="shared" si="9"/>
        <v>0</v>
      </c>
      <c r="M57" s="261" t="e">
        <f t="shared" si="10"/>
        <v>#NAME?</v>
      </c>
    </row>
    <row r="58" spans="1:13">
      <c r="A58" s="3"/>
      <c r="B58" s="3"/>
      <c r="C58" s="2"/>
      <c r="D58" s="39"/>
      <c r="E58" s="3"/>
      <c r="F58" s="3"/>
      <c r="G58" s="3"/>
      <c r="H58" s="3"/>
      <c r="I58" s="3"/>
      <c r="J58" s="3"/>
      <c r="K58" s="241">
        <v>1.33</v>
      </c>
      <c r="L58" s="14">
        <f t="shared" si="9"/>
        <v>0</v>
      </c>
      <c r="M58" s="261" t="e">
        <f t="shared" si="10"/>
        <v>#NAME?</v>
      </c>
    </row>
    <row r="59" spans="1:13">
      <c r="A59" s="3"/>
      <c r="B59" s="3"/>
      <c r="C59" s="2"/>
      <c r="D59" s="39"/>
      <c r="E59" s="3"/>
      <c r="F59" s="3"/>
      <c r="G59" s="3"/>
      <c r="H59" s="3"/>
      <c r="I59" s="3"/>
      <c r="J59" s="3"/>
      <c r="K59" s="241">
        <v>1.66</v>
      </c>
      <c r="L59" s="14">
        <f t="shared" si="9"/>
        <v>0</v>
      </c>
      <c r="M59" s="261" t="e">
        <f t="shared" si="10"/>
        <v>#NAME?</v>
      </c>
    </row>
    <row r="60" spans="1:13">
      <c r="A60" s="3"/>
      <c r="B60" s="38"/>
      <c r="C60" s="62"/>
      <c r="D60" s="39"/>
      <c r="E60" s="38"/>
      <c r="F60" s="38"/>
      <c r="G60" s="38"/>
      <c r="H60" s="38"/>
      <c r="I60" s="38"/>
      <c r="J60" s="38"/>
      <c r="K60" s="241">
        <v>2</v>
      </c>
      <c r="L60" s="14">
        <f t="shared" si="9"/>
        <v>0</v>
      </c>
      <c r="M60" s="261" t="e">
        <f t="shared" si="10"/>
        <v>#NAME?</v>
      </c>
    </row>
    <row r="61" spans="1:13" ht="14.25" customHeight="1">
      <c r="A61" s="3"/>
      <c r="B61" s="3"/>
      <c r="C61" s="202"/>
      <c r="D61" s="203"/>
      <c r="E61" s="67"/>
      <c r="F61" s="67"/>
      <c r="G61" s="67"/>
      <c r="H61" s="67"/>
      <c r="I61" s="67"/>
      <c r="J61" s="204"/>
      <c r="K61" s="3"/>
    </row>
    <row r="62" spans="1:13">
      <c r="B62" s="2" t="s">
        <v>2316</v>
      </c>
      <c r="C62" s="230" t="str">
        <f>xxMMProd6Driver4</f>
        <v>Driver 4</v>
      </c>
      <c r="D62" s="231"/>
      <c r="E62" s="219"/>
      <c r="F62" s="219"/>
      <c r="G62" s="219"/>
      <c r="H62" s="219"/>
      <c r="I62" s="219"/>
      <c r="J62" s="154"/>
    </row>
    <row r="63" spans="1:13">
      <c r="C63" s="37"/>
      <c r="D63" s="38"/>
      <c r="E63" s="39"/>
      <c r="F63" s="39"/>
      <c r="G63" s="39"/>
      <c r="H63" s="39"/>
      <c r="I63" s="39"/>
      <c r="J63" s="40"/>
    </row>
    <row r="64" spans="1:13">
      <c r="C64" s="37" t="s">
        <v>2382</v>
      </c>
      <c r="D64" s="38"/>
      <c r="E64" s="87">
        <f>E62</f>
        <v>0</v>
      </c>
      <c r="F64" s="87">
        <f>F62</f>
        <v>0</v>
      </c>
      <c r="G64" s="87">
        <f>G62</f>
        <v>0</v>
      </c>
      <c r="H64" s="87">
        <f>H62</f>
        <v>0</v>
      </c>
      <c r="I64" s="87">
        <f>I62</f>
        <v>0</v>
      </c>
      <c r="J64" s="40"/>
    </row>
    <row r="65" spans="1:13">
      <c r="C65" s="37" t="s">
        <v>965</v>
      </c>
      <c r="D65" s="48">
        <v>1</v>
      </c>
      <c r="E65" s="87" t="e">
        <f>IF(MMInMarket=TRUE,E64,0)</f>
        <v>#NAME?</v>
      </c>
      <c r="F65" s="87" t="e">
        <f>IF(MMInMarket=TRUE,F64,0)</f>
        <v>#NAME?</v>
      </c>
      <c r="G65" s="87" t="e">
        <f>IF(MMInMarket=TRUE,G64,0)</f>
        <v>#NAME?</v>
      </c>
      <c r="H65" s="87" t="e">
        <f>IF(MMInMarket=TRUE,H64,0)</f>
        <v>#NAME?</v>
      </c>
      <c r="I65" s="87" t="e">
        <f>IF(MMInMarket=TRUE,I64,0)</f>
        <v>#NAME?</v>
      </c>
      <c r="J65" s="40"/>
      <c r="L65" s="240" t="s">
        <v>3209</v>
      </c>
      <c r="M65" s="240" t="s">
        <v>3210</v>
      </c>
    </row>
    <row r="66" spans="1:13">
      <c r="C66" s="43" t="s">
        <v>969</v>
      </c>
      <c r="D66" s="42" t="e">
        <f>STDEVP(E65:I65)*D65+(STDEVP(E65:I65)=0)</f>
        <v>#NAME?</v>
      </c>
      <c r="E66" s="71" t="e">
        <f>IF(E65=0,0,NORMDIST(E65,$J66,$D66,TRUE))*(MMInMarket=TRUE)</f>
        <v>#NAME?</v>
      </c>
      <c r="F66" s="71" t="e">
        <f>IF(F65=0,0,NORMDIST(F65,$J66,$D66,TRUE))*(MMInMarket=TRUE)</f>
        <v>#NAME?</v>
      </c>
      <c r="G66" s="71" t="e">
        <f>IF(G65=0,0,NORMDIST(G65,$J66,$D66,TRUE))*(MMInMarket=TRUE)</f>
        <v>#NAME?</v>
      </c>
      <c r="H66" s="71" t="e">
        <f>IF(H65=0,0,NORMDIST(H65,$J66,$D66,TRUE))*(MMInMarket=TRUE)</f>
        <v>#NAME?</v>
      </c>
      <c r="I66" s="71" t="e">
        <f>IF(I65=0,0,NORMDIST(I65,$J66,$D66,TRUE))*(MMInMarket=TRUE)</f>
        <v>#NAME?</v>
      </c>
      <c r="J66" s="44">
        <f>IF($J$24=0,0,SUM(E65:I65)/$J$24)</f>
        <v>0</v>
      </c>
      <c r="K66" s="241">
        <v>0</v>
      </c>
      <c r="L66" s="14">
        <f t="shared" ref="L66:L72" si="11">K66*$J$66</f>
        <v>0</v>
      </c>
      <c r="M66" s="261" t="e">
        <f t="shared" ref="M66:M72" si="12">NORMDIST(L66,$J$66,$D$66,TRUE)</f>
        <v>#NAME?</v>
      </c>
    </row>
    <row r="67" spans="1:13">
      <c r="A67" s="3"/>
      <c r="C67" s="2"/>
      <c r="D67" s="39"/>
      <c r="E67" s="3"/>
      <c r="F67" s="3"/>
      <c r="G67" s="3"/>
      <c r="H67" s="3"/>
      <c r="I67" s="3"/>
      <c r="J67" s="3"/>
      <c r="K67" s="241">
        <v>0.33</v>
      </c>
      <c r="L67" s="14">
        <f t="shared" si="11"/>
        <v>0</v>
      </c>
      <c r="M67" s="261" t="e">
        <f t="shared" si="12"/>
        <v>#NAME?</v>
      </c>
    </row>
    <row r="68" spans="1:13">
      <c r="A68" s="3"/>
      <c r="C68" s="2"/>
      <c r="D68" s="39"/>
      <c r="E68" s="3"/>
      <c r="F68" s="3"/>
      <c r="G68" s="3"/>
      <c r="H68" s="3"/>
      <c r="I68" s="3"/>
      <c r="J68" s="3"/>
      <c r="K68" s="241">
        <v>0.66</v>
      </c>
      <c r="L68" s="14">
        <f t="shared" si="11"/>
        <v>0</v>
      </c>
      <c r="M68" s="261" t="e">
        <f t="shared" si="12"/>
        <v>#NAME?</v>
      </c>
    </row>
    <row r="69" spans="1:13">
      <c r="A69" s="3"/>
      <c r="B69" s="3"/>
      <c r="C69" s="2"/>
      <c r="D69" s="39"/>
      <c r="E69" s="3"/>
      <c r="F69" s="3"/>
      <c r="G69" s="3"/>
      <c r="H69" s="3"/>
      <c r="I69" s="3"/>
      <c r="J69" s="3"/>
      <c r="K69" s="241">
        <v>1</v>
      </c>
      <c r="L69" s="14">
        <f t="shared" si="11"/>
        <v>0</v>
      </c>
      <c r="M69" s="261" t="e">
        <f t="shared" si="12"/>
        <v>#NAME?</v>
      </c>
    </row>
    <row r="70" spans="1:13">
      <c r="A70" s="3"/>
      <c r="B70" s="3"/>
      <c r="C70" s="2"/>
      <c r="D70" s="39"/>
      <c r="E70" s="3"/>
      <c r="F70" s="3"/>
      <c r="G70" s="3"/>
      <c r="H70" s="3"/>
      <c r="I70" s="3"/>
      <c r="J70" s="3"/>
      <c r="K70" s="241">
        <v>1.33</v>
      </c>
      <c r="L70" s="14">
        <f t="shared" si="11"/>
        <v>0</v>
      </c>
      <c r="M70" s="261" t="e">
        <f t="shared" si="12"/>
        <v>#NAME?</v>
      </c>
    </row>
    <row r="71" spans="1:13">
      <c r="A71" s="3"/>
      <c r="B71" s="3"/>
      <c r="C71" s="2"/>
      <c r="D71" s="39"/>
      <c r="E71" s="3"/>
      <c r="F71" s="3"/>
      <c r="G71" s="3"/>
      <c r="H71" s="3"/>
      <c r="I71" s="3"/>
      <c r="J71" s="3"/>
      <c r="K71" s="241">
        <v>1.66</v>
      </c>
      <c r="L71" s="14">
        <f t="shared" si="11"/>
        <v>0</v>
      </c>
      <c r="M71" s="261" t="e">
        <f t="shared" si="12"/>
        <v>#NAME?</v>
      </c>
    </row>
    <row r="72" spans="1:13">
      <c r="A72" s="3"/>
      <c r="B72" s="3"/>
      <c r="C72" s="2"/>
      <c r="D72" s="39"/>
      <c r="E72" s="3"/>
      <c r="F72" s="3"/>
      <c r="G72" s="3"/>
      <c r="H72" s="3"/>
      <c r="I72" s="3"/>
      <c r="J72" s="3"/>
      <c r="K72" s="241">
        <v>2</v>
      </c>
      <c r="L72" s="14">
        <f t="shared" si="11"/>
        <v>0</v>
      </c>
      <c r="M72" s="261" t="e">
        <f t="shared" si="12"/>
        <v>#NAME?</v>
      </c>
    </row>
    <row r="73" spans="1:13">
      <c r="A73" s="3"/>
      <c r="B73" s="3"/>
      <c r="C73" s="62"/>
      <c r="D73" s="39"/>
      <c r="E73" s="38"/>
      <c r="F73" s="38"/>
      <c r="G73" s="38"/>
      <c r="H73" s="38"/>
      <c r="I73" s="38"/>
      <c r="J73" s="38"/>
      <c r="K73" s="3"/>
    </row>
    <row r="74" spans="1:13">
      <c r="B74" s="2" t="s">
        <v>2317</v>
      </c>
      <c r="C74" s="230" t="str">
        <f>xxMMProd6Driver5</f>
        <v>Driver 5</v>
      </c>
      <c r="D74" s="231"/>
      <c r="E74" s="218"/>
      <c r="F74" s="218"/>
      <c r="G74" s="218"/>
      <c r="H74" s="218"/>
      <c r="I74" s="218"/>
      <c r="J74" s="154"/>
    </row>
    <row r="75" spans="1:13">
      <c r="C75" s="37"/>
      <c r="D75" s="38"/>
      <c r="E75" s="39"/>
      <c r="F75" s="39"/>
      <c r="G75" s="39"/>
      <c r="H75" s="39"/>
      <c r="I75" s="39"/>
      <c r="J75" s="40"/>
    </row>
    <row r="76" spans="1:13">
      <c r="C76" s="37" t="s">
        <v>2382</v>
      </c>
      <c r="D76" s="38"/>
      <c r="E76" s="87">
        <f>E74</f>
        <v>0</v>
      </c>
      <c r="F76" s="87">
        <f>F74</f>
        <v>0</v>
      </c>
      <c r="G76" s="87">
        <f>G74</f>
        <v>0</v>
      </c>
      <c r="H76" s="87">
        <f>H74</f>
        <v>0</v>
      </c>
      <c r="I76" s="87">
        <f>I74</f>
        <v>0</v>
      </c>
      <c r="J76" s="40"/>
    </row>
    <row r="77" spans="1:13">
      <c r="C77" s="37" t="s">
        <v>965</v>
      </c>
      <c r="D77" s="48">
        <v>1</v>
      </c>
      <c r="E77" s="87" t="e">
        <f>IF(MMInMarket=TRUE,E76,0)</f>
        <v>#NAME?</v>
      </c>
      <c r="F77" s="87" t="e">
        <f>IF(MMInMarket=TRUE,F76,0)</f>
        <v>#NAME?</v>
      </c>
      <c r="G77" s="87" t="e">
        <f>IF(MMInMarket=TRUE,G76,0)</f>
        <v>#NAME?</v>
      </c>
      <c r="H77" s="87" t="e">
        <f>IF(MMInMarket=TRUE,H76,0)</f>
        <v>#NAME?</v>
      </c>
      <c r="I77" s="87" t="e">
        <f>IF(MMInMarket=TRUE,I76,0)</f>
        <v>#NAME?</v>
      </c>
      <c r="J77" s="40"/>
      <c r="L77" s="240" t="s">
        <v>3209</v>
      </c>
      <c r="M77" s="240" t="s">
        <v>3210</v>
      </c>
    </row>
    <row r="78" spans="1:13">
      <c r="C78" s="43" t="s">
        <v>970</v>
      </c>
      <c r="D78" s="42" t="e">
        <f>STDEVP(E77:I77)*D77+(STDEVP(E77:I77)=0)</f>
        <v>#NAME?</v>
      </c>
      <c r="E78" s="71" t="e">
        <f>IF(E77=0,0,NORMDIST(E77,$J78,$D78,TRUE))*(MMInMarket=TRUE)</f>
        <v>#NAME?</v>
      </c>
      <c r="F78" s="71" t="e">
        <f>IF(F77=0,0,NORMDIST(F77,$J78,$D78,TRUE))*(MMInMarket=TRUE)</f>
        <v>#NAME?</v>
      </c>
      <c r="G78" s="71" t="e">
        <f>IF(G77=0,0,NORMDIST(G77,$J78,$D78,TRUE))*(MMInMarket=TRUE)</f>
        <v>#NAME?</v>
      </c>
      <c r="H78" s="71" t="e">
        <f>IF(H77=0,0,NORMDIST(H77,$J78,$D78,TRUE))*(MMInMarket=TRUE)</f>
        <v>#NAME?</v>
      </c>
      <c r="I78" s="71" t="e">
        <f>IF(I77=0,0,NORMDIST(I77,$J78,$D78,TRUE))*(MMInMarket=TRUE)</f>
        <v>#NAME?</v>
      </c>
      <c r="J78" s="44">
        <f>IF($J$24=0,0,SUM(E77:I77)/$J$24)</f>
        <v>0</v>
      </c>
      <c r="K78" s="241">
        <v>0</v>
      </c>
      <c r="L78" s="14">
        <f t="shared" ref="L78:L84" si="13">K78*$J$78</f>
        <v>0</v>
      </c>
      <c r="M78" s="261" t="e">
        <f t="shared" ref="M78:M84" si="14">NORMDIST(L78,$J$78,$D$78,TRUE)</f>
        <v>#NAME?</v>
      </c>
    </row>
    <row r="79" spans="1:13">
      <c r="A79" s="3"/>
      <c r="C79" s="2"/>
      <c r="D79" s="39"/>
      <c r="E79" s="3"/>
      <c r="F79" s="3"/>
      <c r="G79" s="3"/>
      <c r="H79" s="3"/>
      <c r="I79" s="3"/>
      <c r="J79" s="3"/>
      <c r="K79" s="241">
        <v>0.33</v>
      </c>
      <c r="L79" s="14">
        <f t="shared" si="13"/>
        <v>0</v>
      </c>
      <c r="M79" s="261" t="e">
        <f t="shared" si="14"/>
        <v>#NAME?</v>
      </c>
    </row>
    <row r="80" spans="1:13">
      <c r="A80" s="3"/>
      <c r="B80" s="3"/>
      <c r="C80" s="2"/>
      <c r="D80" s="39"/>
      <c r="E80" s="3"/>
      <c r="F80" s="3"/>
      <c r="G80" s="3"/>
      <c r="H80" s="3"/>
      <c r="I80" s="3"/>
      <c r="J80" s="3"/>
      <c r="K80" s="241">
        <v>0.66</v>
      </c>
      <c r="L80" s="14">
        <f t="shared" si="13"/>
        <v>0</v>
      </c>
      <c r="M80" s="261" t="e">
        <f t="shared" si="14"/>
        <v>#NAME?</v>
      </c>
    </row>
    <row r="81" spans="1:13">
      <c r="A81" s="3"/>
      <c r="B81" s="3"/>
      <c r="C81" s="2"/>
      <c r="D81" s="39"/>
      <c r="E81" s="3"/>
      <c r="F81" s="3"/>
      <c r="G81" s="3"/>
      <c r="H81" s="3"/>
      <c r="I81" s="3"/>
      <c r="J81" s="3"/>
      <c r="K81" s="241">
        <v>1</v>
      </c>
      <c r="L81" s="14">
        <f t="shared" si="13"/>
        <v>0</v>
      </c>
      <c r="M81" s="261" t="e">
        <f t="shared" si="14"/>
        <v>#NAME?</v>
      </c>
    </row>
    <row r="82" spans="1:13">
      <c r="A82" s="3"/>
      <c r="B82" s="3"/>
      <c r="C82" s="2"/>
      <c r="D82" s="39"/>
      <c r="E82" s="3"/>
      <c r="F82" s="3"/>
      <c r="G82" s="3"/>
      <c r="H82" s="3"/>
      <c r="I82" s="3"/>
      <c r="J82" s="3"/>
      <c r="K82" s="241">
        <v>1.33</v>
      </c>
      <c r="L82" s="14">
        <f t="shared" si="13"/>
        <v>0</v>
      </c>
      <c r="M82" s="261" t="e">
        <f t="shared" si="14"/>
        <v>#NAME?</v>
      </c>
    </row>
    <row r="83" spans="1:13">
      <c r="A83" s="3"/>
      <c r="B83" s="3"/>
      <c r="C83" s="2"/>
      <c r="D83" s="39"/>
      <c r="E83" s="3"/>
      <c r="F83" s="3"/>
      <c r="G83" s="3"/>
      <c r="H83" s="3"/>
      <c r="I83" s="3"/>
      <c r="J83" s="3"/>
      <c r="K83" s="241">
        <v>1.66</v>
      </c>
      <c r="L83" s="14">
        <f t="shared" si="13"/>
        <v>0</v>
      </c>
      <c r="M83" s="261" t="e">
        <f t="shared" si="14"/>
        <v>#NAME?</v>
      </c>
    </row>
    <row r="84" spans="1:13">
      <c r="A84" s="3"/>
      <c r="B84" s="3"/>
      <c r="C84" s="2"/>
      <c r="D84" s="39"/>
      <c r="E84" s="3"/>
      <c r="F84" s="3"/>
      <c r="G84" s="3"/>
      <c r="H84" s="3"/>
      <c r="I84" s="3"/>
      <c r="J84" s="3"/>
      <c r="K84" s="241">
        <v>2</v>
      </c>
      <c r="L84" s="14">
        <f t="shared" si="13"/>
        <v>0</v>
      </c>
      <c r="M84" s="261" t="e">
        <f t="shared" si="14"/>
        <v>#NAME?</v>
      </c>
    </row>
    <row r="85" spans="1:13">
      <c r="A85" s="3"/>
      <c r="B85" s="3"/>
      <c r="C85" s="2"/>
      <c r="D85" s="39"/>
      <c r="E85" s="3"/>
      <c r="F85" s="3"/>
      <c r="G85" s="3"/>
      <c r="H85" s="3"/>
      <c r="I85" s="3"/>
      <c r="J85" s="3"/>
      <c r="K85" s="3"/>
    </row>
    <row r="86" spans="1:13">
      <c r="B86" s="2" t="s">
        <v>2318</v>
      </c>
      <c r="C86" s="230" t="str">
        <f>xxMMProd6Driver6</f>
        <v>Driver 6</v>
      </c>
      <c r="D86" s="231"/>
      <c r="E86" s="218"/>
      <c r="F86" s="218"/>
      <c r="G86" s="218"/>
      <c r="H86" s="218"/>
      <c r="I86" s="218"/>
      <c r="J86" s="154"/>
    </row>
    <row r="87" spans="1:13">
      <c r="C87" s="37"/>
      <c r="D87" s="38"/>
      <c r="E87" s="39"/>
      <c r="F87" s="39"/>
      <c r="G87" s="39"/>
      <c r="H87" s="39"/>
      <c r="I87" s="39"/>
      <c r="J87" s="40"/>
    </row>
    <row r="88" spans="1:13">
      <c r="C88" s="37" t="s">
        <v>2383</v>
      </c>
      <c r="D88" s="38"/>
      <c r="E88" s="87">
        <f>E86</f>
        <v>0</v>
      </c>
      <c r="F88" s="87">
        <f>F86</f>
        <v>0</v>
      </c>
      <c r="G88" s="87">
        <f>G86</f>
        <v>0</v>
      </c>
      <c r="H88" s="87">
        <f>H86</f>
        <v>0</v>
      </c>
      <c r="I88" s="87">
        <f>I86</f>
        <v>0</v>
      </c>
      <c r="J88" s="40"/>
    </row>
    <row r="89" spans="1:13">
      <c r="C89" s="37" t="s">
        <v>965</v>
      </c>
      <c r="D89" s="48">
        <v>1</v>
      </c>
      <c r="E89" s="87" t="e">
        <f>IF(MMInMarket=TRUE,E88,0)</f>
        <v>#NAME?</v>
      </c>
      <c r="F89" s="87" t="e">
        <f>IF(MMInMarket=TRUE,F88,0)</f>
        <v>#NAME?</v>
      </c>
      <c r="G89" s="87" t="e">
        <f>IF(MMInMarket=TRUE,G88,0)</f>
        <v>#NAME?</v>
      </c>
      <c r="H89" s="87" t="e">
        <f>IF(MMInMarket=TRUE,H88,0)</f>
        <v>#NAME?</v>
      </c>
      <c r="I89" s="87" t="e">
        <f>IF(MMInMarket=TRUE,I88,0)</f>
        <v>#NAME?</v>
      </c>
      <c r="J89" s="40"/>
      <c r="L89" s="240" t="s">
        <v>3209</v>
      </c>
      <c r="M89" s="240" t="s">
        <v>3210</v>
      </c>
    </row>
    <row r="90" spans="1:13">
      <c r="C90" s="43" t="s">
        <v>971</v>
      </c>
      <c r="D90" s="42" t="e">
        <f>STDEVP(E89:I89)*D89+(STDEVP(E89:I89)=0)</f>
        <v>#NAME?</v>
      </c>
      <c r="E90" s="71" t="e">
        <f>IF(E89=0,0,NORMDIST(E89,$J90,$D90,TRUE))*(MMInMarket=TRUE)</f>
        <v>#NAME?</v>
      </c>
      <c r="F90" s="71" t="e">
        <f>IF(F89=0,0,NORMDIST(F89,$J90,$D90,TRUE))*(MMInMarket=TRUE)</f>
        <v>#NAME?</v>
      </c>
      <c r="G90" s="71" t="e">
        <f>IF(G89=0,0,NORMDIST(G89,$J90,$D90,TRUE))*(MMInMarket=TRUE)</f>
        <v>#NAME?</v>
      </c>
      <c r="H90" s="71" t="e">
        <f>IF(H89=0,0,NORMDIST(H89,$J90,$D90,TRUE))*(MMInMarket=TRUE)</f>
        <v>#NAME?</v>
      </c>
      <c r="I90" s="71" t="e">
        <f>IF(I89=0,0,NORMDIST(I89,$J90,$D90,TRUE))*(MMInMarket=TRUE)</f>
        <v>#NAME?</v>
      </c>
      <c r="J90" s="44">
        <f>IF($J$24=0,0,SUM(E89:I89)/$J$24)</f>
        <v>0</v>
      </c>
      <c r="K90" s="241">
        <v>0</v>
      </c>
      <c r="L90" s="14">
        <f t="shared" ref="L90:L96" si="15">K90*$J$90</f>
        <v>0</v>
      </c>
      <c r="M90" s="261" t="e">
        <f t="shared" ref="M90:M96" si="16">NORMDIST(L90,$J$90,$D$90,TRUE)</f>
        <v>#NAME?</v>
      </c>
    </row>
    <row r="91" spans="1:13">
      <c r="A91" s="3"/>
      <c r="B91" s="3"/>
      <c r="C91" s="2"/>
      <c r="D91" s="39"/>
      <c r="E91" s="3"/>
      <c r="F91" s="3"/>
      <c r="G91" s="3"/>
      <c r="H91" s="3"/>
      <c r="I91" s="3"/>
      <c r="J91" s="3"/>
      <c r="K91" s="241">
        <v>0.33</v>
      </c>
      <c r="L91" s="14">
        <f t="shared" si="15"/>
        <v>0</v>
      </c>
      <c r="M91" s="261" t="e">
        <f t="shared" si="16"/>
        <v>#NAME?</v>
      </c>
    </row>
    <row r="92" spans="1:13">
      <c r="A92" s="3"/>
      <c r="B92" s="3"/>
      <c r="C92" s="2"/>
      <c r="D92" s="39"/>
      <c r="E92" s="3"/>
      <c r="F92" s="3"/>
      <c r="G92" s="3"/>
      <c r="H92" s="3"/>
      <c r="I92" s="3"/>
      <c r="J92" s="3"/>
      <c r="K92" s="241">
        <v>0.66</v>
      </c>
      <c r="L92" s="14">
        <f t="shared" si="15"/>
        <v>0</v>
      </c>
      <c r="M92" s="261" t="e">
        <f t="shared" si="16"/>
        <v>#NAME?</v>
      </c>
    </row>
    <row r="93" spans="1:13">
      <c r="A93" s="3"/>
      <c r="B93" s="3"/>
      <c r="C93" s="2"/>
      <c r="D93" s="39"/>
      <c r="E93" s="3"/>
      <c r="F93" s="3"/>
      <c r="G93" s="3"/>
      <c r="H93" s="3"/>
      <c r="I93" s="3"/>
      <c r="J93" s="3"/>
      <c r="K93" s="241">
        <v>1</v>
      </c>
      <c r="L93" s="14">
        <f t="shared" si="15"/>
        <v>0</v>
      </c>
      <c r="M93" s="261" t="e">
        <f t="shared" si="16"/>
        <v>#NAME?</v>
      </c>
    </row>
    <row r="94" spans="1:13">
      <c r="A94" s="3"/>
      <c r="B94" s="3"/>
      <c r="C94" s="2"/>
      <c r="D94" s="39"/>
      <c r="E94" s="3"/>
      <c r="F94" s="3"/>
      <c r="G94" s="3"/>
      <c r="H94" s="3"/>
      <c r="I94" s="3"/>
      <c r="J94" s="3"/>
      <c r="K94" s="241">
        <v>1.33</v>
      </c>
      <c r="L94" s="14">
        <f t="shared" si="15"/>
        <v>0</v>
      </c>
      <c r="M94" s="261" t="e">
        <f t="shared" si="16"/>
        <v>#NAME?</v>
      </c>
    </row>
    <row r="95" spans="1:13">
      <c r="A95" s="3"/>
      <c r="B95" s="3"/>
      <c r="C95" s="2"/>
      <c r="D95" s="39"/>
      <c r="E95" s="3"/>
      <c r="F95" s="3"/>
      <c r="G95" s="3"/>
      <c r="H95" s="3"/>
      <c r="I95" s="3"/>
      <c r="J95" s="3"/>
      <c r="K95" s="241">
        <v>1.66</v>
      </c>
      <c r="L95" s="14">
        <f t="shared" si="15"/>
        <v>0</v>
      </c>
      <c r="M95" s="261" t="e">
        <f t="shared" si="16"/>
        <v>#NAME?</v>
      </c>
    </row>
    <row r="96" spans="1:13">
      <c r="A96" s="3"/>
      <c r="B96" s="3"/>
      <c r="C96" s="2"/>
      <c r="D96" s="39"/>
      <c r="E96" s="3"/>
      <c r="F96" s="3"/>
      <c r="G96" s="3"/>
      <c r="H96" s="3"/>
      <c r="I96" s="3"/>
      <c r="J96" s="3"/>
      <c r="K96" s="241">
        <v>2</v>
      </c>
      <c r="L96" s="14">
        <f t="shared" si="15"/>
        <v>0</v>
      </c>
      <c r="M96" s="261" t="e">
        <f t="shared" si="16"/>
        <v>#NAME?</v>
      </c>
    </row>
    <row r="97" spans="1:13">
      <c r="A97" s="3"/>
      <c r="B97" s="3"/>
      <c r="C97" s="2"/>
      <c r="D97" s="39"/>
      <c r="E97" s="3"/>
      <c r="F97" s="3"/>
      <c r="G97" s="3"/>
      <c r="H97" s="3"/>
      <c r="I97" s="3"/>
      <c r="J97" s="3"/>
      <c r="L97" s="14"/>
      <c r="M97" s="241"/>
    </row>
    <row r="98" spans="1:13">
      <c r="B98" s="2" t="s">
        <v>2319</v>
      </c>
      <c r="C98" s="230" t="str">
        <f>xxMMProd6Driver7</f>
        <v>Driver 7</v>
      </c>
      <c r="D98" s="231"/>
      <c r="E98" s="218"/>
      <c r="F98" s="218"/>
      <c r="G98" s="218"/>
      <c r="H98" s="218"/>
      <c r="I98" s="218"/>
      <c r="J98" s="154"/>
    </row>
    <row r="99" spans="1:13">
      <c r="C99" s="37"/>
      <c r="D99" s="38"/>
      <c r="E99" s="39"/>
      <c r="F99" s="39"/>
      <c r="G99" s="39"/>
      <c r="H99" s="39"/>
      <c r="I99" s="39"/>
      <c r="J99" s="40"/>
    </row>
    <row r="100" spans="1:13">
      <c r="C100" s="37" t="s">
        <v>2383</v>
      </c>
      <c r="D100" s="38"/>
      <c r="E100" s="87">
        <f>E98</f>
        <v>0</v>
      </c>
      <c r="F100" s="87">
        <f>F98</f>
        <v>0</v>
      </c>
      <c r="G100" s="87">
        <f>G98</f>
        <v>0</v>
      </c>
      <c r="H100" s="87">
        <f>H98</f>
        <v>0</v>
      </c>
      <c r="I100" s="87">
        <f>I98</f>
        <v>0</v>
      </c>
      <c r="J100" s="40"/>
    </row>
    <row r="101" spans="1:13">
      <c r="C101" s="37" t="s">
        <v>965</v>
      </c>
      <c r="D101" s="48">
        <v>1</v>
      </c>
      <c r="E101" s="87" t="e">
        <f>IF(MMInMarket=TRUE,E100,0)</f>
        <v>#NAME?</v>
      </c>
      <c r="F101" s="87" t="e">
        <f>IF(MMInMarket=TRUE,F100,0)</f>
        <v>#NAME?</v>
      </c>
      <c r="G101" s="87" t="e">
        <f>IF(MMInMarket=TRUE,G100,0)</f>
        <v>#NAME?</v>
      </c>
      <c r="H101" s="87" t="e">
        <f>IF(MMInMarket=TRUE,H100,0)</f>
        <v>#NAME?</v>
      </c>
      <c r="I101" s="87" t="e">
        <f>IF(MMInMarket=TRUE,I100,0)</f>
        <v>#NAME?</v>
      </c>
      <c r="J101" s="40"/>
      <c r="L101" s="240" t="s">
        <v>3209</v>
      </c>
      <c r="M101" s="240" t="s">
        <v>3210</v>
      </c>
    </row>
    <row r="102" spans="1:13">
      <c r="C102" s="43" t="s">
        <v>972</v>
      </c>
      <c r="D102" s="42" t="e">
        <f>STDEVP(E101:I101)*D101+(STDEVP(E101:I101)=0)</f>
        <v>#NAME?</v>
      </c>
      <c r="E102" s="71" t="e">
        <f>IF(E101=0,0,NORMDIST(E101,$J102,$D102,TRUE))*(MMInMarket=TRUE)</f>
        <v>#NAME?</v>
      </c>
      <c r="F102" s="71" t="e">
        <f>IF(F101=0,0,NORMDIST(F101,$J102,$D102,TRUE))*(MMInMarket=TRUE)</f>
        <v>#NAME?</v>
      </c>
      <c r="G102" s="71" t="e">
        <f>IF(G101=0,0,NORMDIST(G101,$J102,$D102,TRUE))*(MMInMarket=TRUE)</f>
        <v>#NAME?</v>
      </c>
      <c r="H102" s="71" t="e">
        <f>IF(H101=0,0,NORMDIST(H101,$J102,$D102,TRUE))*(MMInMarket=TRUE)</f>
        <v>#NAME?</v>
      </c>
      <c r="I102" s="71" t="e">
        <f>IF(I101=0,0,NORMDIST(I101,$J102,$D102,TRUE))*(MMInMarket=TRUE)</f>
        <v>#NAME?</v>
      </c>
      <c r="J102" s="44">
        <f>IF($J$24=0,0,SUM(E101:I101)/$J$24)</f>
        <v>0</v>
      </c>
      <c r="K102" s="241">
        <v>0</v>
      </c>
      <c r="L102" s="14">
        <f t="shared" ref="L102:L108" si="17">K102*$J$102</f>
        <v>0</v>
      </c>
      <c r="M102" s="261" t="e">
        <f t="shared" ref="M102:M108" si="18">NORMDIST(L102,$J$102,$D$102,TRUE)</f>
        <v>#NAME?</v>
      </c>
    </row>
    <row r="103" spans="1:13">
      <c r="A103" s="3"/>
      <c r="B103" s="3"/>
      <c r="C103" s="2"/>
      <c r="D103" s="39"/>
      <c r="E103" s="3"/>
      <c r="F103" s="3"/>
      <c r="G103" s="3"/>
      <c r="H103" s="3"/>
      <c r="I103" s="3"/>
      <c r="J103" s="3"/>
      <c r="K103" s="241">
        <v>0.33</v>
      </c>
      <c r="L103" s="14">
        <f t="shared" si="17"/>
        <v>0</v>
      </c>
      <c r="M103" s="261" t="e">
        <f t="shared" si="18"/>
        <v>#NAME?</v>
      </c>
    </row>
    <row r="104" spans="1:13">
      <c r="A104" s="3"/>
      <c r="B104" s="3"/>
      <c r="C104" s="2"/>
      <c r="D104" s="39"/>
      <c r="E104" s="3"/>
      <c r="F104" s="3"/>
      <c r="G104" s="3"/>
      <c r="H104" s="3"/>
      <c r="I104" s="3"/>
      <c r="J104" s="3"/>
      <c r="K104" s="241">
        <v>0.66</v>
      </c>
      <c r="L104" s="14">
        <f t="shared" si="17"/>
        <v>0</v>
      </c>
      <c r="M104" s="261" t="e">
        <f t="shared" si="18"/>
        <v>#NAME?</v>
      </c>
    </row>
    <row r="105" spans="1:13">
      <c r="A105" s="3"/>
      <c r="B105" s="3"/>
      <c r="C105" s="2"/>
      <c r="D105" s="39"/>
      <c r="E105" s="3"/>
      <c r="F105" s="3"/>
      <c r="G105" s="3"/>
      <c r="H105" s="3"/>
      <c r="I105" s="3"/>
      <c r="J105" s="3"/>
      <c r="K105" s="241">
        <v>1</v>
      </c>
      <c r="L105" s="14">
        <f t="shared" si="17"/>
        <v>0</v>
      </c>
      <c r="M105" s="261" t="e">
        <f t="shared" si="18"/>
        <v>#NAME?</v>
      </c>
    </row>
    <row r="106" spans="1:13">
      <c r="A106" s="3"/>
      <c r="B106" s="3"/>
      <c r="C106" s="2"/>
      <c r="D106" s="39"/>
      <c r="E106" s="3"/>
      <c r="F106" s="3"/>
      <c r="G106" s="3"/>
      <c r="H106" s="3"/>
      <c r="I106" s="3"/>
      <c r="J106" s="3"/>
      <c r="K106" s="241">
        <v>1.33</v>
      </c>
      <c r="L106" s="14">
        <f t="shared" si="17"/>
        <v>0</v>
      </c>
      <c r="M106" s="261" t="e">
        <f t="shared" si="18"/>
        <v>#NAME?</v>
      </c>
    </row>
    <row r="107" spans="1:13">
      <c r="A107" s="3"/>
      <c r="B107" s="3"/>
      <c r="C107" s="2"/>
      <c r="D107" s="39"/>
      <c r="E107" s="3"/>
      <c r="F107" s="3"/>
      <c r="G107" s="3"/>
      <c r="H107" s="3"/>
      <c r="I107" s="3"/>
      <c r="J107" s="3"/>
      <c r="K107" s="241">
        <v>1.66</v>
      </c>
      <c r="L107" s="14">
        <f t="shared" si="17"/>
        <v>0</v>
      </c>
      <c r="M107" s="261" t="e">
        <f t="shared" si="18"/>
        <v>#NAME?</v>
      </c>
    </row>
    <row r="108" spans="1:13">
      <c r="A108" s="3"/>
      <c r="B108" s="3"/>
      <c r="C108" s="2"/>
      <c r="D108" s="39"/>
      <c r="E108" s="3"/>
      <c r="F108" s="3"/>
      <c r="G108" s="3"/>
      <c r="H108" s="3"/>
      <c r="I108" s="3"/>
      <c r="J108" s="3"/>
      <c r="K108" s="241">
        <v>2</v>
      </c>
      <c r="L108" s="14">
        <f t="shared" si="17"/>
        <v>0</v>
      </c>
      <c r="M108" s="261" t="e">
        <f t="shared" si="18"/>
        <v>#NAME?</v>
      </c>
    </row>
    <row r="109" spans="1:13">
      <c r="A109" s="3"/>
      <c r="B109" s="3"/>
      <c r="C109" s="2"/>
      <c r="D109" s="39"/>
      <c r="E109" s="3"/>
      <c r="F109" s="3"/>
      <c r="G109" s="3"/>
      <c r="H109" s="3"/>
      <c r="I109" s="3"/>
      <c r="J109" s="3"/>
      <c r="K109" s="3"/>
    </row>
    <row r="110" spans="1:13">
      <c r="B110" s="2" t="s">
        <v>2320</v>
      </c>
      <c r="C110" s="230" t="str">
        <f>xxMMProd6Driver8</f>
        <v>Driver 8</v>
      </c>
      <c r="D110" s="231"/>
      <c r="E110" s="218"/>
      <c r="F110" s="218"/>
      <c r="G110" s="218"/>
      <c r="H110" s="218"/>
      <c r="I110" s="218"/>
      <c r="J110" s="154"/>
    </row>
    <row r="111" spans="1:13">
      <c r="C111" s="37"/>
      <c r="D111" s="38"/>
      <c r="E111" s="39"/>
      <c r="F111" s="39"/>
      <c r="G111" s="39"/>
      <c r="H111" s="39"/>
      <c r="I111" s="39"/>
      <c r="J111" s="40"/>
    </row>
    <row r="112" spans="1:13">
      <c r="C112" s="37" t="s">
        <v>2383</v>
      </c>
      <c r="D112" s="38"/>
      <c r="E112" s="87">
        <f>E110</f>
        <v>0</v>
      </c>
      <c r="F112" s="87">
        <f>F110</f>
        <v>0</v>
      </c>
      <c r="G112" s="87">
        <f>G110</f>
        <v>0</v>
      </c>
      <c r="H112" s="87">
        <f>H110</f>
        <v>0</v>
      </c>
      <c r="I112" s="87">
        <f>I110</f>
        <v>0</v>
      </c>
      <c r="J112" s="40"/>
    </row>
    <row r="113" spans="1:13">
      <c r="C113" s="37" t="s">
        <v>965</v>
      </c>
      <c r="D113" s="48">
        <v>1</v>
      </c>
      <c r="E113" s="87" t="e">
        <f>IF(MMInMarket=TRUE,E112,0)</f>
        <v>#NAME?</v>
      </c>
      <c r="F113" s="87" t="e">
        <f>IF(MMInMarket=TRUE,F112,0)</f>
        <v>#NAME?</v>
      </c>
      <c r="G113" s="87" t="e">
        <f>IF(MMInMarket=TRUE,G112,0)</f>
        <v>#NAME?</v>
      </c>
      <c r="H113" s="87" t="e">
        <f>IF(MMInMarket=TRUE,H112,0)</f>
        <v>#NAME?</v>
      </c>
      <c r="I113" s="87" t="e">
        <f>IF(MMInMarket=TRUE,I112,0)</f>
        <v>#NAME?</v>
      </c>
      <c r="J113" s="40"/>
      <c r="L113" s="240" t="s">
        <v>3209</v>
      </c>
      <c r="M113" s="240" t="s">
        <v>3210</v>
      </c>
    </row>
    <row r="114" spans="1:13">
      <c r="C114" s="43" t="s">
        <v>2385</v>
      </c>
      <c r="D114" s="42" t="e">
        <f>STDEVP(E113:I113)*D113+(STDEVP(E113:I113)=0)</f>
        <v>#NAME?</v>
      </c>
      <c r="E114" s="71" t="e">
        <f>IF(E113=0,0,NORMDIST(E113,$J114,$D114,TRUE))*(MMInMarket=TRUE)</f>
        <v>#NAME?</v>
      </c>
      <c r="F114" s="71" t="e">
        <f>IF(F113=0,0,NORMDIST(F113,$J114,$D114,TRUE))*(MMInMarket=TRUE)</f>
        <v>#NAME?</v>
      </c>
      <c r="G114" s="71" t="e">
        <f>IF(G113=0,0,NORMDIST(G113,$J114,$D114,TRUE))*(MMInMarket=TRUE)</f>
        <v>#NAME?</v>
      </c>
      <c r="H114" s="71" t="e">
        <f>IF(H113=0,0,NORMDIST(H113,$J114,$D114,TRUE))*(MMInMarket=TRUE)</f>
        <v>#NAME?</v>
      </c>
      <c r="I114" s="71" t="e">
        <f>IF(I113=0,0,NORMDIST(I113,$J114,$D114,TRUE))*(MMInMarket=TRUE)</f>
        <v>#NAME?</v>
      </c>
      <c r="J114" s="44">
        <f>IF($J$24=0,0,SUM(E113:I113)/$J$24)</f>
        <v>0</v>
      </c>
      <c r="K114" s="241">
        <v>0</v>
      </c>
      <c r="L114" s="14">
        <f t="shared" ref="L114:L120" si="19">K114*$J$114</f>
        <v>0</v>
      </c>
      <c r="M114" s="261" t="e">
        <f t="shared" ref="M114:M120" si="20">NORMDIST(L114,$J$114,$D$114,TRUE)</f>
        <v>#NAME?</v>
      </c>
    </row>
    <row r="115" spans="1:13">
      <c r="A115" s="3"/>
      <c r="B115" s="3"/>
      <c r="C115" s="2"/>
      <c r="D115" s="39"/>
      <c r="E115" s="3"/>
      <c r="F115" s="3"/>
      <c r="G115" s="3"/>
      <c r="H115" s="3"/>
      <c r="I115" s="3"/>
      <c r="J115" s="3"/>
      <c r="K115" s="241">
        <v>0.33</v>
      </c>
      <c r="L115" s="14">
        <f t="shared" si="19"/>
        <v>0</v>
      </c>
      <c r="M115" s="261" t="e">
        <f t="shared" si="20"/>
        <v>#NAME?</v>
      </c>
    </row>
    <row r="116" spans="1:13">
      <c r="A116" s="3"/>
      <c r="B116" s="3"/>
      <c r="C116" s="2"/>
      <c r="D116" s="39"/>
      <c r="E116" s="3"/>
      <c r="F116" s="3"/>
      <c r="G116" s="3"/>
      <c r="H116" s="3"/>
      <c r="I116" s="3"/>
      <c r="J116" s="3"/>
      <c r="K116" s="241">
        <v>0.66</v>
      </c>
      <c r="L116" s="14">
        <f t="shared" si="19"/>
        <v>0</v>
      </c>
      <c r="M116" s="261" t="e">
        <f t="shared" si="20"/>
        <v>#NAME?</v>
      </c>
    </row>
    <row r="117" spans="1:13">
      <c r="A117" s="3"/>
      <c r="B117" s="3"/>
      <c r="C117" s="2"/>
      <c r="D117" s="39"/>
      <c r="E117" s="3"/>
      <c r="F117" s="3"/>
      <c r="G117" s="3"/>
      <c r="H117" s="3"/>
      <c r="I117" s="3"/>
      <c r="J117" s="3"/>
      <c r="K117" s="241">
        <v>1</v>
      </c>
      <c r="L117" s="14">
        <f t="shared" si="19"/>
        <v>0</v>
      </c>
      <c r="M117" s="261" t="e">
        <f t="shared" si="20"/>
        <v>#NAME?</v>
      </c>
    </row>
    <row r="118" spans="1:13">
      <c r="A118" s="3"/>
      <c r="B118" s="3"/>
      <c r="C118" s="2"/>
      <c r="D118" s="39"/>
      <c r="E118" s="3"/>
      <c r="F118" s="3"/>
      <c r="G118" s="3"/>
      <c r="H118" s="3"/>
      <c r="I118" s="3"/>
      <c r="J118" s="3"/>
      <c r="K118" s="241">
        <v>1.33</v>
      </c>
      <c r="L118" s="14">
        <f t="shared" si="19"/>
        <v>0</v>
      </c>
      <c r="M118" s="261" t="e">
        <f t="shared" si="20"/>
        <v>#NAME?</v>
      </c>
    </row>
    <row r="119" spans="1:13">
      <c r="A119" s="3"/>
      <c r="B119" s="3"/>
      <c r="C119" s="2"/>
      <c r="D119" s="39"/>
      <c r="E119" s="3"/>
      <c r="F119" s="3"/>
      <c r="G119" s="3"/>
      <c r="H119" s="3"/>
      <c r="I119" s="3"/>
      <c r="J119" s="3"/>
      <c r="K119" s="241">
        <v>1.66</v>
      </c>
      <c r="L119" s="14">
        <f t="shared" si="19"/>
        <v>0</v>
      </c>
      <c r="M119" s="261" t="e">
        <f t="shared" si="20"/>
        <v>#NAME?</v>
      </c>
    </row>
    <row r="120" spans="1:13">
      <c r="A120" s="3"/>
      <c r="B120" s="3"/>
      <c r="C120" s="2"/>
      <c r="D120" s="39"/>
      <c r="E120" s="3"/>
      <c r="F120" s="3"/>
      <c r="G120" s="3"/>
      <c r="H120" s="3"/>
      <c r="I120" s="3"/>
      <c r="J120" s="3"/>
      <c r="K120" s="241">
        <v>2</v>
      </c>
      <c r="L120" s="14">
        <f t="shared" si="19"/>
        <v>0</v>
      </c>
      <c r="M120" s="261" t="e">
        <f t="shared" si="20"/>
        <v>#NAME?</v>
      </c>
    </row>
    <row r="121" spans="1:13">
      <c r="A121" s="3"/>
      <c r="B121" s="3"/>
      <c r="C121" s="2"/>
      <c r="D121" s="39"/>
      <c r="E121" s="3"/>
      <c r="F121" s="3"/>
      <c r="G121" s="3"/>
      <c r="H121" s="3"/>
      <c r="I121" s="3"/>
      <c r="J121" s="3"/>
      <c r="L121" s="14"/>
      <c r="M121" s="241"/>
    </row>
    <row r="122" spans="1:13">
      <c r="B122" s="2" t="s">
        <v>2321</v>
      </c>
      <c r="C122" s="230" t="str">
        <f>xxMMProd6Driver9</f>
        <v>Driver 9</v>
      </c>
      <c r="D122" s="231"/>
      <c r="E122" s="218"/>
      <c r="F122" s="218"/>
      <c r="G122" s="218"/>
      <c r="H122" s="218"/>
      <c r="I122" s="218"/>
      <c r="J122" s="154"/>
    </row>
    <row r="123" spans="1:13">
      <c r="C123" s="37"/>
      <c r="D123" s="38"/>
      <c r="E123" s="39"/>
      <c r="F123" s="39"/>
      <c r="G123" s="39"/>
      <c r="H123" s="39"/>
      <c r="I123" s="39"/>
      <c r="J123" s="40"/>
    </row>
    <row r="124" spans="1:13">
      <c r="C124" s="37" t="s">
        <v>2383</v>
      </c>
      <c r="D124" s="38"/>
      <c r="E124" s="87">
        <f>E122</f>
        <v>0</v>
      </c>
      <c r="F124" s="87">
        <f>F122</f>
        <v>0</v>
      </c>
      <c r="G124" s="87">
        <f>G122</f>
        <v>0</v>
      </c>
      <c r="H124" s="87">
        <f>H122</f>
        <v>0</v>
      </c>
      <c r="I124" s="87">
        <f>I122</f>
        <v>0</v>
      </c>
      <c r="J124" s="40"/>
    </row>
    <row r="125" spans="1:13">
      <c r="C125" s="37" t="s">
        <v>965</v>
      </c>
      <c r="D125" s="48">
        <v>1</v>
      </c>
      <c r="E125" s="87" t="e">
        <f>IF(MMInMarket=TRUE,E124,0)</f>
        <v>#NAME?</v>
      </c>
      <c r="F125" s="87" t="e">
        <f>IF(MMInMarket=TRUE,F124,0)</f>
        <v>#NAME?</v>
      </c>
      <c r="G125" s="87" t="e">
        <f>IF(MMInMarket=TRUE,G124,0)</f>
        <v>#NAME?</v>
      </c>
      <c r="H125" s="87" t="e">
        <f>IF(MMInMarket=TRUE,H124,0)</f>
        <v>#NAME?</v>
      </c>
      <c r="I125" s="87" t="e">
        <f>IF(MMInMarket=TRUE,I124,0)</f>
        <v>#NAME?</v>
      </c>
      <c r="J125" s="40"/>
      <c r="L125" s="240" t="s">
        <v>3209</v>
      </c>
      <c r="M125" s="240" t="s">
        <v>3210</v>
      </c>
    </row>
    <row r="126" spans="1:13">
      <c r="C126" s="43" t="s">
        <v>2955</v>
      </c>
      <c r="D126" s="42" t="e">
        <f>STDEVP(E125:I125)*D125+(STDEVP(E125:I125)=0)</f>
        <v>#NAME?</v>
      </c>
      <c r="E126" s="71" t="e">
        <f>IF(E125=0,0,NORMDIST(E125,$J126,$D126,TRUE))*(MMInMarket=TRUE)</f>
        <v>#NAME?</v>
      </c>
      <c r="F126" s="71" t="e">
        <f>IF(F125=0,0,NORMDIST(F125,$J126,$D126,TRUE))*(MMInMarket=TRUE)</f>
        <v>#NAME?</v>
      </c>
      <c r="G126" s="71" t="e">
        <f>IF(G125=0,0,NORMDIST(G125,$J126,$D126,TRUE))*(MMInMarket=TRUE)</f>
        <v>#NAME?</v>
      </c>
      <c r="H126" s="71" t="e">
        <f>IF(H125=0,0,NORMDIST(H125,$J126,$D126,TRUE))*(MMInMarket=TRUE)</f>
        <v>#NAME?</v>
      </c>
      <c r="I126" s="71" t="e">
        <f>IF(I125=0,0,NORMDIST(I125,$J126,$D126,TRUE))*(MMInMarket=TRUE)</f>
        <v>#NAME?</v>
      </c>
      <c r="J126" s="44">
        <f>IF($J$24=0,0,SUM(E125:I125)/$J$24)</f>
        <v>0</v>
      </c>
      <c r="K126" s="241">
        <v>0</v>
      </c>
      <c r="L126" s="14">
        <f t="shared" ref="L126:L132" si="21">K126*$J$126</f>
        <v>0</v>
      </c>
      <c r="M126" s="261" t="e">
        <f t="shared" ref="M126:M132" si="22">NORMDIST(L126,$J$126,$D$114,TRUE)</f>
        <v>#NAME?</v>
      </c>
    </row>
    <row r="127" spans="1:13">
      <c r="A127" s="3"/>
      <c r="B127" s="3"/>
      <c r="C127" s="2"/>
      <c r="D127" s="39"/>
      <c r="E127" s="3"/>
      <c r="F127" s="3"/>
      <c r="G127" s="3"/>
      <c r="H127" s="3"/>
      <c r="I127" s="3"/>
      <c r="J127" s="3"/>
      <c r="K127" s="241">
        <v>0.33</v>
      </c>
      <c r="L127" s="14">
        <f t="shared" si="21"/>
        <v>0</v>
      </c>
      <c r="M127" s="261" t="e">
        <f t="shared" si="22"/>
        <v>#NAME?</v>
      </c>
    </row>
    <row r="128" spans="1:13">
      <c r="A128" s="3"/>
      <c r="B128" s="3"/>
      <c r="C128" s="2"/>
      <c r="D128" s="39"/>
      <c r="E128" s="3"/>
      <c r="F128" s="3"/>
      <c r="G128" s="3"/>
      <c r="H128" s="3"/>
      <c r="I128" s="3"/>
      <c r="J128" s="3"/>
      <c r="K128" s="241">
        <v>0.66</v>
      </c>
      <c r="L128" s="14">
        <f t="shared" si="21"/>
        <v>0</v>
      </c>
      <c r="M128" s="261" t="e">
        <f t="shared" si="22"/>
        <v>#NAME?</v>
      </c>
    </row>
    <row r="129" spans="1:13">
      <c r="A129" s="3"/>
      <c r="B129" s="3"/>
      <c r="C129" s="2"/>
      <c r="D129" s="39"/>
      <c r="E129" s="3"/>
      <c r="F129" s="3"/>
      <c r="G129" s="3"/>
      <c r="H129" s="3"/>
      <c r="I129" s="3"/>
      <c r="J129" s="3"/>
      <c r="K129" s="241">
        <v>1</v>
      </c>
      <c r="L129" s="14">
        <f t="shared" si="21"/>
        <v>0</v>
      </c>
      <c r="M129" s="261" t="e">
        <f t="shared" si="22"/>
        <v>#NAME?</v>
      </c>
    </row>
    <row r="130" spans="1:13">
      <c r="A130" s="3"/>
      <c r="B130" s="3"/>
      <c r="C130" s="2"/>
      <c r="D130" s="39"/>
      <c r="E130" s="3"/>
      <c r="F130" s="3"/>
      <c r="G130" s="3"/>
      <c r="H130" s="3"/>
      <c r="I130" s="3"/>
      <c r="J130" s="3"/>
      <c r="K130" s="241">
        <v>1.33</v>
      </c>
      <c r="L130" s="14">
        <f t="shared" si="21"/>
        <v>0</v>
      </c>
      <c r="M130" s="261" t="e">
        <f t="shared" si="22"/>
        <v>#NAME?</v>
      </c>
    </row>
    <row r="131" spans="1:13">
      <c r="A131" s="3"/>
      <c r="B131" s="3"/>
      <c r="C131" s="2"/>
      <c r="D131" s="39"/>
      <c r="E131" s="3"/>
      <c r="F131" s="3"/>
      <c r="G131" s="3"/>
      <c r="H131" s="3"/>
      <c r="I131" s="3"/>
      <c r="J131" s="3"/>
      <c r="K131" s="241">
        <v>1.66</v>
      </c>
      <c r="L131" s="14">
        <f t="shared" si="21"/>
        <v>0</v>
      </c>
      <c r="M131" s="261" t="e">
        <f t="shared" si="22"/>
        <v>#NAME?</v>
      </c>
    </row>
    <row r="132" spans="1:13">
      <c r="A132" s="3"/>
      <c r="B132" s="3"/>
      <c r="C132" s="2"/>
      <c r="D132" s="39"/>
      <c r="E132" s="3"/>
      <c r="F132" s="3"/>
      <c r="G132" s="3"/>
      <c r="H132" s="3"/>
      <c r="I132" s="3"/>
      <c r="J132" s="3"/>
      <c r="K132" s="241">
        <v>2</v>
      </c>
      <c r="L132" s="14">
        <f t="shared" si="21"/>
        <v>0</v>
      </c>
      <c r="M132" s="261" t="e">
        <f t="shared" si="22"/>
        <v>#NAME?</v>
      </c>
    </row>
    <row r="133" spans="1:13">
      <c r="A133" s="3"/>
      <c r="B133" s="3"/>
      <c r="C133" s="2"/>
      <c r="D133" s="39"/>
      <c r="E133" s="3"/>
      <c r="F133" s="3"/>
      <c r="G133" s="3"/>
      <c r="H133" s="3"/>
      <c r="I133" s="3"/>
      <c r="J133" s="3"/>
      <c r="L133" s="14"/>
      <c r="M133" s="241"/>
    </row>
    <row r="134" spans="1:13">
      <c r="B134" s="2" t="s">
        <v>2322</v>
      </c>
      <c r="C134" s="230" t="str">
        <f>xxMMProd6Driver10</f>
        <v>Driver 10</v>
      </c>
      <c r="D134" s="231"/>
      <c r="E134" s="218"/>
      <c r="F134" s="218"/>
      <c r="G134" s="218"/>
      <c r="H134" s="218"/>
      <c r="I134" s="218"/>
      <c r="J134" s="154"/>
    </row>
    <row r="135" spans="1:13">
      <c r="C135" s="37"/>
      <c r="D135" s="38"/>
      <c r="E135" s="39"/>
      <c r="F135" s="39"/>
      <c r="G135" s="39"/>
      <c r="H135" s="39"/>
      <c r="I135" s="39"/>
      <c r="J135" s="40"/>
    </row>
    <row r="136" spans="1:13">
      <c r="C136" s="37" t="s">
        <v>2383</v>
      </c>
      <c r="D136" s="38"/>
      <c r="E136" s="87">
        <f>E134</f>
        <v>0</v>
      </c>
      <c r="F136" s="87">
        <f>F134</f>
        <v>0</v>
      </c>
      <c r="G136" s="87">
        <f>G134</f>
        <v>0</v>
      </c>
      <c r="H136" s="87">
        <f>H134</f>
        <v>0</v>
      </c>
      <c r="I136" s="87">
        <f>I134</f>
        <v>0</v>
      </c>
      <c r="J136" s="40"/>
    </row>
    <row r="137" spans="1:13">
      <c r="C137" s="37" t="s">
        <v>965</v>
      </c>
      <c r="D137" s="48">
        <v>1</v>
      </c>
      <c r="E137" s="87" t="e">
        <f>IF(MMInMarket=TRUE,E136,0)</f>
        <v>#NAME?</v>
      </c>
      <c r="F137" s="87" t="e">
        <f>IF(MMInMarket=TRUE,F136,0)</f>
        <v>#NAME?</v>
      </c>
      <c r="G137" s="87" t="e">
        <f>IF(MMInMarket=TRUE,G136,0)</f>
        <v>#NAME?</v>
      </c>
      <c r="H137" s="87" t="e">
        <f>IF(MMInMarket=TRUE,H136,0)</f>
        <v>#NAME?</v>
      </c>
      <c r="I137" s="87" t="e">
        <f>IF(MMInMarket=TRUE,I136,0)</f>
        <v>#NAME?</v>
      </c>
      <c r="J137" s="40"/>
      <c r="L137" s="240" t="s">
        <v>3209</v>
      </c>
      <c r="M137" s="240" t="s">
        <v>3210</v>
      </c>
    </row>
    <row r="138" spans="1:13">
      <c r="C138" s="43" t="s">
        <v>2957</v>
      </c>
      <c r="D138" s="42" t="e">
        <f>STDEVP(E137:I137)*D137+(STDEVP(E137:I137)=0)</f>
        <v>#NAME?</v>
      </c>
      <c r="E138" s="71" t="e">
        <f>IF(E137=0,0,NORMDIST(E137,$J138,$D138,TRUE))*(MMInMarket=TRUE)</f>
        <v>#NAME?</v>
      </c>
      <c r="F138" s="71" t="e">
        <f>IF(F137=0,0,NORMDIST(F137,$J138,$D138,TRUE))*(MMInMarket=TRUE)</f>
        <v>#NAME?</v>
      </c>
      <c r="G138" s="71" t="e">
        <f>IF(G137=0,0,NORMDIST(G137,$J138,$D138,TRUE))*(MMInMarket=TRUE)</f>
        <v>#NAME?</v>
      </c>
      <c r="H138" s="71" t="e">
        <f>IF(H137=0,0,NORMDIST(H137,$J138,$D138,TRUE))*(MMInMarket=TRUE)</f>
        <v>#NAME?</v>
      </c>
      <c r="I138" s="71" t="e">
        <f>IF(I137=0,0,NORMDIST(I137,$J138,$D138,TRUE))*(MMInMarket=TRUE)</f>
        <v>#NAME?</v>
      </c>
      <c r="J138" s="44">
        <f>IF($J$24=0,0,SUM(E137:I137)/$J$24)</f>
        <v>0</v>
      </c>
      <c r="K138" s="241">
        <v>0</v>
      </c>
      <c r="L138" s="14">
        <f t="shared" ref="L138:L144" si="23">K138*$J$138</f>
        <v>0</v>
      </c>
      <c r="M138" s="261" t="e">
        <f t="shared" ref="M138:M144" si="24">NORMDIST(L138,$J$138,$D$114,TRUE)</f>
        <v>#NAME?</v>
      </c>
    </row>
    <row r="139" spans="1:13">
      <c r="C139" s="156"/>
      <c r="D139" s="39"/>
      <c r="E139" s="3"/>
      <c r="F139" s="3"/>
      <c r="G139" s="3"/>
      <c r="H139" s="3"/>
      <c r="I139" s="3"/>
      <c r="J139" s="3"/>
      <c r="K139" s="241">
        <v>0.33</v>
      </c>
      <c r="L139" s="14">
        <f t="shared" si="23"/>
        <v>0</v>
      </c>
      <c r="M139" s="261" t="e">
        <f t="shared" si="24"/>
        <v>#NAME?</v>
      </c>
    </row>
    <row r="140" spans="1:13">
      <c r="C140" s="156"/>
      <c r="D140" s="39"/>
      <c r="E140" s="3"/>
      <c r="F140" s="3"/>
      <c r="G140" s="3"/>
      <c r="H140" s="3"/>
      <c r="I140" s="3"/>
      <c r="J140" s="3"/>
      <c r="K140" s="241">
        <v>0.66</v>
      </c>
      <c r="L140" s="14">
        <f t="shared" si="23"/>
        <v>0</v>
      </c>
      <c r="M140" s="261" t="e">
        <f t="shared" si="24"/>
        <v>#NAME?</v>
      </c>
    </row>
    <row r="141" spans="1:13">
      <c r="C141" s="156"/>
      <c r="D141" s="39"/>
      <c r="E141" s="3"/>
      <c r="F141" s="3"/>
      <c r="G141" s="3"/>
      <c r="H141" s="3"/>
      <c r="I141" s="3"/>
      <c r="J141" s="3"/>
      <c r="K141" s="241">
        <v>1</v>
      </c>
      <c r="L141" s="14">
        <f t="shared" si="23"/>
        <v>0</v>
      </c>
      <c r="M141" s="261" t="e">
        <f t="shared" si="24"/>
        <v>#NAME?</v>
      </c>
    </row>
    <row r="142" spans="1:13">
      <c r="C142" s="156"/>
      <c r="D142" s="39"/>
      <c r="E142" s="3"/>
      <c r="F142" s="3"/>
      <c r="G142" s="3"/>
      <c r="H142" s="3"/>
      <c r="I142" s="3"/>
      <c r="J142" s="3"/>
      <c r="K142" s="241">
        <v>1.33</v>
      </c>
      <c r="L142" s="14">
        <f t="shared" si="23"/>
        <v>0</v>
      </c>
      <c r="M142" s="261" t="e">
        <f t="shared" si="24"/>
        <v>#NAME?</v>
      </c>
    </row>
    <row r="143" spans="1:13">
      <c r="C143" s="156"/>
      <c r="D143" s="39"/>
      <c r="E143" s="3"/>
      <c r="F143" s="3"/>
      <c r="G143" s="3"/>
      <c r="H143" s="3"/>
      <c r="I143" s="3"/>
      <c r="J143" s="3"/>
      <c r="K143" s="241">
        <v>1.66</v>
      </c>
      <c r="L143" s="14">
        <f t="shared" si="23"/>
        <v>0</v>
      </c>
      <c r="M143" s="261" t="e">
        <f t="shared" si="24"/>
        <v>#NAME?</v>
      </c>
    </row>
    <row r="144" spans="1:13">
      <c r="B144" s="64" t="s">
        <v>1828</v>
      </c>
      <c r="C144" s="64"/>
      <c r="D144" s="42"/>
      <c r="E144" s="67"/>
      <c r="F144" s="67"/>
      <c r="G144" s="67"/>
      <c r="H144" s="67"/>
      <c r="I144" s="67"/>
      <c r="J144" s="67"/>
      <c r="K144" s="241">
        <v>2</v>
      </c>
      <c r="L144" s="14">
        <f t="shared" si="23"/>
        <v>0</v>
      </c>
      <c r="M144" s="261" t="e">
        <f t="shared" si="24"/>
        <v>#NAME?</v>
      </c>
    </row>
    <row r="145" spans="1:11">
      <c r="A145" s="3"/>
      <c r="B145" s="2"/>
      <c r="C145" s="2"/>
      <c r="D145" s="39"/>
      <c r="E145" s="3"/>
      <c r="F145" s="3"/>
      <c r="G145" s="3"/>
      <c r="H145" s="3"/>
      <c r="I145" s="3"/>
      <c r="J145" s="3"/>
      <c r="K145" s="3"/>
    </row>
    <row r="146" spans="1:11">
      <c r="A146" s="3"/>
      <c r="C146" s="45" t="s">
        <v>1828</v>
      </c>
      <c r="D146" s="46"/>
      <c r="E146" s="218" t="e">
        <f>paramSpecProgProd6Sales</f>
        <v>#NAME?</v>
      </c>
      <c r="F146" s="218" t="e">
        <f>paramSpecProgProd6Sales</f>
        <v>#NAME?</v>
      </c>
      <c r="G146" s="218" t="e">
        <f>paramSpecProgProd6Sales</f>
        <v>#NAME?</v>
      </c>
      <c r="H146" s="218" t="e">
        <f>paramSpecProgProd6Sales</f>
        <v>#NAME?</v>
      </c>
      <c r="I146" s="218" t="e">
        <f>paramSpecProgProd6Sales</f>
        <v>#NAME?</v>
      </c>
      <c r="J146" s="154"/>
      <c r="K146" s="3"/>
    </row>
    <row r="147" spans="1:11">
      <c r="C147" s="37"/>
      <c r="D147" s="38"/>
      <c r="E147" s="39"/>
      <c r="F147" s="39"/>
      <c r="G147" s="39"/>
      <c r="H147" s="39"/>
      <c r="I147" s="39"/>
      <c r="J147" s="40"/>
    </row>
    <row r="148" spans="1:11">
      <c r="C148" s="37" t="s">
        <v>2383</v>
      </c>
      <c r="D148" s="38"/>
      <c r="E148" s="87" t="e">
        <f>E146</f>
        <v>#NAME?</v>
      </c>
      <c r="F148" s="87" t="e">
        <f>F146</f>
        <v>#NAME?</v>
      </c>
      <c r="G148" s="87" t="e">
        <f>G146</f>
        <v>#NAME?</v>
      </c>
      <c r="H148" s="87" t="e">
        <f>H146</f>
        <v>#NAME?</v>
      </c>
      <c r="I148" s="87" t="e">
        <f>I146</f>
        <v>#NAME?</v>
      </c>
      <c r="J148" s="40"/>
    </row>
    <row r="149" spans="1:11">
      <c r="C149" s="37" t="s">
        <v>965</v>
      </c>
      <c r="D149" s="38"/>
      <c r="E149" s="87" t="e">
        <f>IF(MMInMarket=TRUE,E148,0)</f>
        <v>#NAME?</v>
      </c>
      <c r="F149" s="87" t="e">
        <f>IF(MMInMarket=TRUE,F148,0)</f>
        <v>#NAME?</v>
      </c>
      <c r="G149" s="87" t="e">
        <f>IF(MMInMarket=TRUE,G148,0)</f>
        <v>#NAME?</v>
      </c>
      <c r="H149" s="87" t="e">
        <f>IF(MMInMarket=TRUE,H148,0)</f>
        <v>#NAME?</v>
      </c>
      <c r="I149" s="87" t="e">
        <f>IF(MMInMarket=TRUE,I148,0)</f>
        <v>#NAME?</v>
      </c>
      <c r="J149" s="40"/>
    </row>
    <row r="150" spans="1:11">
      <c r="C150" s="169" t="s">
        <v>1828</v>
      </c>
      <c r="D150" s="42"/>
      <c r="E150" s="152" t="e">
        <f>E149</f>
        <v>#NAME?</v>
      </c>
      <c r="F150" s="152" t="e">
        <f>F149</f>
        <v>#NAME?</v>
      </c>
      <c r="G150" s="152" t="e">
        <f>G149</f>
        <v>#NAME?</v>
      </c>
      <c r="H150" s="152" t="e">
        <f>H149</f>
        <v>#NAME?</v>
      </c>
      <c r="I150" s="152" t="e">
        <f>I149</f>
        <v>#NAME?</v>
      </c>
      <c r="J150" s="44"/>
    </row>
    <row r="152" spans="1:11">
      <c r="A152" s="3"/>
      <c r="B152" s="3"/>
      <c r="C152" s="64" t="s">
        <v>2323</v>
      </c>
      <c r="D152" s="42"/>
      <c r="E152" s="68" t="s">
        <v>129</v>
      </c>
      <c r="F152" s="68" t="s">
        <v>130</v>
      </c>
      <c r="G152" s="68" t="s">
        <v>131</v>
      </c>
      <c r="H152" s="68" t="s">
        <v>1133</v>
      </c>
      <c r="I152" s="68" t="s">
        <v>1134</v>
      </c>
      <c r="J152" s="3"/>
      <c r="K152" s="3"/>
    </row>
    <row r="153" spans="1:11">
      <c r="A153" s="3"/>
      <c r="B153" s="3"/>
      <c r="C153" s="228" t="str">
        <f>xxMMProd6Driver1</f>
        <v>Price</v>
      </c>
      <c r="D153" s="25"/>
      <c r="E153" s="229">
        <f>xxMMProd6Driver1</f>
        <v>10</v>
      </c>
      <c r="F153" s="229">
        <f>xxMMProd6Driver1</f>
        <v>8</v>
      </c>
      <c r="G153" s="229">
        <f>xxMMProd6Driver1</f>
        <v>9</v>
      </c>
      <c r="H153" s="229">
        <f>xxMMProd6Driver1</f>
        <v>9</v>
      </c>
      <c r="I153" s="229">
        <f>xxMMProd6Driver1</f>
        <v>10</v>
      </c>
      <c r="J153" s="3"/>
      <c r="K153" s="3"/>
    </row>
    <row r="154" spans="1:11">
      <c r="A154" s="3"/>
      <c r="B154" s="3"/>
      <c r="C154" s="228" t="str">
        <f>xxMMProd6Driver2</f>
        <v>Advertising</v>
      </c>
      <c r="D154" s="25"/>
      <c r="E154" s="229">
        <f>xxMMProd6Driver2</f>
        <v>8</v>
      </c>
      <c r="F154" s="229">
        <f>xxMMProd6Driver2</f>
        <v>7</v>
      </c>
      <c r="G154" s="229">
        <f>xxMMProd6Driver2</f>
        <v>7</v>
      </c>
      <c r="H154" s="229">
        <f>xxMMProd6Driver2</f>
        <v>7</v>
      </c>
      <c r="I154" s="229">
        <f>xxMMProd6Driver2</f>
        <v>5</v>
      </c>
      <c r="J154" s="3"/>
      <c r="K154" s="3"/>
    </row>
    <row r="155" spans="1:11">
      <c r="A155" s="3"/>
      <c r="B155" s="3"/>
      <c r="C155" s="228" t="str">
        <f>xxMMProd6Driver3</f>
        <v>Driver 3</v>
      </c>
      <c r="D155" s="25"/>
      <c r="E155" s="229">
        <f>xxMMProd6Driver3</f>
        <v>5</v>
      </c>
      <c r="F155" s="229">
        <f>xxMMProd6Driver3</f>
        <v>8</v>
      </c>
      <c r="G155" s="229">
        <f>xxMMProd6Driver3</f>
        <v>7</v>
      </c>
      <c r="H155" s="229">
        <f>xxMMProd6Driver3</f>
        <v>8</v>
      </c>
      <c r="I155" s="229">
        <f>xxMMProd6Driver3</f>
        <v>8</v>
      </c>
      <c r="J155" s="3"/>
      <c r="K155" s="3"/>
    </row>
    <row r="156" spans="1:11">
      <c r="A156" s="3"/>
      <c r="B156" s="3"/>
      <c r="C156" s="228" t="str">
        <f>xxMMProd6Driver4</f>
        <v>Driver 4</v>
      </c>
      <c r="D156" s="25"/>
      <c r="E156" s="229">
        <f>xxMMProd6Driver4</f>
        <v>1</v>
      </c>
      <c r="F156" s="229">
        <f>xxMMProd6Driver4</f>
        <v>1</v>
      </c>
      <c r="G156" s="229">
        <f>xxMMProd6Driver4</f>
        <v>1</v>
      </c>
      <c r="H156" s="229">
        <f>xxMMProd6Driver4</f>
        <v>1</v>
      </c>
      <c r="I156" s="229">
        <f>xxMMProd6Driver4</f>
        <v>1</v>
      </c>
      <c r="J156" s="3"/>
      <c r="K156" s="3"/>
    </row>
    <row r="157" spans="1:11">
      <c r="A157" s="3"/>
      <c r="B157" s="3"/>
      <c r="C157" s="228" t="str">
        <f>xxMMProd6Driver5</f>
        <v>Driver 5</v>
      </c>
      <c r="D157" s="25"/>
      <c r="E157" s="229">
        <f>xxMMProd6Driver5</f>
        <v>1</v>
      </c>
      <c r="F157" s="229">
        <f>xxMMProd6Driver5</f>
        <v>1</v>
      </c>
      <c r="G157" s="229">
        <f>xxMMProd6Driver5</f>
        <v>1</v>
      </c>
      <c r="H157" s="229">
        <f>xxMMProd6Driver5</f>
        <v>1</v>
      </c>
      <c r="I157" s="229">
        <f>xxMMProd6Driver5</f>
        <v>1</v>
      </c>
      <c r="J157" s="3"/>
      <c r="K157" s="3"/>
    </row>
    <row r="158" spans="1:11">
      <c r="A158" s="3"/>
      <c r="B158" s="3"/>
      <c r="C158" s="228" t="str">
        <f>xxMMProd6Driver6</f>
        <v>Driver 6</v>
      </c>
      <c r="D158" s="25"/>
      <c r="E158" s="229">
        <f>xxMMProd6Driver6</f>
        <v>1</v>
      </c>
      <c r="F158" s="229">
        <f>xxMMProd6Driver6</f>
        <v>1</v>
      </c>
      <c r="G158" s="229">
        <f>xxMMProd6Driver6</f>
        <v>1</v>
      </c>
      <c r="H158" s="229">
        <f>xxMMProd6Driver6</f>
        <v>1</v>
      </c>
      <c r="I158" s="229">
        <f>xxMMProd6Driver6</f>
        <v>1</v>
      </c>
      <c r="J158" s="3"/>
      <c r="K158" s="3"/>
    </row>
    <row r="159" spans="1:11">
      <c r="A159" s="3"/>
      <c r="B159" s="3"/>
      <c r="C159" s="228" t="str">
        <f>xxMMProd6Driver7</f>
        <v>Driver 7</v>
      </c>
      <c r="D159" s="25"/>
      <c r="E159" s="229">
        <f>xxMMProd6Driver7</f>
        <v>1</v>
      </c>
      <c r="F159" s="229">
        <f>xxMMProd6Driver7</f>
        <v>1</v>
      </c>
      <c r="G159" s="229">
        <f>xxMMProd6Driver7</f>
        <v>1</v>
      </c>
      <c r="H159" s="229">
        <f>xxMMProd6Driver7</f>
        <v>1</v>
      </c>
      <c r="I159" s="229">
        <f>xxMMProd6Driver7</f>
        <v>1</v>
      </c>
      <c r="J159" s="3"/>
      <c r="K159" s="3"/>
    </row>
    <row r="160" spans="1:11">
      <c r="A160" s="3"/>
      <c r="B160" s="3"/>
      <c r="C160" s="228" t="str">
        <f>xxMMProd6Driver8</f>
        <v>Driver 8</v>
      </c>
      <c r="D160" s="25"/>
      <c r="E160" s="229">
        <f>xxMMProd6Driver8</f>
        <v>1</v>
      </c>
      <c r="F160" s="229">
        <f>xxMMProd6Driver8</f>
        <v>1</v>
      </c>
      <c r="G160" s="229">
        <f>xxMMProd6Driver8</f>
        <v>1</v>
      </c>
      <c r="H160" s="229">
        <f>xxMMProd6Driver8</f>
        <v>1</v>
      </c>
      <c r="I160" s="229">
        <f>xxMMProd6Driver8</f>
        <v>1</v>
      </c>
      <c r="J160" s="3"/>
      <c r="K160" s="3"/>
    </row>
    <row r="161" spans="1:11">
      <c r="A161" s="3"/>
      <c r="B161" s="3"/>
      <c r="C161" s="228" t="str">
        <f>xxMMProd6Driver9</f>
        <v>Driver 9</v>
      </c>
      <c r="D161" s="25"/>
      <c r="E161" s="229">
        <f>xxMMProd6Driver9</f>
        <v>1</v>
      </c>
      <c r="F161" s="229">
        <f>xxMMProd6Driver9</f>
        <v>1</v>
      </c>
      <c r="G161" s="229">
        <f>xxMMProd6Driver9</f>
        <v>1</v>
      </c>
      <c r="H161" s="229">
        <f>xxMMProd6Driver9</f>
        <v>1</v>
      </c>
      <c r="I161" s="229">
        <f>xxMMProd6Driver9</f>
        <v>1</v>
      </c>
      <c r="J161" s="3"/>
      <c r="K161" s="3"/>
    </row>
    <row r="162" spans="1:11">
      <c r="A162" s="3"/>
      <c r="B162" s="3"/>
      <c r="C162" s="228" t="str">
        <f>xxMMProd6Driver10</f>
        <v>Driver 10</v>
      </c>
      <c r="D162" s="25"/>
      <c r="E162" s="229">
        <f>xxMMProd6Driver10</f>
        <v>1</v>
      </c>
      <c r="F162" s="229">
        <f>xxMMProd6Driver10</f>
        <v>1</v>
      </c>
      <c r="G162" s="229">
        <f>xxMMProd6Driver10</f>
        <v>1</v>
      </c>
      <c r="H162" s="229">
        <f>xxMMProd6Driver10</f>
        <v>1</v>
      </c>
      <c r="I162" s="229">
        <f>xxMMProd6Driver10</f>
        <v>1</v>
      </c>
      <c r="J162" s="3"/>
      <c r="K162" s="3"/>
    </row>
    <row r="163" spans="1:11">
      <c r="A163" s="3"/>
      <c r="B163" s="3"/>
      <c r="C163" s="3"/>
      <c r="D163" s="39"/>
      <c r="E163" s="86"/>
      <c r="F163" s="86"/>
      <c r="G163" s="86"/>
      <c r="H163" s="86"/>
      <c r="I163" s="86"/>
      <c r="J163" s="3"/>
      <c r="K163" s="3"/>
    </row>
    <row r="164" spans="1:11" ht="12" thickBot="1">
      <c r="A164" s="3"/>
      <c r="B164" s="3"/>
      <c r="C164" s="2"/>
      <c r="D164" s="39"/>
      <c r="E164" s="3"/>
      <c r="F164" s="3"/>
      <c r="G164" s="3"/>
      <c r="H164" s="3"/>
      <c r="I164" s="3"/>
      <c r="J164" s="3"/>
      <c r="K164" s="3"/>
    </row>
    <row r="165" spans="1:11" ht="12" thickBot="1">
      <c r="C165" s="160" t="str">
        <f>"Market Model Calculation Segment " &amp;MMSegCurrent &amp; " " &amp; MMSegName</f>
        <v>Market Model Calculation Segment 1 Product 6 Segment 1</v>
      </c>
      <c r="D165" s="162"/>
      <c r="E165" s="158"/>
      <c r="F165" s="158"/>
      <c r="G165" s="159"/>
      <c r="H165" s="159"/>
      <c r="I165" s="159"/>
      <c r="J165" s="159"/>
      <c r="K165" s="51"/>
    </row>
    <row r="166" spans="1:11" ht="12" thickBot="1">
      <c r="C166" s="160" t="s">
        <v>2672</v>
      </c>
      <c r="D166" s="163">
        <f>D19</f>
        <v>0</v>
      </c>
      <c r="E166" s="162"/>
      <c r="F166" s="164"/>
      <c r="G166" s="162"/>
      <c r="H166" s="165"/>
      <c r="I166" s="157" t="s">
        <v>2673</v>
      </c>
      <c r="J166" s="205">
        <f>INDEX(D13:D17,$D$10)</f>
        <v>0</v>
      </c>
      <c r="K166" s="51"/>
    </row>
    <row r="167" spans="1:11">
      <c r="C167" s="167" t="s">
        <v>2958</v>
      </c>
      <c r="D167" s="168"/>
      <c r="E167" s="161" t="s">
        <v>1834</v>
      </c>
      <c r="F167" s="161" t="s">
        <v>1835</v>
      </c>
      <c r="G167" s="161" t="s">
        <v>1836</v>
      </c>
      <c r="H167" s="161" t="s">
        <v>1837</v>
      </c>
      <c r="I167" s="161" t="s">
        <v>1838</v>
      </c>
      <c r="J167" s="161"/>
      <c r="K167" s="54"/>
    </row>
    <row r="168" spans="1:11">
      <c r="C168" s="52" t="str">
        <f t="shared" ref="C168:C177" si="25">C153</f>
        <v>Price</v>
      </c>
      <c r="D168" s="39">
        <f t="shared" ref="D168:D177" si="26">INDEX(E153:I153,,MMSegCurrent)</f>
        <v>10</v>
      </c>
      <c r="E168" s="220" t="e">
        <f>$D168*E30</f>
        <v>#NAME?</v>
      </c>
      <c r="F168" s="221" t="e">
        <f>$D168*F30</f>
        <v>#NAME?</v>
      </c>
      <c r="G168" s="221" t="e">
        <f>$D168*G30</f>
        <v>#NAME?</v>
      </c>
      <c r="H168" s="221" t="e">
        <f>$D168*H30</f>
        <v>#NAME?</v>
      </c>
      <c r="I168" s="222" t="e">
        <f>$D168*I30</f>
        <v>#NAME?</v>
      </c>
      <c r="J168" s="53" t="e">
        <f t="shared" ref="J168:J178" si="27">SUM(E168:I168)</f>
        <v>#NAME?</v>
      </c>
      <c r="K168" s="54"/>
    </row>
    <row r="169" spans="1:11">
      <c r="C169" s="52" t="str">
        <f t="shared" si="25"/>
        <v>Advertising</v>
      </c>
      <c r="D169" s="39">
        <f t="shared" si="26"/>
        <v>8</v>
      </c>
      <c r="E169" s="223" t="e">
        <f>$D169*E42</f>
        <v>#NAME?</v>
      </c>
      <c r="F169" s="39" t="e">
        <f>$D169*F42</f>
        <v>#NAME?</v>
      </c>
      <c r="G169" s="39" t="e">
        <f>$D169*G42</f>
        <v>#NAME?</v>
      </c>
      <c r="H169" s="39" t="e">
        <f>$D169*H42</f>
        <v>#NAME?</v>
      </c>
      <c r="I169" s="40" t="e">
        <f>$D169*I42</f>
        <v>#NAME?</v>
      </c>
      <c r="J169" s="55" t="e">
        <f t="shared" si="27"/>
        <v>#NAME?</v>
      </c>
      <c r="K169" s="54"/>
    </row>
    <row r="170" spans="1:11">
      <c r="C170" s="52" t="str">
        <f t="shared" si="25"/>
        <v>Driver 3</v>
      </c>
      <c r="D170" s="39">
        <f t="shared" si="26"/>
        <v>5</v>
      </c>
      <c r="E170" s="223" t="e">
        <f>$D170*E54</f>
        <v>#NAME?</v>
      </c>
      <c r="F170" s="39" t="e">
        <f>$D170*F54</f>
        <v>#NAME?</v>
      </c>
      <c r="G170" s="39" t="e">
        <f>$D170*G54</f>
        <v>#NAME?</v>
      </c>
      <c r="H170" s="39" t="e">
        <f>$D170*H54</f>
        <v>#NAME?</v>
      </c>
      <c r="I170" s="40" t="e">
        <f>$D170*I54</f>
        <v>#NAME?</v>
      </c>
      <c r="J170" s="55" t="e">
        <f t="shared" si="27"/>
        <v>#NAME?</v>
      </c>
      <c r="K170" s="54"/>
    </row>
    <row r="171" spans="1:11">
      <c r="C171" s="52" t="str">
        <f t="shared" si="25"/>
        <v>Driver 4</v>
      </c>
      <c r="D171" s="39">
        <f t="shared" si="26"/>
        <v>1</v>
      </c>
      <c r="E171" s="223" t="e">
        <f>$D171*E66</f>
        <v>#NAME?</v>
      </c>
      <c r="F171" s="39" t="e">
        <f>$D171*F66</f>
        <v>#NAME?</v>
      </c>
      <c r="G171" s="39" t="e">
        <f>$D171*G66</f>
        <v>#NAME?</v>
      </c>
      <c r="H171" s="39" t="e">
        <f>$D171*H66</f>
        <v>#NAME?</v>
      </c>
      <c r="I171" s="40" t="e">
        <f>$D171*I66</f>
        <v>#NAME?</v>
      </c>
      <c r="J171" s="55" t="e">
        <f t="shared" si="27"/>
        <v>#NAME?</v>
      </c>
      <c r="K171" s="54"/>
    </row>
    <row r="172" spans="1:11">
      <c r="C172" s="52" t="str">
        <f t="shared" si="25"/>
        <v>Driver 5</v>
      </c>
      <c r="D172" s="39">
        <f t="shared" si="26"/>
        <v>1</v>
      </c>
      <c r="E172" s="223" t="e">
        <f>$D172*E78</f>
        <v>#NAME?</v>
      </c>
      <c r="F172" s="39" t="e">
        <f>$D172*F78</f>
        <v>#NAME?</v>
      </c>
      <c r="G172" s="39" t="e">
        <f>$D172*G78</f>
        <v>#NAME?</v>
      </c>
      <c r="H172" s="39" t="e">
        <f>$D172*H78</f>
        <v>#NAME?</v>
      </c>
      <c r="I172" s="40" t="e">
        <f>$D172*I78</f>
        <v>#NAME?</v>
      </c>
      <c r="J172" s="55" t="e">
        <f t="shared" si="27"/>
        <v>#NAME?</v>
      </c>
      <c r="K172" s="54"/>
    </row>
    <row r="173" spans="1:11">
      <c r="C173" s="52" t="str">
        <f t="shared" si="25"/>
        <v>Driver 6</v>
      </c>
      <c r="D173" s="39">
        <f t="shared" si="26"/>
        <v>1</v>
      </c>
      <c r="E173" s="223" t="e">
        <f>$D173*E90</f>
        <v>#NAME?</v>
      </c>
      <c r="F173" s="39" t="e">
        <f>$D173*F90</f>
        <v>#NAME?</v>
      </c>
      <c r="G173" s="39" t="e">
        <f>$D173*G90</f>
        <v>#NAME?</v>
      </c>
      <c r="H173" s="39" t="e">
        <f>$D173*H90</f>
        <v>#NAME?</v>
      </c>
      <c r="I173" s="40" t="e">
        <f>$D173*I90</f>
        <v>#NAME?</v>
      </c>
      <c r="J173" s="55" t="e">
        <f t="shared" si="27"/>
        <v>#NAME?</v>
      </c>
      <c r="K173" s="54"/>
    </row>
    <row r="174" spans="1:11">
      <c r="C174" s="52" t="str">
        <f t="shared" si="25"/>
        <v>Driver 7</v>
      </c>
      <c r="D174" s="39">
        <f t="shared" si="26"/>
        <v>1</v>
      </c>
      <c r="E174" s="223" t="e">
        <f>$D174*E102</f>
        <v>#NAME?</v>
      </c>
      <c r="F174" s="39" t="e">
        <f>$D174*F102</f>
        <v>#NAME?</v>
      </c>
      <c r="G174" s="39" t="e">
        <f>$D174*G102</f>
        <v>#NAME?</v>
      </c>
      <c r="H174" s="39" t="e">
        <f>$D174*H102</f>
        <v>#NAME?</v>
      </c>
      <c r="I174" s="40" t="e">
        <f>$D174*I102</f>
        <v>#NAME?</v>
      </c>
      <c r="J174" s="55" t="e">
        <f t="shared" si="27"/>
        <v>#NAME?</v>
      </c>
      <c r="K174" s="54"/>
    </row>
    <row r="175" spans="1:11">
      <c r="C175" s="52" t="str">
        <f t="shared" si="25"/>
        <v>Driver 8</v>
      </c>
      <c r="D175" s="39">
        <f t="shared" si="26"/>
        <v>1</v>
      </c>
      <c r="E175" s="223" t="e">
        <f>$D175*E114</f>
        <v>#NAME?</v>
      </c>
      <c r="F175" s="39" t="e">
        <f>$D175*F114</f>
        <v>#NAME?</v>
      </c>
      <c r="G175" s="39" t="e">
        <f>$D175*G114</f>
        <v>#NAME?</v>
      </c>
      <c r="H175" s="39" t="e">
        <f>$D175*H114</f>
        <v>#NAME?</v>
      </c>
      <c r="I175" s="40" t="e">
        <f>$D175*I114</f>
        <v>#NAME?</v>
      </c>
      <c r="J175" s="55" t="e">
        <f t="shared" si="27"/>
        <v>#NAME?</v>
      </c>
      <c r="K175" s="54"/>
    </row>
    <row r="176" spans="1:11">
      <c r="C176" s="52" t="str">
        <f t="shared" si="25"/>
        <v>Driver 9</v>
      </c>
      <c r="D176" s="39">
        <f t="shared" si="26"/>
        <v>1</v>
      </c>
      <c r="E176" s="223" t="e">
        <f>$D176*E126</f>
        <v>#NAME?</v>
      </c>
      <c r="F176" s="39" t="e">
        <f>$D176*F126</f>
        <v>#NAME?</v>
      </c>
      <c r="G176" s="39" t="e">
        <f>$D176*G126</f>
        <v>#NAME?</v>
      </c>
      <c r="H176" s="39" t="e">
        <f>$D176*H126</f>
        <v>#NAME?</v>
      </c>
      <c r="I176" s="40" t="e">
        <f>$D176*I126</f>
        <v>#NAME?</v>
      </c>
      <c r="J176" s="55" t="e">
        <f t="shared" si="27"/>
        <v>#NAME?</v>
      </c>
      <c r="K176" s="54"/>
    </row>
    <row r="177" spans="1:11">
      <c r="C177" s="52" t="str">
        <f t="shared" si="25"/>
        <v>Driver 10</v>
      </c>
      <c r="D177" s="39">
        <f t="shared" si="26"/>
        <v>1</v>
      </c>
      <c r="E177" s="223" t="e">
        <f>$D177*E138</f>
        <v>#NAME?</v>
      </c>
      <c r="F177" s="39" t="e">
        <f>$D177*F138</f>
        <v>#NAME?</v>
      </c>
      <c r="G177" s="39" t="e">
        <f>$D177*G138</f>
        <v>#NAME?</v>
      </c>
      <c r="H177" s="39" t="e">
        <f>$D177*H138</f>
        <v>#NAME?</v>
      </c>
      <c r="I177" s="40" t="e">
        <f>$D177*I138</f>
        <v>#NAME?</v>
      </c>
      <c r="J177" s="55" t="e">
        <f t="shared" si="27"/>
        <v>#NAME?</v>
      </c>
      <c r="K177" s="54"/>
    </row>
    <row r="178" spans="1:11">
      <c r="C178" s="153" t="s">
        <v>1828</v>
      </c>
      <c r="D178" s="38"/>
      <c r="E178" s="224" t="e">
        <f>E150*SUM($E$168:$I$177)</f>
        <v>#NAME?</v>
      </c>
      <c r="F178" s="42" t="e">
        <f>F150*SUM($E$168:$I$177)</f>
        <v>#NAME?</v>
      </c>
      <c r="G178" s="42" t="e">
        <f>G150*SUM($E$168:$I$177)</f>
        <v>#NAME?</v>
      </c>
      <c r="H178" s="42" t="e">
        <f>H150*SUM($E$168:$I$177)</f>
        <v>#NAME?</v>
      </c>
      <c r="I178" s="225" t="e">
        <f>I150*SUM($E$168:$I$177)</f>
        <v>#NAME?</v>
      </c>
      <c r="J178" s="55" t="e">
        <f t="shared" si="27"/>
        <v>#NAME?</v>
      </c>
      <c r="K178" s="54"/>
    </row>
    <row r="179" spans="1:11" ht="12" thickBot="1">
      <c r="C179" s="52" t="s">
        <v>2959</v>
      </c>
      <c r="D179" s="38"/>
      <c r="E179" s="226" t="e">
        <f t="shared" ref="E179:J179" si="28">SUM(E168:E178)</f>
        <v>#NAME?</v>
      </c>
      <c r="F179" s="58" t="e">
        <f t="shared" si="28"/>
        <v>#NAME?</v>
      </c>
      <c r="G179" s="58" t="e">
        <f t="shared" si="28"/>
        <v>#NAME?</v>
      </c>
      <c r="H179" s="58" t="e">
        <f t="shared" si="28"/>
        <v>#NAME?</v>
      </c>
      <c r="I179" s="227" t="e">
        <f t="shared" si="28"/>
        <v>#NAME?</v>
      </c>
      <c r="J179" s="155" t="e">
        <f t="shared" si="28"/>
        <v>#NAME?</v>
      </c>
      <c r="K179" s="54"/>
    </row>
    <row r="180" spans="1:11">
      <c r="C180" s="52" t="s">
        <v>974</v>
      </c>
      <c r="D180" s="38"/>
      <c r="E180" s="38" t="e">
        <f>RANK(E179,$E179:$I179)</f>
        <v>#NAME?</v>
      </c>
      <c r="F180" s="38" t="e">
        <f>RANK(F179,$E179:$I179)</f>
        <v>#NAME?</v>
      </c>
      <c r="G180" s="38" t="e">
        <f>RANK(G179,$E179:$I179)</f>
        <v>#NAME?</v>
      </c>
      <c r="H180" s="38" t="e">
        <f>RANK(H179,$E179:$I179)</f>
        <v>#NAME?</v>
      </c>
      <c r="I180" s="38" t="e">
        <f>RANK(I179,$E179:$I179)</f>
        <v>#NAME?</v>
      </c>
      <c r="J180" s="38"/>
      <c r="K180" s="54"/>
    </row>
    <row r="181" spans="1:11" ht="12" thickBot="1">
      <c r="C181" s="56" t="s">
        <v>2830</v>
      </c>
      <c r="D181" s="50"/>
      <c r="E181" s="366" t="e">
        <f>E179/SUM($E179:$I179)</f>
        <v>#NAME?</v>
      </c>
      <c r="F181" s="366" t="e">
        <f>F179/SUM($E179:$I179)</f>
        <v>#NAME?</v>
      </c>
      <c r="G181" s="366" t="e">
        <f>G179/SUM($E179:$I179)</f>
        <v>#NAME?</v>
      </c>
      <c r="H181" s="366" t="e">
        <f>H179/SUM($E179:$I179)</f>
        <v>#NAME?</v>
      </c>
      <c r="I181" s="366" t="e">
        <f>I179/SUM($E179:$I179)</f>
        <v>#NAME?</v>
      </c>
      <c r="J181" s="367">
        <f>J166</f>
        <v>0</v>
      </c>
      <c r="K181" s="368" t="s">
        <v>2327</v>
      </c>
    </row>
    <row r="182" spans="1:11">
      <c r="A182" s="3"/>
      <c r="B182" s="3"/>
      <c r="C182" s="2"/>
      <c r="D182" s="39"/>
      <c r="E182" s="3"/>
      <c r="F182" s="3"/>
      <c r="G182" s="3"/>
      <c r="H182" s="3"/>
      <c r="I182" s="3"/>
      <c r="J182" s="3"/>
      <c r="K182" s="30"/>
    </row>
    <row r="183" spans="1:11">
      <c r="C183" s="49" t="s">
        <v>2830</v>
      </c>
      <c r="D183" s="95"/>
      <c r="E183" s="95"/>
      <c r="F183" s="95"/>
      <c r="G183" s="95"/>
      <c r="H183" s="95"/>
      <c r="I183" s="95"/>
      <c r="J183" s="96"/>
      <c r="K183" s="30"/>
    </row>
    <row r="184" spans="1:11">
      <c r="C184" s="91" t="s">
        <v>129</v>
      </c>
      <c r="D184" s="359" t="s">
        <v>2329</v>
      </c>
      <c r="E184" s="360"/>
      <c r="F184" s="361"/>
      <c r="G184" s="361"/>
      <c r="H184" s="361"/>
      <c r="I184" s="361"/>
      <c r="J184" s="362"/>
      <c r="K184" s="363" t="s">
        <v>2328</v>
      </c>
    </row>
    <row r="185" spans="1:11">
      <c r="C185" s="91" t="s">
        <v>130</v>
      </c>
      <c r="D185" s="21"/>
      <c r="E185" s="361"/>
      <c r="F185" s="361"/>
      <c r="G185" s="361"/>
      <c r="H185" s="361"/>
      <c r="I185" s="361"/>
      <c r="J185" s="362"/>
    </row>
    <row r="186" spans="1:11">
      <c r="C186" s="91" t="s">
        <v>131</v>
      </c>
      <c r="D186" s="21"/>
      <c r="E186" s="361"/>
      <c r="F186" s="361"/>
      <c r="G186" s="361"/>
      <c r="H186" s="361"/>
      <c r="I186" s="361"/>
      <c r="J186" s="362"/>
    </row>
    <row r="187" spans="1:11">
      <c r="C187" s="91" t="s">
        <v>1133</v>
      </c>
      <c r="D187" s="21"/>
      <c r="E187" s="361"/>
      <c r="F187" s="361"/>
      <c r="G187" s="361"/>
      <c r="H187" s="361"/>
      <c r="I187" s="361"/>
      <c r="J187" s="362"/>
    </row>
    <row r="188" spans="1:11">
      <c r="C188" s="91" t="s">
        <v>1134</v>
      </c>
      <c r="D188" s="21"/>
      <c r="E188" s="361"/>
      <c r="F188" s="361"/>
      <c r="G188" s="361"/>
      <c r="H188" s="361"/>
      <c r="I188" s="361"/>
      <c r="J188" s="362"/>
    </row>
    <row r="189" spans="1:11">
      <c r="C189" s="206"/>
      <c r="D189" s="207"/>
      <c r="E189" s="242"/>
      <c r="F189" s="242"/>
      <c r="G189" s="242"/>
      <c r="H189" s="242"/>
      <c r="I189" s="242"/>
      <c r="J189" s="243"/>
    </row>
    <row r="191" spans="1:11">
      <c r="C191" s="49" t="s">
        <v>3939</v>
      </c>
      <c r="D191" s="95"/>
      <c r="E191" s="60" t="s">
        <v>3119</v>
      </c>
      <c r="F191" s="60"/>
      <c r="G191" s="60"/>
      <c r="H191" s="60"/>
      <c r="I191" s="60"/>
      <c r="J191" s="96"/>
    </row>
    <row r="192" spans="1:11">
      <c r="C192" s="91" t="s">
        <v>129</v>
      </c>
      <c r="D192" s="21"/>
      <c r="E192" s="214"/>
      <c r="F192" s="214"/>
      <c r="G192" s="214"/>
      <c r="H192" s="214"/>
      <c r="I192" s="214"/>
      <c r="J192" s="97"/>
    </row>
    <row r="193" spans="1:11">
      <c r="C193" s="91" t="s">
        <v>130</v>
      </c>
      <c r="D193" s="21"/>
      <c r="E193" s="214"/>
      <c r="F193" s="214"/>
      <c r="G193" s="214"/>
      <c r="H193" s="214"/>
      <c r="I193" s="214"/>
      <c r="J193" s="97"/>
    </row>
    <row r="194" spans="1:11">
      <c r="C194" s="91" t="s">
        <v>131</v>
      </c>
      <c r="D194" s="21"/>
      <c r="E194" s="214"/>
      <c r="F194" s="214"/>
      <c r="G194" s="214"/>
      <c r="H194" s="214"/>
      <c r="I194" s="214"/>
      <c r="J194" s="97"/>
    </row>
    <row r="195" spans="1:11">
      <c r="C195" s="91" t="s">
        <v>1133</v>
      </c>
      <c r="D195" s="21"/>
      <c r="E195" s="214"/>
      <c r="F195" s="214"/>
      <c r="G195" s="214"/>
      <c r="H195" s="214"/>
      <c r="I195" s="214"/>
      <c r="J195" s="97"/>
    </row>
    <row r="196" spans="1:11">
      <c r="C196" s="91" t="s">
        <v>1134</v>
      </c>
      <c r="D196" s="21"/>
      <c r="E196" s="214"/>
      <c r="F196" s="214"/>
      <c r="G196" s="214"/>
      <c r="H196" s="214"/>
      <c r="I196" s="214"/>
      <c r="J196" s="97"/>
    </row>
    <row r="197" spans="1:11">
      <c r="C197" s="206"/>
      <c r="D197" s="207"/>
      <c r="E197" s="207"/>
      <c r="F197" s="207"/>
      <c r="G197" s="207"/>
      <c r="H197" s="207"/>
      <c r="I197" s="207"/>
      <c r="J197" s="208"/>
    </row>
    <row r="199" spans="1:11">
      <c r="C199" s="49" t="s">
        <v>3744</v>
      </c>
      <c r="D199" s="95"/>
      <c r="E199" s="95"/>
      <c r="F199" s="95"/>
      <c r="G199" s="95"/>
      <c r="H199" s="95"/>
      <c r="I199" s="95"/>
      <c r="J199" s="96" t="s">
        <v>1403</v>
      </c>
    </row>
    <row r="200" spans="1:11">
      <c r="C200" s="91" t="s">
        <v>129</v>
      </c>
      <c r="D200" s="21"/>
      <c r="E200" s="244">
        <f t="shared" ref="E200:I204" si="29">IF(ISBLANK(E192),E184,E192)</f>
        <v>0</v>
      </c>
      <c r="F200" s="244">
        <f t="shared" si="29"/>
        <v>0</v>
      </c>
      <c r="G200" s="244">
        <f t="shared" si="29"/>
        <v>0</v>
      </c>
      <c r="H200" s="244">
        <f t="shared" si="29"/>
        <v>0</v>
      </c>
      <c r="I200" s="244">
        <f t="shared" si="29"/>
        <v>0</v>
      </c>
      <c r="J200" s="101">
        <f>J184</f>
        <v>0</v>
      </c>
    </row>
    <row r="201" spans="1:11">
      <c r="C201" s="91" t="s">
        <v>130</v>
      </c>
      <c r="D201" s="21"/>
      <c r="E201" s="244">
        <f t="shared" si="29"/>
        <v>0</v>
      </c>
      <c r="F201" s="244">
        <f t="shared" si="29"/>
        <v>0</v>
      </c>
      <c r="G201" s="244">
        <f t="shared" si="29"/>
        <v>0</v>
      </c>
      <c r="H201" s="244">
        <f t="shared" si="29"/>
        <v>0</v>
      </c>
      <c r="I201" s="244">
        <f t="shared" si="29"/>
        <v>0</v>
      </c>
      <c r="J201" s="101">
        <f>J185</f>
        <v>0</v>
      </c>
    </row>
    <row r="202" spans="1:11">
      <c r="C202" s="91" t="s">
        <v>131</v>
      </c>
      <c r="D202" s="21"/>
      <c r="E202" s="244">
        <f t="shared" si="29"/>
        <v>0</v>
      </c>
      <c r="F202" s="244">
        <f t="shared" si="29"/>
        <v>0</v>
      </c>
      <c r="G202" s="244">
        <f t="shared" si="29"/>
        <v>0</v>
      </c>
      <c r="H202" s="244">
        <f t="shared" si="29"/>
        <v>0</v>
      </c>
      <c r="I202" s="244">
        <f t="shared" si="29"/>
        <v>0</v>
      </c>
      <c r="J202" s="101">
        <f>J186</f>
        <v>0</v>
      </c>
    </row>
    <row r="203" spans="1:11">
      <c r="C203" s="91" t="s">
        <v>1133</v>
      </c>
      <c r="D203" s="21"/>
      <c r="E203" s="244">
        <f t="shared" si="29"/>
        <v>0</v>
      </c>
      <c r="F203" s="244">
        <f t="shared" si="29"/>
        <v>0</v>
      </c>
      <c r="G203" s="244">
        <f t="shared" si="29"/>
        <v>0</v>
      </c>
      <c r="H203" s="244">
        <f t="shared" si="29"/>
        <v>0</v>
      </c>
      <c r="I203" s="244">
        <f t="shared" si="29"/>
        <v>0</v>
      </c>
      <c r="J203" s="101">
        <f>J187</f>
        <v>0</v>
      </c>
    </row>
    <row r="204" spans="1:11">
      <c r="C204" s="91" t="s">
        <v>1134</v>
      </c>
      <c r="D204" s="21"/>
      <c r="E204" s="244">
        <f t="shared" si="29"/>
        <v>0</v>
      </c>
      <c r="F204" s="244">
        <f t="shared" si="29"/>
        <v>0</v>
      </c>
      <c r="G204" s="244">
        <f t="shared" si="29"/>
        <v>0</v>
      </c>
      <c r="H204" s="244">
        <f t="shared" si="29"/>
        <v>0</v>
      </c>
      <c r="I204" s="244">
        <f t="shared" si="29"/>
        <v>0</v>
      </c>
      <c r="J204" s="101">
        <f>J188</f>
        <v>0</v>
      </c>
    </row>
    <row r="205" spans="1:11">
      <c r="C205" s="206"/>
      <c r="D205" s="207"/>
      <c r="E205" s="242"/>
      <c r="F205" s="242"/>
      <c r="G205" s="242"/>
      <c r="H205" s="242"/>
      <c r="I205" s="242"/>
      <c r="J205" s="208"/>
    </row>
    <row r="206" spans="1:11">
      <c r="C206" s="93" t="s">
        <v>1136</v>
      </c>
      <c r="D206" s="94"/>
      <c r="E206" s="245">
        <f>SUMPRODUCT(E200:E205,$J$200:$J$205)</f>
        <v>0</v>
      </c>
      <c r="F206" s="245">
        <f>SUMPRODUCT(F200:F205,$J$200:$J$205)</f>
        <v>0</v>
      </c>
      <c r="G206" s="245">
        <f>SUMPRODUCT(G200:G205,$J$200:$J$205)</f>
        <v>0</v>
      </c>
      <c r="H206" s="245">
        <f>SUMPRODUCT(H200:H205,$J$200:$J$205)</f>
        <v>0</v>
      </c>
      <c r="I206" s="245">
        <f>SUMPRODUCT(I200:I205,$J$200:$J$205)</f>
        <v>0</v>
      </c>
      <c r="J206" s="103">
        <f>SUM(E206:I206)</f>
        <v>0</v>
      </c>
    </row>
    <row r="207" spans="1:11">
      <c r="C207" s="30" t="s">
        <v>2830</v>
      </c>
      <c r="D207" s="30"/>
      <c r="E207" s="104">
        <f>IF(E206=0,0,E206/$J$206)</f>
        <v>0</v>
      </c>
      <c r="F207" s="104">
        <f>IF(F206=0,0,F206/$J$206)</f>
        <v>0</v>
      </c>
      <c r="G207" s="104">
        <f>IF(G206=0,0,G206/$J$206)</f>
        <v>0</v>
      </c>
      <c r="H207" s="104">
        <f>IF(H206=0,0,H206/$J$206)</f>
        <v>0</v>
      </c>
      <c r="I207" s="104">
        <f>IF(I206=0,0,I206/$J$206)</f>
        <v>0</v>
      </c>
    </row>
    <row r="208" spans="1:11">
      <c r="A208" s="3"/>
      <c r="B208" s="3"/>
      <c r="C208" s="2"/>
      <c r="D208" s="39"/>
      <c r="E208" s="3"/>
      <c r="F208" s="3"/>
      <c r="G208" s="3"/>
      <c r="H208" s="3"/>
      <c r="I208" s="3"/>
      <c r="J208" s="3"/>
      <c r="K208" s="3"/>
    </row>
    <row r="209" spans="1:11">
      <c r="A209" s="3"/>
      <c r="B209" s="3"/>
      <c r="C209" s="2" t="s">
        <v>975</v>
      </c>
      <c r="D209" s="3"/>
      <c r="E209" s="72">
        <f>E207</f>
        <v>0</v>
      </c>
      <c r="F209" s="72">
        <f>F207</f>
        <v>0</v>
      </c>
      <c r="G209" s="72">
        <f>G207</f>
        <v>0</v>
      </c>
      <c r="H209" s="72">
        <f>H207</f>
        <v>0</v>
      </c>
      <c r="I209" s="72">
        <f>I207</f>
        <v>0</v>
      </c>
      <c r="J209" s="3"/>
      <c r="K209" s="3"/>
    </row>
    <row r="210" spans="1:11">
      <c r="A210" s="3"/>
      <c r="B210" s="3"/>
      <c r="C210" s="73" t="s">
        <v>976</v>
      </c>
      <c r="D210" s="61"/>
      <c r="E210" s="197">
        <f>ROUNDDOWN(E207*$J206,0)</f>
        <v>0</v>
      </c>
      <c r="F210" s="197">
        <f>ROUNDDOWN(F207*$J206,0)</f>
        <v>0</v>
      </c>
      <c r="G210" s="197">
        <f>ROUNDDOWN(G207*$J206,0)</f>
        <v>0</v>
      </c>
      <c r="H210" s="197">
        <f>ROUNDDOWN(H207*$J206,0)</f>
        <v>0</v>
      </c>
      <c r="I210" s="197">
        <f>ROUNDDOWN(I207*$J206,0)</f>
        <v>0</v>
      </c>
      <c r="J210" s="199">
        <f>SUM(E210:I210)</f>
        <v>0</v>
      </c>
      <c r="K210" s="37"/>
    </row>
    <row r="211" spans="1:11">
      <c r="A211" s="3"/>
      <c r="B211" s="3"/>
      <c r="C211" s="233" t="s">
        <v>977</v>
      </c>
      <c r="D211" s="150"/>
      <c r="E211" s="232" t="e">
        <f>decProd6Units</f>
        <v>#NAME?</v>
      </c>
      <c r="F211" s="232" t="e">
        <f>decProd6Units</f>
        <v>#NAME?</v>
      </c>
      <c r="G211" s="232" t="e">
        <f>decProd6Units</f>
        <v>#NAME?</v>
      </c>
      <c r="H211" s="232" t="e">
        <f>decProd6Units</f>
        <v>#NAME?</v>
      </c>
      <c r="I211" s="232" t="e">
        <f>decProd6Units</f>
        <v>#NAME?</v>
      </c>
      <c r="J211" s="198" t="e">
        <f>SUM(E211:I211)</f>
        <v>#NAME?</v>
      </c>
      <c r="K211" s="37"/>
    </row>
    <row r="212" spans="1:11">
      <c r="A212" s="3"/>
      <c r="B212" s="3"/>
      <c r="C212" s="37" t="s">
        <v>3325</v>
      </c>
      <c r="D212" s="38"/>
      <c r="E212" s="87" t="e">
        <f>E211-E210</f>
        <v>#NAME?</v>
      </c>
      <c r="F212" s="87" t="e">
        <f>F211-F210</f>
        <v>#NAME?</v>
      </c>
      <c r="G212" s="87" t="e">
        <f>G211-G210</f>
        <v>#NAME?</v>
      </c>
      <c r="H212" s="87" t="e">
        <f>H211-H210</f>
        <v>#NAME?</v>
      </c>
      <c r="I212" s="87" t="e">
        <f>I211-I210</f>
        <v>#NAME?</v>
      </c>
      <c r="J212" s="200" t="e">
        <f>SUM(E212:I212)-SUMPRODUCT(E212:I212,E213:I213)</f>
        <v>#NAME?</v>
      </c>
      <c r="K212" s="37"/>
    </row>
    <row r="213" spans="1:11">
      <c r="A213" s="3"/>
      <c r="B213" s="3"/>
      <c r="C213" s="37" t="s">
        <v>1068</v>
      </c>
      <c r="D213" s="38"/>
      <c r="E213" s="38" t="e">
        <f>1*(E212&gt;0)</f>
        <v>#NAME?</v>
      </c>
      <c r="F213" s="38" t="e">
        <f>1*(F212&gt;0)</f>
        <v>#NAME?</v>
      </c>
      <c r="G213" s="38" t="e">
        <f>1*(G212&gt;0)</f>
        <v>#NAME?</v>
      </c>
      <c r="H213" s="38" t="e">
        <f>1*(H212&gt;0)</f>
        <v>#NAME?</v>
      </c>
      <c r="I213" s="38" t="e">
        <f>1*(I212&gt;0)</f>
        <v>#NAME?</v>
      </c>
      <c r="J213" s="37" t="e">
        <f>SUM(E213:I213)</f>
        <v>#NAME?</v>
      </c>
      <c r="K213" s="37"/>
    </row>
    <row r="214" spans="1:11">
      <c r="A214" s="3"/>
      <c r="B214" s="3"/>
      <c r="C214" s="37" t="s">
        <v>1069</v>
      </c>
      <c r="D214" s="38"/>
      <c r="E214" s="48" t="e">
        <f>IF(AND(E213&gt;0,E210&gt;0),+E209*E213/SUMPRODUCT($E209:$I209,$E213:$I213),0)</f>
        <v>#NAME?</v>
      </c>
      <c r="F214" s="48" t="e">
        <f>IF(AND(F213&gt;0,F210&gt;0),+F209*F213/SUMPRODUCT($E209:$I209,$E213:$I213),0)</f>
        <v>#NAME?</v>
      </c>
      <c r="G214" s="48" t="e">
        <f>IF(AND(G213&gt;0,G210&gt;0),+G209*G213/SUMPRODUCT($E209:$I209,$E213:$I213),0)</f>
        <v>#NAME?</v>
      </c>
      <c r="H214" s="48" t="e">
        <f>IF(AND(H213&gt;0,H210&gt;0),+H209*H213/SUMPRODUCT($E209:$I209,$E213:$I213),0)</f>
        <v>#NAME?</v>
      </c>
      <c r="I214" s="48" t="e">
        <f>IF(AND(I213&gt;0,I210&gt;0),+I209*I213/SUMPRODUCT($E209:$I209,$E213:$I213),0)</f>
        <v>#NAME?</v>
      </c>
      <c r="J214" s="37"/>
      <c r="K214" s="37"/>
    </row>
    <row r="215" spans="1:11">
      <c r="A215" s="3"/>
      <c r="B215" s="3"/>
      <c r="C215" s="37" t="s">
        <v>3782</v>
      </c>
      <c r="D215" s="38"/>
      <c r="E215" s="39" t="e">
        <f>-MAX(-E212,ROUND(E214*$J212,0))*E213</f>
        <v>#NAME?</v>
      </c>
      <c r="F215" s="39" t="e">
        <f>-MAX(-F212,ROUND(F214*$J212,0))*F213</f>
        <v>#NAME?</v>
      </c>
      <c r="G215" s="39" t="e">
        <f>-MAX(-G212,ROUND(G214*$J212,0))*G213</f>
        <v>#NAME?</v>
      </c>
      <c r="H215" s="39" t="e">
        <f>-MAX(-H212,ROUND(H214*$J212,0))*H213</f>
        <v>#NAME?</v>
      </c>
      <c r="I215" s="39" t="e">
        <f>-MAX(-I212,ROUND(I214*$J212,0))*I213</f>
        <v>#NAME?</v>
      </c>
      <c r="J215" s="37" t="e">
        <f>ROUND(SUM(E215:I215),0)</f>
        <v>#NAME?</v>
      </c>
      <c r="K215" s="37"/>
    </row>
    <row r="216" spans="1:11">
      <c r="A216" s="3"/>
      <c r="B216" s="3"/>
      <c r="C216" s="37" t="s">
        <v>2324</v>
      </c>
      <c r="D216" s="38"/>
      <c r="E216" s="236"/>
      <c r="F216" s="236"/>
      <c r="G216" s="236"/>
      <c r="H216" s="236"/>
      <c r="I216" s="236"/>
      <c r="J216" s="37"/>
      <c r="K216" s="37"/>
    </row>
    <row r="217" spans="1:11">
      <c r="A217" s="3"/>
      <c r="B217" s="3"/>
      <c r="C217" s="37" t="s">
        <v>3783</v>
      </c>
      <c r="D217" s="38"/>
      <c r="E217" s="353"/>
      <c r="F217" s="353"/>
      <c r="G217" s="353"/>
      <c r="H217" s="353"/>
      <c r="I217" s="353"/>
      <c r="J217" s="37"/>
      <c r="K217" s="37"/>
    </row>
    <row r="218" spans="1:11">
      <c r="A218" s="3"/>
      <c r="B218" s="3"/>
      <c r="C218" s="37" t="s">
        <v>3784</v>
      </c>
      <c r="D218" s="38"/>
      <c r="E218" s="87" t="e">
        <f>MIN(E211,E212-E217-E215-E216*$J210)</f>
        <v>#NAME?</v>
      </c>
      <c r="F218" s="87" t="e">
        <f>MIN(F211,F212-F217-F215-F216*$J210)</f>
        <v>#NAME?</v>
      </c>
      <c r="G218" s="87" t="e">
        <f>MIN(G211,G212-G217-G215-G216*$J210)</f>
        <v>#NAME?</v>
      </c>
      <c r="H218" s="87" t="e">
        <f>MIN(H211,H212-H217-H215-H216*$J210)</f>
        <v>#NAME?</v>
      </c>
      <c r="I218" s="87" t="e">
        <f>MIN(I211,I212-I217-I215-I216*$J210)</f>
        <v>#NAME?</v>
      </c>
      <c r="J218" s="198"/>
      <c r="K218" s="37"/>
    </row>
    <row r="219" spans="1:11">
      <c r="A219" s="3"/>
      <c r="B219" s="3"/>
      <c r="C219" s="37" t="s">
        <v>3785</v>
      </c>
      <c r="D219" s="38"/>
      <c r="E219" s="87" t="e">
        <f>MAX(E218,0)</f>
        <v>#NAME?</v>
      </c>
      <c r="F219" s="87" t="e">
        <f>MAX(F218,0)</f>
        <v>#NAME?</v>
      </c>
      <c r="G219" s="87" t="e">
        <f>MAX(G218,0)</f>
        <v>#NAME?</v>
      </c>
      <c r="H219" s="87" t="e">
        <f>MAX(H218,0)</f>
        <v>#NAME?</v>
      </c>
      <c r="I219" s="87" t="e">
        <f>MAX(I218,0)</f>
        <v>#NAME?</v>
      </c>
      <c r="J219" s="198"/>
      <c r="K219" s="37"/>
    </row>
    <row r="220" spans="1:11">
      <c r="A220" s="3"/>
      <c r="B220" s="3"/>
      <c r="C220" s="74" t="s">
        <v>3786</v>
      </c>
      <c r="D220" s="38"/>
      <c r="E220" s="178" t="e">
        <f>MAX(0,MIN(E210+E215+E217+E216*$J210,E211))</f>
        <v>#NAME?</v>
      </c>
      <c r="F220" s="178" t="e">
        <f>MAX(0,MIN(F210+F215+F217+F216*$J210,F211))</f>
        <v>#NAME?</v>
      </c>
      <c r="G220" s="178" t="e">
        <f>MAX(0,MIN(G210+G215+G217+G216*$J210,G211))</f>
        <v>#NAME?</v>
      </c>
      <c r="H220" s="178" t="e">
        <f>MAX(0,MIN(H210+H215+H217+H216*$J210,H211))</f>
        <v>#NAME?</v>
      </c>
      <c r="I220" s="178" t="e">
        <f>MAX(0,MIN(I210+I215+I217+I216*$J210,I211))</f>
        <v>#NAME?</v>
      </c>
      <c r="J220" s="198" t="e">
        <f>SUM(E220:I220)</f>
        <v>#NAME?</v>
      </c>
      <c r="K220" s="37"/>
    </row>
    <row r="221" spans="1:11">
      <c r="A221" s="3"/>
      <c r="B221" s="3"/>
      <c r="C221" s="63" t="s">
        <v>3787</v>
      </c>
      <c r="D221" s="67"/>
      <c r="E221" s="68" t="e">
        <f>E220/MAX(1,$J220)</f>
        <v>#NAME?</v>
      </c>
      <c r="F221" s="68" t="e">
        <f>F220/MAX(1,$J220)</f>
        <v>#NAME?</v>
      </c>
      <c r="G221" s="68" t="e">
        <f>G220/MAX(1,$J220)</f>
        <v>#NAME?</v>
      </c>
      <c r="H221" s="68" t="e">
        <f>H220/MAX(1,$J220)</f>
        <v>#NAME?</v>
      </c>
      <c r="I221" s="68" t="e">
        <f>I220/MAX(1,$J220)</f>
        <v>#NAME?</v>
      </c>
      <c r="J221" s="198" t="e">
        <f>J210-J220</f>
        <v>#NAME?</v>
      </c>
      <c r="K221" s="37"/>
    </row>
    <row r="222" spans="1:11">
      <c r="A222" s="3"/>
      <c r="B222" s="3"/>
      <c r="C222" s="75" t="s">
        <v>974</v>
      </c>
      <c r="D222" s="35"/>
      <c r="E222" s="35" t="e">
        <f>RANK(E221,$E$221:$I$221)</f>
        <v>#NAME?</v>
      </c>
      <c r="F222" s="35" t="e">
        <f>RANK(F221,$E$221:$I$221)</f>
        <v>#NAME?</v>
      </c>
      <c r="G222" s="35" t="e">
        <f>RANK(G221,$E$221:$I$221)</f>
        <v>#NAME?</v>
      </c>
      <c r="H222" s="35" t="e">
        <f>RANK(H221,$E$221:$I$221)</f>
        <v>#NAME?</v>
      </c>
      <c r="I222" s="35" t="e">
        <f>RANK(I221,$E$221:$I$221)</f>
        <v>#NAME?</v>
      </c>
      <c r="J222" s="63"/>
      <c r="K222" s="37"/>
    </row>
    <row r="223" spans="1:11">
      <c r="A223" s="3"/>
      <c r="B223" s="3"/>
      <c r="C223" s="2"/>
      <c r="D223" s="39"/>
      <c r="E223" s="3"/>
      <c r="F223" s="3"/>
      <c r="G223" s="3"/>
      <c r="H223" s="3"/>
      <c r="I223" s="3"/>
      <c r="J223" s="3"/>
      <c r="K223" s="3"/>
    </row>
    <row r="225" spans="3:11">
      <c r="C225" s="49" t="s">
        <v>648</v>
      </c>
      <c r="D225" s="95"/>
      <c r="E225" s="95"/>
      <c r="F225" s="95"/>
      <c r="G225" s="95"/>
      <c r="H225" s="95"/>
      <c r="I225" s="95"/>
      <c r="J225" s="96"/>
    </row>
    <row r="226" spans="3:11">
      <c r="C226" s="108" t="s">
        <v>129</v>
      </c>
      <c r="D226" s="246">
        <f>IF(J200=0,0,J200/SUM($J$200:$J$205))</f>
        <v>0</v>
      </c>
      <c r="E226" s="247">
        <f t="shared" ref="E226:I230" si="30">E200*$D226</f>
        <v>0</v>
      </c>
      <c r="F226" s="247">
        <f t="shared" si="30"/>
        <v>0</v>
      </c>
      <c r="G226" s="247">
        <f t="shared" si="30"/>
        <v>0</v>
      </c>
      <c r="H226" s="247">
        <f t="shared" si="30"/>
        <v>0</v>
      </c>
      <c r="I226" s="247">
        <f t="shared" si="30"/>
        <v>0</v>
      </c>
      <c r="J226" s="90"/>
    </row>
    <row r="227" spans="3:11">
      <c r="C227" s="91" t="s">
        <v>130</v>
      </c>
      <c r="D227" s="244">
        <f>IF(J201=0,0,J201/SUM($J$200:$J$205))</f>
        <v>0</v>
      </c>
      <c r="E227" s="248">
        <f t="shared" si="30"/>
        <v>0</v>
      </c>
      <c r="F227" s="248">
        <f t="shared" si="30"/>
        <v>0</v>
      </c>
      <c r="G227" s="248">
        <f t="shared" si="30"/>
        <v>0</v>
      </c>
      <c r="H227" s="248">
        <f t="shared" si="30"/>
        <v>0</v>
      </c>
      <c r="I227" s="248">
        <f t="shared" si="30"/>
        <v>0</v>
      </c>
      <c r="J227" s="97"/>
    </row>
    <row r="228" spans="3:11">
      <c r="C228" s="91" t="s">
        <v>131</v>
      </c>
      <c r="D228" s="244">
        <f>IF(J202=0,0,J202/SUM($J$200:$J$205))</f>
        <v>0</v>
      </c>
      <c r="E228" s="248">
        <f t="shared" si="30"/>
        <v>0</v>
      </c>
      <c r="F228" s="248">
        <f t="shared" si="30"/>
        <v>0</v>
      </c>
      <c r="G228" s="248">
        <f t="shared" si="30"/>
        <v>0</v>
      </c>
      <c r="H228" s="248">
        <f t="shared" si="30"/>
        <v>0</v>
      </c>
      <c r="I228" s="248">
        <f t="shared" si="30"/>
        <v>0</v>
      </c>
      <c r="J228" s="97"/>
    </row>
    <row r="229" spans="3:11">
      <c r="C229" s="91" t="s">
        <v>1133</v>
      </c>
      <c r="D229" s="244">
        <f>IF(J203=0,0,J203/SUM($J$200:$J$205))</f>
        <v>0</v>
      </c>
      <c r="E229" s="248">
        <f t="shared" si="30"/>
        <v>0</v>
      </c>
      <c r="F229" s="248">
        <f t="shared" si="30"/>
        <v>0</v>
      </c>
      <c r="G229" s="248">
        <f t="shared" si="30"/>
        <v>0</v>
      </c>
      <c r="H229" s="248">
        <f t="shared" si="30"/>
        <v>0</v>
      </c>
      <c r="I229" s="248">
        <f t="shared" si="30"/>
        <v>0</v>
      </c>
      <c r="J229" s="97"/>
    </row>
    <row r="230" spans="3:11">
      <c r="C230" s="91" t="s">
        <v>1134</v>
      </c>
      <c r="D230" s="244">
        <f>IF(J204=0,0,J204/SUM($J$200:$J$205))</f>
        <v>0</v>
      </c>
      <c r="E230" s="248">
        <f t="shared" si="30"/>
        <v>0</v>
      </c>
      <c r="F230" s="248">
        <f t="shared" si="30"/>
        <v>0</v>
      </c>
      <c r="G230" s="248">
        <f t="shared" si="30"/>
        <v>0</v>
      </c>
      <c r="H230" s="248">
        <f t="shared" si="30"/>
        <v>0</v>
      </c>
      <c r="I230" s="248">
        <f t="shared" si="30"/>
        <v>0</v>
      </c>
      <c r="J230" s="97"/>
    </row>
    <row r="231" spans="3:11">
      <c r="C231" s="206"/>
      <c r="D231" s="242"/>
      <c r="E231" s="249"/>
      <c r="F231" s="249"/>
      <c r="G231" s="249"/>
      <c r="H231" s="249"/>
      <c r="I231" s="249"/>
      <c r="J231" s="208"/>
    </row>
    <row r="232" spans="3:11">
      <c r="C232" s="70" t="s">
        <v>2377</v>
      </c>
      <c r="D232" s="64"/>
      <c r="E232" s="107">
        <f>ROUND(SUM(E226:E231),4)</f>
        <v>0</v>
      </c>
      <c r="F232" s="107">
        <f>ROUND(SUM(F226:F231),4)</f>
        <v>0</v>
      </c>
      <c r="G232" s="107">
        <f>ROUND(SUM(G226:G231),4)</f>
        <v>0</v>
      </c>
      <c r="H232" s="107">
        <f>ROUND(SUM(H226:H231),4)</f>
        <v>0</v>
      </c>
      <c r="I232" s="107">
        <f>ROUND(SUM(I226:I231),4)</f>
        <v>0</v>
      </c>
      <c r="J232" s="98"/>
    </row>
    <row r="233" spans="3:11">
      <c r="E233" s="105"/>
      <c r="F233" s="105"/>
      <c r="G233" s="105"/>
      <c r="H233" s="105"/>
      <c r="I233" s="105"/>
    </row>
    <row r="234" spans="3:11">
      <c r="C234" s="73" t="s">
        <v>3745</v>
      </c>
      <c r="D234" s="89"/>
      <c r="E234" s="89"/>
      <c r="F234" s="89"/>
      <c r="G234" s="89"/>
      <c r="H234" s="89"/>
      <c r="I234" s="89"/>
      <c r="J234" s="90"/>
      <c r="K234" s="113" t="s">
        <v>3746</v>
      </c>
    </row>
    <row r="235" spans="3:11">
      <c r="C235" s="49" t="s">
        <v>3747</v>
      </c>
      <c r="D235" s="60"/>
      <c r="E235" s="110" t="e">
        <f>E221-E232</f>
        <v>#NAME?</v>
      </c>
      <c r="F235" s="110" t="e">
        <f>F221-F232</f>
        <v>#NAME?</v>
      </c>
      <c r="G235" s="110" t="e">
        <f>G221-G232</f>
        <v>#NAME?</v>
      </c>
      <c r="H235" s="110" t="e">
        <f>H221-H232</f>
        <v>#NAME?</v>
      </c>
      <c r="I235" s="110" t="e">
        <f>I221-I232</f>
        <v>#NAME?</v>
      </c>
      <c r="J235" s="96"/>
      <c r="K235" s="114" t="s">
        <v>973</v>
      </c>
    </row>
    <row r="236" spans="3:11">
      <c r="C236" s="108" t="s">
        <v>129</v>
      </c>
      <c r="D236" s="89"/>
      <c r="E236" s="111">
        <f t="shared" ref="E236:I238" si="31">IF(E226=0,0,E226+E$235*E226/E$232)</f>
        <v>0</v>
      </c>
      <c r="F236" s="111">
        <f t="shared" si="31"/>
        <v>0</v>
      </c>
      <c r="G236" s="111">
        <f t="shared" si="31"/>
        <v>0</v>
      </c>
      <c r="H236" s="111">
        <f t="shared" si="31"/>
        <v>0</v>
      </c>
      <c r="I236" s="111">
        <f t="shared" si="31"/>
        <v>0</v>
      </c>
      <c r="J236" s="250">
        <f>SUM(E236:I236)</f>
        <v>0</v>
      </c>
      <c r="K236" s="251">
        <f>IF(J236=0,0,D226/J236)</f>
        <v>0</v>
      </c>
    </row>
    <row r="237" spans="3:11">
      <c r="C237" s="91" t="s">
        <v>130</v>
      </c>
      <c r="D237" s="21"/>
      <c r="E237" s="109">
        <f t="shared" si="31"/>
        <v>0</v>
      </c>
      <c r="F237" s="109">
        <f t="shared" si="31"/>
        <v>0</v>
      </c>
      <c r="G237" s="109">
        <f t="shared" si="31"/>
        <v>0</v>
      </c>
      <c r="H237" s="109">
        <f t="shared" si="31"/>
        <v>0</v>
      </c>
      <c r="I237" s="109">
        <f t="shared" si="31"/>
        <v>0</v>
      </c>
      <c r="J237" s="252">
        <f>SUM(E237:I237)</f>
        <v>0</v>
      </c>
      <c r="K237" s="251">
        <f>IF(J237=0,0,D227/J237)</f>
        <v>0</v>
      </c>
    </row>
    <row r="238" spans="3:11">
      <c r="C238" s="91" t="s">
        <v>131</v>
      </c>
      <c r="D238" s="21"/>
      <c r="E238" s="109">
        <f t="shared" si="31"/>
        <v>0</v>
      </c>
      <c r="F238" s="109">
        <f t="shared" si="31"/>
        <v>0</v>
      </c>
      <c r="G238" s="109">
        <f t="shared" si="31"/>
        <v>0</v>
      </c>
      <c r="H238" s="109">
        <f t="shared" si="31"/>
        <v>0</v>
      </c>
      <c r="I238" s="109">
        <f t="shared" si="31"/>
        <v>0</v>
      </c>
      <c r="J238" s="252">
        <f>SUM(E238:I238)</f>
        <v>0</v>
      </c>
      <c r="K238" s="251">
        <f>IF(J238=0,0,D228/J238)</f>
        <v>0</v>
      </c>
    </row>
    <row r="239" spans="3:11">
      <c r="C239" s="91" t="s">
        <v>1133</v>
      </c>
      <c r="D239" s="21"/>
      <c r="E239" s="109">
        <f t="shared" ref="E239:I240" si="32">IF(E229=0,0,E229+E$235*E229/E$232)</f>
        <v>0</v>
      </c>
      <c r="F239" s="109">
        <f t="shared" si="32"/>
        <v>0</v>
      </c>
      <c r="G239" s="109">
        <f t="shared" si="32"/>
        <v>0</v>
      </c>
      <c r="H239" s="109">
        <f t="shared" si="32"/>
        <v>0</v>
      </c>
      <c r="I239" s="109">
        <f t="shared" si="32"/>
        <v>0</v>
      </c>
      <c r="J239" s="252">
        <f>SUM(E239:I239)</f>
        <v>0</v>
      </c>
      <c r="K239" s="251">
        <f>IF(J239=0,0,D229/J239)</f>
        <v>0</v>
      </c>
    </row>
    <row r="240" spans="3:11">
      <c r="C240" s="91" t="s">
        <v>1134</v>
      </c>
      <c r="D240" s="21"/>
      <c r="E240" s="109">
        <f t="shared" si="32"/>
        <v>0</v>
      </c>
      <c r="F240" s="109">
        <f t="shared" si="32"/>
        <v>0</v>
      </c>
      <c r="G240" s="109">
        <f t="shared" si="32"/>
        <v>0</v>
      </c>
      <c r="H240" s="109">
        <f t="shared" si="32"/>
        <v>0</v>
      </c>
      <c r="I240" s="109">
        <f t="shared" si="32"/>
        <v>0</v>
      </c>
      <c r="J240" s="252">
        <f>SUM(E240:I240)</f>
        <v>0</v>
      </c>
      <c r="K240" s="251">
        <f>IF(J240=0,0,D230/J240)</f>
        <v>0</v>
      </c>
    </row>
    <row r="241" spans="3:11">
      <c r="C241" s="206"/>
      <c r="D241" s="207"/>
      <c r="E241" s="212"/>
      <c r="F241" s="212"/>
      <c r="G241" s="212"/>
      <c r="H241" s="212"/>
      <c r="I241" s="212"/>
      <c r="J241" s="208"/>
      <c r="K241" s="112"/>
    </row>
    <row r="243" spans="3:11">
      <c r="C243" s="49" t="s">
        <v>3750</v>
      </c>
      <c r="D243" s="95"/>
      <c r="E243" s="95"/>
      <c r="F243" s="95"/>
      <c r="G243" s="95"/>
      <c r="H243" s="95"/>
      <c r="I243" s="95"/>
      <c r="J243" s="96"/>
    </row>
    <row r="244" spans="3:11">
      <c r="C244" s="91" t="s">
        <v>129</v>
      </c>
      <c r="D244" s="21"/>
      <c r="E244" s="248">
        <f t="shared" ref="E244:I248" si="33">E236*$K236</f>
        <v>0</v>
      </c>
      <c r="F244" s="248">
        <f t="shared" si="33"/>
        <v>0</v>
      </c>
      <c r="G244" s="248">
        <f t="shared" si="33"/>
        <v>0</v>
      </c>
      <c r="H244" s="248">
        <f t="shared" si="33"/>
        <v>0</v>
      </c>
      <c r="I244" s="248">
        <f t="shared" si="33"/>
        <v>0</v>
      </c>
      <c r="J244" s="252">
        <f>SUM(E244:I244)</f>
        <v>0</v>
      </c>
    </row>
    <row r="245" spans="3:11">
      <c r="C245" s="91" t="s">
        <v>130</v>
      </c>
      <c r="D245" s="21"/>
      <c r="E245" s="248">
        <f t="shared" si="33"/>
        <v>0</v>
      </c>
      <c r="F245" s="248">
        <f t="shared" si="33"/>
        <v>0</v>
      </c>
      <c r="G245" s="248">
        <f t="shared" si="33"/>
        <v>0</v>
      </c>
      <c r="H245" s="248">
        <f t="shared" si="33"/>
        <v>0</v>
      </c>
      <c r="I245" s="248">
        <f t="shared" si="33"/>
        <v>0</v>
      </c>
      <c r="J245" s="252">
        <f>SUM(E245:I245)</f>
        <v>0</v>
      </c>
    </row>
    <row r="246" spans="3:11">
      <c r="C246" s="91" t="s">
        <v>131</v>
      </c>
      <c r="D246" s="21"/>
      <c r="E246" s="248">
        <f t="shared" si="33"/>
        <v>0</v>
      </c>
      <c r="F246" s="248">
        <f t="shared" si="33"/>
        <v>0</v>
      </c>
      <c r="G246" s="248">
        <f t="shared" si="33"/>
        <v>0</v>
      </c>
      <c r="H246" s="248">
        <f t="shared" si="33"/>
        <v>0</v>
      </c>
      <c r="I246" s="248">
        <f t="shared" si="33"/>
        <v>0</v>
      </c>
      <c r="J246" s="252">
        <f>SUM(E246:I246)</f>
        <v>0</v>
      </c>
    </row>
    <row r="247" spans="3:11">
      <c r="C247" s="91" t="s">
        <v>1133</v>
      </c>
      <c r="D247" s="21"/>
      <c r="E247" s="248">
        <f t="shared" si="33"/>
        <v>0</v>
      </c>
      <c r="F247" s="248">
        <f t="shared" si="33"/>
        <v>0</v>
      </c>
      <c r="G247" s="248">
        <f t="shared" si="33"/>
        <v>0</v>
      </c>
      <c r="H247" s="248">
        <f t="shared" si="33"/>
        <v>0</v>
      </c>
      <c r="I247" s="248">
        <f t="shared" si="33"/>
        <v>0</v>
      </c>
      <c r="J247" s="252">
        <f>SUM(E247:I247)</f>
        <v>0</v>
      </c>
    </row>
    <row r="248" spans="3:11">
      <c r="C248" s="91" t="s">
        <v>1134</v>
      </c>
      <c r="D248" s="21"/>
      <c r="E248" s="248">
        <f t="shared" si="33"/>
        <v>0</v>
      </c>
      <c r="F248" s="248">
        <f t="shared" si="33"/>
        <v>0</v>
      </c>
      <c r="G248" s="248">
        <f t="shared" si="33"/>
        <v>0</v>
      </c>
      <c r="H248" s="248">
        <f t="shared" si="33"/>
        <v>0</v>
      </c>
      <c r="I248" s="248">
        <f t="shared" si="33"/>
        <v>0</v>
      </c>
      <c r="J248" s="252">
        <f>SUM(E248:I248)</f>
        <v>0</v>
      </c>
    </row>
    <row r="249" spans="3:11">
      <c r="C249" s="209"/>
      <c r="D249" s="210"/>
      <c r="E249" s="210"/>
      <c r="F249" s="210"/>
      <c r="G249" s="210"/>
      <c r="H249" s="210"/>
      <c r="I249" s="210"/>
      <c r="J249" s="211"/>
    </row>
    <row r="250" spans="3:11">
      <c r="C250" s="49" t="s">
        <v>3751</v>
      </c>
      <c r="D250" s="95"/>
      <c r="E250" s="115" t="e">
        <f>SUM(E244:E249)-E221</f>
        <v>#NAME?</v>
      </c>
      <c r="F250" s="115" t="e">
        <f>SUM(F244:F249)-F221</f>
        <v>#NAME?</v>
      </c>
      <c r="G250" s="115" t="e">
        <f>SUM(G244:G249)-G221</f>
        <v>#NAME?</v>
      </c>
      <c r="H250" s="115" t="e">
        <f>SUM(H244:H249)-H221</f>
        <v>#NAME?</v>
      </c>
      <c r="I250" s="115" t="e">
        <f>SUM(I244:I249)-I221</f>
        <v>#NAME?</v>
      </c>
      <c r="J250" s="96"/>
    </row>
    <row r="252" spans="3:11">
      <c r="C252" s="49" t="s">
        <v>3748</v>
      </c>
      <c r="D252" s="95"/>
      <c r="E252" s="95"/>
      <c r="F252" s="95"/>
      <c r="G252" s="95"/>
      <c r="H252" s="95"/>
      <c r="I252" s="95"/>
      <c r="J252" s="96"/>
    </row>
    <row r="253" spans="3:11">
      <c r="C253" s="91" t="s">
        <v>129</v>
      </c>
      <c r="D253" s="21"/>
      <c r="E253" s="253">
        <f>IF(E244=0,0,ROUND(E$220*E244/SUM(E$244:E$249),0))</f>
        <v>0</v>
      </c>
      <c r="F253" s="253">
        <f>IF(F244=0,0,ROUND(F$220*F244/SUM(F$244:F$249),0))</f>
        <v>0</v>
      </c>
      <c r="G253" s="253">
        <f>IF(G244=0,0,ROUND(G$220*G244/SUM(G$244:G$249),0))</f>
        <v>0</v>
      </c>
      <c r="H253" s="253">
        <f>IF(H244=0,0,ROUND(H$220*H244/SUM(H$244:H$249),0))</f>
        <v>0</v>
      </c>
      <c r="I253" s="253">
        <f>IF(I244=0,0,ROUND(I$220*I244/SUM(I$244:I$249),0))</f>
        <v>0</v>
      </c>
      <c r="J253" s="254">
        <f>SUM(E253:I253)</f>
        <v>0</v>
      </c>
    </row>
    <row r="254" spans="3:11">
      <c r="C254" s="91" t="s">
        <v>130</v>
      </c>
      <c r="D254" s="21"/>
      <c r="E254" s="253">
        <f t="shared" ref="E254:I257" si="34">IF(E245=0,0,ROUND(E$220*E245/SUM(E$244:E$249),0))</f>
        <v>0</v>
      </c>
      <c r="F254" s="253">
        <f t="shared" si="34"/>
        <v>0</v>
      </c>
      <c r="G254" s="253">
        <f t="shared" si="34"/>
        <v>0</v>
      </c>
      <c r="H254" s="253">
        <f t="shared" si="34"/>
        <v>0</v>
      </c>
      <c r="I254" s="253">
        <f t="shared" si="34"/>
        <v>0</v>
      </c>
      <c r="J254" s="254">
        <f>SUM(E254:I254)</f>
        <v>0</v>
      </c>
    </row>
    <row r="255" spans="3:11">
      <c r="C255" s="91" t="s">
        <v>131</v>
      </c>
      <c r="D255" s="21"/>
      <c r="E255" s="253">
        <f t="shared" si="34"/>
        <v>0</v>
      </c>
      <c r="F255" s="253">
        <f t="shared" si="34"/>
        <v>0</v>
      </c>
      <c r="G255" s="253">
        <f t="shared" si="34"/>
        <v>0</v>
      </c>
      <c r="H255" s="253">
        <f t="shared" si="34"/>
        <v>0</v>
      </c>
      <c r="I255" s="253">
        <f t="shared" si="34"/>
        <v>0</v>
      </c>
      <c r="J255" s="254">
        <f>SUM(E255:I255)</f>
        <v>0</v>
      </c>
    </row>
    <row r="256" spans="3:11">
      <c r="C256" s="91" t="s">
        <v>1133</v>
      </c>
      <c r="D256" s="21"/>
      <c r="E256" s="253">
        <f t="shared" si="34"/>
        <v>0</v>
      </c>
      <c r="F256" s="253">
        <f t="shared" si="34"/>
        <v>0</v>
      </c>
      <c r="G256" s="253">
        <f t="shared" si="34"/>
        <v>0</v>
      </c>
      <c r="H256" s="253">
        <f t="shared" si="34"/>
        <v>0</v>
      </c>
      <c r="I256" s="253">
        <f t="shared" si="34"/>
        <v>0</v>
      </c>
      <c r="J256" s="254">
        <f>SUM(E256:I256)</f>
        <v>0</v>
      </c>
    </row>
    <row r="257" spans="2:11">
      <c r="C257" s="91" t="s">
        <v>1134</v>
      </c>
      <c r="D257" s="21"/>
      <c r="E257" s="253">
        <f t="shared" si="34"/>
        <v>0</v>
      </c>
      <c r="F257" s="253">
        <f t="shared" si="34"/>
        <v>0</v>
      </c>
      <c r="G257" s="253">
        <f t="shared" si="34"/>
        <v>0</v>
      </c>
      <c r="H257" s="253">
        <f t="shared" si="34"/>
        <v>0</v>
      </c>
      <c r="I257" s="253">
        <f t="shared" si="34"/>
        <v>0</v>
      </c>
      <c r="J257" s="254">
        <f>SUM(E257:I257)</f>
        <v>0</v>
      </c>
    </row>
    <row r="258" spans="2:11">
      <c r="C258" s="206"/>
      <c r="D258" s="207"/>
      <c r="E258" s="207"/>
      <c r="F258" s="207"/>
      <c r="G258" s="207"/>
      <c r="H258" s="207"/>
      <c r="I258" s="207"/>
      <c r="J258" s="208"/>
    </row>
    <row r="259" spans="2:11">
      <c r="C259" s="49" t="s">
        <v>3749</v>
      </c>
      <c r="D259" s="60"/>
      <c r="E259" s="239">
        <f t="shared" ref="E259:J259" si="35">SUM(E253:E258)</f>
        <v>0</v>
      </c>
      <c r="F259" s="239">
        <f t="shared" si="35"/>
        <v>0</v>
      </c>
      <c r="G259" s="239">
        <f t="shared" si="35"/>
        <v>0</v>
      </c>
      <c r="H259" s="239">
        <f t="shared" si="35"/>
        <v>0</v>
      </c>
      <c r="I259" s="239">
        <f t="shared" si="35"/>
        <v>0</v>
      </c>
      <c r="J259" s="255">
        <f t="shared" si="35"/>
        <v>0</v>
      </c>
      <c r="K259" s="238" t="s">
        <v>2330</v>
      </c>
    </row>
    <row r="260" spans="2:11">
      <c r="C260" s="70" t="s">
        <v>2830</v>
      </c>
      <c r="D260" s="64"/>
      <c r="E260" s="116" t="e">
        <f>SUM(E253:E258)/SUM($E$253:$I$258)</f>
        <v>#DIV/0!</v>
      </c>
      <c r="F260" s="116" t="e">
        <f>SUM(F253:F258)/SUM($E$253:$I$258)</f>
        <v>#DIV/0!</v>
      </c>
      <c r="G260" s="116" t="e">
        <f>SUM(G253:G258)/SUM($E$253:$I$258)</f>
        <v>#DIV/0!</v>
      </c>
      <c r="H260" s="116" t="e">
        <f>SUM(H253:H258)/SUM($E$253:$I$258)</f>
        <v>#DIV/0!</v>
      </c>
      <c r="I260" s="116" t="e">
        <f>SUM(I253:I258)/SUM($E$253:$I$258)</f>
        <v>#DIV/0!</v>
      </c>
      <c r="J260" s="98"/>
    </row>
    <row r="262" spans="2:11" ht="12" thickBot="1"/>
    <row r="263" spans="2:11" ht="12" thickBot="1">
      <c r="B263" t="s">
        <v>2332</v>
      </c>
      <c r="C263" s="340" t="s">
        <v>1980</v>
      </c>
      <c r="D263" s="162"/>
      <c r="E263" s="158"/>
      <c r="F263" s="158"/>
      <c r="G263" s="159"/>
      <c r="H263" s="159"/>
      <c r="I263" s="159"/>
      <c r="J263" s="159"/>
      <c r="K263" s="51"/>
    </row>
    <row r="264" spans="2:11" ht="12" thickBot="1">
      <c r="C264" s="160" t="s">
        <v>2672</v>
      </c>
      <c r="D264" s="163">
        <v>450005</v>
      </c>
      <c r="E264" s="162"/>
      <c r="F264" s="164"/>
      <c r="G264" s="162"/>
      <c r="H264" s="165"/>
      <c r="I264" s="157" t="s">
        <v>2673</v>
      </c>
      <c r="J264" s="166">
        <v>450005</v>
      </c>
      <c r="K264" s="51"/>
    </row>
    <row r="265" spans="2:11">
      <c r="C265" s="167" t="s">
        <v>2958</v>
      </c>
      <c r="D265" s="168"/>
      <c r="E265" s="161" t="s">
        <v>1834</v>
      </c>
      <c r="F265" s="161" t="s">
        <v>1835</v>
      </c>
      <c r="G265" s="161" t="s">
        <v>1836</v>
      </c>
      <c r="H265" s="161" t="s">
        <v>1837</v>
      </c>
      <c r="I265" s="161" t="s">
        <v>1838</v>
      </c>
      <c r="J265" s="161"/>
      <c r="K265" s="54"/>
    </row>
    <row r="266" spans="2:11">
      <c r="C266" s="52" t="s">
        <v>1402</v>
      </c>
      <c r="D266" s="39">
        <v>10</v>
      </c>
      <c r="E266" s="173">
        <v>5.0000000021827917</v>
      </c>
      <c r="F266" s="47">
        <v>5.0000000021827917</v>
      </c>
      <c r="G266" s="47">
        <v>5.0000000021827917</v>
      </c>
      <c r="H266" s="47">
        <v>5.0000000021827917</v>
      </c>
      <c r="I266" s="65">
        <v>5.0000000021827917</v>
      </c>
      <c r="J266" s="53">
        <v>25.000000010913958</v>
      </c>
      <c r="K266" s="54"/>
    </row>
    <row r="267" spans="2:11">
      <c r="C267" s="52" t="s">
        <v>1404</v>
      </c>
      <c r="D267" s="39">
        <v>8</v>
      </c>
      <c r="E267" s="174">
        <v>3.9999999982537666</v>
      </c>
      <c r="F267" s="48">
        <v>3.9999999982537666</v>
      </c>
      <c r="G267" s="48">
        <v>3.9999999982537666</v>
      </c>
      <c r="H267" s="48">
        <v>3.9999999982537666</v>
      </c>
      <c r="I267" s="66">
        <v>3.9999999982537666</v>
      </c>
      <c r="J267" s="55">
        <v>19.999999991268833</v>
      </c>
      <c r="K267" s="54"/>
    </row>
    <row r="268" spans="2:11">
      <c r="C268" s="52" t="s">
        <v>21</v>
      </c>
      <c r="D268" s="39">
        <v>5</v>
      </c>
      <c r="E268" s="174">
        <v>0</v>
      </c>
      <c r="F268" s="48">
        <v>0</v>
      </c>
      <c r="G268" s="48">
        <v>0</v>
      </c>
      <c r="H268" s="48">
        <v>0</v>
      </c>
      <c r="I268" s="66">
        <v>0</v>
      </c>
      <c r="J268" s="55">
        <v>0</v>
      </c>
      <c r="K268" s="54"/>
    </row>
    <row r="269" spans="2:11">
      <c r="C269" s="52" t="s">
        <v>126</v>
      </c>
      <c r="D269" s="39">
        <v>1</v>
      </c>
      <c r="E269" s="174">
        <v>0</v>
      </c>
      <c r="F269" s="48">
        <v>0</v>
      </c>
      <c r="G269" s="48">
        <v>0</v>
      </c>
      <c r="H269" s="48">
        <v>0</v>
      </c>
      <c r="I269" s="66">
        <v>0</v>
      </c>
      <c r="J269" s="55">
        <v>0</v>
      </c>
      <c r="K269" s="54"/>
    </row>
    <row r="270" spans="2:11">
      <c r="C270" s="52" t="s">
        <v>127</v>
      </c>
      <c r="D270" s="39">
        <v>1</v>
      </c>
      <c r="E270" s="174">
        <v>0</v>
      </c>
      <c r="F270" s="48">
        <v>0</v>
      </c>
      <c r="G270" s="48">
        <v>0</v>
      </c>
      <c r="H270" s="48">
        <v>0</v>
      </c>
      <c r="I270" s="66">
        <v>0</v>
      </c>
      <c r="J270" s="55">
        <v>0</v>
      </c>
      <c r="K270" s="54"/>
    </row>
    <row r="271" spans="2:11">
      <c r="C271" s="52" t="s">
        <v>128</v>
      </c>
      <c r="D271" s="39">
        <v>1</v>
      </c>
      <c r="E271" s="174">
        <v>0</v>
      </c>
      <c r="F271" s="48">
        <v>0</v>
      </c>
      <c r="G271" s="48">
        <v>0</v>
      </c>
      <c r="H271" s="48">
        <v>0</v>
      </c>
      <c r="I271" s="66">
        <v>0</v>
      </c>
      <c r="J271" s="55">
        <v>0</v>
      </c>
      <c r="K271" s="54"/>
    </row>
    <row r="272" spans="2:11">
      <c r="C272" s="52" t="s">
        <v>1139</v>
      </c>
      <c r="D272" s="39">
        <v>1</v>
      </c>
      <c r="E272" s="174">
        <v>0</v>
      </c>
      <c r="F272" s="48">
        <v>0</v>
      </c>
      <c r="G272" s="48">
        <v>0</v>
      </c>
      <c r="H272" s="48">
        <v>0</v>
      </c>
      <c r="I272" s="66">
        <v>0</v>
      </c>
      <c r="J272" s="55">
        <v>0</v>
      </c>
      <c r="K272" s="54"/>
    </row>
    <row r="273" spans="2:11">
      <c r="C273" s="52" t="s">
        <v>2384</v>
      </c>
      <c r="D273" s="39">
        <v>1</v>
      </c>
      <c r="E273" s="174">
        <v>0</v>
      </c>
      <c r="F273" s="48">
        <v>0</v>
      </c>
      <c r="G273" s="48">
        <v>0</v>
      </c>
      <c r="H273" s="48">
        <v>0</v>
      </c>
      <c r="I273" s="66">
        <v>0</v>
      </c>
      <c r="J273" s="55">
        <v>0</v>
      </c>
      <c r="K273" s="54"/>
    </row>
    <row r="274" spans="2:11">
      <c r="C274" s="52" t="s">
        <v>2386</v>
      </c>
      <c r="D274" s="39">
        <v>1</v>
      </c>
      <c r="E274" s="174">
        <v>0</v>
      </c>
      <c r="F274" s="48">
        <v>0</v>
      </c>
      <c r="G274" s="48">
        <v>0</v>
      </c>
      <c r="H274" s="48">
        <v>0</v>
      </c>
      <c r="I274" s="66">
        <v>0</v>
      </c>
      <c r="J274" s="55">
        <v>0</v>
      </c>
      <c r="K274" s="54"/>
    </row>
    <row r="275" spans="2:11">
      <c r="C275" s="52" t="s">
        <v>2956</v>
      </c>
      <c r="D275" s="39">
        <v>1</v>
      </c>
      <c r="E275" s="174">
        <v>0</v>
      </c>
      <c r="F275" s="48">
        <v>0</v>
      </c>
      <c r="G275" s="48">
        <v>0</v>
      </c>
      <c r="H275" s="48">
        <v>0</v>
      </c>
      <c r="I275" s="66">
        <v>0</v>
      </c>
      <c r="J275" s="55">
        <v>0</v>
      </c>
      <c r="K275" s="54"/>
    </row>
    <row r="276" spans="2:11">
      <c r="C276" s="153" t="s">
        <v>1828</v>
      </c>
      <c r="D276" s="38"/>
      <c r="E276" s="175">
        <v>0</v>
      </c>
      <c r="F276" s="68">
        <v>0</v>
      </c>
      <c r="G276" s="68">
        <v>0</v>
      </c>
      <c r="H276" s="68">
        <v>0</v>
      </c>
      <c r="I276" s="69">
        <v>0</v>
      </c>
      <c r="J276" s="55">
        <v>0</v>
      </c>
      <c r="K276" s="54"/>
    </row>
    <row r="277" spans="2:11" ht="12" thickBot="1">
      <c r="C277" s="52" t="s">
        <v>2959</v>
      </c>
      <c r="D277" s="38"/>
      <c r="E277" s="170">
        <v>9.0000000004365575</v>
      </c>
      <c r="F277" s="171">
        <v>9.0000000004365575</v>
      </c>
      <c r="G277" s="171">
        <v>9.0000000004365575</v>
      </c>
      <c r="H277" s="171">
        <v>9.0000000004365575</v>
      </c>
      <c r="I277" s="172">
        <v>9.0000000004365575</v>
      </c>
      <c r="J277" s="155">
        <v>45.000000002182787</v>
      </c>
      <c r="K277" s="54"/>
    </row>
    <row r="278" spans="2:11">
      <c r="C278" s="52" t="s">
        <v>974</v>
      </c>
      <c r="D278" s="38"/>
      <c r="E278" s="38">
        <v>1</v>
      </c>
      <c r="F278" s="38">
        <v>1</v>
      </c>
      <c r="G278" s="38">
        <v>1</v>
      </c>
      <c r="H278" s="38">
        <v>1</v>
      </c>
      <c r="I278" s="38">
        <v>1</v>
      </c>
      <c r="J278" s="38"/>
      <c r="K278" s="54"/>
    </row>
    <row r="279" spans="2:11" ht="12" thickBot="1">
      <c r="C279" s="56" t="s">
        <v>2830</v>
      </c>
      <c r="D279" s="50"/>
      <c r="E279" s="57">
        <v>0.2</v>
      </c>
      <c r="F279" s="57">
        <v>0.2</v>
      </c>
      <c r="G279" s="57">
        <v>0.2</v>
      </c>
      <c r="H279" s="57">
        <v>0.2</v>
      </c>
      <c r="I279" s="57">
        <v>0.2</v>
      </c>
      <c r="J279" s="58">
        <v>450005</v>
      </c>
      <c r="K279" s="59" t="s">
        <v>2327</v>
      </c>
    </row>
    <row r="280" spans="2:11" ht="12" thickBot="1"/>
    <row r="281" spans="2:11" ht="12" thickBot="1">
      <c r="B281" t="s">
        <v>2336</v>
      </c>
      <c r="C281" s="340"/>
      <c r="D281" s="162"/>
      <c r="E281" s="158"/>
      <c r="F281" s="158"/>
      <c r="G281" s="159"/>
      <c r="H281" s="159"/>
      <c r="I281" s="159"/>
      <c r="J281" s="159"/>
      <c r="K281" s="51"/>
    </row>
    <row r="282" spans="2:11" ht="12" thickBot="1">
      <c r="C282" s="160"/>
      <c r="D282" s="163"/>
      <c r="E282" s="162"/>
      <c r="F282" s="164"/>
      <c r="G282" s="162"/>
      <c r="H282" s="165"/>
      <c r="I282" s="157"/>
      <c r="J282" s="166"/>
      <c r="K282" s="51"/>
    </row>
    <row r="283" spans="2:11">
      <c r="C283" s="167"/>
      <c r="D283" s="168"/>
      <c r="E283" s="161"/>
      <c r="F283" s="161"/>
      <c r="G283" s="161"/>
      <c r="H283" s="161"/>
      <c r="I283" s="161"/>
      <c r="J283" s="161"/>
      <c r="K283" s="54"/>
    </row>
    <row r="284" spans="2:11">
      <c r="C284" s="52"/>
      <c r="D284" s="39"/>
      <c r="E284" s="173"/>
      <c r="F284" s="47"/>
      <c r="G284" s="47"/>
      <c r="H284" s="47"/>
      <c r="I284" s="65"/>
      <c r="J284" s="53"/>
      <c r="K284" s="54"/>
    </row>
    <row r="285" spans="2:11">
      <c r="C285" s="52"/>
      <c r="D285" s="39"/>
      <c r="E285" s="174"/>
      <c r="F285" s="48"/>
      <c r="G285" s="48"/>
      <c r="H285" s="48"/>
      <c r="I285" s="66"/>
      <c r="J285" s="55"/>
      <c r="K285" s="54"/>
    </row>
    <row r="286" spans="2:11">
      <c r="C286" s="52"/>
      <c r="D286" s="39"/>
      <c r="E286" s="174"/>
      <c r="F286" s="48"/>
      <c r="G286" s="48"/>
      <c r="H286" s="48"/>
      <c r="I286" s="66"/>
      <c r="J286" s="55"/>
      <c r="K286" s="54"/>
    </row>
    <row r="287" spans="2:11">
      <c r="C287" s="52"/>
      <c r="D287" s="39"/>
      <c r="E287" s="174"/>
      <c r="F287" s="48"/>
      <c r="G287" s="48"/>
      <c r="H287" s="48"/>
      <c r="I287" s="66"/>
      <c r="J287" s="55"/>
      <c r="K287" s="54"/>
    </row>
    <row r="288" spans="2:11">
      <c r="C288" s="52"/>
      <c r="D288" s="39"/>
      <c r="E288" s="174"/>
      <c r="F288" s="48"/>
      <c r="G288" s="48"/>
      <c r="H288" s="48"/>
      <c r="I288" s="66"/>
      <c r="J288" s="55"/>
      <c r="K288" s="54"/>
    </row>
    <row r="289" spans="2:11">
      <c r="C289" s="52"/>
      <c r="D289" s="39"/>
      <c r="E289" s="174"/>
      <c r="F289" s="48"/>
      <c r="G289" s="48"/>
      <c r="H289" s="48"/>
      <c r="I289" s="66"/>
      <c r="J289" s="55"/>
      <c r="K289" s="54"/>
    </row>
    <row r="290" spans="2:11">
      <c r="C290" s="52"/>
      <c r="D290" s="39"/>
      <c r="E290" s="174"/>
      <c r="F290" s="48"/>
      <c r="G290" s="48"/>
      <c r="H290" s="48"/>
      <c r="I290" s="66"/>
      <c r="J290" s="55"/>
      <c r="K290" s="54"/>
    </row>
    <row r="291" spans="2:11">
      <c r="C291" s="52"/>
      <c r="D291" s="39"/>
      <c r="E291" s="174"/>
      <c r="F291" s="48"/>
      <c r="G291" s="48"/>
      <c r="H291" s="48"/>
      <c r="I291" s="66"/>
      <c r="J291" s="55"/>
      <c r="K291" s="54"/>
    </row>
    <row r="292" spans="2:11">
      <c r="C292" s="52"/>
      <c r="D292" s="39"/>
      <c r="E292" s="174"/>
      <c r="F292" s="48"/>
      <c r="G292" s="48"/>
      <c r="H292" s="48"/>
      <c r="I292" s="66"/>
      <c r="J292" s="55"/>
      <c r="K292" s="54"/>
    </row>
    <row r="293" spans="2:11">
      <c r="C293" s="52"/>
      <c r="D293" s="39"/>
      <c r="E293" s="174"/>
      <c r="F293" s="48"/>
      <c r="G293" s="48"/>
      <c r="H293" s="48"/>
      <c r="I293" s="66"/>
      <c r="J293" s="55"/>
      <c r="K293" s="54"/>
    </row>
    <row r="294" spans="2:11">
      <c r="C294" s="153"/>
      <c r="D294" s="38"/>
      <c r="E294" s="175"/>
      <c r="F294" s="68"/>
      <c r="G294" s="68"/>
      <c r="H294" s="68"/>
      <c r="I294" s="69"/>
      <c r="J294" s="55"/>
      <c r="K294" s="54"/>
    </row>
    <row r="295" spans="2:11" ht="12" thickBot="1">
      <c r="C295" s="52"/>
      <c r="D295" s="38"/>
      <c r="E295" s="170"/>
      <c r="F295" s="171"/>
      <c r="G295" s="171"/>
      <c r="H295" s="171"/>
      <c r="I295" s="172"/>
      <c r="J295" s="155"/>
      <c r="K295" s="54"/>
    </row>
    <row r="296" spans="2:11">
      <c r="C296" s="52"/>
      <c r="D296" s="38"/>
      <c r="E296" s="38"/>
      <c r="F296" s="38"/>
      <c r="G296" s="38"/>
      <c r="H296" s="38"/>
      <c r="I296" s="38"/>
      <c r="J296" s="38"/>
      <c r="K296" s="54"/>
    </row>
    <row r="297" spans="2:11" ht="12" thickBot="1">
      <c r="C297" s="56"/>
      <c r="D297" s="50"/>
      <c r="E297" s="57"/>
      <c r="F297" s="57"/>
      <c r="G297" s="57"/>
      <c r="H297" s="57"/>
      <c r="I297" s="57"/>
      <c r="J297" s="58"/>
      <c r="K297" s="59"/>
    </row>
    <row r="298" spans="2:11" ht="12" thickBot="1"/>
    <row r="299" spans="2:11" ht="12" thickBot="1">
      <c r="B299" t="s">
        <v>2335</v>
      </c>
      <c r="C299" s="340"/>
      <c r="D299" s="162"/>
      <c r="E299" s="158"/>
      <c r="F299" s="158"/>
      <c r="G299" s="159"/>
      <c r="H299" s="159"/>
      <c r="I299" s="159"/>
      <c r="J299" s="159"/>
      <c r="K299" s="51"/>
    </row>
    <row r="300" spans="2:11" ht="12" thickBot="1">
      <c r="C300" s="160"/>
      <c r="D300" s="163"/>
      <c r="E300" s="162"/>
      <c r="F300" s="164"/>
      <c r="G300" s="162"/>
      <c r="H300" s="165"/>
      <c r="I300" s="157"/>
      <c r="J300" s="166"/>
      <c r="K300" s="51"/>
    </row>
    <row r="301" spans="2:11">
      <c r="C301" s="167"/>
      <c r="D301" s="168"/>
      <c r="E301" s="161"/>
      <c r="F301" s="161"/>
      <c r="G301" s="161"/>
      <c r="H301" s="161"/>
      <c r="I301" s="161"/>
      <c r="J301" s="161"/>
      <c r="K301" s="54"/>
    </row>
    <row r="302" spans="2:11">
      <c r="C302" s="52"/>
      <c r="D302" s="39"/>
      <c r="E302" s="173"/>
      <c r="F302" s="47"/>
      <c r="G302" s="47"/>
      <c r="H302" s="47"/>
      <c r="I302" s="65"/>
      <c r="J302" s="53"/>
      <c r="K302" s="54"/>
    </row>
    <row r="303" spans="2:11">
      <c r="C303" s="52"/>
      <c r="D303" s="39"/>
      <c r="E303" s="174"/>
      <c r="F303" s="48"/>
      <c r="G303" s="48"/>
      <c r="H303" s="48"/>
      <c r="I303" s="66"/>
      <c r="J303" s="55"/>
      <c r="K303" s="54"/>
    </row>
    <row r="304" spans="2:11">
      <c r="C304" s="52"/>
      <c r="D304" s="39"/>
      <c r="E304" s="174"/>
      <c r="F304" s="48"/>
      <c r="G304" s="48"/>
      <c r="H304" s="48"/>
      <c r="I304" s="66"/>
      <c r="J304" s="55"/>
      <c r="K304" s="54"/>
    </row>
    <row r="305" spans="2:11">
      <c r="C305" s="52"/>
      <c r="D305" s="39"/>
      <c r="E305" s="174"/>
      <c r="F305" s="48"/>
      <c r="G305" s="48"/>
      <c r="H305" s="48"/>
      <c r="I305" s="66"/>
      <c r="J305" s="55"/>
      <c r="K305" s="54"/>
    </row>
    <row r="306" spans="2:11">
      <c r="C306" s="52"/>
      <c r="D306" s="39"/>
      <c r="E306" s="174"/>
      <c r="F306" s="48"/>
      <c r="G306" s="48"/>
      <c r="H306" s="48"/>
      <c r="I306" s="66"/>
      <c r="J306" s="55"/>
      <c r="K306" s="54"/>
    </row>
    <row r="307" spans="2:11">
      <c r="C307" s="52"/>
      <c r="D307" s="39"/>
      <c r="E307" s="174"/>
      <c r="F307" s="48"/>
      <c r="G307" s="48"/>
      <c r="H307" s="48"/>
      <c r="I307" s="66"/>
      <c r="J307" s="55"/>
      <c r="K307" s="54"/>
    </row>
    <row r="308" spans="2:11">
      <c r="C308" s="52"/>
      <c r="D308" s="39"/>
      <c r="E308" s="174"/>
      <c r="F308" s="48"/>
      <c r="G308" s="48"/>
      <c r="H308" s="48"/>
      <c r="I308" s="66"/>
      <c r="J308" s="55"/>
      <c r="K308" s="54"/>
    </row>
    <row r="309" spans="2:11">
      <c r="C309" s="52"/>
      <c r="D309" s="39"/>
      <c r="E309" s="174"/>
      <c r="F309" s="48"/>
      <c r="G309" s="48"/>
      <c r="H309" s="48"/>
      <c r="I309" s="66"/>
      <c r="J309" s="55"/>
      <c r="K309" s="54"/>
    </row>
    <row r="310" spans="2:11">
      <c r="C310" s="52"/>
      <c r="D310" s="39"/>
      <c r="E310" s="174"/>
      <c r="F310" s="48"/>
      <c r="G310" s="48"/>
      <c r="H310" s="48"/>
      <c r="I310" s="66"/>
      <c r="J310" s="55"/>
      <c r="K310" s="54"/>
    </row>
    <row r="311" spans="2:11">
      <c r="C311" s="52"/>
      <c r="D311" s="39"/>
      <c r="E311" s="174"/>
      <c r="F311" s="48"/>
      <c r="G311" s="48"/>
      <c r="H311" s="48"/>
      <c r="I311" s="66"/>
      <c r="J311" s="55"/>
      <c r="K311" s="54"/>
    </row>
    <row r="312" spans="2:11">
      <c r="C312" s="153"/>
      <c r="D312" s="38"/>
      <c r="E312" s="175"/>
      <c r="F312" s="68"/>
      <c r="G312" s="68"/>
      <c r="H312" s="68"/>
      <c r="I312" s="69"/>
      <c r="J312" s="55"/>
      <c r="K312" s="54"/>
    </row>
    <row r="313" spans="2:11" ht="12" thickBot="1">
      <c r="C313" s="52"/>
      <c r="D313" s="38"/>
      <c r="E313" s="170"/>
      <c r="F313" s="171"/>
      <c r="G313" s="171"/>
      <c r="H313" s="171"/>
      <c r="I313" s="172"/>
      <c r="J313" s="155"/>
      <c r="K313" s="54"/>
    </row>
    <row r="314" spans="2:11">
      <c r="C314" s="52"/>
      <c r="D314" s="38"/>
      <c r="E314" s="38"/>
      <c r="F314" s="38"/>
      <c r="G314" s="38"/>
      <c r="H314" s="38"/>
      <c r="I314" s="38"/>
      <c r="J314" s="38"/>
      <c r="K314" s="54"/>
    </row>
    <row r="315" spans="2:11" ht="12" thickBot="1">
      <c r="C315" s="56"/>
      <c r="D315" s="50"/>
      <c r="E315" s="57"/>
      <c r="F315" s="57"/>
      <c r="G315" s="57"/>
      <c r="H315" s="57"/>
      <c r="I315" s="57"/>
      <c r="J315" s="58"/>
      <c r="K315" s="59"/>
    </row>
    <row r="316" spans="2:11" ht="12" thickBot="1"/>
    <row r="317" spans="2:11" ht="12" thickBot="1">
      <c r="B317" t="s">
        <v>2334</v>
      </c>
      <c r="C317" s="340"/>
      <c r="D317" s="162"/>
      <c r="E317" s="158"/>
      <c r="F317" s="158"/>
      <c r="G317" s="159"/>
      <c r="H317" s="159"/>
      <c r="I317" s="159"/>
      <c r="J317" s="159"/>
      <c r="K317" s="51"/>
    </row>
    <row r="318" spans="2:11" ht="12" thickBot="1">
      <c r="C318" s="160"/>
      <c r="D318" s="163"/>
      <c r="E318" s="162"/>
      <c r="F318" s="164"/>
      <c r="G318" s="162"/>
      <c r="H318" s="165"/>
      <c r="I318" s="157"/>
      <c r="J318" s="166"/>
      <c r="K318" s="51"/>
    </row>
    <row r="319" spans="2:11">
      <c r="C319" s="167"/>
      <c r="D319" s="168"/>
      <c r="E319" s="161"/>
      <c r="F319" s="161"/>
      <c r="G319" s="161"/>
      <c r="H319" s="161"/>
      <c r="I319" s="161"/>
      <c r="J319" s="161"/>
      <c r="K319" s="54"/>
    </row>
    <row r="320" spans="2:11">
      <c r="C320" s="52"/>
      <c r="D320" s="39"/>
      <c r="E320" s="173"/>
      <c r="F320" s="47"/>
      <c r="G320" s="47"/>
      <c r="H320" s="47"/>
      <c r="I320" s="65"/>
      <c r="J320" s="53"/>
      <c r="K320" s="54"/>
    </row>
    <row r="321" spans="2:11">
      <c r="C321" s="52"/>
      <c r="D321" s="39"/>
      <c r="E321" s="174"/>
      <c r="F321" s="48"/>
      <c r="G321" s="48"/>
      <c r="H321" s="48"/>
      <c r="I321" s="66"/>
      <c r="J321" s="55"/>
      <c r="K321" s="54"/>
    </row>
    <row r="322" spans="2:11">
      <c r="C322" s="52"/>
      <c r="D322" s="39"/>
      <c r="E322" s="174"/>
      <c r="F322" s="48"/>
      <c r="G322" s="48"/>
      <c r="H322" s="48"/>
      <c r="I322" s="66"/>
      <c r="J322" s="55"/>
      <c r="K322" s="54"/>
    </row>
    <row r="323" spans="2:11">
      <c r="C323" s="52"/>
      <c r="D323" s="39"/>
      <c r="E323" s="174"/>
      <c r="F323" s="48"/>
      <c r="G323" s="48"/>
      <c r="H323" s="48"/>
      <c r="I323" s="66"/>
      <c r="J323" s="55"/>
      <c r="K323" s="54"/>
    </row>
    <row r="324" spans="2:11">
      <c r="C324" s="52"/>
      <c r="D324" s="39"/>
      <c r="E324" s="174"/>
      <c r="F324" s="48"/>
      <c r="G324" s="48"/>
      <c r="H324" s="48"/>
      <c r="I324" s="66"/>
      <c r="J324" s="55"/>
      <c r="K324" s="54"/>
    </row>
    <row r="325" spans="2:11">
      <c r="C325" s="52"/>
      <c r="D325" s="39"/>
      <c r="E325" s="174"/>
      <c r="F325" s="48"/>
      <c r="G325" s="48"/>
      <c r="H325" s="48"/>
      <c r="I325" s="66"/>
      <c r="J325" s="55"/>
      <c r="K325" s="54"/>
    </row>
    <row r="326" spans="2:11">
      <c r="C326" s="52"/>
      <c r="D326" s="39"/>
      <c r="E326" s="174"/>
      <c r="F326" s="48"/>
      <c r="G326" s="48"/>
      <c r="H326" s="48"/>
      <c r="I326" s="66"/>
      <c r="J326" s="55"/>
      <c r="K326" s="54"/>
    </row>
    <row r="327" spans="2:11">
      <c r="C327" s="52"/>
      <c r="D327" s="39"/>
      <c r="E327" s="174"/>
      <c r="F327" s="48"/>
      <c r="G327" s="48"/>
      <c r="H327" s="48"/>
      <c r="I327" s="66"/>
      <c r="J327" s="55"/>
      <c r="K327" s="54"/>
    </row>
    <row r="328" spans="2:11">
      <c r="C328" s="52"/>
      <c r="D328" s="39"/>
      <c r="E328" s="174"/>
      <c r="F328" s="48"/>
      <c r="G328" s="48"/>
      <c r="H328" s="48"/>
      <c r="I328" s="66"/>
      <c r="J328" s="55"/>
      <c r="K328" s="54"/>
    </row>
    <row r="329" spans="2:11">
      <c r="C329" s="52"/>
      <c r="D329" s="39"/>
      <c r="E329" s="174"/>
      <c r="F329" s="48"/>
      <c r="G329" s="48"/>
      <c r="H329" s="48"/>
      <c r="I329" s="66"/>
      <c r="J329" s="55"/>
      <c r="K329" s="54"/>
    </row>
    <row r="330" spans="2:11">
      <c r="C330" s="153"/>
      <c r="D330" s="38"/>
      <c r="E330" s="175"/>
      <c r="F330" s="68"/>
      <c r="G330" s="68"/>
      <c r="H330" s="68"/>
      <c r="I330" s="69"/>
      <c r="J330" s="55"/>
      <c r="K330" s="54"/>
    </row>
    <row r="331" spans="2:11" ht="12" thickBot="1">
      <c r="C331" s="52"/>
      <c r="D331" s="38"/>
      <c r="E331" s="170"/>
      <c r="F331" s="171"/>
      <c r="G331" s="171"/>
      <c r="H331" s="171"/>
      <c r="I331" s="172"/>
      <c r="J331" s="155"/>
      <c r="K331" s="54"/>
    </row>
    <row r="332" spans="2:11">
      <c r="C332" s="52"/>
      <c r="D332" s="38"/>
      <c r="E332" s="38"/>
      <c r="F332" s="38"/>
      <c r="G332" s="38"/>
      <c r="H332" s="38"/>
      <c r="I332" s="38"/>
      <c r="J332" s="38"/>
      <c r="K332" s="54"/>
    </row>
    <row r="333" spans="2:11" ht="12" thickBot="1">
      <c r="C333" s="56"/>
      <c r="D333" s="50"/>
      <c r="E333" s="57"/>
      <c r="F333" s="57"/>
      <c r="G333" s="57"/>
      <c r="H333" s="57"/>
      <c r="I333" s="57"/>
      <c r="J333" s="58"/>
      <c r="K333" s="59"/>
    </row>
    <row r="334" spans="2:11" ht="12" thickBot="1"/>
    <row r="335" spans="2:11" ht="12" thickBot="1">
      <c r="B335" t="s">
        <v>2333</v>
      </c>
      <c r="C335" s="340"/>
      <c r="D335" s="162"/>
      <c r="E335" s="158"/>
      <c r="F335" s="158"/>
      <c r="G335" s="159"/>
      <c r="H335" s="159"/>
      <c r="I335" s="159"/>
      <c r="J335" s="159"/>
      <c r="K335" s="51"/>
    </row>
    <row r="336" spans="2:11" ht="12" thickBot="1">
      <c r="C336" s="160"/>
      <c r="D336" s="163"/>
      <c r="E336" s="162"/>
      <c r="F336" s="164"/>
      <c r="G336" s="162"/>
      <c r="H336" s="165"/>
      <c r="I336" s="157"/>
      <c r="J336" s="166"/>
      <c r="K336" s="51"/>
    </row>
    <row r="337" spans="3:11">
      <c r="C337" s="167"/>
      <c r="D337" s="168"/>
      <c r="E337" s="161"/>
      <c r="F337" s="161"/>
      <c r="G337" s="161"/>
      <c r="H337" s="161"/>
      <c r="I337" s="161"/>
      <c r="J337" s="161"/>
      <c r="K337" s="54"/>
    </row>
    <row r="338" spans="3:11">
      <c r="C338" s="52"/>
      <c r="D338" s="39"/>
      <c r="E338" s="173"/>
      <c r="F338" s="47"/>
      <c r="G338" s="47"/>
      <c r="H338" s="47"/>
      <c r="I338" s="65"/>
      <c r="J338" s="53"/>
      <c r="K338" s="54"/>
    </row>
    <row r="339" spans="3:11">
      <c r="C339" s="52"/>
      <c r="D339" s="39"/>
      <c r="E339" s="174"/>
      <c r="F339" s="48"/>
      <c r="G339" s="48"/>
      <c r="H339" s="48"/>
      <c r="I339" s="66"/>
      <c r="J339" s="55"/>
      <c r="K339" s="54"/>
    </row>
    <row r="340" spans="3:11">
      <c r="C340" s="52"/>
      <c r="D340" s="39"/>
      <c r="E340" s="174"/>
      <c r="F340" s="48"/>
      <c r="G340" s="48"/>
      <c r="H340" s="48"/>
      <c r="I340" s="66"/>
      <c r="J340" s="55"/>
      <c r="K340" s="54"/>
    </row>
    <row r="341" spans="3:11">
      <c r="C341" s="52"/>
      <c r="D341" s="39"/>
      <c r="E341" s="174"/>
      <c r="F341" s="48"/>
      <c r="G341" s="48"/>
      <c r="H341" s="48"/>
      <c r="I341" s="66"/>
      <c r="J341" s="55"/>
      <c r="K341" s="54"/>
    </row>
    <row r="342" spans="3:11">
      <c r="C342" s="52"/>
      <c r="D342" s="39"/>
      <c r="E342" s="174"/>
      <c r="F342" s="48"/>
      <c r="G342" s="48"/>
      <c r="H342" s="48"/>
      <c r="I342" s="66"/>
      <c r="J342" s="55"/>
      <c r="K342" s="54"/>
    </row>
    <row r="343" spans="3:11">
      <c r="C343" s="52"/>
      <c r="D343" s="39"/>
      <c r="E343" s="174"/>
      <c r="F343" s="48"/>
      <c r="G343" s="48"/>
      <c r="H343" s="48"/>
      <c r="I343" s="66"/>
      <c r="J343" s="55"/>
      <c r="K343" s="54"/>
    </row>
    <row r="344" spans="3:11">
      <c r="C344" s="52"/>
      <c r="D344" s="39"/>
      <c r="E344" s="174"/>
      <c r="F344" s="48"/>
      <c r="G344" s="48"/>
      <c r="H344" s="48"/>
      <c r="I344" s="66"/>
      <c r="J344" s="55"/>
      <c r="K344" s="54"/>
    </row>
    <row r="345" spans="3:11">
      <c r="C345" s="52"/>
      <c r="D345" s="39"/>
      <c r="E345" s="174"/>
      <c r="F345" s="48"/>
      <c r="G345" s="48"/>
      <c r="H345" s="48"/>
      <c r="I345" s="66"/>
      <c r="J345" s="55"/>
      <c r="K345" s="54"/>
    </row>
    <row r="346" spans="3:11">
      <c r="C346" s="52"/>
      <c r="D346" s="39"/>
      <c r="E346" s="174"/>
      <c r="F346" s="48"/>
      <c r="G346" s="48"/>
      <c r="H346" s="48"/>
      <c r="I346" s="66"/>
      <c r="J346" s="55"/>
      <c r="K346" s="54"/>
    </row>
    <row r="347" spans="3:11">
      <c r="C347" s="52"/>
      <c r="D347" s="39"/>
      <c r="E347" s="174"/>
      <c r="F347" s="48"/>
      <c r="G347" s="48"/>
      <c r="H347" s="48"/>
      <c r="I347" s="66"/>
      <c r="J347" s="55"/>
      <c r="K347" s="54"/>
    </row>
    <row r="348" spans="3:11">
      <c r="C348" s="153"/>
      <c r="D348" s="38"/>
      <c r="E348" s="175"/>
      <c r="F348" s="68"/>
      <c r="G348" s="68"/>
      <c r="H348" s="68"/>
      <c r="I348" s="69"/>
      <c r="J348" s="55"/>
      <c r="K348" s="54"/>
    </row>
    <row r="349" spans="3:11" ht="12" thickBot="1">
      <c r="C349" s="52"/>
      <c r="D349" s="38"/>
      <c r="E349" s="170"/>
      <c r="F349" s="171"/>
      <c r="G349" s="171"/>
      <c r="H349" s="171"/>
      <c r="I349" s="172"/>
      <c r="J349" s="155"/>
      <c r="K349" s="54"/>
    </row>
    <row r="350" spans="3:11">
      <c r="C350" s="52"/>
      <c r="D350" s="38"/>
      <c r="E350" s="38"/>
      <c r="F350" s="38"/>
      <c r="G350" s="38"/>
      <c r="H350" s="38"/>
      <c r="I350" s="38"/>
      <c r="J350" s="38"/>
      <c r="K350" s="54"/>
    </row>
    <row r="351" spans="3:11" ht="12" thickBot="1">
      <c r="C351" s="56"/>
      <c r="D351" s="50"/>
      <c r="E351" s="57"/>
      <c r="F351" s="57"/>
      <c r="G351" s="57"/>
      <c r="H351" s="57"/>
      <c r="I351" s="57"/>
      <c r="J351" s="58"/>
      <c r="K351" s="59"/>
    </row>
  </sheetData>
  <phoneticPr fontId="0" type="noConversion"/>
  <dataValidations count="1">
    <dataValidation type="decimal" allowBlank="1" showInputMessage="1" showErrorMessage="1" sqref="E192:I196 E216:I216">
      <formula1>-1</formula1>
      <formula2>1</formula2>
    </dataValidation>
  </dataValidations>
  <pageMargins left="0.5" right="0.5" top="0.5" bottom="0.5" header="0.5" footer="0.5"/>
  <pageSetup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edback">
    <pageSetUpPr fitToPage="1"/>
  </sheetPr>
  <dimension ref="A1:P546"/>
  <sheetViews>
    <sheetView zoomScale="110" workbookViewId="0">
      <pane ySplit="1" topLeftCell="A457" activePane="bottomLeft" state="frozen"/>
      <selection activeCell="C663" sqref="C663"/>
      <selection pane="bottomLeft" activeCell="I465" sqref="I465"/>
    </sheetView>
  </sheetViews>
  <sheetFormatPr defaultColWidth="9.33203125" defaultRowHeight="11.25"/>
  <cols>
    <col min="2" max="3" width="9.33203125" customWidth="1"/>
    <col min="4" max="4" width="25.83203125" bestFit="1" customWidth="1"/>
    <col min="5" max="9" width="16.83203125" customWidth="1"/>
    <col min="10" max="10" width="15.1640625" customWidth="1"/>
    <col min="11" max="11" width="18.5" customWidth="1"/>
    <col min="12" max="15" width="15.1640625" customWidth="1"/>
  </cols>
  <sheetData>
    <row r="1" spans="1:12" s="143" customFormat="1" ht="15.75">
      <c r="A1" s="143" t="s">
        <v>3125</v>
      </c>
      <c r="E1" s="143" t="s">
        <v>1834</v>
      </c>
      <c r="F1" s="143" t="s">
        <v>1835</v>
      </c>
      <c r="G1" s="143" t="s">
        <v>1836</v>
      </c>
      <c r="H1" s="143" t="s">
        <v>1837</v>
      </c>
      <c r="I1" s="143" t="s">
        <v>1838</v>
      </c>
    </row>
    <row r="2" spans="1:12">
      <c r="B2" s="2" t="s">
        <v>3379</v>
      </c>
      <c r="L2" t="s">
        <v>3755</v>
      </c>
    </row>
    <row r="3" spans="1:12">
      <c r="D3" t="s">
        <v>974</v>
      </c>
      <c r="E3" t="e">
        <f ca="1">analyrank</f>
        <v>#NUM!</v>
      </c>
      <c r="F3" t="e">
        <f ca="1">analyrank</f>
        <v>#NUM!</v>
      </c>
      <c r="G3" t="e">
        <f ca="1">analyrank</f>
        <v>#NUM!</v>
      </c>
      <c r="H3" t="e">
        <f ca="1">analyrank</f>
        <v>#NUM!</v>
      </c>
      <c r="I3" t="e">
        <f ca="1">analyrank</f>
        <v>#NUM!</v>
      </c>
    </row>
    <row r="4" spans="1:12">
      <c r="D4" t="s">
        <v>1484</v>
      </c>
      <c r="E4" t="str">
        <f>decTeamNumber&amp;": "&amp;decTeamName</f>
        <v>1: Vivia</v>
      </c>
      <c r="F4" t="str">
        <f>decTeamNumber&amp;": "&amp;decTeamName</f>
        <v>1: Vivia</v>
      </c>
      <c r="G4" t="str">
        <f>decTeamNumber&amp;": "&amp;decTeamName</f>
        <v>1: Vivia</v>
      </c>
      <c r="H4" t="str">
        <f>decTeamNumber&amp;": "&amp;decTeamName</f>
        <v>1: Vivia</v>
      </c>
      <c r="I4" t="str">
        <f>decTeamNumber&amp;": "&amp;decTeamName</f>
        <v>1: Vivia</v>
      </c>
    </row>
    <row r="5" spans="1:12">
      <c r="D5" s="3" t="s">
        <v>1041</v>
      </c>
      <c r="E5" s="461" t="e">
        <f ca="1">VLOOKUP(E3,analysis!$B$9:$F$13,5,0)</f>
        <v>#NUM!</v>
      </c>
      <c r="F5" s="461" t="e">
        <f ca="1">VLOOKUP(F3,analysis!$B$9:$F$13,5,0)</f>
        <v>#NUM!</v>
      </c>
      <c r="G5" s="461" t="e">
        <f ca="1">VLOOKUP(G3,analysis!$B$9:$F$13,5,0)</f>
        <v>#NUM!</v>
      </c>
      <c r="H5" s="461" t="e">
        <f ca="1">VLOOKUP(H3,analysis!$B$9:$F$13,5,0)</f>
        <v>#NUM!</v>
      </c>
      <c r="I5" s="461" t="e">
        <f ca="1">VLOOKUP(I3,analysis!$B$9:$F$13,5,0)</f>
        <v>#NUM!</v>
      </c>
    </row>
    <row r="6" spans="1:12">
      <c r="D6" s="3" t="s">
        <v>2970</v>
      </c>
      <c r="E6" s="461" t="e">
        <f ca="1">ScoreCard</f>
        <v>#NUM!</v>
      </c>
      <c r="F6" s="461" t="e">
        <f ca="1">ScoreCard</f>
        <v>#NUM!</v>
      </c>
      <c r="G6" s="461" t="e">
        <f ca="1">ScoreCard</f>
        <v>#NUM!</v>
      </c>
      <c r="H6" s="461" t="e">
        <f ca="1">ScoreCard</f>
        <v>#NUM!</v>
      </c>
      <c r="I6" s="461" t="e">
        <f ca="1">ScoreCard</f>
        <v>#NUM!</v>
      </c>
    </row>
    <row r="7" spans="1:12">
      <c r="D7" s="3" t="s">
        <v>3685</v>
      </c>
      <c r="E7" s="435">
        <f>analysis!E20</f>
        <v>3.3954230875199443E-3</v>
      </c>
      <c r="F7" s="435">
        <f>analysis!F20</f>
        <v>3.3954230875199443E-3</v>
      </c>
      <c r="G7" s="435">
        <f>analysis!G20</f>
        <v>3.3954230875199443E-3</v>
      </c>
      <c r="H7" s="435">
        <f>analysis!H20</f>
        <v>3.3954230875199443E-3</v>
      </c>
      <c r="I7" s="435">
        <f>analysis!I20</f>
        <v>3.3954230875199443E-3</v>
      </c>
    </row>
    <row r="8" spans="1:12">
      <c r="D8" s="3" t="s">
        <v>345</v>
      </c>
      <c r="E8" s="461">
        <f ca="1">analyROIC</f>
        <v>0.22933437001096038</v>
      </c>
      <c r="F8" s="461">
        <f ca="1">analyROIC</f>
        <v>0.22933437001096038</v>
      </c>
      <c r="G8" s="461">
        <f ca="1">analyROIC</f>
        <v>0.22933437001096038</v>
      </c>
      <c r="H8" s="461">
        <f ca="1">analyROIC</f>
        <v>0.22933437001096038</v>
      </c>
      <c r="I8" s="461">
        <f ca="1">analyROIC</f>
        <v>0.22933437001096038</v>
      </c>
    </row>
    <row r="9" spans="1:12">
      <c r="D9" s="3" t="s">
        <v>346</v>
      </c>
      <c r="E9" s="10">
        <f ca="1">analysis!E29</f>
        <v>100.62664254027544</v>
      </c>
      <c r="F9" s="10">
        <f ca="1">analysis!F29</f>
        <v>100.62664254027544</v>
      </c>
      <c r="G9" s="10">
        <f ca="1">analysis!G29</f>
        <v>100.62664254027544</v>
      </c>
      <c r="H9" s="10">
        <f ca="1">analysis!H29</f>
        <v>100.62664254027544</v>
      </c>
      <c r="I9" s="10">
        <f ca="1">analysis!I29</f>
        <v>100.62664254027544</v>
      </c>
    </row>
    <row r="10" spans="1:12">
      <c r="D10" s="3"/>
      <c r="E10" s="435"/>
      <c r="F10" s="435"/>
      <c r="G10" s="435"/>
      <c r="H10" s="435"/>
      <c r="I10" s="435"/>
    </row>
    <row r="11" spans="1:12">
      <c r="D11" s="3"/>
    </row>
    <row r="12" spans="1:12">
      <c r="E12" s="11"/>
      <c r="F12" s="11"/>
      <c r="G12" s="11"/>
      <c r="H12" s="11"/>
      <c r="I12" s="11"/>
    </row>
    <row r="13" spans="1:12">
      <c r="B13" s="2" t="s">
        <v>422</v>
      </c>
      <c r="E13" t="str">
        <f>decTeamName</f>
        <v>Vivia</v>
      </c>
      <c r="F13" t="str">
        <f>decTeamName</f>
        <v>Vivia</v>
      </c>
      <c r="G13" t="str">
        <f>decTeamName</f>
        <v>Vivia</v>
      </c>
      <c r="H13" t="str">
        <f>decTeamName</f>
        <v>Vivia</v>
      </c>
      <c r="I13" t="str">
        <f>decTeamName</f>
        <v>Vivia</v>
      </c>
    </row>
    <row r="14" spans="1:12">
      <c r="D14" t="str">
        <f>DataNameProd1</f>
        <v>CSD</v>
      </c>
      <c r="E14" s="1309">
        <f>finPNLReg1Prod1NetRev</f>
        <v>5596273699.5</v>
      </c>
      <c r="F14" s="1309">
        <f>finPNLReg1Prod1NetRev</f>
        <v>5596273699.5</v>
      </c>
      <c r="G14" s="1309">
        <f>finPNLReg1Prod1NetRev</f>
        <v>5596273699.5</v>
      </c>
      <c r="H14" s="1309">
        <f>finPNLReg1Prod1NetRev</f>
        <v>5596273699.5</v>
      </c>
      <c r="I14" s="1309">
        <f>finPNLReg1Prod1NetRev</f>
        <v>5596273699.5</v>
      </c>
    </row>
    <row r="15" spans="1:12">
      <c r="D15" t="str">
        <f>DataNameProd3</f>
        <v>NCB</v>
      </c>
      <c r="E15" s="1309">
        <f>finPNLReg1Prod3NetRev</f>
        <v>4497000000</v>
      </c>
      <c r="F15" s="1309">
        <f>finPNLReg1Prod3NetRev</f>
        <v>4497000000</v>
      </c>
      <c r="G15" s="1309">
        <f>finPNLReg1Prod3NetRev</f>
        <v>4497000000</v>
      </c>
      <c r="H15" s="1309">
        <f>finPNLReg1Prod3NetRev</f>
        <v>4497000000</v>
      </c>
      <c r="I15" s="1309">
        <f>finPNLReg1Prod3NetRev</f>
        <v>4497000000</v>
      </c>
    </row>
    <row r="16" spans="1:12">
      <c r="D16" t="str">
        <f>DataNameProd4</f>
        <v>F&amp;S</v>
      </c>
      <c r="E16" s="1309">
        <f>finPNLReg1Prod4NetRev</f>
        <v>6011250000</v>
      </c>
      <c r="F16" s="1309">
        <f>finPNLReg1Prod4NetRev</f>
        <v>6011250000</v>
      </c>
      <c r="G16" s="1309">
        <f>finPNLReg1Prod4NetRev</f>
        <v>6011250000</v>
      </c>
      <c r="H16" s="1309">
        <f>finPNLReg1Prod4NetRev</f>
        <v>6011250000</v>
      </c>
      <c r="I16" s="1309">
        <f>finPNLReg1Prod4NetRev</f>
        <v>6011250000</v>
      </c>
    </row>
    <row r="17" spans="2:10">
      <c r="D17" t="s">
        <v>2969</v>
      </c>
      <c r="E17" s="435">
        <f>analysis!E96</f>
        <v>-3.5758784007366984E-3</v>
      </c>
      <c r="F17" s="435">
        <f>analysis!F96</f>
        <v>-3.5758784007366984E-3</v>
      </c>
      <c r="G17" s="435">
        <f>analysis!G96</f>
        <v>-3.5758784007366984E-3</v>
      </c>
      <c r="H17" s="435">
        <f>analysis!H96</f>
        <v>-3.5758784007366984E-3</v>
      </c>
      <c r="I17" s="435">
        <f>analysis!I96</f>
        <v>-3.5758784007366984E-3</v>
      </c>
    </row>
    <row r="18" spans="2:10">
      <c r="D18" s="120" t="str">
        <f>IF(tlInputTeamYear&lt;2,"","Breakthrough")</f>
        <v/>
      </c>
      <c r="E18" s="121" t="str">
        <f>IF(tlInputTeamYear&lt;2,"",finPNLReg1Prod2NetRev)</f>
        <v/>
      </c>
      <c r="F18" s="121" t="str">
        <f>IF(tlInputTeamYear&lt;2,"",finPNLReg1Prod2NetRev)</f>
        <v/>
      </c>
      <c r="G18" s="121" t="str">
        <f>IF(tlInputTeamYear&lt;2,"",finPNLReg1Prod2NetRev)</f>
        <v/>
      </c>
      <c r="H18" s="121" t="str">
        <f>IF(tlInputTeamYear&lt;2,"",finPNLReg1Prod2NetRev)</f>
        <v/>
      </c>
      <c r="I18" s="121" t="str">
        <f>IF(tlInputTeamYear&lt;2,"",finPNLReg1Prod2NetRev)</f>
        <v/>
      </c>
      <c r="J18" s="860" t="s">
        <v>4108</v>
      </c>
    </row>
    <row r="19" spans="2:10">
      <c r="B19" s="2" t="s">
        <v>423</v>
      </c>
      <c r="E19" t="str">
        <f>decTeamName</f>
        <v>Vivia</v>
      </c>
      <c r="F19" t="str">
        <f>decTeamName</f>
        <v>Vivia</v>
      </c>
      <c r="G19" t="str">
        <f>decTeamName</f>
        <v>Vivia</v>
      </c>
      <c r="H19" t="str">
        <f>decTeamName</f>
        <v>Vivia</v>
      </c>
      <c r="I19" t="str">
        <f>decTeamName</f>
        <v>Vivia</v>
      </c>
    </row>
    <row r="20" spans="2:10">
      <c r="D20" t="str">
        <f>DataNameProd1</f>
        <v>CSD</v>
      </c>
      <c r="E20" s="1309">
        <f>finPNLReg2Prod1NetRev</f>
        <v>2302600000</v>
      </c>
      <c r="F20" s="1309">
        <f>finPNLReg2Prod1NetRev</f>
        <v>2302600000</v>
      </c>
      <c r="G20" s="1309">
        <f>finPNLReg2Prod1NetRev</f>
        <v>2302600000</v>
      </c>
      <c r="H20" s="1309">
        <f>finPNLReg2Prod1NetRev</f>
        <v>2302600000</v>
      </c>
      <c r="I20" s="1309">
        <f>finPNLReg2Prod1NetRev</f>
        <v>2302600000</v>
      </c>
    </row>
    <row r="21" spans="2:10">
      <c r="D21" t="str">
        <f>DataNameProd3</f>
        <v>NCB</v>
      </c>
      <c r="E21" s="1309">
        <f>finPNLReg2Prod3NetRev</f>
        <v>2285000000</v>
      </c>
      <c r="F21" s="1309">
        <f>finPNLReg2Prod3NetRev</f>
        <v>2285000000</v>
      </c>
      <c r="G21" s="1309">
        <f>finPNLReg2Prod3NetRev</f>
        <v>2285000000</v>
      </c>
      <c r="H21" s="1309">
        <f>finPNLReg2Prod3NetRev</f>
        <v>2285000000</v>
      </c>
      <c r="I21" s="1309">
        <f>finPNLReg2Prod3NetRev</f>
        <v>2285000000</v>
      </c>
    </row>
    <row r="22" spans="2:10">
      <c r="D22" t="str">
        <f>DataNameProd4</f>
        <v>F&amp;S</v>
      </c>
      <c r="E22" s="1309">
        <f>finPNLReg2Prod4NetRev</f>
        <v>1930000000</v>
      </c>
      <c r="F22" s="1309">
        <f>finPNLReg2Prod4NetRev</f>
        <v>1930000000</v>
      </c>
      <c r="G22" s="1309">
        <f>finPNLReg2Prod4NetRev</f>
        <v>1930000000</v>
      </c>
      <c r="H22" s="1309">
        <f>finPNLReg2Prod4NetRev</f>
        <v>1930000000</v>
      </c>
      <c r="I22" s="1309">
        <f>finPNLReg2Prod4NetRev</f>
        <v>1930000000</v>
      </c>
    </row>
    <row r="23" spans="2:10">
      <c r="D23" t="s">
        <v>2968</v>
      </c>
      <c r="E23" s="435">
        <f>analysis!E120</f>
        <v>2.1046670718602334E-2</v>
      </c>
      <c r="F23" s="435">
        <f>analysis!F120</f>
        <v>2.1046670718602334E-2</v>
      </c>
      <c r="G23" s="435">
        <f>analysis!G120</f>
        <v>2.1046670718602334E-2</v>
      </c>
      <c r="H23" s="435">
        <f>analysis!H120</f>
        <v>2.1046670718602334E-2</v>
      </c>
      <c r="I23" s="435">
        <f>analysis!I120</f>
        <v>2.1046670718602334E-2</v>
      </c>
    </row>
    <row r="24" spans="2:10">
      <c r="D24" s="120" t="str">
        <f>IF(tlInputTeamYear&lt;2,"","Breakthrough")</f>
        <v/>
      </c>
      <c r="E24" s="121" t="str">
        <f>IF(tlInputTeamYear&lt;2,"",finPNLReg2Prod2NetRev)</f>
        <v/>
      </c>
      <c r="F24" s="121" t="str">
        <f>IF(tlInputTeamYear&lt;2,"",finPNLReg2Prod2NetRev)</f>
        <v/>
      </c>
      <c r="G24" s="121" t="str">
        <f>IF(tlInputTeamYear&lt;2,"",finPNLReg2Prod2NetRev)</f>
        <v/>
      </c>
      <c r="H24" s="121" t="str">
        <f>IF(tlInputTeamYear&lt;2,"",finPNLReg2Prod2NetRev)</f>
        <v/>
      </c>
      <c r="I24" s="121" t="str">
        <f>IF(tlInputTeamYear&lt;2,"",finPNLReg2Prod2NetRev)</f>
        <v/>
      </c>
      <c r="J24" s="860" t="s">
        <v>4108</v>
      </c>
    </row>
    <row r="25" spans="2:10">
      <c r="B25" s="2" t="s">
        <v>291</v>
      </c>
      <c r="D25" s="860" t="s">
        <v>4109</v>
      </c>
      <c r="E25" t="str">
        <f>decTeamName</f>
        <v>Vivia</v>
      </c>
      <c r="F25" t="str">
        <f>decTeamName</f>
        <v>Vivia</v>
      </c>
      <c r="G25" t="str">
        <f>decTeamName</f>
        <v>Vivia</v>
      </c>
      <c r="H25" t="str">
        <f>decTeamName</f>
        <v>Vivia</v>
      </c>
      <c r="I25" t="str">
        <f>decTeamName</f>
        <v>Vivia</v>
      </c>
    </row>
    <row r="26" spans="2:10">
      <c r="D26" s="3" t="s">
        <v>1598</v>
      </c>
      <c r="E26" s="11">
        <f>capReg1Prod1UnitsSold+capReg1Prod2UnitsSold+capReg1Prod3UnitsSold+capReg1Prod4UnitsSold</f>
        <v>1640213021</v>
      </c>
      <c r="F26" s="11">
        <f>capReg1Prod1UnitsSold+capReg1Prod2UnitsSold+capReg1Prod3UnitsSold+capReg1Prod4UnitsSold</f>
        <v>1640213021</v>
      </c>
      <c r="G26" s="11">
        <f>capReg1Prod1UnitsSold+capReg1Prod2UnitsSold+capReg1Prod3UnitsSold+capReg1Prod4UnitsSold</f>
        <v>1640213021</v>
      </c>
      <c r="H26" s="11">
        <f>capReg1Prod1UnitsSold+capReg1Prod2UnitsSold+capReg1Prod3UnitsSold+capReg1Prod4UnitsSold</f>
        <v>1640213021</v>
      </c>
      <c r="I26" s="11">
        <f>capReg1Prod1UnitsSold+capReg1Prod2UnitsSold+capReg1Prod3UnitsSold+capReg1Prod4UnitsSold</f>
        <v>1640213021</v>
      </c>
    </row>
    <row r="27" spans="2:10">
      <c r="D27" s="3" t="s">
        <v>1599</v>
      </c>
      <c r="E27" s="11">
        <f>capReg2Prod1UnitsSold+capReg2Prod2UnitsSold+capReg2Prod3UnitsSold+capReg2Prod4UnitsSold</f>
        <v>826800000</v>
      </c>
      <c r="F27" s="11">
        <f>capReg2Prod1UnitsSold+capReg2Prod2UnitsSold+capReg2Prod3UnitsSold+capReg2Prod4UnitsSold</f>
        <v>826800000</v>
      </c>
      <c r="G27" s="11">
        <f>capReg2Prod1UnitsSold+capReg2Prod2UnitsSold+capReg2Prod3UnitsSold+capReg2Prod4UnitsSold</f>
        <v>826800000</v>
      </c>
      <c r="H27" s="11">
        <f>capReg2Prod1UnitsSold+capReg2Prod2UnitsSold+capReg2Prod3UnitsSold+capReg2Prod4UnitsSold</f>
        <v>826800000</v>
      </c>
      <c r="I27" s="11">
        <f>capReg2Prod1UnitsSold+capReg2Prod2UnitsSold+capReg2Prod3UnitsSold+capReg2Prod4UnitsSold</f>
        <v>826800000</v>
      </c>
    </row>
    <row r="28" spans="2:10">
      <c r="E28" s="11"/>
      <c r="F28" s="11"/>
      <c r="G28" s="11"/>
      <c r="H28" s="11"/>
      <c r="I28" s="11"/>
    </row>
    <row r="29" spans="2:10">
      <c r="E29" s="11"/>
      <c r="F29" s="11"/>
      <c r="G29" s="11"/>
      <c r="H29" s="11"/>
      <c r="I29" s="11"/>
    </row>
    <row r="30" spans="2:10">
      <c r="B30" s="2" t="s">
        <v>420</v>
      </c>
      <c r="D30" s="860" t="s">
        <v>4109</v>
      </c>
      <c r="E30" t="str">
        <f>decTeamName</f>
        <v>Vivia</v>
      </c>
      <c r="F30" t="str">
        <f>decTeamName</f>
        <v>Vivia</v>
      </c>
      <c r="G30" t="str">
        <f>decTeamName</f>
        <v>Vivia</v>
      </c>
      <c r="H30" t="str">
        <f>decTeamName</f>
        <v>Vivia</v>
      </c>
      <c r="I30" t="str">
        <f>decTeamName</f>
        <v>Vivia</v>
      </c>
    </row>
    <row r="31" spans="2:10">
      <c r="D31" s="3" t="s">
        <v>1598</v>
      </c>
      <c r="E31" s="1309">
        <f>finPNLReg1Prod1NetRev+finPNLReg1Prod2NetRev+finPNLReg1Prod3NetRev+finPNLReg1Prod4NetRev</f>
        <v>16104523699.5</v>
      </c>
      <c r="F31" s="1309">
        <f>finPNLReg1Prod1NetRev+finPNLReg1Prod2NetRev+finPNLReg1Prod3NetRev+finPNLReg1Prod4NetRev</f>
        <v>16104523699.5</v>
      </c>
      <c r="G31" s="1309">
        <f>finPNLReg1Prod1NetRev+finPNLReg1Prod2NetRev+finPNLReg1Prod3NetRev+finPNLReg1Prod4NetRev</f>
        <v>16104523699.5</v>
      </c>
      <c r="H31" s="1309">
        <f>finPNLReg1Prod1NetRev+finPNLReg1Prod2NetRev+finPNLReg1Prod3NetRev+finPNLReg1Prod4NetRev</f>
        <v>16104523699.5</v>
      </c>
      <c r="I31" s="1309">
        <f>finPNLReg1Prod1NetRev+finPNLReg1Prod2NetRev+finPNLReg1Prod3NetRev+finPNLReg1Prod4NetRev</f>
        <v>16104523699.5</v>
      </c>
    </row>
    <row r="32" spans="2:10">
      <c r="D32" s="3" t="s">
        <v>1599</v>
      </c>
      <c r="E32" s="1309">
        <f>finPNLReg2Prod1NetRev+finPNLReg2Prod2NetRev+finPNLReg2Prod3NetRev+finPNLReg2Prod4NetRev</f>
        <v>6517600000</v>
      </c>
      <c r="F32" s="1309">
        <f>finPNLReg2Prod1NetRev+finPNLReg2Prod2NetRev+finPNLReg2Prod3NetRev+finPNLReg2Prod4NetRev</f>
        <v>6517600000</v>
      </c>
      <c r="G32" s="1309">
        <f>finPNLReg2Prod1NetRev+finPNLReg2Prod2NetRev+finPNLReg2Prod3NetRev+finPNLReg2Prod4NetRev</f>
        <v>6517600000</v>
      </c>
      <c r="H32" s="1309">
        <f>finPNLReg2Prod1NetRev+finPNLReg2Prod2NetRev+finPNLReg2Prod3NetRev+finPNLReg2Prod4NetRev</f>
        <v>6517600000</v>
      </c>
      <c r="I32" s="1309">
        <f>finPNLReg2Prod1NetRev+finPNLReg2Prod2NetRev+finPNLReg2Prod3NetRev+finPNLReg2Prod4NetRev</f>
        <v>6517600000</v>
      </c>
    </row>
    <row r="33" spans="2:9">
      <c r="D33" t="s">
        <v>421</v>
      </c>
      <c r="E33" s="435">
        <f>analysis!E19</f>
        <v>3.3954230875199443E-3</v>
      </c>
      <c r="F33" s="435">
        <f>analysis!F19</f>
        <v>3.3954230875199443E-3</v>
      </c>
      <c r="G33" s="435">
        <f>analysis!G19</f>
        <v>3.3954230875199443E-3</v>
      </c>
      <c r="H33" s="435">
        <f>analysis!H19</f>
        <v>3.3954230875199443E-3</v>
      </c>
      <c r="I33" s="435">
        <f>analysis!I19</f>
        <v>3.3954230875199443E-3</v>
      </c>
    </row>
    <row r="36" spans="2:9">
      <c r="B36" s="2" t="str">
        <f>DataNameProd1&amp;" Operating Margin - Escendia"</f>
        <v>CSD Operating Margin - Escendia</v>
      </c>
      <c r="E36" t="str">
        <f>decTeamName</f>
        <v>Vivia</v>
      </c>
      <c r="F36" t="str">
        <f>decTeamName</f>
        <v>Vivia</v>
      </c>
      <c r="G36" t="str">
        <f>decTeamName</f>
        <v>Vivia</v>
      </c>
      <c r="H36" t="str">
        <f>decTeamName</f>
        <v>Vivia</v>
      </c>
      <c r="I36" t="str">
        <f>decTeamName</f>
        <v>Vivia</v>
      </c>
    </row>
    <row r="37" spans="2:9">
      <c r="D37" t="s">
        <v>3640</v>
      </c>
      <c r="E37" s="11">
        <f ca="1">finPNLReg2Prod1COGSExp</f>
        <v>1052319877.9526795</v>
      </c>
      <c r="F37" s="11">
        <f ca="1">finPNLReg2Prod1COGSExp</f>
        <v>1052319877.9526795</v>
      </c>
      <c r="G37" s="11">
        <f ca="1">finPNLReg2Prod1COGSExp</f>
        <v>1052319877.9526795</v>
      </c>
      <c r="H37" s="11">
        <f ca="1">finPNLReg2Prod1COGSExp</f>
        <v>1052319877.9526795</v>
      </c>
      <c r="I37" s="11">
        <f ca="1">finPNLReg2Prod1COGSExp</f>
        <v>1052319877.9526795</v>
      </c>
    </row>
    <row r="38" spans="2:9">
      <c r="D38" t="s">
        <v>173</v>
      </c>
      <c r="E38" s="11">
        <f ca="1">finPNLReg2Prod1SGAExp</f>
        <v>623872773.43925011</v>
      </c>
      <c r="F38" s="11">
        <f ca="1">finPNLReg2Prod1SGAExp</f>
        <v>623872773.43925011</v>
      </c>
      <c r="G38" s="11">
        <f ca="1">finPNLReg2Prod1SGAExp</f>
        <v>623872773.43925011</v>
      </c>
      <c r="H38" s="11">
        <f ca="1">finPNLReg2Prod1SGAExp</f>
        <v>623872773.43925011</v>
      </c>
      <c r="I38" s="11">
        <f ca="1">finPNLReg2Prod1SGAExp</f>
        <v>623872773.43925011</v>
      </c>
    </row>
    <row r="39" spans="2:9">
      <c r="D39" t="s">
        <v>172</v>
      </c>
      <c r="E39" s="11"/>
      <c r="F39" s="11"/>
      <c r="G39" s="11"/>
      <c r="H39" s="11"/>
      <c r="I39" s="11"/>
    </row>
    <row r="40" spans="2:9">
      <c r="D40" t="s">
        <v>1906</v>
      </c>
      <c r="E40" s="11">
        <f ca="1">finPNLReg2Prod1OtherOpExp</f>
        <v>4875250.8117562346</v>
      </c>
      <c r="F40" s="11">
        <f ca="1">finPNLReg2Prod1OtherOpExp</f>
        <v>4875250.8117562346</v>
      </c>
      <c r="G40" s="11">
        <f ca="1">finPNLReg2Prod1OtherOpExp</f>
        <v>4875250.8117562346</v>
      </c>
      <c r="H40" s="11">
        <f ca="1">finPNLReg2Prod1OtherOpExp</f>
        <v>4875250.8117562346</v>
      </c>
      <c r="I40" s="11">
        <f ca="1">finPNLReg2Prod1OtherOpExp</f>
        <v>4875250.8117562346</v>
      </c>
    </row>
    <row r="41" spans="2:9">
      <c r="D41" t="s">
        <v>3763</v>
      </c>
      <c r="E41" s="11">
        <f ca="1">(finPNLReg2Prod1NetRev)-SUM(E37:E40)</f>
        <v>621532097.79631424</v>
      </c>
      <c r="F41" s="11">
        <f ca="1">(finPNLReg2Prod1NetRev)-SUM(F37:F40)</f>
        <v>621532097.79631424</v>
      </c>
      <c r="G41" s="11">
        <f ca="1">(finPNLReg2Prod1NetRev)-SUM(G37:G40)</f>
        <v>621532097.79631424</v>
      </c>
      <c r="H41" s="11">
        <f ca="1">(finPNLReg2Prod1NetRev)-SUM(H37:H40)</f>
        <v>621532097.79631424</v>
      </c>
      <c r="I41" s="11">
        <f ca="1">(finPNLReg2Prod1NetRev)-SUM(I37:I40)</f>
        <v>621532097.79631424</v>
      </c>
    </row>
    <row r="42" spans="2:9">
      <c r="D42" t="s">
        <v>3063</v>
      </c>
      <c r="E42" s="435">
        <f ca="1">E41/(finPNLReg2Prod1NetRev)</f>
        <v>0.26992621288817609</v>
      </c>
      <c r="F42" s="435">
        <f ca="1">F41/(finPNLReg2Prod1NetRev)</f>
        <v>0.26992621288817609</v>
      </c>
      <c r="G42" s="435">
        <f ca="1">G41/(finPNLReg2Prod1NetRev)</f>
        <v>0.26992621288817609</v>
      </c>
      <c r="H42" s="435">
        <f ca="1">H41/(finPNLReg2Prod1NetRev)</f>
        <v>0.26992621288817609</v>
      </c>
      <c r="I42" s="435">
        <f ca="1">I41/(finPNLReg2Prod1NetRev)</f>
        <v>0.26992621288817609</v>
      </c>
    </row>
    <row r="43" spans="2:9">
      <c r="E43" s="435"/>
      <c r="F43" s="435"/>
      <c r="G43" s="435"/>
      <c r="H43" s="435"/>
      <c r="I43" s="435"/>
    </row>
    <row r="44" spans="2:9">
      <c r="B44" s="2" t="str">
        <f>DataNameProd1&amp;" Operating Margin - Vetera"</f>
        <v>CSD Operating Margin - Vetera</v>
      </c>
      <c r="E44" t="str">
        <f>decTeamName</f>
        <v>Vivia</v>
      </c>
      <c r="F44" t="str">
        <f>decTeamName</f>
        <v>Vivia</v>
      </c>
      <c r="G44" t="str">
        <f>decTeamName</f>
        <v>Vivia</v>
      </c>
      <c r="H44" t="str">
        <f>decTeamName</f>
        <v>Vivia</v>
      </c>
      <c r="I44" t="str">
        <f>decTeamName</f>
        <v>Vivia</v>
      </c>
    </row>
    <row r="45" spans="2:9">
      <c r="D45" t="s">
        <v>3640</v>
      </c>
      <c r="E45" s="11">
        <f ca="1">finPNLReg1Prod1COGSExp</f>
        <v>3010840282.912796</v>
      </c>
      <c r="F45" s="11">
        <f ca="1">finPNLReg1Prod1COGSExp</f>
        <v>3010840282.912796</v>
      </c>
      <c r="G45" s="11">
        <f ca="1">finPNLReg1Prod1COGSExp</f>
        <v>3010840282.912796</v>
      </c>
      <c r="H45" s="11">
        <f ca="1">finPNLReg1Prod1COGSExp</f>
        <v>3010840282.912796</v>
      </c>
      <c r="I45" s="11">
        <f ca="1">finPNLReg1Prod1COGSExp</f>
        <v>3010840282.912796</v>
      </c>
    </row>
    <row r="46" spans="2:9">
      <c r="D46" t="s">
        <v>173</v>
      </c>
      <c r="E46" s="11">
        <f ca="1">finPNLReg1Prod1SGAExp</f>
        <v>1512181189.4788702</v>
      </c>
      <c r="F46" s="11">
        <f ca="1">finPNLReg1Prod1SGAExp</f>
        <v>1512181189.4788702</v>
      </c>
      <c r="G46" s="11">
        <f ca="1">finPNLReg1Prod1SGAExp</f>
        <v>1512181189.4788702</v>
      </c>
      <c r="H46" s="11">
        <f ca="1">finPNLReg1Prod1SGAExp</f>
        <v>1512181189.4788702</v>
      </c>
      <c r="I46" s="11">
        <f ca="1">finPNLReg1Prod1SGAExp</f>
        <v>1512181189.4788702</v>
      </c>
    </row>
    <row r="47" spans="2:9">
      <c r="D47" t="s">
        <v>172</v>
      </c>
      <c r="E47" s="11"/>
      <c r="F47" s="11"/>
      <c r="G47" s="11"/>
      <c r="H47" s="11"/>
      <c r="I47" s="11"/>
    </row>
    <row r="48" spans="2:9">
      <c r="D48" t="s">
        <v>1906</v>
      </c>
      <c r="E48" s="11">
        <f ca="1">finPNLReg1Prod1OtherOpExp</f>
        <v>0</v>
      </c>
      <c r="F48" s="11">
        <f ca="1">finPNLReg1Prod1OtherOpExp</f>
        <v>0</v>
      </c>
      <c r="G48" s="11">
        <f ca="1">finPNLReg1Prod1OtherOpExp</f>
        <v>0</v>
      </c>
      <c r="H48" s="11">
        <f ca="1">finPNLReg1Prod1OtherOpExp</f>
        <v>0</v>
      </c>
      <c r="I48" s="11">
        <f ca="1">finPNLReg1Prod1OtherOpExp</f>
        <v>0</v>
      </c>
    </row>
    <row r="49" spans="2:9">
      <c r="D49" t="s">
        <v>3763</v>
      </c>
      <c r="E49" s="11">
        <f ca="1">(finPNLReg1Prod1NetRev)-SUM(E45:E48)</f>
        <v>1073252227.1083336</v>
      </c>
      <c r="F49" s="11">
        <f ca="1">(finPNLReg1Prod1NetRev)-SUM(F45:F48)</f>
        <v>1073252227.1083336</v>
      </c>
      <c r="G49" s="11">
        <f ca="1">(finPNLReg1Prod1NetRev)-SUM(G45:G48)</f>
        <v>1073252227.1083336</v>
      </c>
      <c r="H49" s="11">
        <f ca="1">(finPNLReg1Prod1NetRev)-SUM(H45:H48)</f>
        <v>1073252227.1083336</v>
      </c>
      <c r="I49" s="11">
        <f ca="1">(finPNLReg1Prod1NetRev)-SUM(I45:I48)</f>
        <v>1073252227.1083336</v>
      </c>
    </row>
    <row r="50" spans="2:9">
      <c r="D50" t="s">
        <v>3063</v>
      </c>
      <c r="E50" s="435">
        <f ca="1">E49/(finPNLReg1Prod1NetRev)</f>
        <v>0.19177979576020798</v>
      </c>
      <c r="F50" s="435">
        <f ca="1">F49/(finPNLReg1Prod1NetRev)</f>
        <v>0.19177979576020798</v>
      </c>
      <c r="G50" s="435">
        <f ca="1">G49/(finPNLReg1Prod1NetRev)</f>
        <v>0.19177979576020798</v>
      </c>
      <c r="H50" s="435">
        <f ca="1">H49/(finPNLReg1Prod1NetRev)</f>
        <v>0.19177979576020798</v>
      </c>
      <c r="I50" s="435">
        <f ca="1">I49/(finPNLReg1Prod1NetRev)</f>
        <v>0.19177979576020798</v>
      </c>
    </row>
    <row r="51" spans="2:9">
      <c r="E51" s="435"/>
      <c r="F51" s="435"/>
      <c r="G51" s="435"/>
      <c r="H51" s="435"/>
      <c r="I51" s="435"/>
    </row>
    <row r="52" spans="2:9">
      <c r="E52" s="435"/>
      <c r="F52" s="435"/>
      <c r="G52" s="435"/>
      <c r="H52" s="435"/>
      <c r="I52" s="435"/>
    </row>
    <row r="53" spans="2:9">
      <c r="B53" s="2" t="str">
        <f>DataNameProd3&amp;" Operating Margin - Escendia"</f>
        <v>NCB Operating Margin - Escendia</v>
      </c>
      <c r="E53" t="str">
        <f>decTeamName</f>
        <v>Vivia</v>
      </c>
      <c r="F53" t="str">
        <f>decTeamName</f>
        <v>Vivia</v>
      </c>
      <c r="G53" t="str">
        <f>decTeamName</f>
        <v>Vivia</v>
      </c>
      <c r="H53" t="str">
        <f>decTeamName</f>
        <v>Vivia</v>
      </c>
      <c r="I53" t="str">
        <f>decTeamName</f>
        <v>Vivia</v>
      </c>
    </row>
    <row r="54" spans="2:9">
      <c r="D54" t="s">
        <v>3640</v>
      </c>
      <c r="E54" s="11">
        <f ca="1">finPNLReg2Prod3COGSExp</f>
        <v>1204383373.3116179</v>
      </c>
      <c r="F54" s="11">
        <f ca="1">finPNLReg2Prod3COGSExp</f>
        <v>1204383373.3116179</v>
      </c>
      <c r="G54" s="11">
        <f ca="1">finPNLReg2Prod3COGSExp</f>
        <v>1204383373.3116179</v>
      </c>
      <c r="H54" s="11">
        <f ca="1">finPNLReg2Prod3COGSExp</f>
        <v>1204383373.3116179</v>
      </c>
      <c r="I54" s="11">
        <f ca="1">finPNLReg2Prod3COGSExp</f>
        <v>1204383373.3116179</v>
      </c>
    </row>
    <row r="55" spans="2:9">
      <c r="D55" t="s">
        <v>173</v>
      </c>
      <c r="E55" s="11">
        <f ca="1">finPNLReg2Prod3SGAExp</f>
        <v>533836545.86337274</v>
      </c>
      <c r="F55" s="11">
        <f ca="1">finPNLReg2Prod3SGAExp</f>
        <v>533836545.86337274</v>
      </c>
      <c r="G55" s="11">
        <f ca="1">finPNLReg2Prod3SGAExp</f>
        <v>533836545.86337274</v>
      </c>
      <c r="H55" s="11">
        <f ca="1">finPNLReg2Prod3SGAExp</f>
        <v>533836545.86337274</v>
      </c>
      <c r="I55" s="11">
        <f ca="1">finPNLReg2Prod3SGAExp</f>
        <v>533836545.86337274</v>
      </c>
    </row>
    <row r="56" spans="2:9">
      <c r="D56" t="s">
        <v>172</v>
      </c>
      <c r="E56" s="11"/>
      <c r="F56" s="11"/>
      <c r="G56" s="11"/>
      <c r="H56" s="11"/>
      <c r="I56" s="11"/>
    </row>
    <row r="57" spans="2:9">
      <c r="D57" t="s">
        <v>1906</v>
      </c>
      <c r="E57" s="11">
        <f ca="1">finPNLReg2Prod3OtherOpExp</f>
        <v>26565769.104291297</v>
      </c>
      <c r="F57" s="11">
        <f ca="1">finPNLReg2Prod3OtherOpExp</f>
        <v>26565769.104291297</v>
      </c>
      <c r="G57" s="11">
        <f ca="1">finPNLReg2Prod3OtherOpExp</f>
        <v>26565769.104291297</v>
      </c>
      <c r="H57" s="11">
        <f ca="1">finPNLReg2Prod3OtherOpExp</f>
        <v>26565769.104291297</v>
      </c>
      <c r="I57" s="11">
        <f ca="1">finPNLReg2Prod3OtherOpExp</f>
        <v>26565769.104291297</v>
      </c>
    </row>
    <row r="58" spans="2:9">
      <c r="D58" t="s">
        <v>3763</v>
      </c>
      <c r="E58" s="11">
        <f ca="1">(finPNLReg2Prod3NetRev)-SUM(E54:E57)</f>
        <v>520214311.72071815</v>
      </c>
      <c r="F58" s="11">
        <f ca="1">(finPNLReg2Prod3NetRev)-SUM(F54:F57)</f>
        <v>520214311.72071815</v>
      </c>
      <c r="G58" s="11">
        <f ca="1">(finPNLReg2Prod3NetRev)-SUM(G54:G57)</f>
        <v>520214311.72071815</v>
      </c>
      <c r="H58" s="11">
        <f ca="1">(finPNLReg2Prod3NetRev)-SUM(H54:H57)</f>
        <v>520214311.72071815</v>
      </c>
      <c r="I58" s="11">
        <f ca="1">(finPNLReg2Prod3NetRev)-SUM(I54:I57)</f>
        <v>520214311.72071815</v>
      </c>
    </row>
    <row r="59" spans="2:9">
      <c r="D59" t="s">
        <v>3063</v>
      </c>
      <c r="E59" s="435">
        <f ca="1">E58/(finPNLReg2Prod3NetRev)</f>
        <v>0.2276649066611458</v>
      </c>
      <c r="F59" s="435">
        <f ca="1">F58/(finPNLReg2Prod3NetRev)</f>
        <v>0.2276649066611458</v>
      </c>
      <c r="G59" s="435">
        <f ca="1">G58/(finPNLReg2Prod3NetRev)</f>
        <v>0.2276649066611458</v>
      </c>
      <c r="H59" s="435">
        <f ca="1">H58/(finPNLReg2Prod3NetRev)</f>
        <v>0.2276649066611458</v>
      </c>
      <c r="I59" s="435">
        <f ca="1">I58/(finPNLReg2Prod3NetRev)</f>
        <v>0.2276649066611458</v>
      </c>
    </row>
    <row r="61" spans="2:9">
      <c r="B61" s="2" t="str">
        <f>DataNameProd3&amp;" Operating Margin - Vetera"</f>
        <v>NCB Operating Margin - Vetera</v>
      </c>
      <c r="E61" t="str">
        <f>decTeamName</f>
        <v>Vivia</v>
      </c>
      <c r="F61" t="str">
        <f>decTeamName</f>
        <v>Vivia</v>
      </c>
      <c r="G61" t="str">
        <f>decTeamName</f>
        <v>Vivia</v>
      </c>
      <c r="H61" t="str">
        <f>decTeamName</f>
        <v>Vivia</v>
      </c>
      <c r="I61" t="str">
        <f>decTeamName</f>
        <v>Vivia</v>
      </c>
    </row>
    <row r="62" spans="2:9">
      <c r="D62" t="s">
        <v>3640</v>
      </c>
      <c r="E62" s="11">
        <f ca="1">finPNLReg1Prod3COGSExp</f>
        <v>2197292509.579803</v>
      </c>
      <c r="F62" s="11">
        <f ca="1">finPNLReg1Prod3COGSExp</f>
        <v>2197292509.579803</v>
      </c>
      <c r="G62" s="11">
        <f ca="1">finPNLReg1Prod3COGSExp</f>
        <v>2197292509.579803</v>
      </c>
      <c r="H62" s="11">
        <f ca="1">finPNLReg1Prod3COGSExp</f>
        <v>2197292509.579803</v>
      </c>
      <c r="I62" s="11">
        <f ca="1">finPNLReg1Prod3COGSExp</f>
        <v>2197292509.579803</v>
      </c>
    </row>
    <row r="63" spans="2:9">
      <c r="D63" t="s">
        <v>173</v>
      </c>
      <c r="E63" s="11">
        <f ca="1">finPNLReg1Prod3SGAExp</f>
        <v>1184726651.731667</v>
      </c>
      <c r="F63" s="11">
        <f ca="1">finPNLReg1Prod3SGAExp</f>
        <v>1184726651.731667</v>
      </c>
      <c r="G63" s="11">
        <f ca="1">finPNLReg1Prod3SGAExp</f>
        <v>1184726651.731667</v>
      </c>
      <c r="H63" s="11">
        <f ca="1">finPNLReg1Prod3SGAExp</f>
        <v>1184726651.731667</v>
      </c>
      <c r="I63" s="11">
        <f ca="1">finPNLReg1Prod3SGAExp</f>
        <v>1184726651.731667</v>
      </c>
    </row>
    <row r="64" spans="2:9">
      <c r="D64" t="s">
        <v>172</v>
      </c>
      <c r="E64" s="11"/>
      <c r="F64" s="11"/>
      <c r="G64" s="11"/>
      <c r="H64" s="11"/>
      <c r="I64" s="11"/>
    </row>
    <row r="65" spans="2:9">
      <c r="D65" t="s">
        <v>1906</v>
      </c>
      <c r="E65" s="11">
        <f ca="1">finPNLReg1Prod3OtherOpExp</f>
        <v>72321404.896117449</v>
      </c>
      <c r="F65" s="11">
        <f ca="1">finPNLReg1Prod3OtherOpExp</f>
        <v>72321404.896117449</v>
      </c>
      <c r="G65" s="11">
        <f ca="1">finPNLReg1Prod3OtherOpExp</f>
        <v>72321404.896117449</v>
      </c>
      <c r="H65" s="11">
        <f ca="1">finPNLReg1Prod3OtherOpExp</f>
        <v>72321404.896117449</v>
      </c>
      <c r="I65" s="11">
        <f ca="1">finPNLReg1Prod3OtherOpExp</f>
        <v>72321404.896117449</v>
      </c>
    </row>
    <row r="66" spans="2:9">
      <c r="D66" t="s">
        <v>3763</v>
      </c>
      <c r="E66" s="11">
        <f ca="1">(finPNLReg1Prod3NetRev)-SUM(E62:E65)</f>
        <v>1042659433.7924128</v>
      </c>
      <c r="F66" s="11">
        <f ca="1">(finPNLReg1Prod3NetRev)-SUM(F62:F65)</f>
        <v>1042659433.7924128</v>
      </c>
      <c r="G66" s="11">
        <f ca="1">(finPNLReg1Prod3NetRev)-SUM(G62:G65)</f>
        <v>1042659433.7924128</v>
      </c>
      <c r="H66" s="11">
        <f ca="1">(finPNLReg1Prod3NetRev)-SUM(H62:H65)</f>
        <v>1042659433.7924128</v>
      </c>
      <c r="I66" s="11">
        <f ca="1">(finPNLReg1Prod3NetRev)-SUM(I62:I65)</f>
        <v>1042659433.7924128</v>
      </c>
    </row>
    <row r="67" spans="2:9">
      <c r="D67" t="s">
        <v>3063</v>
      </c>
      <c r="E67" s="435">
        <f ca="1">E66/(finPNLReg1Prod3NetRev)</f>
        <v>0.23185666750998726</v>
      </c>
      <c r="F67" s="435">
        <f ca="1">F66/(finPNLReg1Prod3NetRev)</f>
        <v>0.23185666750998726</v>
      </c>
      <c r="G67" s="435">
        <f ca="1">G66/(finPNLReg1Prod3NetRev)</f>
        <v>0.23185666750998726</v>
      </c>
      <c r="H67" s="435">
        <f ca="1">H66/(finPNLReg1Prod3NetRev)</f>
        <v>0.23185666750998726</v>
      </c>
      <c r="I67" s="435">
        <f ca="1">I66/(finPNLReg1Prod3NetRev)</f>
        <v>0.23185666750998726</v>
      </c>
    </row>
    <row r="68" spans="2:9">
      <c r="E68" s="435"/>
      <c r="F68" s="435"/>
      <c r="G68" s="435"/>
      <c r="H68" s="435"/>
      <c r="I68" s="435"/>
    </row>
    <row r="70" spans="2:9">
      <c r="B70" s="2" t="s">
        <v>3307</v>
      </c>
      <c r="E70" t="str">
        <f>decTeamName</f>
        <v>Vivia</v>
      </c>
      <c r="F70" t="str">
        <f>decTeamName</f>
        <v>Vivia</v>
      </c>
      <c r="G70" t="str">
        <f>decTeamName</f>
        <v>Vivia</v>
      </c>
      <c r="H70" t="str">
        <f>decTeamName</f>
        <v>Vivia</v>
      </c>
      <c r="I70" t="str">
        <f>decTeamName</f>
        <v>Vivia</v>
      </c>
    </row>
    <row r="71" spans="2:9">
      <c r="D71" t="s">
        <v>1286</v>
      </c>
      <c r="E71" s="10">
        <f>capProd4COGSPUnitMat</f>
        <v>3.3147265540000004</v>
      </c>
      <c r="F71" s="10">
        <f>capProd4COGSPUnitMat</f>
        <v>3.3147265540000004</v>
      </c>
      <c r="G71" s="10">
        <f>capProd4COGSPUnitMat</f>
        <v>3.3147265540000004</v>
      </c>
      <c r="H71" s="10">
        <f>capProd4COGSPUnitMat</f>
        <v>3.3147265540000004</v>
      </c>
      <c r="I71" s="10">
        <f>capProd4COGSPUnitMat</f>
        <v>3.3147265540000004</v>
      </c>
    </row>
    <row r="72" spans="2:9">
      <c r="D72" t="s">
        <v>1287</v>
      </c>
      <c r="E72" s="10" t="e">
        <f>capProd4CostPUnitEmp3</f>
        <v>#NAME?</v>
      </c>
      <c r="F72" s="10" t="e">
        <f>capProd4CostPUnitEmp3</f>
        <v>#NAME?</v>
      </c>
      <c r="G72" s="10" t="e">
        <f>capProd4CostPUnitEmp3</f>
        <v>#NAME?</v>
      </c>
      <c r="H72" s="10" t="e">
        <f>capProd4CostPUnitEmp3</f>
        <v>#NAME?</v>
      </c>
      <c r="I72" s="10" t="e">
        <f>capProd4CostPUnitEmp3</f>
        <v>#NAME?</v>
      </c>
    </row>
    <row r="73" spans="2:9">
      <c r="D73" t="s">
        <v>1288</v>
      </c>
      <c r="E73" s="10">
        <f ca="1">capProd4COGSPUnitPlant1</f>
        <v>1.5686905131130217E-3</v>
      </c>
      <c r="F73" s="10">
        <f ca="1">capProd4COGSPUnitPlant1</f>
        <v>1.5686905131130217E-3</v>
      </c>
      <c r="G73" s="10">
        <f ca="1">capProd4COGSPUnitPlant1</f>
        <v>1.5686905131130217E-3</v>
      </c>
      <c r="H73" s="10">
        <f ca="1">capProd4COGSPUnitPlant1</f>
        <v>1.5686905131130217E-3</v>
      </c>
      <c r="I73" s="10">
        <f ca="1">capProd4COGSPUnitPlant1</f>
        <v>1.5686905131130217E-3</v>
      </c>
    </row>
    <row r="74" spans="2:9">
      <c r="D74" t="s">
        <v>3796</v>
      </c>
      <c r="E74" s="10">
        <f>(paramReg1Prod4DistCostPUnit+paramReg2Prod4DistCostPUnit)/2</f>
        <v>0.97807831670588485</v>
      </c>
      <c r="F74" s="10">
        <f>(paramReg1Prod4DistCostPUnit+paramReg2Prod4DistCostPUnit)/2</f>
        <v>0.97807831670588485</v>
      </c>
      <c r="G74" s="10">
        <f>(paramReg1Prod4DistCostPUnit+paramReg2Prod4DistCostPUnit)/2</f>
        <v>0.97807831670588485</v>
      </c>
      <c r="H74" s="10">
        <f>(paramReg1Prod4DistCostPUnit+paramReg2Prod4DistCostPUnit)/2</f>
        <v>0.97807831670588485</v>
      </c>
      <c r="I74" s="10">
        <f>(paramReg1Prod4DistCostPUnit+paramReg2Prod4DistCostPUnit)/2</f>
        <v>0.97807831670588485</v>
      </c>
    </row>
    <row r="75" spans="2:9">
      <c r="D75" t="s">
        <v>2086</v>
      </c>
      <c r="E75" s="10">
        <f>(finPNLReg1Prod4COGSRoyExp+finPNLReg2Prod4COGSRoyExp)/(capReg1Prod4UnitsProduction+capReg2Prod4UnitsProduction)</f>
        <v>0</v>
      </c>
      <c r="F75" s="10">
        <f>(finPNLReg1Prod4COGSRoyExp+finPNLReg2Prod4COGSRoyExp)/(capReg1Prod4UnitsProduction+capReg2Prod4UnitsProduction)</f>
        <v>0</v>
      </c>
      <c r="G75" s="10">
        <f>(finPNLReg1Prod4COGSRoyExp+finPNLReg2Prod4COGSRoyExp)/(capReg1Prod4UnitsProduction+capReg2Prod4UnitsProduction)</f>
        <v>0</v>
      </c>
      <c r="H75" s="10">
        <f>(finPNLReg1Prod4COGSRoyExp+finPNLReg2Prod4COGSRoyExp)/(capReg1Prod4UnitsProduction+capReg2Prod4UnitsProduction)</f>
        <v>0</v>
      </c>
      <c r="I75" s="10">
        <f>(finPNLReg1Prod4COGSRoyExp+finPNLReg2Prod4COGSRoyExp)/(capReg1Prod4UnitsProduction+capReg2Prod4UnitsProduction)</f>
        <v>0</v>
      </c>
    </row>
    <row r="76" spans="2:9">
      <c r="D76" t="s">
        <v>1640</v>
      </c>
      <c r="E76" s="10">
        <f>(finPNLReg1Prod4COGSSpecialityExp+finPNLReg2Prod4COGSSpecialityExp)/(capReg1Prod4UnitsProduction+capReg2Prod4UnitsProduction)</f>
        <v>0</v>
      </c>
      <c r="F76" s="10">
        <f>(finPNLReg1Prod4COGSSpecialityExp+finPNLReg2Prod4COGSSpecialityExp)/(capReg1Prod4UnitsProduction+capReg2Prod4UnitsProduction)</f>
        <v>0</v>
      </c>
      <c r="G76" s="10">
        <f>(finPNLReg1Prod4COGSSpecialityExp+finPNLReg2Prod4COGSSpecialityExp)/(capReg1Prod4UnitsProduction+capReg2Prod4UnitsProduction)</f>
        <v>0</v>
      </c>
      <c r="H76" s="10">
        <f>(finPNLReg1Prod4COGSSpecialityExp+finPNLReg2Prod4COGSSpecialityExp)/(capReg1Prod4UnitsProduction+capReg2Prod4UnitsProduction)</f>
        <v>0</v>
      </c>
      <c r="I76" s="10">
        <f>(finPNLReg1Prod4COGSSpecialityExp+finPNLReg2Prod4COGSSpecialityExp)/(capReg1Prod4UnitsProduction+capReg2Prod4UnitsProduction)</f>
        <v>0</v>
      </c>
    </row>
    <row r="77" spans="2:9">
      <c r="D77" t="s">
        <v>3146</v>
      </c>
      <c r="E77" s="18" t="e">
        <f>((capProd4Reg1Price+capProd4Reg2Price)/2)-SUM(E71:E76)</f>
        <v>#NAME?</v>
      </c>
      <c r="F77" s="18" t="e">
        <f>((capProd4Reg1Price+capProd4Reg2Price)/2)-SUM(F71:F76)</f>
        <v>#NAME?</v>
      </c>
      <c r="G77" s="18" t="e">
        <f>((capProd4Reg1Price+capProd4Reg2Price)/2)-SUM(G71:G76)</f>
        <v>#NAME?</v>
      </c>
      <c r="H77" s="18" t="e">
        <f>((capProd4Reg1Price+capProd4Reg2Price)/2)-SUM(H71:H76)</f>
        <v>#NAME?</v>
      </c>
      <c r="I77" s="18" t="e">
        <f>((capProd4Reg1Price+capProd4Reg2Price)/2)-SUM(I71:I76)</f>
        <v>#NAME?</v>
      </c>
    </row>
    <row r="78" spans="2:9">
      <c r="D78" t="s">
        <v>3064</v>
      </c>
      <c r="E78" s="435" t="e">
        <f>E77/((capProd4Reg1Price+capProd4Reg2Price)/2)</f>
        <v>#NAME?</v>
      </c>
      <c r="F78" s="435" t="e">
        <f>F77/((capProd4Reg1Price+capProd4Reg2Price)/2)</f>
        <v>#NAME?</v>
      </c>
      <c r="G78" s="435" t="e">
        <f>G77/((capProd4Reg1Price+capProd4Reg2Price)/2)</f>
        <v>#NAME?</v>
      </c>
      <c r="H78" s="435" t="e">
        <f>H77/((capProd4Reg1Price+capProd4Reg2Price)/2)</f>
        <v>#NAME?</v>
      </c>
      <c r="I78" s="435" t="e">
        <f>I77/((capProd4Reg1Price+capProd4Reg2Price)/2)</f>
        <v>#NAME?</v>
      </c>
    </row>
    <row r="80" spans="2:9">
      <c r="B80" s="2" t="str">
        <f>DataNameProd4&amp;" Operating Margin - Vetera"</f>
        <v>F&amp;S Operating Margin - Vetera</v>
      </c>
      <c r="E80" t="str">
        <f>decTeamName</f>
        <v>Vivia</v>
      </c>
      <c r="F80" t="str">
        <f>decTeamName</f>
        <v>Vivia</v>
      </c>
      <c r="G80" t="str">
        <f>decTeamName</f>
        <v>Vivia</v>
      </c>
      <c r="H80" t="str">
        <f>decTeamName</f>
        <v>Vivia</v>
      </c>
      <c r="I80" t="str">
        <f>decTeamName</f>
        <v>Vivia</v>
      </c>
    </row>
    <row r="81" spans="2:9">
      <c r="D81" t="s">
        <v>3640</v>
      </c>
      <c r="E81" s="11">
        <f ca="1">finPNLReg1Prod4COGSExp</f>
        <v>2855397899.7046804</v>
      </c>
      <c r="F81" s="11">
        <f ca="1">finPNLReg1Prod4COGSExp</f>
        <v>2855397899.7046804</v>
      </c>
      <c r="G81" s="11">
        <f ca="1">finPNLReg1Prod4COGSExp</f>
        <v>2855397899.7046804</v>
      </c>
      <c r="H81" s="11">
        <f ca="1">finPNLReg1Prod4COGSExp</f>
        <v>2855397899.7046804</v>
      </c>
      <c r="I81" s="11">
        <f ca="1">finPNLReg1Prod4COGSExp</f>
        <v>2855397899.7046804</v>
      </c>
    </row>
    <row r="82" spans="2:9">
      <c r="D82" t="s">
        <v>173</v>
      </c>
      <c r="E82" s="11">
        <f ca="1">finPNLReg1Prod4SGAExp</f>
        <v>1235622307.1178322</v>
      </c>
      <c r="F82" s="11">
        <f ca="1">finPNLReg1Prod4SGAExp</f>
        <v>1235622307.1178322</v>
      </c>
      <c r="G82" s="11">
        <f ca="1">finPNLReg1Prod4SGAExp</f>
        <v>1235622307.1178322</v>
      </c>
      <c r="H82" s="11">
        <f ca="1">finPNLReg1Prod4SGAExp</f>
        <v>1235622307.1178322</v>
      </c>
      <c r="I82" s="11">
        <f ca="1">finPNLReg1Prod4SGAExp</f>
        <v>1235622307.1178322</v>
      </c>
    </row>
    <row r="83" spans="2:9">
      <c r="D83" t="s">
        <v>172</v>
      </c>
      <c r="E83" s="11"/>
      <c r="F83" s="11"/>
      <c r="G83" s="11"/>
      <c r="H83" s="11"/>
      <c r="I83" s="11"/>
    </row>
    <row r="84" spans="2:9">
      <c r="D84" t="s">
        <v>1906</v>
      </c>
      <c r="E84" s="11">
        <f ca="1">finPNLReg1Prod4OtherOpExp</f>
        <v>42288449.139453106</v>
      </c>
      <c r="F84" s="11">
        <f ca="1">finPNLReg1Prod4OtherOpExp</f>
        <v>42288449.139453106</v>
      </c>
      <c r="G84" s="11">
        <f ca="1">finPNLReg1Prod4OtherOpExp</f>
        <v>42288449.139453106</v>
      </c>
      <c r="H84" s="11">
        <f ca="1">finPNLReg1Prod4OtherOpExp</f>
        <v>42288449.139453106</v>
      </c>
      <c r="I84" s="11">
        <f ca="1">finPNLReg1Prod4OtherOpExp</f>
        <v>42288449.139453106</v>
      </c>
    </row>
    <row r="85" spans="2:9">
      <c r="D85" t="s">
        <v>3763</v>
      </c>
      <c r="E85" s="11">
        <f ca="1">(finPNLReg1Prod4NetRev)-SUM(E81:E84)</f>
        <v>1877941344.0380344</v>
      </c>
      <c r="F85" s="11">
        <f ca="1">(finPNLReg1Prod4NetRev)-SUM(F81:F84)</f>
        <v>1877941344.0380344</v>
      </c>
      <c r="G85" s="11">
        <f ca="1">(finPNLReg1Prod4NetRev)-SUM(G81:G84)</f>
        <v>1877941344.0380344</v>
      </c>
      <c r="H85" s="11">
        <f ca="1">(finPNLReg1Prod4NetRev)-SUM(H81:H84)</f>
        <v>1877941344.0380344</v>
      </c>
      <c r="I85" s="11">
        <f ca="1">(finPNLReg1Prod4NetRev)-SUM(I81:I84)</f>
        <v>1877941344.0380344</v>
      </c>
    </row>
    <row r="86" spans="2:9">
      <c r="D86" t="s">
        <v>3063</v>
      </c>
      <c r="E86" s="435">
        <f ca="1">E85/(finPNLReg1Prod4NetRev)</f>
        <v>0.31240446563327667</v>
      </c>
      <c r="F86" s="435">
        <f ca="1">F85/(finPNLReg1Prod4NetRev)</f>
        <v>0.31240446563327667</v>
      </c>
      <c r="G86" s="435">
        <f ca="1">G85/(finPNLReg1Prod4NetRev)</f>
        <v>0.31240446563327667</v>
      </c>
      <c r="H86" s="435">
        <f ca="1">H85/(finPNLReg1Prod4NetRev)</f>
        <v>0.31240446563327667</v>
      </c>
      <c r="I86" s="435">
        <f ca="1">I85/(finPNLReg1Prod4NetRev)</f>
        <v>0.31240446563327667</v>
      </c>
    </row>
    <row r="87" spans="2:9">
      <c r="E87" s="435"/>
      <c r="F87" s="435"/>
      <c r="G87" s="435"/>
      <c r="H87" s="435"/>
      <c r="I87" s="435"/>
    </row>
    <row r="88" spans="2:9">
      <c r="E88" s="435"/>
      <c r="F88" s="435"/>
      <c r="G88" s="435"/>
      <c r="H88" s="435"/>
      <c r="I88" s="435"/>
    </row>
    <row r="89" spans="2:9">
      <c r="B89" s="2" t="str">
        <f>DataNameProd4&amp;" Forecast Vs. Actual - Vetera"</f>
        <v>F&amp;S Forecast Vs. Actual - Vetera</v>
      </c>
      <c r="E89" t="str">
        <f>decTeamName</f>
        <v>Vivia</v>
      </c>
      <c r="F89" t="str">
        <f>decTeamName</f>
        <v>Vivia</v>
      </c>
      <c r="G89" t="str">
        <f>decTeamName</f>
        <v>Vivia</v>
      </c>
      <c r="H89" t="str">
        <f>decTeamName</f>
        <v>Vivia</v>
      </c>
      <c r="I89" t="str">
        <f>decTeamName</f>
        <v>Vivia</v>
      </c>
    </row>
    <row r="90" spans="2:9">
      <c r="D90" s="3" t="s">
        <v>1457</v>
      </c>
      <c r="E90" s="713">
        <f>capProd4Reg1Units</f>
        <v>552534000</v>
      </c>
      <c r="F90" s="713">
        <f>capProd4Reg1Units</f>
        <v>552534000</v>
      </c>
      <c r="G90" s="713">
        <f>capProd4Reg1Units</f>
        <v>552534000</v>
      </c>
      <c r="H90" s="713">
        <f>capProd4Reg1Units</f>
        <v>552534000</v>
      </c>
      <c r="I90" s="713">
        <f>capProd4Reg1Units</f>
        <v>552534000</v>
      </c>
    </row>
    <row r="91" spans="2:9">
      <c r="D91" s="3" t="s">
        <v>1456</v>
      </c>
      <c r="E91" s="713">
        <f>mmProd4Reg1UnitsDemand</f>
        <v>541700000</v>
      </c>
      <c r="F91" s="713">
        <f>mmProd4Reg1UnitsDemand</f>
        <v>541700000</v>
      </c>
      <c r="G91" s="713">
        <f>mmProd4Reg1UnitsDemand</f>
        <v>541700000</v>
      </c>
      <c r="H91" s="713">
        <f>mmProd4Reg1UnitsDemand</f>
        <v>541700000</v>
      </c>
      <c r="I91" s="713">
        <f>mmProd4Reg1UnitsDemand</f>
        <v>541700000</v>
      </c>
    </row>
    <row r="92" spans="2:9">
      <c r="D92" s="3" t="s">
        <v>1455</v>
      </c>
      <c r="E92" s="460">
        <f>E90/E91</f>
        <v>1.02</v>
      </c>
      <c r="F92" s="460">
        <f>F90/F91</f>
        <v>1.02</v>
      </c>
      <c r="G92" s="460">
        <f>G90/G91</f>
        <v>1.02</v>
      </c>
      <c r="H92" s="460">
        <f>H90/H91</f>
        <v>1.02</v>
      </c>
      <c r="I92" s="460">
        <f>I90/I91</f>
        <v>1.02</v>
      </c>
    </row>
    <row r="93" spans="2:9">
      <c r="E93" s="435"/>
      <c r="F93" s="435"/>
      <c r="G93" s="435"/>
      <c r="H93" s="435"/>
      <c r="I93" s="435"/>
    </row>
    <row r="94" spans="2:9">
      <c r="B94" s="2" t="str">
        <f>DataNameProd3&amp;" Forecast Vs. Actual - Escendia"</f>
        <v>NCB Forecast Vs. Actual - Escendia</v>
      </c>
      <c r="E94" t="str">
        <f>decTeamName</f>
        <v>Vivia</v>
      </c>
      <c r="F94" t="str">
        <f>decTeamName</f>
        <v>Vivia</v>
      </c>
      <c r="G94" t="str">
        <f>decTeamName</f>
        <v>Vivia</v>
      </c>
      <c r="H94" t="str">
        <f>decTeamName</f>
        <v>Vivia</v>
      </c>
      <c r="I94" t="str">
        <f>decTeamName</f>
        <v>Vivia</v>
      </c>
    </row>
    <row r="95" spans="2:9">
      <c r="D95" s="3" t="s">
        <v>1453</v>
      </c>
      <c r="E95" s="713">
        <f>capProd3Reg2Units</f>
        <v>260876000</v>
      </c>
      <c r="F95" s="713">
        <f>capProd3Reg2Units</f>
        <v>260876000</v>
      </c>
      <c r="G95" s="713">
        <f>capProd3Reg2Units</f>
        <v>260876000</v>
      </c>
      <c r="H95" s="713">
        <f>capProd3Reg2Units</f>
        <v>260876000</v>
      </c>
      <c r="I95" s="713">
        <f>capProd3Reg2Units</f>
        <v>260876000</v>
      </c>
    </row>
    <row r="96" spans="2:9">
      <c r="D96" s="3" t="s">
        <v>1454</v>
      </c>
      <c r="E96" s="713">
        <f>mmProd3Reg2UnitsDemand</f>
        <v>245000000</v>
      </c>
      <c r="F96" s="713">
        <f>mmProd3Reg2UnitsDemand</f>
        <v>245000000</v>
      </c>
      <c r="G96" s="713">
        <f>mmProd3Reg2UnitsDemand</f>
        <v>245000000</v>
      </c>
      <c r="H96" s="713">
        <f>mmProd3Reg2UnitsDemand</f>
        <v>245000000</v>
      </c>
      <c r="I96" s="713">
        <f>mmProd3Reg2UnitsDemand</f>
        <v>245000000</v>
      </c>
    </row>
    <row r="97" spans="2:9">
      <c r="D97" s="3" t="s">
        <v>1455</v>
      </c>
      <c r="E97" s="460">
        <f>E95/E96</f>
        <v>1.0648</v>
      </c>
      <c r="F97" s="460">
        <f>F95/F96</f>
        <v>1.0648</v>
      </c>
      <c r="G97" s="460">
        <f>G95/G96</f>
        <v>1.0648</v>
      </c>
      <c r="H97" s="460">
        <f>H95/H96</f>
        <v>1.0648</v>
      </c>
      <c r="I97" s="460">
        <f>I95/I96</f>
        <v>1.0648</v>
      </c>
    </row>
    <row r="98" spans="2:9">
      <c r="E98" s="435"/>
      <c r="F98" s="435"/>
      <c r="G98" s="435"/>
      <c r="H98" s="435"/>
      <c r="I98" s="435"/>
    </row>
    <row r="99" spans="2:9">
      <c r="B99" s="2" t="s">
        <v>292</v>
      </c>
      <c r="E99" t="str">
        <f>decTeamName</f>
        <v>Vivia</v>
      </c>
      <c r="F99" t="str">
        <f>decTeamName</f>
        <v>Vivia</v>
      </c>
      <c r="G99" t="str">
        <f>decTeamName</f>
        <v>Vivia</v>
      </c>
      <c r="H99" t="str">
        <f>decTeamName</f>
        <v>Vivia</v>
      </c>
      <c r="I99" t="str">
        <f>decTeamName</f>
        <v>Vivia</v>
      </c>
    </row>
    <row r="100" spans="2:9">
      <c r="E100" s="714">
        <f ca="1">(finPNLCOGSExp+finPNLSGAExp+finPNLRandDExp+finPNLOtherOpExp)/(capReg1Prod1UnitsSold+capReg1Prod3UnitsSold+capReg1Prod4UnitsSold+capReg2Prod1UnitsSold+capReg2Prod3UnitsSold+capReg2Prod4UnitsSold)</f>
        <v>7.0320193146542236</v>
      </c>
      <c r="F100" s="714">
        <f ca="1">(finPNLCOGSExp+finPNLSGAExp+finPNLRandDExp+finPNLOtherOpExp)/(capReg1Prod1UnitsSold+capReg1Prod3UnitsSold+capReg1Prod4UnitsSold+capReg2Prod1UnitsSold+capReg2Prod3UnitsSold+capReg2Prod4UnitsSold)</f>
        <v>7.0320193146542236</v>
      </c>
      <c r="G100" s="714">
        <f ca="1">(finPNLCOGSExp+finPNLSGAExp+finPNLRandDExp+finPNLOtherOpExp)/(capReg1Prod1UnitsSold+capReg1Prod3UnitsSold+capReg1Prod4UnitsSold+capReg2Prod1UnitsSold+capReg2Prod3UnitsSold+capReg2Prod4UnitsSold)</f>
        <v>7.0320193146542236</v>
      </c>
      <c r="H100" s="714">
        <f ca="1">(finPNLCOGSExp+finPNLSGAExp+finPNLRandDExp+finPNLOtherOpExp)/(capReg1Prod1UnitsSold+capReg1Prod3UnitsSold+capReg1Prod4UnitsSold+capReg2Prod1UnitsSold+capReg2Prod3UnitsSold+capReg2Prod4UnitsSold)</f>
        <v>7.0320193146542236</v>
      </c>
      <c r="I100" s="714">
        <f ca="1">(finPNLCOGSExp+finPNLSGAExp+finPNLRandDExp+finPNLOtherOpExp)/(capReg1Prod1UnitsSold+capReg1Prod3UnitsSold+capReg1Prod4UnitsSold+capReg2Prod1UnitsSold+capReg2Prod3UnitsSold+capReg2Prod4UnitsSold)</f>
        <v>7.0320193146542236</v>
      </c>
    </row>
    <row r="101" spans="2:9">
      <c r="E101" s="714"/>
      <c r="F101" s="714"/>
      <c r="G101" s="714"/>
      <c r="H101" s="714"/>
      <c r="I101" s="714"/>
    </row>
    <row r="102" spans="2:9">
      <c r="E102" s="714"/>
      <c r="F102" s="714"/>
      <c r="G102" s="714"/>
      <c r="H102" s="714"/>
      <c r="I102" s="714"/>
    </row>
    <row r="103" spans="2:9">
      <c r="B103" s="2" t="s">
        <v>3150</v>
      </c>
      <c r="E103" t="str">
        <f>decTeamName</f>
        <v>Vivia</v>
      </c>
      <c r="F103" t="str">
        <f>decTeamName</f>
        <v>Vivia</v>
      </c>
      <c r="G103" t="str">
        <f>decTeamName</f>
        <v>Vivia</v>
      </c>
      <c r="H103" t="str">
        <f>decTeamName</f>
        <v>Vivia</v>
      </c>
      <c r="I103" t="str">
        <f>decTeamName</f>
        <v>Vivia</v>
      </c>
    </row>
    <row r="104" spans="2:9">
      <c r="D104" t="str">
        <f>DataNameProd1</f>
        <v>CSD</v>
      </c>
      <c r="E104" s="714">
        <f ca="1">finPNLReg1Prod1SGAExp+finPNLReg2Prod1SGAExp</f>
        <v>2136053962.9181204</v>
      </c>
      <c r="F104" s="714">
        <f ca="1">finPNLReg1Prod1SGAExp+finPNLReg2Prod1SGAExp</f>
        <v>2136053962.9181204</v>
      </c>
      <c r="G104" s="714">
        <f ca="1">finPNLReg1Prod1SGAExp+finPNLReg2Prod1SGAExp</f>
        <v>2136053962.9181204</v>
      </c>
      <c r="H104" s="714">
        <f ca="1">finPNLReg1Prod1SGAExp+finPNLReg2Prod1SGAExp</f>
        <v>2136053962.9181204</v>
      </c>
      <c r="I104" s="714">
        <f ca="1">finPNLReg1Prod1SGAExp+finPNLReg2Prod1SGAExp</f>
        <v>2136053962.9181204</v>
      </c>
    </row>
    <row r="105" spans="2:9">
      <c r="D105" t="str">
        <f>DataNameProd3</f>
        <v>NCB</v>
      </c>
      <c r="E105" s="714">
        <f ca="1">finPNLReg1Prod3SGAExp+finPNLReg2Prod3SGAExp</f>
        <v>1718563197.5950398</v>
      </c>
      <c r="F105" s="714">
        <f ca="1">finPNLReg1Prod3SGAExp+finPNLReg2Prod3SGAExp</f>
        <v>1718563197.5950398</v>
      </c>
      <c r="G105" s="714">
        <f ca="1">finPNLReg1Prod3SGAExp+finPNLReg2Prod3SGAExp</f>
        <v>1718563197.5950398</v>
      </c>
      <c r="H105" s="714">
        <f ca="1">finPNLReg1Prod3SGAExp+finPNLReg2Prod3SGAExp</f>
        <v>1718563197.5950398</v>
      </c>
      <c r="I105" s="714">
        <f ca="1">finPNLReg1Prod3SGAExp+finPNLReg2Prod3SGAExp</f>
        <v>1718563197.5950398</v>
      </c>
    </row>
    <row r="106" spans="2:9">
      <c r="D106" t="str">
        <f>DataNameProd4</f>
        <v>F&amp;S</v>
      </c>
      <c r="E106" s="714">
        <f ca="1">finPNLReg1Prod4SGAExp+finPNLReg2Prod4SGAExp</f>
        <v>1696019478.6191177</v>
      </c>
      <c r="F106" s="714">
        <f ca="1">finPNLReg1Prod4SGAExp+finPNLReg2Prod4SGAExp</f>
        <v>1696019478.6191177</v>
      </c>
      <c r="G106" s="714">
        <f ca="1">finPNLReg1Prod4SGAExp+finPNLReg2Prod4SGAExp</f>
        <v>1696019478.6191177</v>
      </c>
      <c r="H106" s="714">
        <f ca="1">finPNLReg1Prod4SGAExp+finPNLReg2Prod4SGAExp</f>
        <v>1696019478.6191177</v>
      </c>
      <c r="I106" s="714">
        <f ca="1">finPNLReg1Prod4SGAExp+finPNLReg2Prod4SGAExp</f>
        <v>1696019478.6191177</v>
      </c>
    </row>
    <row r="107" spans="2:9">
      <c r="D107" t="s">
        <v>3065</v>
      </c>
      <c r="E107" s="435">
        <f ca="1">SUM(E104:E106)/finPNLNetRev</f>
        <v>0.24536319900217679</v>
      </c>
      <c r="F107" s="435">
        <f ca="1">SUM(F104:F106)/finPNLNetRev</f>
        <v>0.24536319900217679</v>
      </c>
      <c r="G107" s="435">
        <f ca="1">SUM(G104:G106)/finPNLNetRev</f>
        <v>0.24536319900217679</v>
      </c>
      <c r="H107" s="435">
        <f ca="1">SUM(H104:H106)/finPNLNetRev</f>
        <v>0.24536319900217679</v>
      </c>
      <c r="I107" s="435">
        <f ca="1">SUM(I104:I106)/finPNLNetRev</f>
        <v>0.24536319900217679</v>
      </c>
    </row>
    <row r="108" spans="2:9">
      <c r="E108" s="714"/>
      <c r="F108" s="714"/>
      <c r="G108" s="714"/>
      <c r="H108" s="714"/>
      <c r="I108" s="714"/>
    </row>
    <row r="109" spans="2:9">
      <c r="B109" s="2" t="s">
        <v>1776</v>
      </c>
      <c r="E109" t="str">
        <f>decTeamName</f>
        <v>Vivia</v>
      </c>
      <c r="F109" t="str">
        <f>decTeamName</f>
        <v>Vivia</v>
      </c>
      <c r="G109" t="str">
        <f>decTeamName</f>
        <v>Vivia</v>
      </c>
      <c r="H109" t="str">
        <f>decTeamName</f>
        <v>Vivia</v>
      </c>
      <c r="I109" t="str">
        <f>decTeamName</f>
        <v>Vivia</v>
      </c>
    </row>
    <row r="110" spans="2:9">
      <c r="D110" t="s">
        <v>3640</v>
      </c>
      <c r="E110" s="11">
        <f ca="1">finPNLReg2COGSExp</f>
        <v>3185380126.7315865</v>
      </c>
      <c r="F110" s="11">
        <f ca="1">finPNLReg2COGSExp</f>
        <v>3185380126.7315865</v>
      </c>
      <c r="G110" s="11">
        <f ca="1">finPNLReg2COGSExp</f>
        <v>3185380126.7315865</v>
      </c>
      <c r="H110" s="11">
        <f ca="1">finPNLReg2COGSExp</f>
        <v>3185380126.7315865</v>
      </c>
      <c r="I110" s="11">
        <f ca="1">finPNLReg2COGSExp</f>
        <v>3185380126.7315865</v>
      </c>
    </row>
    <row r="111" spans="2:9">
      <c r="D111" t="s">
        <v>173</v>
      </c>
      <c r="E111" s="11">
        <f ca="1">finPNLReg2SGAExp</f>
        <v>1618106490.8039083</v>
      </c>
      <c r="F111" s="11">
        <f ca="1">finPNLReg2SGAExp</f>
        <v>1618106490.8039083</v>
      </c>
      <c r="G111" s="11">
        <f ca="1">finPNLReg2SGAExp</f>
        <v>1618106490.8039083</v>
      </c>
      <c r="H111" s="11">
        <f ca="1">finPNLReg2SGAExp</f>
        <v>1618106490.8039083</v>
      </c>
      <c r="I111" s="11">
        <f ca="1">finPNLReg2SGAExp</f>
        <v>1618106490.8039083</v>
      </c>
    </row>
    <row r="112" spans="2:9">
      <c r="D112" t="s">
        <v>172</v>
      </c>
      <c r="E112" s="11"/>
      <c r="F112" s="11"/>
      <c r="G112" s="11"/>
      <c r="H112" s="11"/>
      <c r="I112" s="11"/>
    </row>
    <row r="113" spans="2:9">
      <c r="D113" t="s">
        <v>1906</v>
      </c>
      <c r="E113" s="11">
        <f ca="1">finPNLReg2OtherOpExp</f>
        <v>124205778.08419122</v>
      </c>
      <c r="F113" s="11">
        <f ca="1">finPNLReg2OtherOpExp</f>
        <v>124205778.08419122</v>
      </c>
      <c r="G113" s="11">
        <f ca="1">finPNLReg2OtherOpExp</f>
        <v>124205778.08419122</v>
      </c>
      <c r="H113" s="11">
        <f ca="1">finPNLReg2OtherOpExp</f>
        <v>124205778.08419122</v>
      </c>
      <c r="I113" s="11">
        <f ca="1">finPNLReg2OtherOpExp</f>
        <v>124205778.08419122</v>
      </c>
    </row>
    <row r="114" spans="2:9">
      <c r="D114" t="s">
        <v>3763</v>
      </c>
      <c r="E114" s="11">
        <f ca="1">(finPNLReg2NetRev)-SUM(E110:E113)</f>
        <v>1589907604.3803139</v>
      </c>
      <c r="F114" s="11">
        <f ca="1">(finPNLReg2NetRev)-SUM(F110:F113)</f>
        <v>1589907604.3803139</v>
      </c>
      <c r="G114" s="11">
        <f ca="1">(finPNLReg2NetRev)-SUM(G110:G113)</f>
        <v>1589907604.3803139</v>
      </c>
      <c r="H114" s="11">
        <f ca="1">(finPNLReg2NetRev)-SUM(H110:H113)</f>
        <v>1589907604.3803139</v>
      </c>
      <c r="I114" s="11">
        <f ca="1">(finPNLReg2NetRev)-SUM(I110:I113)</f>
        <v>1589907604.3803139</v>
      </c>
    </row>
    <row r="115" spans="2:9">
      <c r="D115" t="s">
        <v>3063</v>
      </c>
      <c r="E115" s="435">
        <f ca="1">E114/(finPNLReg2NetRev)</f>
        <v>0.24394065367317938</v>
      </c>
      <c r="F115" s="435">
        <f ca="1">F114/(finPNLReg2NetRev)</f>
        <v>0.24394065367317938</v>
      </c>
      <c r="G115" s="435">
        <f ca="1">G114/(finPNLReg2NetRev)</f>
        <v>0.24394065367317938</v>
      </c>
      <c r="H115" s="435">
        <f ca="1">H114/(finPNLReg2NetRev)</f>
        <v>0.24394065367317938</v>
      </c>
      <c r="I115" s="435">
        <f ca="1">I114/(finPNLReg2NetRev)</f>
        <v>0.24394065367317938</v>
      </c>
    </row>
    <row r="116" spans="2:9">
      <c r="E116" s="435"/>
      <c r="F116" s="435"/>
      <c r="G116" s="435"/>
      <c r="H116" s="435"/>
      <c r="I116" s="435"/>
    </row>
    <row r="117" spans="2:9">
      <c r="B117" s="2" t="s">
        <v>1308</v>
      </c>
      <c r="E117" t="str">
        <f>decTeamName</f>
        <v>Vivia</v>
      </c>
      <c r="F117" t="str">
        <f>decTeamName</f>
        <v>Vivia</v>
      </c>
      <c r="G117" t="str">
        <f>decTeamName</f>
        <v>Vivia</v>
      </c>
      <c r="H117" t="str">
        <f>decTeamName</f>
        <v>Vivia</v>
      </c>
      <c r="I117" t="str">
        <f>decTeamName</f>
        <v>Vivia</v>
      </c>
    </row>
    <row r="118" spans="2:9">
      <c r="D118" t="s">
        <v>3640</v>
      </c>
      <c r="E118" s="11">
        <f ca="1">finPNLReg1COGSExp</f>
        <v>8063530692.197279</v>
      </c>
      <c r="F118" s="11">
        <f ca="1">finPNLReg1COGSExp</f>
        <v>8063530692.197279</v>
      </c>
      <c r="G118" s="11">
        <f ca="1">finPNLReg1COGSExp</f>
        <v>8063530692.197279</v>
      </c>
      <c r="H118" s="11">
        <f ca="1">finPNLReg1COGSExp</f>
        <v>8063530692.197279</v>
      </c>
      <c r="I118" s="11">
        <f ca="1">finPNLReg1COGSExp</f>
        <v>8063530692.197279</v>
      </c>
    </row>
    <row r="119" spans="2:9">
      <c r="D119" t="s">
        <v>173</v>
      </c>
      <c r="E119" s="11">
        <f ca="1">finPNLReg1SGAExp</f>
        <v>3932530148.3283691</v>
      </c>
      <c r="F119" s="11">
        <f ca="1">finPNLReg1SGAExp</f>
        <v>3932530148.3283691</v>
      </c>
      <c r="G119" s="11">
        <f ca="1">finPNLReg1SGAExp</f>
        <v>3932530148.3283691</v>
      </c>
      <c r="H119" s="11">
        <f ca="1">finPNLReg1SGAExp</f>
        <v>3932530148.3283691</v>
      </c>
      <c r="I119" s="11">
        <f ca="1">finPNLReg1SGAExp</f>
        <v>3932530148.3283691</v>
      </c>
    </row>
    <row r="120" spans="2:9">
      <c r="D120" t="s">
        <v>172</v>
      </c>
      <c r="E120" s="11"/>
      <c r="F120" s="11"/>
      <c r="G120" s="11"/>
      <c r="H120" s="11"/>
      <c r="I120" s="11"/>
    </row>
    <row r="121" spans="2:9">
      <c r="D121" t="s">
        <v>1906</v>
      </c>
      <c r="E121" s="11">
        <f ca="1">finPNLReg1OtherOpExp</f>
        <v>241994633.71447194</v>
      </c>
      <c r="F121" s="11">
        <f ca="1">finPNLReg1OtherOpExp</f>
        <v>241994633.71447194</v>
      </c>
      <c r="G121" s="11">
        <f ca="1">finPNLReg1OtherOpExp</f>
        <v>241994633.71447194</v>
      </c>
      <c r="H121" s="11">
        <f ca="1">finPNLReg1OtherOpExp</f>
        <v>241994633.71447194</v>
      </c>
      <c r="I121" s="11">
        <f ca="1">finPNLReg1OtherOpExp</f>
        <v>241994633.71447194</v>
      </c>
    </row>
    <row r="122" spans="2:9">
      <c r="D122" t="s">
        <v>3763</v>
      </c>
      <c r="E122" s="11">
        <f ca="1">(finPNLReg1NetRev)-SUM(E118:E121)</f>
        <v>3866468225.2598801</v>
      </c>
      <c r="F122" s="11">
        <f ca="1">(finPNLReg1NetRev)-SUM(F118:F121)</f>
        <v>3866468225.2598801</v>
      </c>
      <c r="G122" s="11">
        <f ca="1">(finPNLReg1NetRev)-SUM(G118:G121)</f>
        <v>3866468225.2598801</v>
      </c>
      <c r="H122" s="11">
        <f ca="1">(finPNLReg1NetRev)-SUM(H118:H121)</f>
        <v>3866468225.2598801</v>
      </c>
      <c r="I122" s="11">
        <f ca="1">(finPNLReg1NetRev)-SUM(I118:I121)</f>
        <v>3866468225.2598801</v>
      </c>
    </row>
    <row r="123" spans="2:9">
      <c r="D123" t="s">
        <v>3063</v>
      </c>
      <c r="E123" s="435">
        <f ca="1">E122/(finPNLReg1NetRev)</f>
        <v>0.24008584776586239</v>
      </c>
      <c r="F123" s="435">
        <f ca="1">F122/(finPNLReg1NetRev)</f>
        <v>0.24008584776586239</v>
      </c>
      <c r="G123" s="435">
        <f ca="1">G122/(finPNLReg1NetRev)</f>
        <v>0.24008584776586239</v>
      </c>
      <c r="H123" s="435">
        <f ca="1">H122/(finPNLReg1NetRev)</f>
        <v>0.24008584776586239</v>
      </c>
      <c r="I123" s="435">
        <f ca="1">I122/(finPNLReg1NetRev)</f>
        <v>0.24008584776586239</v>
      </c>
    </row>
    <row r="124" spans="2:9">
      <c r="E124" s="435"/>
      <c r="F124" s="435"/>
      <c r="G124" s="435"/>
      <c r="H124" s="435"/>
      <c r="I124" s="435"/>
    </row>
    <row r="125" spans="2:9">
      <c r="B125" s="2" t="s">
        <v>1777</v>
      </c>
      <c r="E125" t="str">
        <f>decTeamName</f>
        <v>Vivia</v>
      </c>
      <c r="F125" t="str">
        <f>decTeamName</f>
        <v>Vivia</v>
      </c>
      <c r="G125" t="str">
        <f>decTeamName</f>
        <v>Vivia</v>
      </c>
      <c r="H125" t="str">
        <f>decTeamName</f>
        <v>Vivia</v>
      </c>
      <c r="I125" t="str">
        <f>decTeamName</f>
        <v>Vivia</v>
      </c>
    </row>
    <row r="126" spans="2:9">
      <c r="D126" t="s">
        <v>3640</v>
      </c>
      <c r="E126" s="11">
        <f ca="1">finPNLCOGSExp</f>
        <v>11248910818.928865</v>
      </c>
      <c r="F126" s="11">
        <f ca="1">finPNLCOGSExp</f>
        <v>11248910818.928865</v>
      </c>
      <c r="G126" s="11">
        <f ca="1">finPNLCOGSExp</f>
        <v>11248910818.928865</v>
      </c>
      <c r="H126" s="11">
        <f ca="1">finPNLCOGSExp</f>
        <v>11248910818.928865</v>
      </c>
      <c r="I126" s="11">
        <f ca="1">finPNLCOGSExp</f>
        <v>11248910818.928865</v>
      </c>
    </row>
    <row r="127" spans="2:9">
      <c r="D127" t="s">
        <v>173</v>
      </c>
      <c r="E127" s="11">
        <f ca="1">finPNLSGAExp</f>
        <v>5590474655.6612024</v>
      </c>
      <c r="F127" s="11">
        <f ca="1">finPNLSGAExp</f>
        <v>5590474655.6612024</v>
      </c>
      <c r="G127" s="11">
        <f ca="1">finPNLSGAExp</f>
        <v>5590474655.6612024</v>
      </c>
      <c r="H127" s="11">
        <f ca="1">finPNLSGAExp</f>
        <v>5590474655.6612024</v>
      </c>
      <c r="I127" s="11">
        <f ca="1">finPNLSGAExp</f>
        <v>5590474655.6612024</v>
      </c>
    </row>
    <row r="128" spans="2:9">
      <c r="D128" t="s">
        <v>172</v>
      </c>
      <c r="E128" s="11">
        <f>finPNLRandDExp</f>
        <v>142497326.78673378</v>
      </c>
      <c r="F128" s="11">
        <f>finPNLRandDExp</f>
        <v>142497326.78673378</v>
      </c>
      <c r="G128" s="11">
        <f>finPNLRandDExp</f>
        <v>142497326.78673378</v>
      </c>
      <c r="H128" s="11">
        <f>finPNLRandDExp</f>
        <v>142497326.78673378</v>
      </c>
      <c r="I128" s="11">
        <f>finPNLRandDExp</f>
        <v>142497326.78673378</v>
      </c>
    </row>
    <row r="129" spans="2:13">
      <c r="D129" t="s">
        <v>1906</v>
      </c>
      <c r="E129" s="11">
        <f ca="1">finPNLOtherOpExp</f>
        <v>366200411.79866314</v>
      </c>
      <c r="F129" s="11">
        <f ca="1">finPNLOtherOpExp</f>
        <v>366200411.79866314</v>
      </c>
      <c r="G129" s="11">
        <f ca="1">finPNLOtherOpExp</f>
        <v>366200411.79866314</v>
      </c>
      <c r="H129" s="11">
        <f ca="1">finPNLOtherOpExp</f>
        <v>366200411.79866314</v>
      </c>
      <c r="I129" s="11">
        <f ca="1">finPNLOtherOpExp</f>
        <v>366200411.79866314</v>
      </c>
    </row>
    <row r="130" spans="2:13">
      <c r="D130" t="s">
        <v>3763</v>
      </c>
      <c r="E130" s="11">
        <f ca="1">(finPNLNetRev)-SUM(E126:E129)</f>
        <v>5274040486.3245354</v>
      </c>
      <c r="F130" s="11">
        <f ca="1">(finPNLNetRev)-SUM(F126:F129)</f>
        <v>5274040486.3245354</v>
      </c>
      <c r="G130" s="11">
        <f ca="1">(finPNLNetRev)-SUM(G126:G129)</f>
        <v>5274040486.3245354</v>
      </c>
      <c r="H130" s="11">
        <f ca="1">(finPNLNetRev)-SUM(H126:H129)</f>
        <v>5274040486.3245354</v>
      </c>
      <c r="I130" s="11">
        <f ca="1">(finPNLNetRev)-SUM(I126:I129)</f>
        <v>5274040486.3245354</v>
      </c>
    </row>
    <row r="131" spans="2:13">
      <c r="D131" t="s">
        <v>3063</v>
      </c>
      <c r="E131" s="435">
        <f ca="1">E130/(finPNLNetRev)</f>
        <v>0.23313640029477442</v>
      </c>
      <c r="F131" s="435">
        <f ca="1">F130/(finPNLNetRev)</f>
        <v>0.23313640029477442</v>
      </c>
      <c r="G131" s="435">
        <f ca="1">G130/(finPNLNetRev)</f>
        <v>0.23313640029477442</v>
      </c>
      <c r="H131" s="435">
        <f ca="1">H130/(finPNLNetRev)</f>
        <v>0.23313640029477442</v>
      </c>
      <c r="I131" s="435">
        <f ca="1">I130/(finPNLNetRev)</f>
        <v>0.23313640029477442</v>
      </c>
    </row>
    <row r="132" spans="2:13">
      <c r="E132" s="435"/>
      <c r="F132" s="435"/>
      <c r="G132" s="435"/>
      <c r="H132" s="435"/>
      <c r="I132" s="435"/>
    </row>
    <row r="133" spans="2:13">
      <c r="B133" s="2" t="s">
        <v>82</v>
      </c>
      <c r="E133" t="str">
        <f>decTeamName</f>
        <v>Vivia</v>
      </c>
      <c r="F133" t="str">
        <f>decTeamName</f>
        <v>Vivia</v>
      </c>
      <c r="G133" t="str">
        <f>decTeamName</f>
        <v>Vivia</v>
      </c>
      <c r="H133" t="str">
        <f>decTeamName</f>
        <v>Vivia</v>
      </c>
      <c r="I133" t="str">
        <f>decTeamName</f>
        <v>Vivia</v>
      </c>
    </row>
    <row r="134" spans="2:13">
      <c r="C134">
        <v>294</v>
      </c>
      <c r="D134" t="str">
        <f>mmProd1!C254</f>
        <v>Price</v>
      </c>
      <c r="E134" s="435" t="e">
        <f>(mmProd1!E294-AVERAGE(mmProd1!$E294:$I294))/(MAX(mmProd1!$E294:$I294)-MIN(mmProd1!$E294:$I294))</f>
        <v>#DIV/0!</v>
      </c>
      <c r="F134" s="435" t="e">
        <f>(mmProd1!F294-AVERAGE(mmProd1!$E294:$I294))/(MAX(mmProd1!$E294:$I294)-MIN(mmProd1!$E294:$I294))</f>
        <v>#DIV/0!</v>
      </c>
      <c r="G134" s="435" t="e">
        <f>(mmProd1!G294-AVERAGE(mmProd1!$E294:$I294))/(MAX(mmProd1!$E294:$I294)-MIN(mmProd1!$E294:$I294))</f>
        <v>#DIV/0!</v>
      </c>
      <c r="H134" s="435" t="e">
        <f>(mmProd1!H294-AVERAGE(mmProd1!$E294:$I294))/(MAX(mmProd1!$E294:$I294)-MIN(mmProd1!$E294:$I294))</f>
        <v>#DIV/0!</v>
      </c>
      <c r="I134" s="435" t="e">
        <f>(mmProd1!I294-AVERAGE(mmProd1!$E294:$I294))/(MAX(mmProd1!$E294:$I294)-MIN(mmProd1!$E294:$I294))</f>
        <v>#DIV/0!</v>
      </c>
      <c r="K134" t="s">
        <v>2337</v>
      </c>
      <c r="L134">
        <v>7</v>
      </c>
      <c r="M134">
        <f t="shared" ref="M134:M139" si="0">RANK(L134,$L$134:$L$139)</f>
        <v>4</v>
      </c>
    </row>
    <row r="135" spans="2:13">
      <c r="C135">
        <v>300</v>
      </c>
      <c r="D135" t="str">
        <f>mmProd1!C260</f>
        <v>Innovation</v>
      </c>
      <c r="E135" s="435" t="e">
        <f>(mmProd1!E300-AVERAGE(mmProd1!$E300:$I300))/(MAX(mmProd1!$E300:$I300)-MIN(mmProd1!$E300:$I300))</f>
        <v>#DIV/0!</v>
      </c>
      <c r="F135" s="435" t="e">
        <f>(mmProd1!F300-AVERAGE(mmProd1!$E300:$I300))/(MAX(mmProd1!$E300:$I300)-MIN(mmProd1!$E300:$I300))</f>
        <v>#DIV/0!</v>
      </c>
      <c r="G135" s="435" t="e">
        <f>(mmProd1!G300-AVERAGE(mmProd1!$E300:$I300))/(MAX(mmProd1!$E300:$I300)-MIN(mmProd1!$E300:$I300))</f>
        <v>#DIV/0!</v>
      </c>
      <c r="H135" s="435" t="e">
        <f>(mmProd1!H300-AVERAGE(mmProd1!$E300:$I300))/(MAX(mmProd1!$E300:$I300)-MIN(mmProd1!$E300:$I300))</f>
        <v>#DIV/0!</v>
      </c>
      <c r="I135" s="435" t="e">
        <f>(mmProd1!I300-AVERAGE(mmProd1!$E300:$I300))/(MAX(mmProd1!$E300:$I300)-MIN(mmProd1!$E300:$I300))</f>
        <v>#DIV/0!</v>
      </c>
      <c r="K135" t="s">
        <v>1404</v>
      </c>
      <c r="L135">
        <v>9</v>
      </c>
      <c r="M135">
        <f t="shared" si="0"/>
        <v>3</v>
      </c>
    </row>
    <row r="136" spans="2:13">
      <c r="C136">
        <v>140</v>
      </c>
      <c r="D136" t="s">
        <v>1536</v>
      </c>
      <c r="E136" s="435" t="e">
        <f>(E140-AVERAGE($E140:$I140))/(MAX($E140:$I140)-MIN($E140:$I140))</f>
        <v>#DIV/0!</v>
      </c>
      <c r="F136" s="435" t="e">
        <f>(F140-AVERAGE($E140:$I140))/(MAX($E140:$I140)-MIN($E140:$I140))</f>
        <v>#DIV/0!</v>
      </c>
      <c r="G136" s="435" t="e">
        <f>(G140-AVERAGE($E140:$I140))/(MAX($E140:$I140)-MIN($E140:$I140))</f>
        <v>#DIV/0!</v>
      </c>
      <c r="H136" s="435" t="e">
        <f>(H140-AVERAGE($E140:$I140))/(MAX($E140:$I140)-MIN($E140:$I140))</f>
        <v>#DIV/0!</v>
      </c>
      <c r="I136" s="435" t="e">
        <f>(I140-AVERAGE($E140:$I140))/(MAX($E140:$I140)-MIN($E140:$I140))</f>
        <v>#DIV/0!</v>
      </c>
      <c r="K136" t="s">
        <v>175</v>
      </c>
      <c r="L136">
        <v>11</v>
      </c>
      <c r="M136">
        <f t="shared" si="0"/>
        <v>2</v>
      </c>
    </row>
    <row r="137" spans="2:13">
      <c r="C137">
        <v>295</v>
      </c>
      <c r="D137" t="str">
        <f>mmProd1!C255</f>
        <v>Range Of Products</v>
      </c>
      <c r="E137" s="435" t="e">
        <f>(mmProd1!E295-AVERAGE(mmProd1!$E295:$I295))/(MAX(mmProd1!$E295:$I295)-MIN(mmProd1!$E295:$I295))</f>
        <v>#DIV/0!</v>
      </c>
      <c r="F137" s="435" t="e">
        <f>(mmProd1!F295-AVERAGE(mmProd1!$E295:$I295))/(MAX(mmProd1!$E295:$I295)-MIN(mmProd1!$E295:$I295))</f>
        <v>#DIV/0!</v>
      </c>
      <c r="G137" s="435" t="e">
        <f>(mmProd1!G295-AVERAGE(mmProd1!$E295:$I295))/(MAX(mmProd1!$E295:$I295)-MIN(mmProd1!$E295:$I295))</f>
        <v>#DIV/0!</v>
      </c>
      <c r="H137" s="435" t="e">
        <f>(mmProd1!H295-AVERAGE(mmProd1!$E295:$I295))/(MAX(mmProd1!$E295:$I295)-MIN(mmProd1!$E295:$I295))</f>
        <v>#DIV/0!</v>
      </c>
      <c r="I137" s="435" t="e">
        <f>(mmProd1!I295-AVERAGE(mmProd1!$E295:$I295))/(MAX(mmProd1!$E295:$I295)-MIN(mmProd1!$E295:$I295))</f>
        <v>#DIV/0!</v>
      </c>
      <c r="K137" t="s">
        <v>2579</v>
      </c>
      <c r="L137">
        <v>6</v>
      </c>
      <c r="M137">
        <f t="shared" si="0"/>
        <v>5</v>
      </c>
    </row>
    <row r="138" spans="2:13">
      <c r="C138">
        <v>299</v>
      </c>
      <c r="D138" t="str">
        <f>mmProd1!C259</f>
        <v>Sales Force</v>
      </c>
      <c r="E138" s="435" t="e">
        <f>(mmProd1!E299-AVERAGE(mmProd1!$E299:$I299))/(MAX(mmProd1!$E299:$I299)-MIN(mmProd1!$E299:$I299))</f>
        <v>#DIV/0!</v>
      </c>
      <c r="F138" s="435" t="e">
        <f>(mmProd1!F299-AVERAGE(mmProd1!$E299:$I299))/(MAX(mmProd1!$E299:$I299)-MIN(mmProd1!$E299:$I299))</f>
        <v>#DIV/0!</v>
      </c>
      <c r="G138" s="435" t="e">
        <f>(mmProd1!G299-AVERAGE(mmProd1!$E299:$I299))/(MAX(mmProd1!$E299:$I299)-MIN(mmProd1!$E299:$I299))</f>
        <v>#DIV/0!</v>
      </c>
      <c r="H138" s="435" t="e">
        <f>(mmProd1!H299-AVERAGE(mmProd1!$E299:$I299))/(MAX(mmProd1!$E299:$I299)-MIN(mmProd1!$E299:$I299))</f>
        <v>#DIV/0!</v>
      </c>
      <c r="I138" s="435" t="e">
        <f>(mmProd1!I299-AVERAGE(mmProd1!$E299:$I299))/(MAX(mmProd1!$E299:$I299)-MIN(mmProd1!$E299:$I299))</f>
        <v>#DIV/0!</v>
      </c>
      <c r="K138" t="s">
        <v>1108</v>
      </c>
      <c r="L138">
        <v>14</v>
      </c>
      <c r="M138">
        <f t="shared" si="0"/>
        <v>1</v>
      </c>
    </row>
    <row r="139" spans="2:13">
      <c r="E139" s="15"/>
      <c r="F139" s="15"/>
      <c r="G139" s="15"/>
      <c r="H139" s="15"/>
      <c r="I139" s="15"/>
      <c r="K139" t="s">
        <v>1722</v>
      </c>
      <c r="L139">
        <v>0</v>
      </c>
      <c r="M139">
        <f t="shared" si="0"/>
        <v>6</v>
      </c>
    </row>
    <row r="140" spans="2:13">
      <c r="C140" t="s">
        <v>348</v>
      </c>
      <c r="D140" t="s">
        <v>1536</v>
      </c>
      <c r="E140" s="435">
        <f>SUM(mmProd1!E297:E298)</f>
        <v>0</v>
      </c>
      <c r="F140" s="435">
        <f>SUM(mmProd1!F297:F298)</f>
        <v>0</v>
      </c>
      <c r="G140" s="435">
        <f>SUM(mmProd1!G297:G298)</f>
        <v>0</v>
      </c>
      <c r="H140" s="435">
        <f>SUM(mmProd1!H297:H298)</f>
        <v>0</v>
      </c>
      <c r="I140" s="435">
        <f>SUM(mmProd1!I297:I298)</f>
        <v>0</v>
      </c>
    </row>
    <row r="141" spans="2:13">
      <c r="E141" s="435"/>
      <c r="F141" s="435"/>
      <c r="G141" s="435"/>
      <c r="H141" s="435"/>
      <c r="I141" s="435"/>
    </row>
    <row r="142" spans="2:13">
      <c r="E142" s="15"/>
      <c r="F142" s="15"/>
      <c r="G142" s="15"/>
      <c r="H142" s="15"/>
      <c r="I142" s="15"/>
    </row>
    <row r="143" spans="2:13">
      <c r="B143" s="2" t="s">
        <v>83</v>
      </c>
      <c r="E143" t="str">
        <f>decTeamName</f>
        <v>Vivia</v>
      </c>
      <c r="F143" t="str">
        <f>decTeamName</f>
        <v>Vivia</v>
      </c>
      <c r="G143" t="str">
        <f>decTeamName</f>
        <v>Vivia</v>
      </c>
      <c r="H143" t="str">
        <f>decTeamName</f>
        <v>Vivia</v>
      </c>
      <c r="I143" t="str">
        <f>decTeamName</f>
        <v>Vivia</v>
      </c>
    </row>
    <row r="144" spans="2:13">
      <c r="C144">
        <v>314</v>
      </c>
      <c r="D144" t="str">
        <f>mmProd1!C274</f>
        <v>Price</v>
      </c>
      <c r="E144" s="435" t="e">
        <f>(mmProd1!E314-AVERAGE(mmProd1!$E314:$I314))/(MAX(mmProd1!$E314:$I314)-MIN(mmProd1!$E314:$I314))</f>
        <v>#DIV/0!</v>
      </c>
      <c r="F144" s="435" t="e">
        <f>(mmProd1!F314-AVERAGE(mmProd1!$E314:$I314))/(MAX(mmProd1!$E314:$I314)-MIN(mmProd1!$E314:$I314))</f>
        <v>#DIV/0!</v>
      </c>
      <c r="G144" s="435" t="e">
        <f>(mmProd1!G314-AVERAGE(mmProd1!$E314:$I314))/(MAX(mmProd1!$E314:$I314)-MIN(mmProd1!$E314:$I314))</f>
        <v>#DIV/0!</v>
      </c>
      <c r="H144" s="435" t="e">
        <f>(mmProd1!H314-AVERAGE(mmProd1!$E314:$I314))/(MAX(mmProd1!$E314:$I314)-MIN(mmProd1!$E314:$I314))</f>
        <v>#DIV/0!</v>
      </c>
      <c r="I144" s="435" t="e">
        <f>(mmProd1!I314-AVERAGE(mmProd1!$E314:$I314))/(MAX(mmProd1!$E314:$I314)-MIN(mmProd1!$E314:$I314))</f>
        <v>#DIV/0!</v>
      </c>
    </row>
    <row r="145" spans="2:13">
      <c r="C145">
        <v>316</v>
      </c>
      <c r="D145" t="s">
        <v>2660</v>
      </c>
      <c r="E145" s="435" t="e">
        <f>(mmProd1!E321-AVERAGE(mmProd1!$E321:$I321))/(MAX(mmProd1!$E321:$I321)-MIN(mmProd1!$E321:$I321))</f>
        <v>#DIV/0!</v>
      </c>
      <c r="F145" s="435" t="e">
        <f>(mmProd1!F321-AVERAGE(mmProd1!$E321:$I321))/(MAX(mmProd1!$E321:$I321)-MIN(mmProd1!$E321:$I321))</f>
        <v>#DIV/0!</v>
      </c>
      <c r="G145" s="435" t="e">
        <f>(mmProd1!G321-AVERAGE(mmProd1!$E321:$I321))/(MAX(mmProd1!$E321:$I321)-MIN(mmProd1!$E321:$I321))</f>
        <v>#DIV/0!</v>
      </c>
      <c r="H145" s="435" t="e">
        <f>(mmProd1!H321-AVERAGE(mmProd1!$E321:$I321))/(MAX(mmProd1!$E321:$I321)-MIN(mmProd1!$E321:$I321))</f>
        <v>#DIV/0!</v>
      </c>
      <c r="I145" s="435" t="e">
        <f>(mmProd1!I321-AVERAGE(mmProd1!$E321:$I321))/(MAX(mmProd1!$E321:$I321)-MIN(mmProd1!$E321:$I321))</f>
        <v>#DIV/0!</v>
      </c>
    </row>
    <row r="146" spans="2:13">
      <c r="C146">
        <v>320</v>
      </c>
      <c r="D146" t="s">
        <v>1108</v>
      </c>
      <c r="E146" s="435" t="e">
        <f>(mmProd1!E320-AVERAGE(mmProd1!$E320:$I320))/(MAX(mmProd1!$E320:$I320)-MIN(mmProd1!$E320:$I320))</f>
        <v>#DIV/0!</v>
      </c>
      <c r="F146" s="435" t="e">
        <f>(mmProd1!F320-AVERAGE(mmProd1!$E320:$I320))/(MAX(mmProd1!$E320:$I320)-MIN(mmProd1!$E320:$I320))</f>
        <v>#DIV/0!</v>
      </c>
      <c r="G146" s="435" t="e">
        <f>(mmProd1!G320-AVERAGE(mmProd1!$E320:$I320))/(MAX(mmProd1!$E320:$I320)-MIN(mmProd1!$E320:$I320))</f>
        <v>#DIV/0!</v>
      </c>
      <c r="H146" s="435" t="e">
        <f>(mmProd1!H320-AVERAGE(mmProd1!$E320:$I320))/(MAX(mmProd1!$E320:$I320)-MIN(mmProd1!$E320:$I320))</f>
        <v>#DIV/0!</v>
      </c>
      <c r="I146" s="435" t="e">
        <f>(mmProd1!I320-AVERAGE(mmProd1!$E320:$I320))/(MAX(mmProd1!$E320:$I320)-MIN(mmProd1!$E320:$I320))</f>
        <v>#DIV/0!</v>
      </c>
    </row>
    <row r="147" spans="2:13">
      <c r="C147">
        <v>318</v>
      </c>
      <c r="D147" t="s">
        <v>1536</v>
      </c>
      <c r="E147" s="435" t="e">
        <f>($E151-AVERAGE($E151:$I151))/(MAX($E151:$I151)-MIN($E151:$I151))</f>
        <v>#DIV/0!</v>
      </c>
      <c r="F147" s="435" t="e">
        <f>($E151-AVERAGE($E151:$I151))/(MAX($E151:$I151)-MIN($E151:$I151))</f>
        <v>#DIV/0!</v>
      </c>
      <c r="G147" s="435" t="e">
        <f>($E151-AVERAGE($E151:$I151))/(MAX($E151:$I151)-MIN($E151:$I151))</f>
        <v>#DIV/0!</v>
      </c>
      <c r="H147" s="435" t="e">
        <f>($E151-AVERAGE($E151:$I151))/(MAX($E151:$I151)-MIN($E151:$I151))</f>
        <v>#DIV/0!</v>
      </c>
      <c r="I147" s="435" t="e">
        <f>($E151-AVERAGE($E151:$I151))/(MAX($E151:$I151)-MIN($E151:$I151))</f>
        <v>#DIV/0!</v>
      </c>
    </row>
    <row r="148" spans="2:13">
      <c r="C148">
        <v>315</v>
      </c>
      <c r="D148" t="s">
        <v>3047</v>
      </c>
      <c r="E148" s="435" t="e">
        <f>(mmProd1!E315-AVERAGE(mmProd1!$E315:$I315))/(MAX(mmProd1!$E315:$I315)-MIN(mmProd1!$E315:$I315))</f>
        <v>#DIV/0!</v>
      </c>
      <c r="F148" s="435" t="e">
        <f>(mmProd1!F315-AVERAGE(mmProd1!$E315:$I315))/(MAX(mmProd1!$E315:$I315)-MIN(mmProd1!$E315:$I315))</f>
        <v>#DIV/0!</v>
      </c>
      <c r="G148" s="435" t="e">
        <f>(mmProd1!G315-AVERAGE(mmProd1!$E315:$I315))/(MAX(mmProd1!$E315:$I315)-MIN(mmProd1!$E315:$I315))</f>
        <v>#DIV/0!</v>
      </c>
      <c r="H148" s="435" t="e">
        <f>(mmProd1!H315-AVERAGE(mmProd1!$E315:$I315))/(MAX(mmProd1!$E315:$I315)-MIN(mmProd1!$E315:$I315))</f>
        <v>#DIV/0!</v>
      </c>
      <c r="I148" s="435" t="e">
        <f>(mmProd1!I315-AVERAGE(mmProd1!$E315:$I315))/(MAX(mmProd1!$E315:$I315)-MIN(mmProd1!$E315:$I315))</f>
        <v>#DIV/0!</v>
      </c>
    </row>
    <row r="149" spans="2:13">
      <c r="C149">
        <v>319</v>
      </c>
      <c r="D149" t="str">
        <f>mmProd1!C279</f>
        <v>Sales Force</v>
      </c>
      <c r="E149" s="435" t="e">
        <f>(mmProd1!E319-AVERAGE(mmProd1!$E319:$I319))/(MAX(mmProd1!$E319:$I319)-MIN(mmProd1!$E319:$I319))</f>
        <v>#DIV/0!</v>
      </c>
      <c r="F149" s="435" t="e">
        <f>(mmProd1!F319-AVERAGE(mmProd1!$E319:$I319))/(MAX(mmProd1!$E319:$I319)-MIN(mmProd1!$E319:$I319))</f>
        <v>#DIV/0!</v>
      </c>
      <c r="G149" s="435" t="e">
        <f>(mmProd1!G319-AVERAGE(mmProd1!$E319:$I319))/(MAX(mmProd1!$E319:$I319)-MIN(mmProd1!$E319:$I319))</f>
        <v>#DIV/0!</v>
      </c>
      <c r="H149" s="435" t="e">
        <f>(mmProd1!H319-AVERAGE(mmProd1!$E319:$I319))/(MAX(mmProd1!$E319:$I319)-MIN(mmProd1!$E319:$I319))</f>
        <v>#DIV/0!</v>
      </c>
      <c r="I149" s="435" t="e">
        <f>(mmProd1!I319-AVERAGE(mmProd1!$E319:$I319))/(MAX(mmProd1!$E319:$I319)-MIN(mmProd1!$E319:$I319))</f>
        <v>#DIV/0!</v>
      </c>
    </row>
    <row r="150" spans="2:13">
      <c r="E150" s="435"/>
      <c r="F150" s="435"/>
      <c r="G150" s="435"/>
      <c r="H150" s="435"/>
      <c r="I150" s="435"/>
    </row>
    <row r="151" spans="2:13">
      <c r="C151" s="4" t="s">
        <v>2661</v>
      </c>
      <c r="D151" t="s">
        <v>1536</v>
      </c>
      <c r="E151" s="15">
        <f>SUM(mmProd1!E317:E318)</f>
        <v>0</v>
      </c>
      <c r="F151" s="15">
        <f>SUM(mmProd1!F317:F318)</f>
        <v>0</v>
      </c>
      <c r="G151" s="15">
        <f>SUM(mmProd1!G317:G318)</f>
        <v>0</v>
      </c>
      <c r="H151" s="15">
        <f>SUM(mmProd1!H317:H318)</f>
        <v>0</v>
      </c>
      <c r="I151" s="15">
        <f>SUM(mmProd1!I317:I318)</f>
        <v>0</v>
      </c>
    </row>
    <row r="152" spans="2:13">
      <c r="E152" s="15"/>
      <c r="F152" s="15"/>
      <c r="G152" s="15"/>
      <c r="H152" s="15"/>
      <c r="I152" s="15"/>
    </row>
    <row r="153" spans="2:13">
      <c r="E153" s="608"/>
      <c r="F153" s="608"/>
      <c r="G153" s="608"/>
      <c r="H153" s="608"/>
      <c r="I153" s="608"/>
    </row>
    <row r="154" spans="2:13">
      <c r="B154" s="2" t="s">
        <v>84</v>
      </c>
      <c r="E154" s="1305" t="str">
        <f>decTeamName</f>
        <v>Vivia</v>
      </c>
      <c r="F154" s="1305" t="str">
        <f>decTeamName</f>
        <v>Vivia</v>
      </c>
      <c r="G154" s="1305" t="str">
        <f>decTeamName</f>
        <v>Vivia</v>
      </c>
      <c r="H154" s="1305" t="str">
        <f>decTeamName</f>
        <v>Vivia</v>
      </c>
      <c r="I154" s="1305" t="str">
        <f>decTeamName</f>
        <v>Vivia</v>
      </c>
    </row>
    <row r="155" spans="2:13">
      <c r="C155">
        <v>292</v>
      </c>
      <c r="D155" t="str">
        <f>mmProd3!C251</f>
        <v>Price</v>
      </c>
      <c r="E155" s="435" t="e">
        <f>(mmProd3!E292-AVERAGE(mmProd3!$E292:$I292))/(MAX(mmProd3!$E292:$I292)-MIN(mmProd3!$E292:$I292))</f>
        <v>#DIV/0!</v>
      </c>
      <c r="F155" s="435" t="e">
        <f>(mmProd3!F292-AVERAGE(mmProd3!$E292:$I292))/(MAX(mmProd3!$E292:$I292)-MIN(mmProd3!$E292:$I292))</f>
        <v>#DIV/0!</v>
      </c>
      <c r="G155" s="435" t="e">
        <f>(mmProd3!G292-AVERAGE(mmProd3!$E292:$I292))/(MAX(mmProd3!$E292:$I292)-MIN(mmProd3!$E292:$I292))</f>
        <v>#DIV/0!</v>
      </c>
      <c r="H155" s="435" t="e">
        <f>(mmProd3!H292-AVERAGE(mmProd3!$E292:$I292))/(MAX(mmProd3!$E292:$I292)-MIN(mmProd3!$E292:$I292))</f>
        <v>#DIV/0!</v>
      </c>
      <c r="I155" s="435" t="e">
        <f>(mmProd3!I292-AVERAGE(mmProd3!$E292:$I292))/(MAX(mmProd3!$E292:$I292)-MIN(mmProd3!$E292:$I292))</f>
        <v>#DIV/0!</v>
      </c>
      <c r="K155" t="s">
        <v>1402</v>
      </c>
      <c r="L155">
        <v>30</v>
      </c>
      <c r="M155">
        <f>RANK(L155,$L$155:$L$162)</f>
        <v>1</v>
      </c>
    </row>
    <row r="156" spans="2:13">
      <c r="C156">
        <v>298</v>
      </c>
      <c r="D156" t="str">
        <f>mmProd3!C257</f>
        <v>Innovation</v>
      </c>
      <c r="E156" s="435" t="e">
        <f>(mmProd3!E298-AVERAGE(mmProd3!$E298:$I298))/(MAX(mmProd3!$E298:$I298)-MIN(mmProd3!$E298:$I298))</f>
        <v>#DIV/0!</v>
      </c>
      <c r="F156" s="435" t="e">
        <f>(mmProd3!F298-AVERAGE(mmProd3!$E298:$I298))/(MAX(mmProd3!$E298:$I298)-MIN(mmProd3!$E298:$I298))</f>
        <v>#DIV/0!</v>
      </c>
      <c r="G156" s="435" t="e">
        <f>(mmProd3!G298-AVERAGE(mmProd3!$E298:$I298))/(MAX(mmProd3!$E298:$I298)-MIN(mmProd3!$E298:$I298))</f>
        <v>#DIV/0!</v>
      </c>
      <c r="H156" s="435" t="e">
        <f>(mmProd3!H298-AVERAGE(mmProd3!$E298:$I298))/(MAX(mmProd3!$E298:$I298)-MIN(mmProd3!$E298:$I298))</f>
        <v>#DIV/0!</v>
      </c>
      <c r="I156" s="435" t="e">
        <f>(mmProd3!I298-AVERAGE(mmProd3!$E298:$I298))/(MAX(mmProd3!$E298:$I298)-MIN(mmProd3!$E298:$I298))</f>
        <v>#DIV/0!</v>
      </c>
      <c r="K156" t="s">
        <v>175</v>
      </c>
      <c r="L156">
        <v>9</v>
      </c>
      <c r="M156">
        <f>RANK(L156,$L$155:$L$162)</f>
        <v>5</v>
      </c>
    </row>
    <row r="157" spans="2:13">
      <c r="C157">
        <v>295</v>
      </c>
      <c r="D157" t="s">
        <v>1536</v>
      </c>
      <c r="E157" s="435" t="e">
        <f>(E161-AVERAGE($E161:$I161))/(MAX($E161:$I161)-MIN($E161:$I161))</f>
        <v>#DIV/0!</v>
      </c>
      <c r="F157" s="435" t="e">
        <f>(F161-AVERAGE($E161:$I161))/(MAX($E161:$I161)-MIN($E161:$I161))</f>
        <v>#DIV/0!</v>
      </c>
      <c r="G157" s="435" t="e">
        <f>(G161-AVERAGE($E161:$I161))/(MAX($E161:$I161)-MIN($E161:$I161))</f>
        <v>#DIV/0!</v>
      </c>
      <c r="H157" s="435" t="e">
        <f>(H161-AVERAGE($E161:$I161))/(MAX($E161:$I161)-MIN($E161:$I161))</f>
        <v>#DIV/0!</v>
      </c>
      <c r="I157" s="435" t="e">
        <f>(I161-AVERAGE($E161:$I161))/(MAX($E161:$I161)-MIN($E161:$I161))</f>
        <v>#DIV/0!</v>
      </c>
      <c r="K157" t="s">
        <v>2745</v>
      </c>
      <c r="L157">
        <v>10</v>
      </c>
      <c r="M157">
        <f>RANK(L157,$L$155:$L$162)</f>
        <v>4</v>
      </c>
    </row>
    <row r="158" spans="2:13">
      <c r="C158">
        <v>293</v>
      </c>
      <c r="D158" t="str">
        <f>mmProd3!C252</f>
        <v>Range Of Products</v>
      </c>
      <c r="E158" s="435" t="e">
        <f>(mmProd3!E293-AVERAGE(mmProd3!$E293:$I293))/(MAX(mmProd3!$E293:$I293)-MIN(mmProd3!$E293:$I293))</f>
        <v>#DIV/0!</v>
      </c>
      <c r="F158" s="435" t="e">
        <f>(mmProd3!F293-AVERAGE(mmProd3!$E293:$I293))/(MAX(mmProd3!$E293:$I293)-MIN(mmProd3!$E293:$I293))</f>
        <v>#DIV/0!</v>
      </c>
      <c r="G158" s="435" t="e">
        <f>(mmProd3!G293-AVERAGE(mmProd3!$E293:$I293))/(MAX(mmProd3!$E293:$I293)-MIN(mmProd3!$E293:$I293))</f>
        <v>#DIV/0!</v>
      </c>
      <c r="H158" s="435" t="e">
        <f>(mmProd3!H293-AVERAGE(mmProd3!$E293:$I293))/(MAX(mmProd3!$E293:$I293)-MIN(mmProd3!$E293:$I293))</f>
        <v>#DIV/0!</v>
      </c>
      <c r="I158" s="435" t="e">
        <f>(mmProd3!I293-AVERAGE(mmProd3!$E293:$I293))/(MAX(mmProd3!$E293:$I293)-MIN(mmProd3!$E293:$I293))</f>
        <v>#DIV/0!</v>
      </c>
      <c r="K158" t="s">
        <v>1404</v>
      </c>
      <c r="L158">
        <v>19</v>
      </c>
      <c r="M158">
        <f>RANK(L158,$L$155:$L$162)</f>
        <v>2</v>
      </c>
    </row>
    <row r="159" spans="2:13">
      <c r="C159">
        <v>297</v>
      </c>
      <c r="D159" t="str">
        <f>mmProd3!C256</f>
        <v>Sales Force</v>
      </c>
      <c r="E159" s="435" t="e">
        <f>(mmProd3!E297-AVERAGE(mmProd3!$E297:$I297))/(MAX(mmProd3!$E297:$I297)-MIN(mmProd3!$E297:$I297))</f>
        <v>#DIV/0!</v>
      </c>
      <c r="F159" s="435" t="e">
        <f>(mmProd3!F297-AVERAGE(mmProd3!$E297:$I297))/(MAX(mmProd3!$E297:$I297)-MIN(mmProd3!$E297:$I297))</f>
        <v>#DIV/0!</v>
      </c>
      <c r="G159" s="435" t="e">
        <f>(mmProd3!G297-AVERAGE(mmProd3!$E297:$I297))/(MAX(mmProd3!$E297:$I297)-MIN(mmProd3!$E297:$I297))</f>
        <v>#DIV/0!</v>
      </c>
      <c r="H159" s="435" t="e">
        <f>(mmProd3!H297-AVERAGE(mmProd3!$E297:$I297))/(MAX(mmProd3!$E297:$I297)-MIN(mmProd3!$E297:$I297))</f>
        <v>#DIV/0!</v>
      </c>
      <c r="I159" s="435" t="e">
        <f>(mmProd3!I297-AVERAGE(mmProd3!$E297:$I297))/(MAX(mmProd3!$E297:$I297)-MIN(mmProd3!$E297:$I297))</f>
        <v>#DIV/0!</v>
      </c>
      <c r="K159" t="s">
        <v>2579</v>
      </c>
      <c r="L159">
        <v>12</v>
      </c>
      <c r="M159">
        <f>RANK(L159,$L$155:$L$162)</f>
        <v>3</v>
      </c>
    </row>
    <row r="160" spans="2:13">
      <c r="E160" s="435"/>
      <c r="F160" s="435"/>
      <c r="G160" s="435"/>
      <c r="H160" s="435"/>
      <c r="I160" s="435"/>
    </row>
    <row r="161" spans="2:13">
      <c r="D161" t="s">
        <v>1536</v>
      </c>
      <c r="E161" s="435">
        <f>SUM(mmProd3!E295:E296)</f>
        <v>0</v>
      </c>
      <c r="F161" s="435">
        <f>SUM(mmProd3!F295:F296)</f>
        <v>0</v>
      </c>
      <c r="G161" s="435">
        <f>SUM(mmProd3!G295:G296)</f>
        <v>0</v>
      </c>
      <c r="H161" s="435">
        <f>SUM(mmProd3!H295:H296)</f>
        <v>0</v>
      </c>
      <c r="I161" s="435">
        <f>SUM(mmProd3!I295:I296)</f>
        <v>0</v>
      </c>
    </row>
    <row r="162" spans="2:13">
      <c r="E162" s="435"/>
      <c r="F162" s="435"/>
      <c r="G162" s="435"/>
      <c r="H162" s="435"/>
      <c r="I162" s="435"/>
    </row>
    <row r="163" spans="2:13">
      <c r="E163" s="1305"/>
      <c r="F163" s="1305"/>
      <c r="G163" s="1305"/>
      <c r="H163" s="1305"/>
      <c r="I163" s="1305"/>
    </row>
    <row r="164" spans="2:13">
      <c r="B164" s="2" t="s">
        <v>85</v>
      </c>
      <c r="E164" s="1305" t="str">
        <f>decTeamName</f>
        <v>Vivia</v>
      </c>
      <c r="F164" s="1305" t="str">
        <f>decTeamName</f>
        <v>Vivia</v>
      </c>
      <c r="G164" s="1305" t="str">
        <f>decTeamName</f>
        <v>Vivia</v>
      </c>
      <c r="H164" s="1305" t="str">
        <f>decTeamName</f>
        <v>Vivia</v>
      </c>
      <c r="I164" s="1305" t="str">
        <f>decTeamName</f>
        <v>Vivia</v>
      </c>
    </row>
    <row r="165" spans="2:13">
      <c r="C165">
        <v>313</v>
      </c>
      <c r="D165" t="str">
        <f>mmProd3!C313</f>
        <v>Price</v>
      </c>
      <c r="E165" s="435" t="e">
        <f>(mmProd3!E313-AVERAGE(mmProd3!$E313:$I313))/(MAX(mmProd3!$E313:$I313)-MIN(mmProd3!$E313:$I313))</f>
        <v>#DIV/0!</v>
      </c>
      <c r="F165" s="435" t="e">
        <f>(mmProd3!F313-AVERAGE(mmProd3!$E313:$I313))/(MAX(mmProd3!$E313:$I313)-MIN(mmProd3!$E313:$I313))</f>
        <v>#DIV/0!</v>
      </c>
      <c r="G165" s="435" t="e">
        <f>(mmProd3!G313-AVERAGE(mmProd3!$E313:$I313))/(MAX(mmProd3!$E313:$I313)-MIN(mmProd3!$E313:$I313))</f>
        <v>#DIV/0!</v>
      </c>
      <c r="H165" s="435" t="e">
        <f>(mmProd3!H313-AVERAGE(mmProd3!$E313:$I313))/(MAX(mmProd3!$E313:$I313)-MIN(mmProd3!$E313:$I313))</f>
        <v>#DIV/0!</v>
      </c>
      <c r="I165" s="435" t="e">
        <f>(mmProd3!I313-AVERAGE(mmProd3!$E313:$I313))/(MAX(mmProd3!$E313:$I313)-MIN(mmProd3!$E313:$I313))</f>
        <v>#DIV/0!</v>
      </c>
      <c r="K165" t="s">
        <v>1402</v>
      </c>
      <c r="L165">
        <v>50</v>
      </c>
      <c r="M165">
        <f t="shared" ref="M165:M170" si="1">RANK(L165,$L$165:$L$173)</f>
        <v>1</v>
      </c>
    </row>
    <row r="166" spans="2:13">
      <c r="C166">
        <v>320</v>
      </c>
      <c r="D166" t="str">
        <f>mmProd3!C320</f>
        <v>Channel Penetration</v>
      </c>
      <c r="E166" s="435" t="e">
        <f>(mmProd3!E320-AVERAGE(mmProd3!$E320:$I320))/(MAX(mmProd3!$E320:$I320)-MIN(mmProd3!$E320:$I320))</f>
        <v>#DIV/0!</v>
      </c>
      <c r="F166" s="435" t="e">
        <f>(mmProd3!F320-AVERAGE(mmProd3!$E320:$I320))/(MAX(mmProd3!$E320:$I320)-MIN(mmProd3!$E320:$I320))</f>
        <v>#DIV/0!</v>
      </c>
      <c r="G166" s="435" t="e">
        <f>(mmProd3!G320-AVERAGE(mmProd3!$E320:$I320))/(MAX(mmProd3!$E320:$I320)-MIN(mmProd3!$E320:$I320))</f>
        <v>#DIV/0!</v>
      </c>
      <c r="H166" s="435" t="e">
        <f>(mmProd3!H320-AVERAGE(mmProd3!$E320:$I320))/(MAX(mmProd3!$E320:$I320)-MIN(mmProd3!$E320:$I320))</f>
        <v>#DIV/0!</v>
      </c>
      <c r="I166" s="435" t="e">
        <f>(mmProd3!I320-AVERAGE(mmProd3!$E320:$I320))/(MAX(mmProd3!$E320:$I320)-MIN(mmProd3!$E320:$I320))</f>
        <v>#DIV/0!</v>
      </c>
      <c r="K166" t="s">
        <v>2745</v>
      </c>
      <c r="L166">
        <v>9</v>
      </c>
      <c r="M166">
        <f t="shared" si="1"/>
        <v>5</v>
      </c>
    </row>
    <row r="167" spans="2:13">
      <c r="C167">
        <v>319</v>
      </c>
      <c r="D167" t="str">
        <f>mmProd3!C319</f>
        <v>Innovation</v>
      </c>
      <c r="E167" s="435" t="e">
        <f>(mmProd3!E319-AVERAGE(mmProd3!$E319:$I319))/(MAX(mmProd3!$E319:$I319)-MIN(mmProd3!$E319:$I319))</f>
        <v>#DIV/0!</v>
      </c>
      <c r="F167" s="435" t="e">
        <f>(mmProd3!F319-AVERAGE(mmProd3!$E319:$I319))/(MAX(mmProd3!$E319:$I319)-MIN(mmProd3!$E319:$I319))</f>
        <v>#DIV/0!</v>
      </c>
      <c r="G167" s="435" t="e">
        <f>(mmProd3!G319-AVERAGE(mmProd3!$E319:$I319))/(MAX(mmProd3!$E319:$I319)-MIN(mmProd3!$E319:$I319))</f>
        <v>#DIV/0!</v>
      </c>
      <c r="H167" s="435" t="e">
        <f>(mmProd3!H319-AVERAGE(mmProd3!$E319:$I319))/(MAX(mmProd3!$E319:$I319)-MIN(mmProd3!$E319:$I319))</f>
        <v>#DIV/0!</v>
      </c>
      <c r="I167" s="435" t="e">
        <f>(mmProd3!I319-AVERAGE(mmProd3!$E319:$I319))/(MAX(mmProd3!$E319:$I319)-MIN(mmProd3!$E319:$I319))</f>
        <v>#DIV/0!</v>
      </c>
      <c r="K167" t="s">
        <v>1404</v>
      </c>
      <c r="L167">
        <v>12</v>
      </c>
      <c r="M167">
        <f t="shared" si="1"/>
        <v>4</v>
      </c>
    </row>
    <row r="168" spans="2:13">
      <c r="D168" t="s">
        <v>1536</v>
      </c>
      <c r="E168" s="435" t="e">
        <f>(E172-AVERAGE($E172:$I172))/(MAX($E172:$I172)-MIN($E172:$I172))</f>
        <v>#DIV/0!</v>
      </c>
      <c r="F168" s="435" t="e">
        <f>(F172-AVERAGE($E172:$I172))/(MAX($E172:$I172)-MIN($E172:$I172))</f>
        <v>#DIV/0!</v>
      </c>
      <c r="G168" s="435" t="e">
        <f>(G172-AVERAGE($E172:$I172))/(MAX($E172:$I172)-MIN($E172:$I172))</f>
        <v>#DIV/0!</v>
      </c>
      <c r="H168" s="435" t="e">
        <f>(H172-AVERAGE($E172:$I172))/(MAX($E172:$I172)-MIN($E172:$I172))</f>
        <v>#DIV/0!</v>
      </c>
      <c r="I168" s="435" t="e">
        <f>(I172-AVERAGE($E172:$I172))/(MAX($E172:$I172)-MIN($E172:$I172))</f>
        <v>#DIV/0!</v>
      </c>
      <c r="K168" t="s">
        <v>175</v>
      </c>
      <c r="L168">
        <v>7</v>
      </c>
      <c r="M168">
        <f t="shared" si="1"/>
        <v>6</v>
      </c>
    </row>
    <row r="169" spans="2:13">
      <c r="C169">
        <v>318</v>
      </c>
      <c r="D169" t="str">
        <f>mmProd3!C318</f>
        <v>Sales Force</v>
      </c>
      <c r="E169" s="435" t="e">
        <f>(mmProd3!E318-AVERAGE(mmProd3!$E318:$I318))/(MAX(mmProd3!$E318:$I318)-MIN(mmProd3!$E318:$I318))</f>
        <v>#DIV/0!</v>
      </c>
      <c r="F169" s="435" t="e">
        <f>(mmProd3!F318-AVERAGE(mmProd3!$E318:$I318))/(MAX(mmProd3!$E318:$I318)-MIN(mmProd3!$E318:$I318))</f>
        <v>#DIV/0!</v>
      </c>
      <c r="G169" s="435" t="e">
        <f>(mmProd3!G318-AVERAGE(mmProd3!$E318:$I318))/(MAX(mmProd3!$E318:$I318)-MIN(mmProd3!$E318:$I318))</f>
        <v>#DIV/0!</v>
      </c>
      <c r="H169" s="435" t="e">
        <f>(mmProd3!H318-AVERAGE(mmProd3!$E318:$I318))/(MAX(mmProd3!$E318:$I318)-MIN(mmProd3!$E318:$I318))</f>
        <v>#DIV/0!</v>
      </c>
      <c r="I169" s="435" t="e">
        <f>(mmProd3!I318-AVERAGE(mmProd3!$E318:$I318))/(MAX(mmProd3!$E318:$I318)-MIN(mmProd3!$E318:$I318))</f>
        <v>#DIV/0!</v>
      </c>
      <c r="K169" t="s">
        <v>2579</v>
      </c>
      <c r="L169">
        <v>14</v>
      </c>
      <c r="M169">
        <f t="shared" si="1"/>
        <v>3</v>
      </c>
    </row>
    <row r="170" spans="2:13">
      <c r="C170">
        <v>314</v>
      </c>
      <c r="D170" t="str">
        <f>mmProd3!C314</f>
        <v>Range Of Products</v>
      </c>
      <c r="E170" s="435" t="e">
        <f>(mmProd3!E314-AVERAGE(mmProd3!$E314:$I314))/(MAX(mmProd3!$E314:$I314)-MIN(mmProd3!$E314:$I314))</f>
        <v>#DIV/0!</v>
      </c>
      <c r="F170" s="435" t="e">
        <f>(mmProd3!F314-AVERAGE(mmProd3!$E314:$I314))/(MAX(mmProd3!$E314:$I314)-MIN(mmProd3!$E314:$I314))</f>
        <v>#DIV/0!</v>
      </c>
      <c r="G170" s="435" t="e">
        <f>(mmProd3!G314-AVERAGE(mmProd3!$E314:$I314))/(MAX(mmProd3!$E314:$I314)-MIN(mmProd3!$E314:$I314))</f>
        <v>#DIV/0!</v>
      </c>
      <c r="H170" s="435" t="e">
        <f>(mmProd3!H314-AVERAGE(mmProd3!$E314:$I314))/(MAX(mmProd3!$E314:$I314)-MIN(mmProd3!$E314:$I314))</f>
        <v>#DIV/0!</v>
      </c>
      <c r="I170" s="435" t="e">
        <f>(mmProd3!I314-AVERAGE(mmProd3!$E314:$I314))/(MAX(mmProd3!$E314:$I314)-MIN(mmProd3!$E314:$I314))</f>
        <v>#DIV/0!</v>
      </c>
      <c r="K170" t="s">
        <v>1108</v>
      </c>
      <c r="L170">
        <v>15</v>
      </c>
      <c r="M170">
        <f t="shared" si="1"/>
        <v>2</v>
      </c>
    </row>
    <row r="171" spans="2:13">
      <c r="E171" s="435"/>
      <c r="F171" s="435"/>
      <c r="G171" s="435"/>
      <c r="H171" s="435"/>
      <c r="I171" s="435"/>
    </row>
    <row r="172" spans="2:13">
      <c r="C172" t="s">
        <v>349</v>
      </c>
      <c r="D172" t="s">
        <v>1536</v>
      </c>
      <c r="E172" s="435">
        <f>SUM(mmProd3!E316:E317)</f>
        <v>0</v>
      </c>
      <c r="F172" s="435">
        <f>SUM(mmProd3!F316:F317)</f>
        <v>0</v>
      </c>
      <c r="G172" s="435">
        <f>SUM(mmProd3!G316:G317)</f>
        <v>0</v>
      </c>
      <c r="H172" s="435">
        <f>SUM(mmProd3!H316:H317)</f>
        <v>0</v>
      </c>
      <c r="I172" s="435">
        <f>SUM(mmProd3!I316:I317)</f>
        <v>0</v>
      </c>
    </row>
    <row r="173" spans="2:13">
      <c r="E173" s="15"/>
      <c r="F173" s="15"/>
      <c r="G173" s="15"/>
      <c r="H173" s="15"/>
      <c r="I173" s="15"/>
    </row>
    <row r="174" spans="2:13">
      <c r="E174" s="608"/>
      <c r="F174" s="608"/>
      <c r="G174" s="608"/>
      <c r="H174" s="608"/>
      <c r="I174" s="608"/>
    </row>
    <row r="175" spans="2:13">
      <c r="B175" s="2" t="s">
        <v>1129</v>
      </c>
      <c r="E175" s="1305" t="str">
        <f>decTeamName</f>
        <v>Vivia</v>
      </c>
      <c r="F175" s="1305" t="str">
        <f>decTeamName</f>
        <v>Vivia</v>
      </c>
      <c r="G175" s="1305" t="str">
        <f>decTeamName</f>
        <v>Vivia</v>
      </c>
      <c r="H175" s="1305" t="str">
        <f>decTeamName</f>
        <v>Vivia</v>
      </c>
      <c r="I175" s="1305" t="str">
        <f>decTeamName</f>
        <v>Vivia</v>
      </c>
    </row>
    <row r="176" spans="2:13">
      <c r="D176" t="s">
        <v>1598</v>
      </c>
      <c r="E176" s="608">
        <f>paramReg1Prod1CommSpendEffect</f>
        <v>1</v>
      </c>
      <c r="F176" s="608">
        <f>paramReg1Prod1CommSpendEffect</f>
        <v>1</v>
      </c>
      <c r="G176" s="608">
        <f>paramReg1Prod1CommSpendEffect</f>
        <v>1</v>
      </c>
      <c r="H176" s="608">
        <f>paramReg1Prod1CommSpendEffect</f>
        <v>1</v>
      </c>
      <c r="I176" s="608">
        <f>paramReg1Prod1CommSpendEffect</f>
        <v>1</v>
      </c>
    </row>
    <row r="177" spans="2:9">
      <c r="D177" t="s">
        <v>1599</v>
      </c>
      <c r="E177" s="608">
        <f>paramReg2Prod1CommSpendEffect</f>
        <v>1</v>
      </c>
      <c r="F177" s="608">
        <f>paramReg2Prod1CommSpendEffect</f>
        <v>1</v>
      </c>
      <c r="G177" s="608">
        <f>paramReg2Prod1CommSpendEffect</f>
        <v>1</v>
      </c>
      <c r="H177" s="608">
        <f>paramReg2Prod1CommSpendEffect</f>
        <v>1</v>
      </c>
      <c r="I177" s="608">
        <f>paramReg2Prod1CommSpendEffect</f>
        <v>1</v>
      </c>
    </row>
    <row r="178" spans="2:9">
      <c r="D178" t="s">
        <v>2718</v>
      </c>
      <c r="E178" s="608">
        <f>AVERAGE(E176:E177)</f>
        <v>1</v>
      </c>
      <c r="F178" s="608">
        <f>AVERAGE(F176:F177)</f>
        <v>1</v>
      </c>
      <c r="G178" s="608">
        <f>AVERAGE(G176:G177)</f>
        <v>1</v>
      </c>
      <c r="H178" s="608">
        <f>AVERAGE(H176:H177)</f>
        <v>1</v>
      </c>
      <c r="I178" s="608">
        <f>AVERAGE(I176:I177)</f>
        <v>1</v>
      </c>
    </row>
    <row r="179" spans="2:9">
      <c r="E179" s="608"/>
      <c r="F179" s="608"/>
      <c r="G179" s="608"/>
      <c r="H179" s="608"/>
      <c r="I179" s="608"/>
    </row>
    <row r="180" spans="2:9">
      <c r="B180" s="2" t="s">
        <v>1348</v>
      </c>
      <c r="E180" s="1305" t="str">
        <f>decTeamName</f>
        <v>Vivia</v>
      </c>
      <c r="F180" s="1305" t="str">
        <f>decTeamName</f>
        <v>Vivia</v>
      </c>
      <c r="G180" s="1305" t="str">
        <f>decTeamName</f>
        <v>Vivia</v>
      </c>
      <c r="H180" s="1305" t="str">
        <f>decTeamName</f>
        <v>Vivia</v>
      </c>
      <c r="I180" s="1305" t="str">
        <f>decTeamName</f>
        <v>Vivia</v>
      </c>
    </row>
    <row r="181" spans="2:9">
      <c r="D181" t="s">
        <v>1598</v>
      </c>
      <c r="E181" s="608">
        <f>paramReg1Prod3CommSpendEffect</f>
        <v>1</v>
      </c>
      <c r="F181" s="608">
        <f>paramReg1Prod3CommSpendEffect</f>
        <v>1</v>
      </c>
      <c r="G181" s="608">
        <f>paramReg1Prod3CommSpendEffect</f>
        <v>1</v>
      </c>
      <c r="H181" s="608">
        <f>paramReg1Prod3CommSpendEffect</f>
        <v>1</v>
      </c>
      <c r="I181" s="608">
        <f>paramReg1Prod3CommSpendEffect</f>
        <v>1</v>
      </c>
    </row>
    <row r="182" spans="2:9">
      <c r="D182" t="s">
        <v>1599</v>
      </c>
      <c r="E182" s="608">
        <f>paramReg2Prod3CommSpendEffect</f>
        <v>1</v>
      </c>
      <c r="F182" s="608">
        <f>paramReg2Prod3CommSpendEffect</f>
        <v>1</v>
      </c>
      <c r="G182" s="608">
        <f>paramReg2Prod3CommSpendEffect</f>
        <v>1</v>
      </c>
      <c r="H182" s="608">
        <f>paramReg2Prod3CommSpendEffect</f>
        <v>1</v>
      </c>
      <c r="I182" s="608">
        <f>paramReg2Prod3CommSpendEffect</f>
        <v>1</v>
      </c>
    </row>
    <row r="183" spans="2:9">
      <c r="D183" t="s">
        <v>2718</v>
      </c>
      <c r="E183" s="608">
        <f>AVERAGE(E181:E182)</f>
        <v>1</v>
      </c>
      <c r="F183" s="608">
        <f>AVERAGE(F181:F182)</f>
        <v>1</v>
      </c>
      <c r="G183" s="608">
        <f>AVERAGE(G181:G182)</f>
        <v>1</v>
      </c>
      <c r="H183" s="608">
        <f>AVERAGE(H181:H182)</f>
        <v>1</v>
      </c>
      <c r="I183" s="608">
        <f>AVERAGE(I181:I182)</f>
        <v>1</v>
      </c>
    </row>
    <row r="184" spans="2:9">
      <c r="E184" s="608"/>
      <c r="F184" s="608"/>
      <c r="G184" s="608"/>
      <c r="H184" s="608"/>
      <c r="I184" s="608"/>
    </row>
    <row r="185" spans="2:9">
      <c r="B185" s="2" t="s">
        <v>1349</v>
      </c>
      <c r="E185" s="1305" t="str">
        <f>decTeamName</f>
        <v>Vivia</v>
      </c>
      <c r="F185" s="1305" t="str">
        <f>decTeamName</f>
        <v>Vivia</v>
      </c>
      <c r="G185" s="1305" t="str">
        <f>decTeamName</f>
        <v>Vivia</v>
      </c>
      <c r="H185" s="1305" t="str">
        <f>decTeamName</f>
        <v>Vivia</v>
      </c>
      <c r="I185" s="1305" t="str">
        <f>decTeamName</f>
        <v>Vivia</v>
      </c>
    </row>
    <row r="186" spans="2:9">
      <c r="D186" t="s">
        <v>1598</v>
      </c>
      <c r="E186" s="608">
        <f>paramReg1Prod4CommSpendEffect</f>
        <v>1</v>
      </c>
      <c r="F186" s="608">
        <f t="shared" ref="F186:I187" si="2">paramReg1Prod4CommSpendEffect</f>
        <v>1</v>
      </c>
      <c r="G186" s="608">
        <f t="shared" si="2"/>
        <v>1</v>
      </c>
      <c r="H186" s="608">
        <f t="shared" si="2"/>
        <v>1</v>
      </c>
      <c r="I186" s="608">
        <f t="shared" si="2"/>
        <v>1</v>
      </c>
    </row>
    <row r="187" spans="2:9">
      <c r="D187" t="s">
        <v>1599</v>
      </c>
      <c r="E187" s="608">
        <f>paramReg1Prod4CommSpendEffect</f>
        <v>1</v>
      </c>
      <c r="F187" s="608">
        <f t="shared" si="2"/>
        <v>1</v>
      </c>
      <c r="G187" s="608">
        <f t="shared" si="2"/>
        <v>1</v>
      </c>
      <c r="H187" s="608">
        <f t="shared" si="2"/>
        <v>1</v>
      </c>
      <c r="I187" s="608">
        <f t="shared" si="2"/>
        <v>1</v>
      </c>
    </row>
    <row r="188" spans="2:9">
      <c r="D188" t="s">
        <v>2718</v>
      </c>
      <c r="E188" s="608">
        <f>AVERAGE(E186:E187)</f>
        <v>1</v>
      </c>
      <c r="F188" s="608">
        <f>AVERAGE(F186:F187)</f>
        <v>1</v>
      </c>
      <c r="G188" s="608">
        <f>AVERAGE(G186:G187)</f>
        <v>1</v>
      </c>
      <c r="H188" s="608">
        <f>AVERAGE(H186:H187)</f>
        <v>1</v>
      </c>
      <c r="I188" s="608">
        <f>AVERAGE(I186:I187)</f>
        <v>1</v>
      </c>
    </row>
    <row r="189" spans="2:9">
      <c r="E189" s="608"/>
      <c r="F189" s="608"/>
      <c r="G189" s="608"/>
      <c r="H189" s="608"/>
      <c r="I189" s="608"/>
    </row>
    <row r="190" spans="2:9">
      <c r="E190" s="608"/>
      <c r="F190" s="608"/>
      <c r="G190" s="608"/>
      <c r="H190" s="608"/>
      <c r="I190" s="608"/>
    </row>
    <row r="191" spans="2:9">
      <c r="B191" s="2" t="s">
        <v>176</v>
      </c>
      <c r="E191" s="1305" t="str">
        <f>decTeamName</f>
        <v>Vivia</v>
      </c>
      <c r="F191" s="1305" t="str">
        <f>decTeamName</f>
        <v>Vivia</v>
      </c>
      <c r="G191" s="1305" t="str">
        <f>decTeamName</f>
        <v>Vivia</v>
      </c>
      <c r="H191" s="1305" t="str">
        <f>decTeamName</f>
        <v>Vivia</v>
      </c>
      <c r="I191" s="1305" t="str">
        <f>decTeamName</f>
        <v>Vivia</v>
      </c>
    </row>
    <row r="192" spans="2:9">
      <c r="D192" t="s">
        <v>1840</v>
      </c>
      <c r="E192" s="422">
        <f ca="1">cbalCashValue</f>
        <v>6695625983.2060633</v>
      </c>
      <c r="F192" s="422">
        <f ca="1">cbalCashValue</f>
        <v>6695625983.2060633</v>
      </c>
      <c r="G192" s="422">
        <f ca="1">cbalCashValue</f>
        <v>6695625983.2060633</v>
      </c>
      <c r="H192" s="422">
        <f ca="1">cbalCashValue</f>
        <v>6695625983.2060633</v>
      </c>
      <c r="I192" s="422">
        <f ca="1">cbalCashValue</f>
        <v>6695625983.2060633</v>
      </c>
    </row>
    <row r="193" spans="1:9">
      <c r="D193" t="s">
        <v>3540</v>
      </c>
      <c r="E193" s="422">
        <f>cbalARValue</f>
        <v>4357020616.583333</v>
      </c>
      <c r="F193" s="422">
        <f>cbalARValue</f>
        <v>4357020616.583333</v>
      </c>
      <c r="G193" s="422">
        <f>cbalARValue</f>
        <v>4357020616.583333</v>
      </c>
      <c r="H193" s="422">
        <f>cbalARValue</f>
        <v>4357020616.583333</v>
      </c>
      <c r="I193" s="422">
        <f>cbalARValue</f>
        <v>4357020616.583333</v>
      </c>
    </row>
    <row r="194" spans="1:9">
      <c r="A194" s="860" t="s">
        <v>2225</v>
      </c>
      <c r="D194" t="s">
        <v>1229</v>
      </c>
      <c r="E194" s="422">
        <f>cbalReg1MatValue</f>
        <v>555538925.65165067</v>
      </c>
      <c r="F194" s="422">
        <f>cbalReg1MatValue</f>
        <v>555538925.65165067</v>
      </c>
      <c r="G194" s="422">
        <f>cbalReg1MatValue</f>
        <v>555538925.65165067</v>
      </c>
      <c r="H194" s="422">
        <f>cbalReg1MatValue</f>
        <v>555538925.65165067</v>
      </c>
      <c r="I194" s="422">
        <f>cbalReg1MatValue</f>
        <v>555538925.65165067</v>
      </c>
    </row>
    <row r="195" spans="1:9">
      <c r="D195" t="s">
        <v>1058</v>
      </c>
      <c r="E195" s="422">
        <f>cbalGoodwillValue</f>
        <v>2800000000</v>
      </c>
      <c r="F195" s="422">
        <f>cbalGoodwillValue</f>
        <v>2800000000</v>
      </c>
      <c r="G195" s="422">
        <f>cbalGoodwillValue</f>
        <v>2800000000</v>
      </c>
      <c r="H195" s="422">
        <f>cbalGoodwillValue</f>
        <v>2800000000</v>
      </c>
      <c r="I195" s="422">
        <f>cbalGoodwillValue</f>
        <v>2800000000</v>
      </c>
    </row>
    <row r="196" spans="1:9">
      <c r="D196" t="s">
        <v>1843</v>
      </c>
      <c r="E196" s="422">
        <f ca="1">cbalPlantValue</f>
        <v>6373894260</v>
      </c>
      <c r="F196" s="422">
        <f ca="1">cbalPlantValue</f>
        <v>6373894260</v>
      </c>
      <c r="G196" s="422">
        <f ca="1">cbalPlantValue</f>
        <v>6373894260</v>
      </c>
      <c r="H196" s="422">
        <f ca="1">cbalPlantValue</f>
        <v>6373894260</v>
      </c>
      <c r="I196" s="422">
        <f ca="1">cbalPlantValue</f>
        <v>6373894260</v>
      </c>
    </row>
    <row r="197" spans="1:9">
      <c r="D197" t="s">
        <v>1601</v>
      </c>
      <c r="E197" s="1313">
        <f ca="1">finAssetTurnover</f>
        <v>2.61209104296054</v>
      </c>
      <c r="F197" s="1306">
        <f ca="1">finAssetTurnover</f>
        <v>2.61209104296054</v>
      </c>
      <c r="G197" s="1306">
        <f ca="1">finAssetTurnover</f>
        <v>2.61209104296054</v>
      </c>
      <c r="H197" s="1306">
        <f ca="1">finAssetTurnover</f>
        <v>2.61209104296054</v>
      </c>
      <c r="I197" s="1306">
        <f ca="1">finAssetTurnover</f>
        <v>2.61209104296054</v>
      </c>
    </row>
    <row r="198" spans="1:9">
      <c r="E198" s="1306"/>
      <c r="F198" s="1306"/>
      <c r="G198" s="1306"/>
      <c r="H198" s="1306"/>
      <c r="I198" s="1306"/>
    </row>
    <row r="199" spans="1:9">
      <c r="B199" s="2" t="s">
        <v>1942</v>
      </c>
      <c r="E199" s="1305" t="str">
        <f>decTeamName</f>
        <v>Vivia</v>
      </c>
      <c r="F199" s="1305" t="str">
        <f>decTeamName</f>
        <v>Vivia</v>
      </c>
      <c r="G199" s="1305" t="str">
        <f>decTeamName</f>
        <v>Vivia</v>
      </c>
      <c r="H199" s="1305" t="str">
        <f>decTeamName</f>
        <v>Vivia</v>
      </c>
      <c r="I199" s="1305" t="str">
        <f>decTeamName</f>
        <v>Vivia</v>
      </c>
    </row>
    <row r="200" spans="1:9">
      <c r="D200" t="s">
        <v>1943</v>
      </c>
      <c r="E200" s="422" t="e">
        <f>(cbalAP=DataNameProd3+obalAP=DataNameProd3)/2</f>
        <v>#NAME?</v>
      </c>
      <c r="F200" s="422" t="e">
        <f>(cbalAP=DataNameProd3+obalAP=DataNameProd3)/2</f>
        <v>#NAME?</v>
      </c>
      <c r="G200" s="422" t="e">
        <f>(cbalAP=DataNameProd3+obalAP=DataNameProd3)/2</f>
        <v>#NAME?</v>
      </c>
      <c r="H200" s="422" t="e">
        <f>(cbalAP=DataNameProd3+obalAP=DataNameProd3)/2</f>
        <v>#NAME?</v>
      </c>
      <c r="I200" s="422" t="e">
        <f>(cbalAP=DataNameProd3+obalAP=DataNameProd3)/2</f>
        <v>#NAME?</v>
      </c>
    </row>
    <row r="201" spans="1:9">
      <c r="D201" t="s">
        <v>1944</v>
      </c>
      <c r="E201" s="422" t="e">
        <f>(cbalAssets=DataNameProd3+obalAssets=DataNameProd3)/2-E200</f>
        <v>#NAME?</v>
      </c>
      <c r="F201" s="422" t="e">
        <f>(cbalAssets=DataNameProd3+obalAssets=DataNameProd3)/2-F200</f>
        <v>#NAME?</v>
      </c>
      <c r="G201" s="422" t="e">
        <f>(cbalAssets=DataNameProd3+obalAssets=DataNameProd3)/2-G200</f>
        <v>#NAME?</v>
      </c>
      <c r="H201" s="422" t="e">
        <f>(cbalAssets=DataNameProd3+obalAssets=DataNameProd3)/2-H200</f>
        <v>#NAME?</v>
      </c>
      <c r="I201" s="422" t="e">
        <f>(cbalAssets=DataNameProd3+obalAssets=DataNameProd3)/2-I200</f>
        <v>#NAME?</v>
      </c>
    </row>
    <row r="202" spans="1:9">
      <c r="E202" s="422"/>
      <c r="F202" s="422"/>
      <c r="G202" s="422"/>
      <c r="H202" s="422"/>
      <c r="I202" s="422"/>
    </row>
    <row r="203" spans="1:9">
      <c r="E203" s="422"/>
      <c r="F203" s="422"/>
      <c r="G203" s="422"/>
      <c r="H203" s="422"/>
      <c r="I203" s="422"/>
    </row>
    <row r="204" spans="1:9">
      <c r="B204" s="2" t="s">
        <v>1232</v>
      </c>
      <c r="E204" s="1305" t="str">
        <f>decTeamName</f>
        <v>Vivia</v>
      </c>
      <c r="F204" s="1305" t="str">
        <f>decTeamName</f>
        <v>Vivia</v>
      </c>
      <c r="G204" s="1305" t="str">
        <f>decTeamName</f>
        <v>Vivia</v>
      </c>
      <c r="H204" s="1305" t="str">
        <f>decTeamName</f>
        <v>Vivia</v>
      </c>
      <c r="I204" s="1305" t="str">
        <f>decTeamName</f>
        <v>Vivia</v>
      </c>
    </row>
    <row r="205" spans="1:9">
      <c r="B205" s="2"/>
      <c r="D205" t="s">
        <v>3149</v>
      </c>
      <c r="E205" s="1306" t="e">
        <f>obalCash=DataNameProd3</f>
        <v>#NAME?</v>
      </c>
      <c r="F205" s="1306" t="e">
        <f>obalCash=DataNameProd3</f>
        <v>#NAME?</v>
      </c>
      <c r="G205" s="1306" t="e">
        <f>obalCash=DataNameProd3</f>
        <v>#NAME?</v>
      </c>
      <c r="H205" s="1306" t="e">
        <f>obalCash=DataNameProd3</f>
        <v>#NAME?</v>
      </c>
      <c r="I205" s="1306" t="e">
        <f>obalCash=DataNameProd3</f>
        <v>#NAME?</v>
      </c>
    </row>
    <row r="206" spans="1:9">
      <c r="D206" s="38" t="s">
        <v>324</v>
      </c>
      <c r="E206" s="1307">
        <f ca="1">finPNLNetEarn</f>
        <v>3399991806.6964707</v>
      </c>
      <c r="F206" s="1307">
        <f ca="1">finPNLNetEarn</f>
        <v>3399991806.6964707</v>
      </c>
      <c r="G206" s="1307">
        <f ca="1">finPNLNetEarn</f>
        <v>3399991806.6964707</v>
      </c>
      <c r="H206" s="1307">
        <f ca="1">finPNLNetEarn</f>
        <v>3399991806.6964707</v>
      </c>
      <c r="I206" s="1307">
        <f ca="1">finPNLNetEarn</f>
        <v>3399991806.6964707</v>
      </c>
    </row>
    <row r="207" spans="1:9">
      <c r="D207" s="38" t="s">
        <v>1563</v>
      </c>
      <c r="E207" s="1307">
        <f ca="1">finCashFlowDep+finPNLCapLossExp+fin!E697</f>
        <v>1010333740</v>
      </c>
      <c r="F207" s="1307">
        <f ca="1">finCashFlowDep+finPNLCapLossExp+fin!F697</f>
        <v>1010333740</v>
      </c>
      <c r="G207" s="1307">
        <f ca="1">finCashFlowDep+finPNLCapLossExp+fin!G697</f>
        <v>1010333740</v>
      </c>
      <c r="H207" s="1307">
        <f ca="1">finCashFlowDep+finPNLCapLossExp+fin!H697</f>
        <v>1010333740</v>
      </c>
      <c r="I207" s="1307">
        <f ca="1">finCashFlowDep+finPNLCapLossExp+fin!I697</f>
        <v>1010333740</v>
      </c>
    </row>
    <row r="208" spans="1:9">
      <c r="D208" s="38" t="s">
        <v>326</v>
      </c>
      <c r="E208" s="1307">
        <f>finCashFlowARChange</f>
        <v>-12758625.916666985</v>
      </c>
      <c r="F208" s="1307">
        <f>finCashFlowARChange</f>
        <v>-12758625.916666985</v>
      </c>
      <c r="G208" s="1307">
        <f>finCashFlowARChange</f>
        <v>-12758625.916666985</v>
      </c>
      <c r="H208" s="1307">
        <f>finCashFlowARChange</f>
        <v>-12758625.916666985</v>
      </c>
      <c r="I208" s="1307">
        <f>finCashFlowARChange</f>
        <v>-12758625.916666985</v>
      </c>
    </row>
    <row r="209" spans="2:16">
      <c r="D209" s="38" t="s">
        <v>1229</v>
      </c>
      <c r="E209" s="1307">
        <f ca="1">finCashFlowFGChange+finCashFlowWIPChange+finCashFlowMatChange</f>
        <v>-75359122.020355105</v>
      </c>
      <c r="F209" s="1307">
        <f ca="1">finCashFlowFGChange+finCashFlowWIPChange+finCashFlowMatChange</f>
        <v>-75359122.020355105</v>
      </c>
      <c r="G209" s="1307">
        <f ca="1">finCashFlowFGChange+finCashFlowWIPChange+finCashFlowMatChange</f>
        <v>-75359122.020355105</v>
      </c>
      <c r="H209" s="1307">
        <f ca="1">finCashFlowFGChange+finCashFlowWIPChange+finCashFlowMatChange</f>
        <v>-75359122.020355105</v>
      </c>
      <c r="I209" s="1307">
        <f ca="1">finCashFlowFGChange+finCashFlowWIPChange+finCashFlowMatChange</f>
        <v>-75359122.020355105</v>
      </c>
    </row>
    <row r="210" spans="2:16">
      <c r="D210" s="38" t="s">
        <v>327</v>
      </c>
      <c r="E210" s="1307">
        <f ca="1">finCashFlowAPChange+finCashFlowOtherCurrLiabChange</f>
        <v>332854631.8749733</v>
      </c>
      <c r="F210" s="1307">
        <f ca="1">finCashFlowAPChange+finCashFlowOtherCurrLiabChange</f>
        <v>332854631.8749733</v>
      </c>
      <c r="G210" s="1307">
        <f ca="1">finCashFlowAPChange+finCashFlowOtherCurrLiabChange</f>
        <v>332854631.8749733</v>
      </c>
      <c r="H210" s="1307">
        <f ca="1">finCashFlowAPChange+finCashFlowOtherCurrLiabChange</f>
        <v>332854631.8749733</v>
      </c>
      <c r="I210" s="1307">
        <f ca="1">finCashFlowAPChange+finCashFlowOtherCurrLiabChange</f>
        <v>332854631.8749733</v>
      </c>
    </row>
    <row r="211" spans="2:16">
      <c r="D211" s="38" t="s">
        <v>3691</v>
      </c>
      <c r="E211" s="1307">
        <f>finCashFlowInvest</f>
        <v>-999556000</v>
      </c>
      <c r="F211" s="1307">
        <f>finCashFlowInvest</f>
        <v>-999556000</v>
      </c>
      <c r="G211" s="1307">
        <f>finCashFlowInvest</f>
        <v>-999556000</v>
      </c>
      <c r="H211" s="1307">
        <f>finCashFlowInvest</f>
        <v>-999556000</v>
      </c>
      <c r="I211" s="1307">
        <f>finCashFlowInvest</f>
        <v>-999556000</v>
      </c>
    </row>
    <row r="212" spans="2:16">
      <c r="D212" s="38" t="s">
        <v>1225</v>
      </c>
      <c r="E212" s="1307">
        <f ca="1">finCashFlowFinance</f>
        <v>-1919599500</v>
      </c>
      <c r="F212" s="1307">
        <f ca="1">finCashFlowFinance</f>
        <v>-1919599500</v>
      </c>
      <c r="G212" s="1307">
        <f ca="1">finCashFlowFinance</f>
        <v>-1919599500</v>
      </c>
      <c r="H212" s="1307">
        <f ca="1">finCashFlowFinance</f>
        <v>-1919599500</v>
      </c>
      <c r="I212" s="1307">
        <f ca="1">finCashFlowFinance</f>
        <v>-1919599500</v>
      </c>
    </row>
    <row r="213" spans="2:16">
      <c r="D213" s="38" t="s">
        <v>3692</v>
      </c>
      <c r="E213" s="1059" t="e">
        <f>SUM(E205:E212)</f>
        <v>#NAME?</v>
      </c>
      <c r="F213" s="1059" t="e">
        <f>SUM(F205:F212)</f>
        <v>#NAME?</v>
      </c>
      <c r="G213" s="1059" t="e">
        <f>SUM(G205:G212)</f>
        <v>#NAME?</v>
      </c>
      <c r="H213" s="1059" t="e">
        <f>SUM(H205:H212)</f>
        <v>#NAME?</v>
      </c>
      <c r="I213" s="1059" t="e">
        <f>SUM(I205:I212)</f>
        <v>#NAME?</v>
      </c>
    </row>
    <row r="214" spans="2:16">
      <c r="D214" t="s">
        <v>1232</v>
      </c>
      <c r="E214" s="1305">
        <f ca="1">SUM(E206:E212)</f>
        <v>1735906930.6344213</v>
      </c>
      <c r="F214" s="1305">
        <f ca="1">SUM(F206:F212)</f>
        <v>1735906930.6344213</v>
      </c>
      <c r="G214" s="1305">
        <f ca="1">SUM(G206:G212)</f>
        <v>1735906930.6344213</v>
      </c>
      <c r="H214" s="1305">
        <f ca="1">SUM(H206:H212)</f>
        <v>1735906930.6344213</v>
      </c>
      <c r="I214" s="1305">
        <f ca="1">SUM(I206:I212)</f>
        <v>1735906930.6344213</v>
      </c>
    </row>
    <row r="216" spans="2:16">
      <c r="B216" s="2" t="s">
        <v>1946</v>
      </c>
      <c r="E216" t="str">
        <f>decTeamName</f>
        <v>Vivia</v>
      </c>
      <c r="F216" t="str">
        <f>decTeamName</f>
        <v>Vivia</v>
      </c>
      <c r="G216" t="str">
        <f>decTeamName</f>
        <v>Vivia</v>
      </c>
      <c r="H216" t="str">
        <f>decTeamName</f>
        <v>Vivia</v>
      </c>
      <c r="I216" t="str">
        <f>decTeamName</f>
        <v>Vivia</v>
      </c>
    </row>
    <row r="217" spans="2:16">
      <c r="D217" t="s">
        <v>3066</v>
      </c>
      <c r="E217" s="435">
        <f ca="1">finNOPATmargin</f>
        <v>0.14687593218570788</v>
      </c>
      <c r="F217" s="435">
        <f ca="1">finNOPATmargin</f>
        <v>0.14687593218570788</v>
      </c>
      <c r="G217" s="435">
        <f ca="1">finNOPATmargin</f>
        <v>0.14687593218570788</v>
      </c>
      <c r="H217" s="435">
        <f ca="1">finNOPATmargin</f>
        <v>0.14687593218570788</v>
      </c>
      <c r="I217" s="435">
        <f ca="1">finNOPATmargin</f>
        <v>0.14687593218570788</v>
      </c>
    </row>
    <row r="218" spans="2:16">
      <c r="D218" t="s">
        <v>1948</v>
      </c>
      <c r="E218" s="10">
        <f ca="1">finAssetTurnover</f>
        <v>2.61209104296054</v>
      </c>
      <c r="F218" s="10">
        <f ca="1">finAssetTurnover</f>
        <v>2.61209104296054</v>
      </c>
      <c r="G218" s="10">
        <f ca="1">finAssetTurnover</f>
        <v>2.61209104296054</v>
      </c>
      <c r="H218" s="10">
        <f ca="1">finAssetTurnover</f>
        <v>2.61209104296054</v>
      </c>
      <c r="I218" s="10">
        <f ca="1">finAssetTurnover</f>
        <v>2.61209104296054</v>
      </c>
      <c r="J218" s="435"/>
      <c r="K218" s="435"/>
      <c r="L218" s="435"/>
      <c r="M218" s="435"/>
      <c r="N218" s="435"/>
      <c r="O218" s="435"/>
      <c r="P218" s="435"/>
    </row>
    <row r="219" spans="2:16">
      <c r="D219" s="18"/>
      <c r="J219" s="10"/>
      <c r="K219" s="10"/>
      <c r="L219" s="10"/>
      <c r="M219" s="10"/>
      <c r="N219" s="10"/>
      <c r="O219" s="10"/>
    </row>
    <row r="220" spans="2:16">
      <c r="E220" t="s">
        <v>629</v>
      </c>
      <c r="F220" t="s">
        <v>630</v>
      </c>
      <c r="G220" t="s">
        <v>631</v>
      </c>
      <c r="H220" t="s">
        <v>1955</v>
      </c>
      <c r="I220" t="s">
        <v>628</v>
      </c>
    </row>
    <row r="221" spans="2:16">
      <c r="D221" t="s">
        <v>1947</v>
      </c>
      <c r="E221" s="435">
        <v>0.13200000000000001</v>
      </c>
      <c r="F221" s="435"/>
      <c r="G221" s="435">
        <v>3.9E-2</v>
      </c>
      <c r="H221" s="435">
        <v>8.8999999999999996E-2</v>
      </c>
      <c r="I221" s="435">
        <v>2.1999999999999999E-2</v>
      </c>
    </row>
    <row r="222" spans="2:16">
      <c r="D222" t="s">
        <v>1948</v>
      </c>
      <c r="E222" s="10">
        <v>0.93</v>
      </c>
      <c r="F222" s="10">
        <v>1.1052615197871116</v>
      </c>
      <c r="G222" s="10">
        <v>1.27</v>
      </c>
      <c r="H222" s="10">
        <v>0.65</v>
      </c>
      <c r="I222" s="10">
        <v>1.46</v>
      </c>
    </row>
    <row r="224" spans="2:16" ht="12.75">
      <c r="E224" s="786"/>
    </row>
    <row r="225" spans="2:9">
      <c r="B225" s="137" t="s">
        <v>2224</v>
      </c>
      <c r="E225" t="str">
        <f>decTeamName</f>
        <v>Vivia</v>
      </c>
      <c r="F225" t="str">
        <f>decTeamName</f>
        <v>Vivia</v>
      </c>
      <c r="G225" t="str">
        <f>decTeamName</f>
        <v>Vivia</v>
      </c>
      <c r="H225" t="str">
        <f>decTeamName</f>
        <v>Vivia</v>
      </c>
      <c r="I225" t="str">
        <f>decTeamName</f>
        <v>Vivia</v>
      </c>
    </row>
    <row r="226" spans="2:9" ht="12.75">
      <c r="D226" s="3" t="s">
        <v>319</v>
      </c>
      <c r="E226" s="846">
        <f>(adj!E211)</f>
        <v>0</v>
      </c>
      <c r="F226" s="846">
        <f>(adj!F211)</f>
        <v>0</v>
      </c>
      <c r="G226" s="846">
        <f>(adj!G211)</f>
        <v>0</v>
      </c>
      <c r="H226" s="846">
        <f>(adj!H211)</f>
        <v>0</v>
      </c>
      <c r="I226" s="846">
        <f>(adj!I211)</f>
        <v>0</v>
      </c>
    </row>
    <row r="227" spans="2:9" ht="12.75">
      <c r="D227" s="3" t="s">
        <v>320</v>
      </c>
      <c r="E227" s="846">
        <f>(adj!E219)</f>
        <v>0</v>
      </c>
      <c r="F227" s="846">
        <f>(adj!F219)</f>
        <v>0</v>
      </c>
      <c r="G227" s="846">
        <f>(adj!G219)</f>
        <v>0</v>
      </c>
      <c r="H227" s="846">
        <f>(adj!H219)</f>
        <v>0</v>
      </c>
      <c r="I227" s="846">
        <f>(adj!I219)</f>
        <v>0</v>
      </c>
    </row>
    <row r="228" spans="2:9" ht="12.75">
      <c r="D228" s="3" t="s">
        <v>321</v>
      </c>
      <c r="E228" s="846">
        <f>(adj!E237)</f>
        <v>0</v>
      </c>
      <c r="F228" s="846">
        <f>(adj!F237)</f>
        <v>0</v>
      </c>
      <c r="G228" s="846">
        <f>(adj!G237)</f>
        <v>0</v>
      </c>
      <c r="H228" s="846">
        <f>(adj!H237)</f>
        <v>0</v>
      </c>
      <c r="I228" s="846">
        <f>(adj!I237)</f>
        <v>0</v>
      </c>
    </row>
    <row r="229" spans="2:9" ht="12.75">
      <c r="D229" s="3" t="s">
        <v>322</v>
      </c>
      <c r="E229" s="846">
        <f>(adj!E227)</f>
        <v>0</v>
      </c>
      <c r="F229" s="846">
        <f>(adj!F227)</f>
        <v>0</v>
      </c>
      <c r="G229" s="846">
        <f>(adj!G227)</f>
        <v>0</v>
      </c>
      <c r="H229" s="846">
        <f>(adj!H227)</f>
        <v>0</v>
      </c>
      <c r="I229" s="846">
        <f>(adj!I227)</f>
        <v>0</v>
      </c>
    </row>
    <row r="230" spans="2:9" ht="12.75">
      <c r="D230" s="3" t="s">
        <v>1945</v>
      </c>
      <c r="E230" s="846">
        <f>SUMIF(adj!$C$327:$C$849,5,adj!E$327:E$849)</f>
        <v>0</v>
      </c>
      <c r="F230" s="846">
        <f>SUMIF(adj!$C$327:$C$849,5,adj!F$327:F$849)</f>
        <v>0</v>
      </c>
      <c r="G230" s="846">
        <f>SUMIF(adj!$C$327:$C$849,5,adj!G$327:G$849)</f>
        <v>0</v>
      </c>
      <c r="H230" s="846">
        <f>SUMIF(adj!$C$327:$C$849,5,adj!H$327:H$849)</f>
        <v>0</v>
      </c>
      <c r="I230" s="846">
        <f>SUMIF(adj!$C$327:$C$849,5,adj!I$327:I$849)</f>
        <v>0</v>
      </c>
    </row>
    <row r="231" spans="2:9" ht="12.75">
      <c r="E231" s="786"/>
    </row>
    <row r="232" spans="2:9">
      <c r="B232" s="2" t="s">
        <v>3688</v>
      </c>
      <c r="E232" t="str">
        <f>decTeamName</f>
        <v>Vivia</v>
      </c>
      <c r="F232" t="str">
        <f>decTeamName</f>
        <v>Vivia</v>
      </c>
      <c r="G232" t="str">
        <f>decTeamName</f>
        <v>Vivia</v>
      </c>
      <c r="H232" t="str">
        <f>decTeamName</f>
        <v>Vivia</v>
      </c>
      <c r="I232" t="str">
        <f>decTeamName</f>
        <v>Vivia</v>
      </c>
    </row>
    <row r="233" spans="2:9">
      <c r="B233" s="2"/>
      <c r="D233" t="s">
        <v>1396</v>
      </c>
      <c r="E233" s="526" t="e">
        <f>finPNLEBITDA</f>
        <v>#NAME?</v>
      </c>
      <c r="F233" s="526" t="e">
        <f>finPNLEBITDA</f>
        <v>#NAME?</v>
      </c>
      <c r="G233" s="526" t="e">
        <f>finPNLEBITDA</f>
        <v>#NAME?</v>
      </c>
      <c r="H233" s="526" t="e">
        <f>finPNLEBITDA</f>
        <v>#NAME?</v>
      </c>
      <c r="I233" s="526" t="e">
        <f>finPNLEBITDA</f>
        <v>#NAME?</v>
      </c>
    </row>
    <row r="234" spans="2:9">
      <c r="D234" s="38" t="s">
        <v>2899</v>
      </c>
      <c r="E234" s="100">
        <f ca="1">finCashFlowWorkCap</f>
        <v>244736883.93795121</v>
      </c>
      <c r="F234" s="100">
        <f ca="1">finCashFlowWorkCap</f>
        <v>244736883.93795121</v>
      </c>
      <c r="G234" s="100">
        <f ca="1">finCashFlowWorkCap</f>
        <v>244736883.93795121</v>
      </c>
      <c r="H234" s="100">
        <f ca="1">finCashFlowWorkCap</f>
        <v>244736883.93795121</v>
      </c>
      <c r="I234" s="100">
        <f ca="1">finCashFlowWorkCap</f>
        <v>244736883.93795121</v>
      </c>
    </row>
    <row r="235" spans="2:9">
      <c r="D235" s="38" t="s">
        <v>2369</v>
      </c>
      <c r="E235" s="100">
        <f>finCashFlowInvest</f>
        <v>-999556000</v>
      </c>
      <c r="F235" s="100">
        <f>finCashFlowInvest</f>
        <v>-999556000</v>
      </c>
      <c r="G235" s="100">
        <f>finCashFlowInvest</f>
        <v>-999556000</v>
      </c>
      <c r="H235" s="100">
        <f>finCashFlowInvest</f>
        <v>-999556000</v>
      </c>
      <c r="I235" s="100">
        <f>finCashFlowInvest</f>
        <v>-999556000</v>
      </c>
    </row>
    <row r="236" spans="2:9">
      <c r="D236" s="150" t="s">
        <v>3688</v>
      </c>
      <c r="E236" s="178" t="e">
        <f>SUM(E233:E235)</f>
        <v>#NAME?</v>
      </c>
      <c r="F236" s="178" t="e">
        <f>SUM(F233:F235)</f>
        <v>#NAME?</v>
      </c>
      <c r="G236" s="178" t="e">
        <f>SUM(G233:G235)</f>
        <v>#NAME?</v>
      </c>
      <c r="H236" s="178" t="e">
        <f>SUM(H233:H235)</f>
        <v>#NAME?</v>
      </c>
      <c r="I236" s="178" t="e">
        <f>SUM(I233:I235)</f>
        <v>#NAME?</v>
      </c>
    </row>
    <row r="237" spans="2:9">
      <c r="D237" s="38"/>
      <c r="E237" s="100"/>
      <c r="F237" s="100"/>
      <c r="G237" s="100"/>
      <c r="H237" s="100"/>
      <c r="I237" s="100"/>
    </row>
    <row r="238" spans="2:9">
      <c r="B238" s="2" t="s">
        <v>797</v>
      </c>
      <c r="E238" t="str">
        <f>decTeamName</f>
        <v>Vivia</v>
      </c>
      <c r="F238" t="str">
        <f>decTeamName</f>
        <v>Vivia</v>
      </c>
      <c r="G238" t="str">
        <f>decTeamName</f>
        <v>Vivia</v>
      </c>
      <c r="H238" t="str">
        <f>decTeamName</f>
        <v>Vivia</v>
      </c>
      <c r="I238" t="str">
        <f>decTeamName</f>
        <v>Vivia</v>
      </c>
    </row>
    <row r="239" spans="2:9">
      <c r="D239" s="3" t="s">
        <v>3541</v>
      </c>
      <c r="E239" s="398" t="e">
        <f>analyVolume</f>
        <v>#NAME?</v>
      </c>
      <c r="F239" s="398" t="e">
        <f>analyVolume</f>
        <v>#NAME?</v>
      </c>
      <c r="G239" s="398" t="e">
        <f>analyVolume</f>
        <v>#NAME?</v>
      </c>
      <c r="H239" s="398" t="e">
        <f>analyVolume</f>
        <v>#NAME?</v>
      </c>
      <c r="I239" s="398" t="e">
        <f>analyVolume</f>
        <v>#NAME?</v>
      </c>
    </row>
    <row r="240" spans="2:9">
      <c r="D240" s="38" t="s">
        <v>2774</v>
      </c>
      <c r="E240" s="100"/>
      <c r="F240" s="100"/>
      <c r="G240" s="100"/>
      <c r="H240" s="100"/>
      <c r="I240" s="100"/>
    </row>
    <row r="241" spans="2:9">
      <c r="D241" s="38"/>
      <c r="E241" s="524"/>
      <c r="F241" s="524"/>
      <c r="G241" s="524"/>
      <c r="H241" s="524"/>
      <c r="I241" s="524"/>
    </row>
    <row r="242" spans="2:9">
      <c r="B242" s="2" t="s">
        <v>2823</v>
      </c>
      <c r="E242" t="str">
        <f>decTeamName</f>
        <v>Vivia</v>
      </c>
      <c r="F242" t="str">
        <f>decTeamName</f>
        <v>Vivia</v>
      </c>
      <c r="G242" t="str">
        <f>decTeamName</f>
        <v>Vivia</v>
      </c>
      <c r="H242" t="str">
        <f>decTeamName</f>
        <v>Vivia</v>
      </c>
      <c r="I242" t="str">
        <f>decTeamName</f>
        <v>Vivia</v>
      </c>
    </row>
    <row r="243" spans="2:9">
      <c r="B243" s="2"/>
      <c r="D243" t="s">
        <v>326</v>
      </c>
      <c r="E243" s="526" t="e">
        <f>obalAR=DataNameProd3-cbalAR=DataNameProd3</f>
        <v>#NAME?</v>
      </c>
      <c r="F243" s="526" t="e">
        <f>obalAR=DataNameProd3-cbalAR=DataNameProd3</f>
        <v>#NAME?</v>
      </c>
      <c r="G243" s="526" t="e">
        <f>obalAR=DataNameProd3-cbalAR=DataNameProd3</f>
        <v>#NAME?</v>
      </c>
      <c r="H243" s="526" t="e">
        <f>obalAR=DataNameProd3-cbalAR=DataNameProd3</f>
        <v>#NAME?</v>
      </c>
      <c r="I243" s="526" t="e">
        <f>obalAR=DataNameProd3-cbalAR=DataNameProd3</f>
        <v>#NAME?</v>
      </c>
    </row>
    <row r="244" spans="2:9">
      <c r="D244" s="38" t="s">
        <v>1286</v>
      </c>
      <c r="E244" s="526" t="e">
        <f>obalReg1Mat=DataNameProd3+obalReg2Mat=DataNameProd3-cbalReg1Mat=DataNameProd3-cbalReg2Mat=DataNameProd3</f>
        <v>#NAME?</v>
      </c>
      <c r="F244" s="526" t="e">
        <f>obalReg1Mat=DataNameProd3+obalReg2Mat=DataNameProd3-cbalReg1Mat=DataNameProd3-cbalReg2Mat=DataNameProd3</f>
        <v>#NAME?</v>
      </c>
      <c r="G244" s="526" t="e">
        <f>obalReg1Mat=DataNameProd3+obalReg2Mat=DataNameProd3-cbalReg1Mat=DataNameProd3-cbalReg2Mat=DataNameProd3</f>
        <v>#NAME?</v>
      </c>
      <c r="H244" s="526" t="e">
        <f>obalReg1Mat=DataNameProd3+obalReg2Mat=DataNameProd3-cbalReg1Mat=DataNameProd3-cbalReg2Mat=DataNameProd3</f>
        <v>#NAME?</v>
      </c>
      <c r="I244" s="526" t="e">
        <f>obalReg1Mat=DataNameProd3+obalReg2Mat=DataNameProd3-cbalReg1Mat=DataNameProd3-cbalReg2Mat=DataNameProd3</f>
        <v>#NAME?</v>
      </c>
    </row>
    <row r="245" spans="2:9">
      <c r="D245" s="38" t="s">
        <v>2824</v>
      </c>
      <c r="E245" s="526" t="e">
        <f>obalReg1WIP=DataNameProd3+obalReg2WIP=DataNameProd3-cbalReg1WIP=DataNameProd3-cbalReg2WIP=DataNameProd3</f>
        <v>#NAME?</v>
      </c>
      <c r="F245" s="526" t="e">
        <f>obalReg1WIP=DataNameProd3+obalReg2WIP=DataNameProd3-cbalReg1WIP=DataNameProd3-cbalReg2WIP=DataNameProd3</f>
        <v>#NAME?</v>
      </c>
      <c r="G245" s="526" t="e">
        <f>obalReg1WIP=DataNameProd3+obalReg2WIP=DataNameProd3-cbalReg1WIP=DataNameProd3-cbalReg2WIP=DataNameProd3</f>
        <v>#NAME?</v>
      </c>
      <c r="H245" s="526" t="e">
        <f>obalReg1WIP=DataNameProd3+obalReg2WIP=DataNameProd3-cbalReg1WIP=DataNameProd3-cbalReg2WIP=DataNameProd3</f>
        <v>#NAME?</v>
      </c>
      <c r="I245" s="526" t="e">
        <f>obalReg1WIP=DataNameProd3+obalReg2WIP=DataNameProd3-cbalReg1WIP=DataNameProd3-cbalReg2WIP=DataNameProd3</f>
        <v>#NAME?</v>
      </c>
    </row>
    <row r="246" spans="2:9">
      <c r="D246" s="150" t="s">
        <v>2825</v>
      </c>
      <c r="E246" s="526" t="e">
        <f>obalReg1FG=DataNameProd3+obalReg2FG=DataNameProd3-cbalReg1FG=DataNameProd3-cbalReg2FG=DataNameProd3</f>
        <v>#NAME?</v>
      </c>
      <c r="F246" s="526" t="e">
        <f>obalReg1FG=DataNameProd3+obalReg2FG=DataNameProd3-cbalReg1FG=DataNameProd3-cbalReg2FG=DataNameProd3</f>
        <v>#NAME?</v>
      </c>
      <c r="G246" s="526" t="e">
        <f>obalReg1FG=DataNameProd3+obalReg2FG=DataNameProd3-cbalReg1FG=DataNameProd3-cbalReg2FG=DataNameProd3</f>
        <v>#NAME?</v>
      </c>
      <c r="H246" s="526" t="e">
        <f>obalReg1FG=DataNameProd3+obalReg2FG=DataNameProd3-cbalReg1FG=DataNameProd3-cbalReg2FG=DataNameProd3</f>
        <v>#NAME?</v>
      </c>
      <c r="I246" s="526" t="e">
        <f>obalReg1FG=DataNameProd3+obalReg2FG=DataNameProd3-cbalReg1FG=DataNameProd3-cbalReg2FG=DataNameProd3</f>
        <v>#NAME?</v>
      </c>
    </row>
    <row r="247" spans="2:9">
      <c r="D247" s="150" t="s">
        <v>327</v>
      </c>
      <c r="E247" s="526" t="e">
        <f>cbalAP=DataNameProd3-obalAP=DataNameProd3+cbalOtherCurrLiab=DataNameProd3-obalOtherCurrLiab=DataNameProd3</f>
        <v>#NAME?</v>
      </c>
      <c r="F247" s="526" t="e">
        <f>cbalAP=DataNameProd3-obalAP=DataNameProd3+cbalOtherCurrLiab=DataNameProd3-obalOtherCurrLiab=DataNameProd3</f>
        <v>#NAME?</v>
      </c>
      <c r="G247" s="526" t="e">
        <f>cbalAP=DataNameProd3-obalAP=DataNameProd3+cbalOtherCurrLiab=DataNameProd3-obalOtherCurrLiab=DataNameProd3</f>
        <v>#NAME?</v>
      </c>
      <c r="H247" s="526" t="e">
        <f>cbalAP=DataNameProd3-obalAP=DataNameProd3+cbalOtherCurrLiab=DataNameProd3-obalOtherCurrLiab=DataNameProd3</f>
        <v>#NAME?</v>
      </c>
      <c r="I247" s="526" t="e">
        <f>cbalAP=DataNameProd3-obalAP=DataNameProd3+cbalOtherCurrLiab=DataNameProd3-obalOtherCurrLiab=DataNameProd3</f>
        <v>#NAME?</v>
      </c>
    </row>
    <row r="248" spans="2:9">
      <c r="D248" s="150" t="s">
        <v>2377</v>
      </c>
      <c r="E248" s="899" t="e">
        <f>SUM(E243:E247)</f>
        <v>#NAME?</v>
      </c>
      <c r="F248" s="899" t="e">
        <f>SUM(F243:F247)</f>
        <v>#NAME?</v>
      </c>
      <c r="G248" s="899" t="e">
        <f>SUM(G243:G247)</f>
        <v>#NAME?</v>
      </c>
      <c r="H248" s="899" t="e">
        <f>SUM(H243:H247)</f>
        <v>#NAME?</v>
      </c>
      <c r="I248" s="899" t="e">
        <f>SUM(I243:I247)</f>
        <v>#NAME?</v>
      </c>
    </row>
    <row r="250" spans="2:9">
      <c r="B250" s="2" t="s">
        <v>2827</v>
      </c>
      <c r="E250" t="str">
        <f>decTeamName</f>
        <v>Vivia</v>
      </c>
      <c r="F250" t="str">
        <f>decTeamName</f>
        <v>Vivia</v>
      </c>
      <c r="G250" t="str">
        <f>decTeamName</f>
        <v>Vivia</v>
      </c>
      <c r="H250" t="str">
        <f>decTeamName</f>
        <v>Vivia</v>
      </c>
      <c r="I250" t="str">
        <f>decTeamName</f>
        <v>Vivia</v>
      </c>
    </row>
    <row r="251" spans="2:9">
      <c r="D251" t="s">
        <v>2828</v>
      </c>
      <c r="E251" s="151" t="e">
        <f>(cbalAR=DataNameProd3/finPNLRev)*365</f>
        <v>#NAME?</v>
      </c>
      <c r="F251" s="151" t="e">
        <f>(cbalAR=DataNameProd3/finPNLRev)*365</f>
        <v>#NAME?</v>
      </c>
      <c r="G251" s="151" t="e">
        <f>(cbalAR=DataNameProd3/finPNLRev)*365</f>
        <v>#NAME?</v>
      </c>
      <c r="H251" s="151" t="e">
        <f>(cbalAR=DataNameProd3/finPNLRev)*365</f>
        <v>#NAME?</v>
      </c>
      <c r="I251" s="151" t="e">
        <f>(cbalAR=DataNameProd3/finPNLRev)*365</f>
        <v>#NAME?</v>
      </c>
    </row>
    <row r="252" spans="2:9">
      <c r="D252" t="s">
        <v>2829</v>
      </c>
      <c r="E252" s="151" t="e">
        <f>cbalAR=DataNameProd3/E251</f>
        <v>#NAME?</v>
      </c>
      <c r="F252" s="151" t="e">
        <f>cbalAR=DataNameProd3/F251</f>
        <v>#NAME?</v>
      </c>
      <c r="G252" s="151" t="e">
        <f>cbalAR=DataNameProd3/G251</f>
        <v>#NAME?</v>
      </c>
      <c r="H252" s="151" t="e">
        <f>cbalAR=DataNameProd3/H251</f>
        <v>#NAME?</v>
      </c>
      <c r="I252" s="151" t="e">
        <f>cbalAR=DataNameProd3/I251</f>
        <v>#NAME?</v>
      </c>
    </row>
    <row r="255" spans="2:9">
      <c r="B255" s="2" t="s">
        <v>3343</v>
      </c>
      <c r="E255" t="str">
        <f>decTeamName</f>
        <v>Vivia</v>
      </c>
      <c r="F255" t="str">
        <f>decTeamName</f>
        <v>Vivia</v>
      </c>
      <c r="G255" t="str">
        <f>decTeamName</f>
        <v>Vivia</v>
      </c>
      <c r="H255" t="str">
        <f>decTeamName</f>
        <v>Vivia</v>
      </c>
      <c r="I255" t="str">
        <f>decTeamName</f>
        <v>Vivia</v>
      </c>
    </row>
    <row r="256" spans="2:9">
      <c r="D256" t="s">
        <v>1286</v>
      </c>
      <c r="E256" s="10">
        <f>capProd1COGSPUnitMat</f>
        <v>2.3189045275850999</v>
      </c>
      <c r="F256" s="10">
        <f>capProd1COGSPUnitMat</f>
        <v>2.3189045275850999</v>
      </c>
      <c r="G256" s="10">
        <f>capProd1COGSPUnitMat</f>
        <v>2.3189045275850999</v>
      </c>
      <c r="H256" s="10">
        <f>capProd1COGSPUnitMat</f>
        <v>2.3189045275850999</v>
      </c>
      <c r="I256" s="10">
        <f>capProd1COGSPUnitMat</f>
        <v>2.3189045275850999</v>
      </c>
    </row>
    <row r="257" spans="2:9">
      <c r="D257" t="s">
        <v>1287</v>
      </c>
      <c r="E257" s="10">
        <f>capReg1Prod1CostPUnitEmp3</f>
        <v>1.5168384461231603</v>
      </c>
      <c r="F257" s="10">
        <f>capReg1Prod1CostPUnitEmp3</f>
        <v>1.5168384461231603</v>
      </c>
      <c r="G257" s="10">
        <f>capReg1Prod1CostPUnitEmp3</f>
        <v>1.5168384461231603</v>
      </c>
      <c r="H257" s="10">
        <f>capReg1Prod1CostPUnitEmp3</f>
        <v>1.5168384461231603</v>
      </c>
      <c r="I257" s="10">
        <f>capReg1Prod1CostPUnitEmp3</f>
        <v>1.5168384461231603</v>
      </c>
    </row>
    <row r="258" spans="2:9">
      <c r="D258" t="s">
        <v>1288</v>
      </c>
      <c r="E258" s="10">
        <f ca="1">capProd1COGSPUnitPlant1</f>
        <v>8.8978198203173986E-4</v>
      </c>
      <c r="F258" s="10">
        <f ca="1">capProd1COGSPUnitPlant1</f>
        <v>8.8978198203173986E-4</v>
      </c>
      <c r="G258" s="10">
        <f ca="1">capProd1COGSPUnitPlant1</f>
        <v>8.8978198203173986E-4</v>
      </c>
      <c r="H258" s="10">
        <f ca="1">capProd1COGSPUnitPlant1</f>
        <v>8.8978198203173986E-4</v>
      </c>
      <c r="I258" s="10">
        <f ca="1">capProd1COGSPUnitPlant1</f>
        <v>8.8978198203173986E-4</v>
      </c>
    </row>
    <row r="259" spans="2:9">
      <c r="D259" t="s">
        <v>3796</v>
      </c>
      <c r="E259" s="10">
        <f>paramReg1Prod1DistCostPUnit</f>
        <v>0.84305082862924008</v>
      </c>
      <c r="F259" s="10">
        <f>paramReg1Prod1DistCostPUnit</f>
        <v>0.84305082862924008</v>
      </c>
      <c r="G259" s="10">
        <f>paramReg1Prod1DistCostPUnit</f>
        <v>0.84305082862924008</v>
      </c>
      <c r="H259" s="10">
        <f>paramReg1Prod1DistCostPUnit</f>
        <v>0.84305082862924008</v>
      </c>
      <c r="I259" s="10">
        <f>paramReg1Prod1DistCostPUnit</f>
        <v>0.84305082862924008</v>
      </c>
    </row>
    <row r="260" spans="2:9">
      <c r="D260" t="s">
        <v>2086</v>
      </c>
      <c r="E260" s="10">
        <f>(finPNLReg1Prod1COGSRoyExp)/(capReg1Prod1UnitsProduction)</f>
        <v>0</v>
      </c>
      <c r="F260" s="10">
        <f>(finPNLReg1Prod1COGSRoyExp)/(capReg1Prod1UnitsProduction)</f>
        <v>0</v>
      </c>
      <c r="G260" s="10">
        <f>(finPNLReg1Prod1COGSRoyExp)/(capReg1Prod1UnitsProduction)</f>
        <v>0</v>
      </c>
      <c r="H260" s="10">
        <f>(finPNLReg1Prod1COGSRoyExp)/(capReg1Prod1UnitsProduction)</f>
        <v>0</v>
      </c>
      <c r="I260" s="10">
        <f>(finPNLReg1Prod1COGSRoyExp)/(capReg1Prod1UnitsProduction)</f>
        <v>0</v>
      </c>
    </row>
    <row r="261" spans="2:9">
      <c r="D261" t="s">
        <v>3146</v>
      </c>
      <c r="E261" s="18">
        <f ca="1">((capProd1Reg1Price)-SUM(E256:E260))</f>
        <v>4.8203164156804679</v>
      </c>
      <c r="F261" s="18">
        <f ca="1">((capProd1Reg1Price)-SUM(F256:F260))</f>
        <v>4.8203164156804679</v>
      </c>
      <c r="G261" s="18">
        <f ca="1">((capProd1Reg1Price)-SUM(G256:G260))</f>
        <v>4.8203164156804679</v>
      </c>
      <c r="H261" s="18">
        <f ca="1">((capProd1Reg1Price)-SUM(H256:H260))</f>
        <v>4.8203164156804679</v>
      </c>
      <c r="I261" s="18">
        <f ca="1">((capProd1Reg1Price)-SUM(I256:I260))</f>
        <v>4.8203164156804679</v>
      </c>
    </row>
    <row r="262" spans="2:9">
      <c r="D262" t="s">
        <v>3067</v>
      </c>
      <c r="E262" s="435">
        <f ca="1">E261/((capProd1Reg1Price+capProd1Reg2Price)/2)</f>
        <v>0.58428077765823849</v>
      </c>
      <c r="F262" s="435">
        <f ca="1">F261/((capProd1Reg1Price+capProd1Reg2Price)/2)</f>
        <v>0.58428077765823849</v>
      </c>
      <c r="G262" s="435">
        <f ca="1">G261/((capProd1Reg1Price+capProd1Reg2Price)/2)</f>
        <v>0.58428077765823849</v>
      </c>
      <c r="H262" s="435">
        <f ca="1">H261/((capProd1Reg1Price+capProd1Reg2Price)/2)</f>
        <v>0.58428077765823849</v>
      </c>
      <c r="I262" s="435">
        <f ca="1">I261/((capProd1Reg1Price+capProd1Reg2Price)/2)</f>
        <v>0.58428077765823849</v>
      </c>
    </row>
    <row r="263" spans="2:9">
      <c r="E263" s="435"/>
      <c r="F263" s="435"/>
      <c r="G263" s="435"/>
      <c r="H263" s="435"/>
      <c r="I263" s="435"/>
    </row>
    <row r="264" spans="2:9">
      <c r="B264" s="2" t="s">
        <v>1523</v>
      </c>
      <c r="E264" t="str">
        <f>decTeamName</f>
        <v>Vivia</v>
      </c>
      <c r="F264" t="str">
        <f>decTeamName</f>
        <v>Vivia</v>
      </c>
      <c r="G264" t="str">
        <f>decTeamName</f>
        <v>Vivia</v>
      </c>
      <c r="H264" t="str">
        <f>decTeamName</f>
        <v>Vivia</v>
      </c>
      <c r="I264" t="str">
        <f>decTeamName</f>
        <v>Vivia</v>
      </c>
    </row>
    <row r="265" spans="2:9">
      <c r="D265" t="s">
        <v>3640</v>
      </c>
      <c r="E265" s="11">
        <f ca="1">finPNLReg1Prod1COGSExp</f>
        <v>3010840282.912796</v>
      </c>
      <c r="F265" s="11">
        <f ca="1">finPNLReg1Prod1COGSExp</f>
        <v>3010840282.912796</v>
      </c>
      <c r="G265" s="11">
        <f ca="1">finPNLReg1Prod1COGSExp</f>
        <v>3010840282.912796</v>
      </c>
      <c r="H265" s="11">
        <f ca="1">finPNLReg1Prod1COGSExp</f>
        <v>3010840282.912796</v>
      </c>
      <c r="I265" s="11">
        <f ca="1">finPNLReg1Prod1COGSExp</f>
        <v>3010840282.912796</v>
      </c>
    </row>
    <row r="266" spans="2:9">
      <c r="D266" t="s">
        <v>173</v>
      </c>
      <c r="E266" s="11">
        <f ca="1">finPNLReg1Prod1SGAExp</f>
        <v>1512181189.4788702</v>
      </c>
      <c r="F266" s="11">
        <f ca="1">finPNLReg1Prod1SGAExp</f>
        <v>1512181189.4788702</v>
      </c>
      <c r="G266" s="11">
        <f ca="1">finPNLReg1Prod1SGAExp</f>
        <v>1512181189.4788702</v>
      </c>
      <c r="H266" s="11">
        <f ca="1">finPNLReg1Prod1SGAExp</f>
        <v>1512181189.4788702</v>
      </c>
      <c r="I266" s="11">
        <f ca="1">finPNLReg1Prod1SGAExp</f>
        <v>1512181189.4788702</v>
      </c>
    </row>
    <row r="267" spans="2:9">
      <c r="D267" t="s">
        <v>172</v>
      </c>
      <c r="E267" s="11">
        <f>finPNLReg1Prod1RandDExp</f>
        <v>51678884.4444988</v>
      </c>
      <c r="F267" s="11">
        <f>finPNLReg1Prod1RandDExp</f>
        <v>51678884.4444988</v>
      </c>
      <c r="G267" s="11">
        <f>finPNLReg1Prod1RandDExp</f>
        <v>51678884.4444988</v>
      </c>
      <c r="H267" s="11">
        <f>finPNLReg1Prod1RandDExp</f>
        <v>51678884.4444988</v>
      </c>
      <c r="I267" s="11">
        <f>finPNLReg1Prod1RandDExp</f>
        <v>51678884.4444988</v>
      </c>
    </row>
    <row r="268" spans="2:9">
      <c r="D268" t="s">
        <v>1906</v>
      </c>
      <c r="E268" s="11">
        <f ca="1">finPNLReg1Prod1OtherOpExp</f>
        <v>0</v>
      </c>
      <c r="F268" s="11">
        <f ca="1">finPNLReg1Prod1OtherOpExp</f>
        <v>0</v>
      </c>
      <c r="G268" s="11">
        <f ca="1">finPNLReg1Prod1OtherOpExp</f>
        <v>0</v>
      </c>
      <c r="H268" s="11">
        <f ca="1">finPNLReg1Prod1OtherOpExp</f>
        <v>0</v>
      </c>
      <c r="I268" s="11">
        <f ca="1">finPNLReg1Prod1OtherOpExp</f>
        <v>0</v>
      </c>
    </row>
    <row r="269" spans="2:9">
      <c r="D269" s="26" t="s">
        <v>1563</v>
      </c>
      <c r="E269" s="901">
        <f>finPNLReg1Prod1COGSDepExp</f>
        <v>165155720.81052986</v>
      </c>
      <c r="F269" s="901">
        <f>finPNLReg1Prod1COGSDepExp</f>
        <v>165155720.81052986</v>
      </c>
      <c r="G269" s="901">
        <f>finPNLReg1Prod1COGSDepExp</f>
        <v>165155720.81052986</v>
      </c>
      <c r="H269" s="901">
        <f>finPNLReg1Prod1COGSDepExp</f>
        <v>165155720.81052986</v>
      </c>
      <c r="I269" s="901">
        <f>finPNLReg1Prod1COGSDepExp</f>
        <v>165155720.81052986</v>
      </c>
    </row>
    <row r="270" spans="2:9">
      <c r="D270" t="s">
        <v>1396</v>
      </c>
      <c r="E270" s="11">
        <f ca="1">(finPNLReg1Prod1Rev)-SUM(E265:E268)</f>
        <v>2471573342.6638346</v>
      </c>
      <c r="F270" s="11">
        <f ca="1">(finPNLReg1Prod1Rev)-SUM(F265:F268)</f>
        <v>2471573342.6638346</v>
      </c>
      <c r="G270" s="11">
        <f ca="1">(finPNLReg1Prod1Rev)-SUM(G265:G268)</f>
        <v>2471573342.6638346</v>
      </c>
      <c r="H270" s="11">
        <f ca="1">(finPNLReg1Prod1Rev)-SUM(H265:H268)</f>
        <v>2471573342.6638346</v>
      </c>
      <c r="I270" s="11">
        <f ca="1">(finPNLReg1Prod1Rev)-SUM(I265:I268)</f>
        <v>2471573342.6638346</v>
      </c>
    </row>
    <row r="271" spans="2:9">
      <c r="D271" t="s">
        <v>3063</v>
      </c>
      <c r="E271" s="435">
        <f ca="1">E270/(finPNLReg1Prod1NetRev)</f>
        <v>0.44164625881051128</v>
      </c>
      <c r="F271" s="435">
        <f ca="1">F270/(finPNLReg1Prod1NetRev)</f>
        <v>0.44164625881051128</v>
      </c>
      <c r="G271" s="435">
        <f ca="1">G270/(finPNLReg1Prod1NetRev)</f>
        <v>0.44164625881051128</v>
      </c>
      <c r="H271" s="435">
        <f ca="1">H270/(finPNLReg1Prod1NetRev)</f>
        <v>0.44164625881051128</v>
      </c>
      <c r="I271" s="435">
        <f ca="1">I270/(finPNLReg1Prod1NetRev)</f>
        <v>0.44164625881051128</v>
      </c>
    </row>
    <row r="272" spans="2:9">
      <c r="E272" s="435"/>
      <c r="F272" s="435"/>
      <c r="G272" s="435"/>
      <c r="H272" s="435"/>
      <c r="I272" s="435"/>
    </row>
    <row r="274" spans="2:9">
      <c r="B274" s="2" t="s">
        <v>3344</v>
      </c>
      <c r="E274" t="str">
        <f>decTeamName</f>
        <v>Vivia</v>
      </c>
      <c r="F274" t="str">
        <f>decTeamName</f>
        <v>Vivia</v>
      </c>
      <c r="G274" t="str">
        <f>decTeamName</f>
        <v>Vivia</v>
      </c>
      <c r="H274" t="str">
        <f>decTeamName</f>
        <v>Vivia</v>
      </c>
      <c r="I274" t="str">
        <f>decTeamName</f>
        <v>Vivia</v>
      </c>
    </row>
    <row r="275" spans="2:9">
      <c r="D275" t="s">
        <v>1286</v>
      </c>
      <c r="E275" s="10">
        <f>capProd1COGSPUnitMat</f>
        <v>2.3189045275850999</v>
      </c>
      <c r="F275" s="10">
        <f>capProd1COGSPUnitMat</f>
        <v>2.3189045275850999</v>
      </c>
      <c r="G275" s="10">
        <f>capProd1COGSPUnitMat</f>
        <v>2.3189045275850999</v>
      </c>
      <c r="H275" s="10">
        <f>capProd1COGSPUnitMat</f>
        <v>2.3189045275850999</v>
      </c>
      <c r="I275" s="10">
        <f>capProd1COGSPUnitMat</f>
        <v>2.3189045275850999</v>
      </c>
    </row>
    <row r="276" spans="2:9">
      <c r="D276" t="s">
        <v>1287</v>
      </c>
      <c r="E276" s="10">
        <f>capReg2Prod1CostPUnitEmp3</f>
        <v>0.40686197998307172</v>
      </c>
      <c r="F276" s="10">
        <f>capReg2Prod1CostPUnitEmp3</f>
        <v>0.40686197998307172</v>
      </c>
      <c r="G276" s="10">
        <f>capReg2Prod1CostPUnitEmp3</f>
        <v>0.40686197998307172</v>
      </c>
      <c r="H276" s="10">
        <f>capReg2Prod1CostPUnitEmp3</f>
        <v>0.40686197998307172</v>
      </c>
      <c r="I276" s="10">
        <f>capReg2Prod1CostPUnitEmp3</f>
        <v>0.40686197998307172</v>
      </c>
    </row>
    <row r="277" spans="2:9">
      <c r="D277" t="s">
        <v>1288</v>
      </c>
      <c r="E277" s="10">
        <f ca="1">capProd1COGSPUnitPlant1</f>
        <v>8.8978198203173986E-4</v>
      </c>
      <c r="F277" s="10">
        <f ca="1">capProd1COGSPUnitPlant1</f>
        <v>8.8978198203173986E-4</v>
      </c>
      <c r="G277" s="10">
        <f ca="1">capProd1COGSPUnitPlant1</f>
        <v>8.8978198203173986E-4</v>
      </c>
      <c r="H277" s="10">
        <f ca="1">capProd1COGSPUnitPlant1</f>
        <v>8.8978198203173986E-4</v>
      </c>
      <c r="I277" s="10">
        <f ca="1">capProd1COGSPUnitPlant1</f>
        <v>8.8978198203173986E-4</v>
      </c>
    </row>
    <row r="278" spans="2:9">
      <c r="D278" t="s">
        <v>3796</v>
      </c>
      <c r="E278" s="10">
        <f>paramReg2Prod1DistCostPUnit</f>
        <v>0.94617817917480518</v>
      </c>
      <c r="F278" s="10">
        <f>paramReg2Prod1DistCostPUnit</f>
        <v>0.94617817917480518</v>
      </c>
      <c r="G278" s="10">
        <f>paramReg2Prod1DistCostPUnit</f>
        <v>0.94617817917480518</v>
      </c>
      <c r="H278" s="10">
        <f>paramReg2Prod1DistCostPUnit</f>
        <v>0.94617817917480518</v>
      </c>
      <c r="I278" s="10">
        <f>paramReg2Prod1DistCostPUnit</f>
        <v>0.94617817917480518</v>
      </c>
    </row>
    <row r="279" spans="2:9">
      <c r="D279" t="s">
        <v>2086</v>
      </c>
      <c r="E279" s="10">
        <f>(finPNLReg2Prod1COGSRoyExp)/(capReg2Prod1UnitsProduction)</f>
        <v>0</v>
      </c>
      <c r="F279" s="10">
        <f>(finPNLReg2Prod1COGSRoyExp)/(capReg2Prod1UnitsProduction)</f>
        <v>0</v>
      </c>
      <c r="G279" s="10">
        <f>(finPNLReg2Prod1COGSRoyExp)/(capReg2Prod1UnitsProduction)</f>
        <v>0</v>
      </c>
      <c r="H279" s="10">
        <f>(finPNLReg2Prod1COGSRoyExp)/(capReg2Prod1UnitsProduction)</f>
        <v>0</v>
      </c>
      <c r="I279" s="10">
        <f>(finPNLReg2Prod1COGSRoyExp)/(capReg2Prod1UnitsProduction)</f>
        <v>0</v>
      </c>
    </row>
    <row r="280" spans="2:9">
      <c r="D280" t="s">
        <v>3146</v>
      </c>
      <c r="E280" s="18">
        <f ca="1">((capProd1Reg2Price)-SUM(E275:E279))</f>
        <v>3.327165531274991</v>
      </c>
      <c r="F280" s="18">
        <f ca="1">((capProd1Reg2Price)-SUM(F275:F279))</f>
        <v>3.327165531274991</v>
      </c>
      <c r="G280" s="18">
        <f ca="1">((capProd1Reg2Price)-SUM(G275:G279))</f>
        <v>3.327165531274991</v>
      </c>
      <c r="H280" s="18">
        <f ca="1">((capProd1Reg2Price)-SUM(H275:H279))</f>
        <v>3.327165531274991</v>
      </c>
      <c r="I280" s="18">
        <f ca="1">((capProd1Reg2Price)-SUM(I275:I279))</f>
        <v>3.327165531274991</v>
      </c>
    </row>
    <row r="281" spans="2:9">
      <c r="D281" t="s">
        <v>3067</v>
      </c>
      <c r="E281" s="435">
        <f ca="1">E280/((capProd1Reg2Price+capProd1Reg2Price)/2)</f>
        <v>0.47530936161071302</v>
      </c>
      <c r="F281" s="435">
        <f ca="1">F280/((capProd1Reg2Price+capProd1Reg2Price)/2)</f>
        <v>0.47530936161071302</v>
      </c>
      <c r="G281" s="435">
        <f ca="1">G280/((capProd1Reg2Price+capProd1Reg2Price)/2)</f>
        <v>0.47530936161071302</v>
      </c>
      <c r="H281" s="435">
        <f ca="1">H280/((capProd1Reg2Price+capProd1Reg2Price)/2)</f>
        <v>0.47530936161071302</v>
      </c>
      <c r="I281" s="435">
        <f ca="1">I280/((capProd1Reg2Price+capProd1Reg2Price)/2)</f>
        <v>0.47530936161071302</v>
      </c>
    </row>
    <row r="282" spans="2:9">
      <c r="E282" s="435"/>
      <c r="F282" s="435"/>
      <c r="G282" s="435"/>
      <c r="H282" s="435"/>
      <c r="I282" s="435"/>
    </row>
    <row r="283" spans="2:9">
      <c r="B283" s="2" t="s">
        <v>1524</v>
      </c>
      <c r="E283" t="str">
        <f>decTeamName</f>
        <v>Vivia</v>
      </c>
      <c r="F283" t="str">
        <f>decTeamName</f>
        <v>Vivia</v>
      </c>
      <c r="G283" t="str">
        <f>decTeamName</f>
        <v>Vivia</v>
      </c>
      <c r="H283" t="str">
        <f>decTeamName</f>
        <v>Vivia</v>
      </c>
      <c r="I283" t="str">
        <f>decTeamName</f>
        <v>Vivia</v>
      </c>
    </row>
    <row r="284" spans="2:9">
      <c r="D284" t="s">
        <v>3640</v>
      </c>
      <c r="E284" s="11">
        <f ca="1">finPNLReg2Prod1COGSExp</f>
        <v>1052319877.9526795</v>
      </c>
      <c r="F284" s="11">
        <f ca="1">finPNLReg2Prod1COGSExp</f>
        <v>1052319877.9526795</v>
      </c>
      <c r="G284" s="11">
        <f ca="1">finPNLReg2Prod1COGSExp</f>
        <v>1052319877.9526795</v>
      </c>
      <c r="H284" s="11">
        <f ca="1">finPNLReg2Prod1COGSExp</f>
        <v>1052319877.9526795</v>
      </c>
      <c r="I284" s="11">
        <f ca="1">finPNLReg2Prod1COGSExp</f>
        <v>1052319877.9526795</v>
      </c>
    </row>
    <row r="285" spans="2:9">
      <c r="D285" t="s">
        <v>173</v>
      </c>
      <c r="E285" s="11">
        <f ca="1">finPNLReg2Prod1SGAExp</f>
        <v>623872773.43925011</v>
      </c>
      <c r="F285" s="11">
        <f ca="1">finPNLReg2Prod1SGAExp</f>
        <v>623872773.43925011</v>
      </c>
      <c r="G285" s="11">
        <f ca="1">finPNLReg2Prod1SGAExp</f>
        <v>623872773.43925011</v>
      </c>
      <c r="H285" s="11">
        <f ca="1">finPNLReg2Prod1SGAExp</f>
        <v>623872773.43925011</v>
      </c>
      <c r="I285" s="11">
        <f ca="1">finPNLReg2Prod1SGAExp</f>
        <v>623872773.43925011</v>
      </c>
    </row>
    <row r="286" spans="2:9">
      <c r="D286" t="s">
        <v>172</v>
      </c>
      <c r="E286" s="11">
        <f>finPNLReg2Prod1RandDExp</f>
        <v>11250000</v>
      </c>
      <c r="F286" s="11">
        <f>finPNLReg2Prod1RandDExp</f>
        <v>11250000</v>
      </c>
      <c r="G286" s="11">
        <f>finPNLReg2Prod1RandDExp</f>
        <v>11250000</v>
      </c>
      <c r="H286" s="11">
        <f>finPNLReg2Prod1RandDExp</f>
        <v>11250000</v>
      </c>
      <c r="I286" s="11">
        <f>finPNLReg2Prod1RandDExp</f>
        <v>11250000</v>
      </c>
    </row>
    <row r="287" spans="2:9">
      <c r="D287" t="s">
        <v>1906</v>
      </c>
      <c r="E287" s="11">
        <f ca="1">finPNLReg2Prod1OtherOpExp</f>
        <v>4875250.8117562346</v>
      </c>
      <c r="F287" s="11">
        <f ca="1">finPNLReg2Prod1OtherOpExp</f>
        <v>4875250.8117562346</v>
      </c>
      <c r="G287" s="11">
        <f ca="1">finPNLReg2Prod1OtherOpExp</f>
        <v>4875250.8117562346</v>
      </c>
      <c r="H287" s="11">
        <f ca="1">finPNLReg2Prod1OtherOpExp</f>
        <v>4875250.8117562346</v>
      </c>
      <c r="I287" s="11">
        <f ca="1">finPNLReg2Prod1OtherOpExp</f>
        <v>4875250.8117562346</v>
      </c>
    </row>
    <row r="288" spans="2:9">
      <c r="D288" s="26" t="s">
        <v>1563</v>
      </c>
      <c r="E288" s="901">
        <f>finPNLReg2Prod1COGSDepExp</f>
        <v>79447925.972432211</v>
      </c>
      <c r="F288" s="901">
        <f>finPNLReg2Prod1COGSDepExp</f>
        <v>79447925.972432211</v>
      </c>
      <c r="G288" s="901">
        <f>finPNLReg2Prod1COGSDepExp</f>
        <v>79447925.972432211</v>
      </c>
      <c r="H288" s="901">
        <f>finPNLReg2Prod1COGSDepExp</f>
        <v>79447925.972432211</v>
      </c>
      <c r="I288" s="901">
        <f>finPNLReg2Prod1COGSDepExp</f>
        <v>79447925.972432211</v>
      </c>
    </row>
    <row r="289" spans="2:9">
      <c r="D289" t="s">
        <v>1396</v>
      </c>
      <c r="E289" s="11">
        <f ca="1">(finPNLReg2Prod1Rev)-SUM(E284:E287)</f>
        <v>805282097.79631424</v>
      </c>
      <c r="F289" s="11">
        <f ca="1">(finPNLReg2Prod1Rev)-SUM(F284:F287)</f>
        <v>805282097.79631424</v>
      </c>
      <c r="G289" s="11">
        <f ca="1">(finPNLReg2Prod1Rev)-SUM(G284:G287)</f>
        <v>805282097.79631424</v>
      </c>
      <c r="H289" s="11">
        <f ca="1">(finPNLReg2Prod1Rev)-SUM(H284:H287)</f>
        <v>805282097.79631424</v>
      </c>
      <c r="I289" s="11">
        <f ca="1">(finPNLReg2Prod1Rev)-SUM(I284:I287)</f>
        <v>805282097.79631424</v>
      </c>
    </row>
    <row r="290" spans="2:9">
      <c r="D290" t="s">
        <v>3063</v>
      </c>
      <c r="E290" s="435">
        <f ca="1">E289/(finPNLReg2Prod1NetRev)</f>
        <v>0.34972730730318519</v>
      </c>
      <c r="F290" s="435">
        <f ca="1">F289/(finPNLReg2Prod1NetRev)</f>
        <v>0.34972730730318519</v>
      </c>
      <c r="G290" s="435">
        <f ca="1">G289/(finPNLReg2Prod1NetRev)</f>
        <v>0.34972730730318519</v>
      </c>
      <c r="H290" s="435">
        <f ca="1">H289/(finPNLReg2Prod1NetRev)</f>
        <v>0.34972730730318519</v>
      </c>
      <c r="I290" s="435">
        <f ca="1">I289/(finPNLReg2Prod1NetRev)</f>
        <v>0.34972730730318519</v>
      </c>
    </row>
    <row r="291" spans="2:9">
      <c r="E291" s="435"/>
      <c r="F291" s="435"/>
      <c r="G291" s="435"/>
      <c r="H291" s="435"/>
      <c r="I291" s="435"/>
    </row>
    <row r="293" spans="2:9">
      <c r="B293" s="2" t="s">
        <v>3345</v>
      </c>
      <c r="E293" t="str">
        <f>decTeamName</f>
        <v>Vivia</v>
      </c>
      <c r="F293" t="str">
        <f>decTeamName</f>
        <v>Vivia</v>
      </c>
      <c r="G293" t="str">
        <f>decTeamName</f>
        <v>Vivia</v>
      </c>
      <c r="H293" t="str">
        <f>decTeamName</f>
        <v>Vivia</v>
      </c>
      <c r="I293" t="str">
        <f>decTeamName</f>
        <v>Vivia</v>
      </c>
    </row>
    <row r="294" spans="2:9">
      <c r="D294" t="s">
        <v>1286</v>
      </c>
      <c r="E294" s="10">
        <f>capProd3COGSPUnitMat</f>
        <v>4.004969096</v>
      </c>
      <c r="F294" s="10">
        <f>capProd3COGSPUnitMat</f>
        <v>4.004969096</v>
      </c>
      <c r="G294" s="10">
        <f>capProd3COGSPUnitMat</f>
        <v>4.004969096</v>
      </c>
      <c r="H294" s="10">
        <f>capProd3COGSPUnitMat</f>
        <v>4.004969096</v>
      </c>
      <c r="I294" s="10">
        <f>capProd3COGSPUnitMat</f>
        <v>4.004969096</v>
      </c>
    </row>
    <row r="295" spans="2:9">
      <c r="D295" t="s">
        <v>1287</v>
      </c>
      <c r="E295" s="10">
        <f>capReg1Prod3CostPUnitEmp3</f>
        <v>1.6979012682786405</v>
      </c>
      <c r="F295" s="10">
        <f>capReg1Prod3CostPUnitEmp3</f>
        <v>1.6979012682786405</v>
      </c>
      <c r="G295" s="10">
        <f>capReg1Prod3CostPUnitEmp3</f>
        <v>1.6979012682786405</v>
      </c>
      <c r="H295" s="10">
        <f>capReg1Prod3CostPUnitEmp3</f>
        <v>1.6979012682786405</v>
      </c>
      <c r="I295" s="10">
        <f>capReg1Prod3CostPUnitEmp3</f>
        <v>1.6979012682786405</v>
      </c>
    </row>
    <row r="296" spans="2:9">
      <c r="D296" t="s">
        <v>1288</v>
      </c>
      <c r="E296" s="10">
        <f ca="1">capProd3COGSPUnitPlant1</f>
        <v>1.8127090373750471E-3</v>
      </c>
      <c r="F296" s="10">
        <f ca="1">capProd3COGSPUnitPlant1</f>
        <v>1.8127090373750471E-3</v>
      </c>
      <c r="G296" s="10">
        <f ca="1">capProd3COGSPUnitPlant1</f>
        <v>1.8127090373750471E-3</v>
      </c>
      <c r="H296" s="10">
        <f ca="1">capProd3COGSPUnitPlant1</f>
        <v>1.8127090373750471E-3</v>
      </c>
      <c r="I296" s="10">
        <f ca="1">capProd3COGSPUnitPlant1</f>
        <v>1.8127090373750471E-3</v>
      </c>
    </row>
    <row r="297" spans="2:9">
      <c r="D297" t="s">
        <v>3796</v>
      </c>
      <c r="E297" s="10">
        <f>paramReg1Prod3DistCostPUnit</f>
        <v>0.93554493120000004</v>
      </c>
      <c r="F297" s="10">
        <f>paramReg1Prod3DistCostPUnit</f>
        <v>0.93554493120000004</v>
      </c>
      <c r="G297" s="10">
        <f>paramReg1Prod3DistCostPUnit</f>
        <v>0.93554493120000004</v>
      </c>
      <c r="H297" s="10">
        <f>paramReg1Prod3DistCostPUnit</f>
        <v>0.93554493120000004</v>
      </c>
      <c r="I297" s="10">
        <f>paramReg1Prod3DistCostPUnit</f>
        <v>0.93554493120000004</v>
      </c>
    </row>
    <row r="298" spans="2:9">
      <c r="D298" t="s">
        <v>2086</v>
      </c>
      <c r="E298" s="10">
        <f>(finPNLReg1Prod3COGSRoyExp)/(capReg1Prod3UnitsProduction)</f>
        <v>0</v>
      </c>
      <c r="F298" s="10">
        <f>(finPNLReg1Prod3COGSRoyExp)/(capReg1Prod3UnitsProduction)</f>
        <v>0</v>
      </c>
      <c r="G298" s="10">
        <f>(finPNLReg1Prod3COGSRoyExp)/(capReg1Prod3UnitsProduction)</f>
        <v>0</v>
      </c>
      <c r="H298" s="10">
        <f>(finPNLReg1Prod3COGSRoyExp)/(capReg1Prod3UnitsProduction)</f>
        <v>0</v>
      </c>
      <c r="I298" s="10">
        <f>(finPNLReg1Prod3COGSRoyExp)/(capReg1Prod3UnitsProduction)</f>
        <v>0</v>
      </c>
    </row>
    <row r="299" spans="2:9">
      <c r="D299" t="s">
        <v>3146</v>
      </c>
      <c r="E299" s="18">
        <f ca="1">((capProd3Reg1Price)-SUM(E294:E298))</f>
        <v>8.3597719954839853</v>
      </c>
      <c r="F299" s="18">
        <f ca="1">((capProd3Reg1Price)-SUM(F294:F298))</f>
        <v>8.3597719954839853</v>
      </c>
      <c r="G299" s="18">
        <f ca="1">((capProd3Reg1Price)-SUM(G294:G298))</f>
        <v>8.3597719954839853</v>
      </c>
      <c r="H299" s="18">
        <f ca="1">((capProd3Reg1Price)-SUM(H294:H298))</f>
        <v>8.3597719954839853</v>
      </c>
      <c r="I299" s="18">
        <f ca="1">((capProd3Reg1Price)-SUM(I294:I298))</f>
        <v>8.3597719954839853</v>
      </c>
    </row>
    <row r="300" spans="2:9">
      <c r="D300" t="s">
        <v>3067</v>
      </c>
      <c r="E300" s="435">
        <f ca="1">E299/((capProd3Reg1Price+capProd3Reg2Price)/2)</f>
        <v>0.66878175963871878</v>
      </c>
      <c r="F300" s="435">
        <f ca="1">F299/((capProd3Reg1Price+capProd3Reg2Price)/2)</f>
        <v>0.66878175963871878</v>
      </c>
      <c r="G300" s="435">
        <f ca="1">G299/((capProd3Reg1Price+capProd3Reg2Price)/2)</f>
        <v>0.66878175963871878</v>
      </c>
      <c r="H300" s="435">
        <f ca="1">H299/((capProd3Reg1Price+capProd3Reg2Price)/2)</f>
        <v>0.66878175963871878</v>
      </c>
      <c r="I300" s="435">
        <f ca="1">I299/((capProd3Reg1Price+capProd3Reg2Price)/2)</f>
        <v>0.66878175963871878</v>
      </c>
    </row>
    <row r="301" spans="2:9">
      <c r="E301" s="435"/>
      <c r="F301" s="435"/>
      <c r="G301" s="435"/>
      <c r="H301" s="435"/>
      <c r="I301" s="435"/>
    </row>
    <row r="302" spans="2:9">
      <c r="B302" s="2" t="s">
        <v>1525</v>
      </c>
      <c r="E302" t="str">
        <f>decTeamName</f>
        <v>Vivia</v>
      </c>
      <c r="F302" t="str">
        <f>decTeamName</f>
        <v>Vivia</v>
      </c>
      <c r="G302" t="str">
        <f>decTeamName</f>
        <v>Vivia</v>
      </c>
      <c r="H302" t="str">
        <f>decTeamName</f>
        <v>Vivia</v>
      </c>
      <c r="I302" t="str">
        <f>decTeamName</f>
        <v>Vivia</v>
      </c>
    </row>
    <row r="303" spans="2:9">
      <c r="D303" t="s">
        <v>3640</v>
      </c>
      <c r="E303" s="11">
        <f ca="1">finPNLReg1Prod3COGSExp</f>
        <v>2197292509.579803</v>
      </c>
      <c r="F303" s="11">
        <f ca="1">finPNLReg1Prod3COGSExp</f>
        <v>2197292509.579803</v>
      </c>
      <c r="G303" s="11">
        <f ca="1">finPNLReg1Prod3COGSExp</f>
        <v>2197292509.579803</v>
      </c>
      <c r="H303" s="11">
        <f ca="1">finPNLReg1Prod3COGSExp</f>
        <v>2197292509.579803</v>
      </c>
      <c r="I303" s="11">
        <f ca="1">finPNLReg1Prod3COGSExp</f>
        <v>2197292509.579803</v>
      </c>
    </row>
    <row r="304" spans="2:9">
      <c r="D304" t="s">
        <v>173</v>
      </c>
      <c r="E304" s="11">
        <f ca="1">finPNLReg1Prod3SGAExp</f>
        <v>1184726651.731667</v>
      </c>
      <c r="F304" s="11">
        <f ca="1">finPNLReg1Prod3SGAExp</f>
        <v>1184726651.731667</v>
      </c>
      <c r="G304" s="11">
        <f ca="1">finPNLReg1Prod3SGAExp</f>
        <v>1184726651.731667</v>
      </c>
      <c r="H304" s="11">
        <f ca="1">finPNLReg1Prod3SGAExp</f>
        <v>1184726651.731667</v>
      </c>
      <c r="I304" s="11">
        <f ca="1">finPNLReg1Prod3SGAExp</f>
        <v>1184726651.731667</v>
      </c>
    </row>
    <row r="305" spans="2:9">
      <c r="D305" t="s">
        <v>172</v>
      </c>
      <c r="E305" s="11">
        <f>finPNLReg1Prod3RandDExp</f>
        <v>30588899.356014393</v>
      </c>
      <c r="F305" s="11">
        <f>finPNLReg1Prod3RandDExp</f>
        <v>30588899.356014393</v>
      </c>
      <c r="G305" s="11">
        <f>finPNLReg1Prod3RandDExp</f>
        <v>30588899.356014393</v>
      </c>
      <c r="H305" s="11">
        <f>finPNLReg1Prod3RandDExp</f>
        <v>30588899.356014393</v>
      </c>
      <c r="I305" s="11">
        <f>finPNLReg1Prod3RandDExp</f>
        <v>30588899.356014393</v>
      </c>
    </row>
    <row r="306" spans="2:9">
      <c r="D306" t="s">
        <v>1906</v>
      </c>
      <c r="E306" s="11">
        <f ca="1">finPNLReg1Prod3OtherOpExp</f>
        <v>72321404.896117449</v>
      </c>
      <c r="F306" s="11">
        <f ca="1">finPNLReg1Prod3OtherOpExp</f>
        <v>72321404.896117449</v>
      </c>
      <c r="G306" s="11">
        <f ca="1">finPNLReg1Prod3OtherOpExp</f>
        <v>72321404.896117449</v>
      </c>
      <c r="H306" s="11">
        <f ca="1">finPNLReg1Prod3OtherOpExp</f>
        <v>72321404.896117449</v>
      </c>
      <c r="I306" s="11">
        <f ca="1">finPNLReg1Prod3OtherOpExp</f>
        <v>72321404.896117449</v>
      </c>
    </row>
    <row r="307" spans="2:9">
      <c r="D307" s="26" t="s">
        <v>1563</v>
      </c>
      <c r="E307" s="901">
        <f>finPNLReg1Prod3COGSDepExp</f>
        <v>161856014.39019099</v>
      </c>
      <c r="F307" s="901">
        <f>finPNLReg1Prod3COGSDepExp</f>
        <v>161856014.39019099</v>
      </c>
      <c r="G307" s="901">
        <f>finPNLReg1Prod3COGSDepExp</f>
        <v>161856014.39019099</v>
      </c>
      <c r="H307" s="901">
        <f>finPNLReg1Prod3COGSDepExp</f>
        <v>161856014.39019099</v>
      </c>
      <c r="I307" s="901">
        <f>finPNLReg1Prod3COGSDepExp</f>
        <v>161856014.39019099</v>
      </c>
    </row>
    <row r="308" spans="2:9">
      <c r="D308" t="s">
        <v>1396</v>
      </c>
      <c r="E308" s="11">
        <f ca="1">(finPNLReg1Prod3Rev)-SUM(E303:E306)</f>
        <v>1867070534.4363985</v>
      </c>
      <c r="F308" s="11">
        <f ca="1">(finPNLReg1Prod3Rev)-SUM(F303:F306)</f>
        <v>1867070534.4363985</v>
      </c>
      <c r="G308" s="11">
        <f ca="1">(finPNLReg1Prod3Rev)-SUM(G303:G306)</f>
        <v>1867070534.4363985</v>
      </c>
      <c r="H308" s="11">
        <f ca="1">(finPNLReg1Prod3Rev)-SUM(H303:H306)</f>
        <v>1867070534.4363985</v>
      </c>
      <c r="I308" s="11">
        <f ca="1">(finPNLReg1Prod3Rev)-SUM(I303:I306)</f>
        <v>1867070534.4363985</v>
      </c>
    </row>
    <row r="309" spans="2:9">
      <c r="D309" t="s">
        <v>3063</v>
      </c>
      <c r="E309" s="435">
        <f ca="1">E308/(finPNLReg1Prod3NetRev)</f>
        <v>0.41518135077527207</v>
      </c>
      <c r="F309" s="435">
        <f ca="1">F308/(finPNLReg1Prod3NetRev)</f>
        <v>0.41518135077527207</v>
      </c>
      <c r="G309" s="435">
        <f ca="1">G308/(finPNLReg1Prod3NetRev)</f>
        <v>0.41518135077527207</v>
      </c>
      <c r="H309" s="435">
        <f ca="1">H308/(finPNLReg1Prod3NetRev)</f>
        <v>0.41518135077527207</v>
      </c>
      <c r="I309" s="435">
        <f ca="1">I308/(finPNLReg1Prod3NetRev)</f>
        <v>0.41518135077527207</v>
      </c>
    </row>
    <row r="310" spans="2:9">
      <c r="E310" s="435"/>
      <c r="F310" s="435"/>
      <c r="G310" s="435"/>
      <c r="H310" s="435"/>
      <c r="I310" s="435"/>
    </row>
    <row r="312" spans="2:9">
      <c r="B312" s="2" t="s">
        <v>3346</v>
      </c>
      <c r="E312" t="str">
        <f>decTeamName</f>
        <v>Vivia</v>
      </c>
      <c r="F312" t="str">
        <f>decTeamName</f>
        <v>Vivia</v>
      </c>
      <c r="G312" t="str">
        <f>decTeamName</f>
        <v>Vivia</v>
      </c>
      <c r="H312" t="str">
        <f>decTeamName</f>
        <v>Vivia</v>
      </c>
      <c r="I312" t="str">
        <f>decTeamName</f>
        <v>Vivia</v>
      </c>
    </row>
    <row r="313" spans="2:9">
      <c r="D313" t="s">
        <v>1286</v>
      </c>
      <c r="E313" s="10">
        <f>capProd3COGSPUnitMat</f>
        <v>4.004969096</v>
      </c>
      <c r="F313" s="10">
        <f>capProd3COGSPUnitMat</f>
        <v>4.004969096</v>
      </c>
      <c r="G313" s="10">
        <f>capProd3COGSPUnitMat</f>
        <v>4.004969096</v>
      </c>
      <c r="H313" s="10">
        <f>capProd3COGSPUnitMat</f>
        <v>4.004969096</v>
      </c>
      <c r="I313" s="10">
        <f>capProd3COGSPUnitMat</f>
        <v>4.004969096</v>
      </c>
    </row>
    <row r="314" spans="2:9">
      <c r="D314" t="s">
        <v>1287</v>
      </c>
      <c r="E314" s="10">
        <f>capReg2Prod3CostPUnitEmp3</f>
        <v>0.45542850894453502</v>
      </c>
      <c r="F314" s="10">
        <f>capReg2Prod3CostPUnitEmp3</f>
        <v>0.45542850894453502</v>
      </c>
      <c r="G314" s="10">
        <f>capReg2Prod3CostPUnitEmp3</f>
        <v>0.45542850894453502</v>
      </c>
      <c r="H314" s="10">
        <f>capReg2Prod3CostPUnitEmp3</f>
        <v>0.45542850894453502</v>
      </c>
      <c r="I314" s="10">
        <f>capReg2Prod3CostPUnitEmp3</f>
        <v>0.45542850894453502</v>
      </c>
    </row>
    <row r="315" spans="2:9">
      <c r="D315" t="s">
        <v>1288</v>
      </c>
      <c r="E315" s="10">
        <f ca="1">capProd3COGSPUnitPlant1</f>
        <v>1.8127090373750471E-3</v>
      </c>
      <c r="F315" s="10">
        <f ca="1">capProd3COGSPUnitPlant1</f>
        <v>1.8127090373750471E-3</v>
      </c>
      <c r="G315" s="10">
        <f ca="1">capProd3COGSPUnitPlant1</f>
        <v>1.8127090373750471E-3</v>
      </c>
      <c r="H315" s="10">
        <f ca="1">capProd3COGSPUnitPlant1</f>
        <v>1.8127090373750471E-3</v>
      </c>
      <c r="I315" s="10">
        <f ca="1">capProd3COGSPUnitPlant1</f>
        <v>1.8127090373750471E-3</v>
      </c>
    </row>
    <row r="316" spans="2:9">
      <c r="D316" t="s">
        <v>3796</v>
      </c>
      <c r="E316" s="10">
        <f>paramReg2Prod3DistCostPUnit</f>
        <v>1.0703187792</v>
      </c>
      <c r="F316" s="10">
        <f>paramReg2Prod3DistCostPUnit</f>
        <v>1.0703187792</v>
      </c>
      <c r="G316" s="10">
        <f>paramReg2Prod3DistCostPUnit</f>
        <v>1.0703187792</v>
      </c>
      <c r="H316" s="10">
        <f>paramReg2Prod3DistCostPUnit</f>
        <v>1.0703187792</v>
      </c>
      <c r="I316" s="10">
        <f>paramReg2Prod3DistCostPUnit</f>
        <v>1.0703187792</v>
      </c>
    </row>
    <row r="317" spans="2:9">
      <c r="D317" t="s">
        <v>2086</v>
      </c>
      <c r="E317" s="10">
        <f>(finPNLReg2Prod3COGSRoyExp)/(capReg2Prod3UnitsProduction)</f>
        <v>0</v>
      </c>
      <c r="F317" s="10">
        <f>(finPNLReg2Prod3COGSRoyExp)/(capReg2Prod3UnitsProduction)</f>
        <v>0</v>
      </c>
      <c r="G317" s="10">
        <f>(finPNLReg2Prod3COGSRoyExp)/(capReg2Prod3UnitsProduction)</f>
        <v>0</v>
      </c>
      <c r="H317" s="10">
        <f>(finPNLReg2Prod3COGSRoyExp)/(capReg2Prod3UnitsProduction)</f>
        <v>0</v>
      </c>
      <c r="I317" s="10">
        <f>(finPNLReg2Prod3COGSRoyExp)/(capReg2Prod3UnitsProduction)</f>
        <v>0</v>
      </c>
    </row>
    <row r="318" spans="2:9">
      <c r="D318" t="s">
        <v>3146</v>
      </c>
      <c r="E318" s="18">
        <f ca="1">((capProd3Reg2Price)-SUM(E313:E317))</f>
        <v>4.4674709068180904</v>
      </c>
      <c r="F318" s="18">
        <f ca="1">((capProd3Reg2Price)-SUM(F313:F317))</f>
        <v>4.4674709068180904</v>
      </c>
      <c r="G318" s="18">
        <f ca="1">((capProd3Reg2Price)-SUM(G313:G317))</f>
        <v>4.4674709068180904</v>
      </c>
      <c r="H318" s="18">
        <f ca="1">((capProd3Reg2Price)-SUM(H313:H317))</f>
        <v>4.4674709068180904</v>
      </c>
      <c r="I318" s="18">
        <f ca="1">((capProd3Reg2Price)-SUM(I313:I317))</f>
        <v>4.4674709068180904</v>
      </c>
    </row>
    <row r="319" spans="2:9">
      <c r="D319" t="s">
        <v>3067</v>
      </c>
      <c r="E319" s="435">
        <f ca="1">E318/((capProd3Reg2Price+capProd3Reg2Price)/2)</f>
        <v>0.44674709068180907</v>
      </c>
      <c r="F319" s="435">
        <f ca="1">F318/((capProd3Reg2Price+capProd3Reg2Price)/2)</f>
        <v>0.44674709068180907</v>
      </c>
      <c r="G319" s="435">
        <f ca="1">G318/((capProd3Reg2Price+capProd3Reg2Price)/2)</f>
        <v>0.44674709068180907</v>
      </c>
      <c r="H319" s="435">
        <f ca="1">H318/((capProd3Reg2Price+capProd3Reg2Price)/2)</f>
        <v>0.44674709068180907</v>
      </c>
      <c r="I319" s="435">
        <f ca="1">I318/((capProd3Reg2Price+capProd3Reg2Price)/2)</f>
        <v>0.44674709068180907</v>
      </c>
    </row>
    <row r="320" spans="2:9">
      <c r="E320" s="435"/>
      <c r="F320" s="435"/>
      <c r="G320" s="435"/>
      <c r="H320" s="435"/>
      <c r="I320" s="435"/>
    </row>
    <row r="321" spans="2:9">
      <c r="B321" s="2" t="s">
        <v>1526</v>
      </c>
      <c r="E321" t="str">
        <f>decTeamName</f>
        <v>Vivia</v>
      </c>
      <c r="F321" t="str">
        <f>decTeamName</f>
        <v>Vivia</v>
      </c>
      <c r="G321" t="str">
        <f>decTeamName</f>
        <v>Vivia</v>
      </c>
      <c r="H321" t="str">
        <f>decTeamName</f>
        <v>Vivia</v>
      </c>
      <c r="I321" t="str">
        <f>decTeamName</f>
        <v>Vivia</v>
      </c>
    </row>
    <row r="322" spans="2:9">
      <c r="D322" t="s">
        <v>3640</v>
      </c>
      <c r="E322" s="11">
        <f ca="1">finPNLReg2Prod3COGSExp</f>
        <v>1204383373.3116179</v>
      </c>
      <c r="F322" s="11">
        <f ca="1">finPNLReg2Prod3COGSExp</f>
        <v>1204383373.3116179</v>
      </c>
      <c r="G322" s="11">
        <f ca="1">finPNLReg2Prod3COGSExp</f>
        <v>1204383373.3116179</v>
      </c>
      <c r="H322" s="11">
        <f ca="1">finPNLReg2Prod3COGSExp</f>
        <v>1204383373.3116179</v>
      </c>
      <c r="I322" s="11">
        <f ca="1">finPNLReg2Prod3COGSExp</f>
        <v>1204383373.3116179</v>
      </c>
    </row>
    <row r="323" spans="2:9">
      <c r="D323" t="s">
        <v>173</v>
      </c>
      <c r="E323" s="11">
        <f ca="1">finPNLReg2Prod3SGAExp</f>
        <v>533836545.86337274</v>
      </c>
      <c r="F323" s="11">
        <f ca="1">finPNLReg2Prod3SGAExp</f>
        <v>533836545.86337274</v>
      </c>
      <c r="G323" s="11">
        <f ca="1">finPNLReg2Prod3SGAExp</f>
        <v>533836545.86337274</v>
      </c>
      <c r="H323" s="11">
        <f ca="1">finPNLReg2Prod3SGAExp</f>
        <v>533836545.86337274</v>
      </c>
      <c r="I323" s="11">
        <f ca="1">finPNLReg2Prod3SGAExp</f>
        <v>533836545.86337274</v>
      </c>
    </row>
    <row r="324" spans="2:9">
      <c r="D324" t="s">
        <v>172</v>
      </c>
      <c r="E324" s="11">
        <f>finPNLReg2Prod3RandDExp</f>
        <v>7500000</v>
      </c>
      <c r="F324" s="11">
        <f>finPNLReg2Prod3RandDExp</f>
        <v>7500000</v>
      </c>
      <c r="G324" s="11">
        <f>finPNLReg2Prod3RandDExp</f>
        <v>7500000</v>
      </c>
      <c r="H324" s="11">
        <f>finPNLReg2Prod3RandDExp</f>
        <v>7500000</v>
      </c>
      <c r="I324" s="11">
        <f>finPNLReg2Prod3RandDExp</f>
        <v>7500000</v>
      </c>
    </row>
    <row r="325" spans="2:9">
      <c r="D325" t="s">
        <v>1906</v>
      </c>
      <c r="E325" s="11">
        <f ca="1">finPNLReg2Prod3OtherOpExp</f>
        <v>26565769.104291297</v>
      </c>
      <c r="F325" s="11">
        <f ca="1">finPNLReg2Prod3OtherOpExp</f>
        <v>26565769.104291297</v>
      </c>
      <c r="G325" s="11">
        <f ca="1">finPNLReg2Prod3OtherOpExp</f>
        <v>26565769.104291297</v>
      </c>
      <c r="H325" s="11">
        <f ca="1">finPNLReg2Prod3OtherOpExp</f>
        <v>26565769.104291297</v>
      </c>
      <c r="I325" s="11">
        <f ca="1">finPNLReg2Prod3OtherOpExp</f>
        <v>26565769.104291297</v>
      </c>
    </row>
    <row r="326" spans="2:9">
      <c r="D326" s="26" t="s">
        <v>1563</v>
      </c>
      <c r="E326" s="901">
        <f>finPNLReg2Prod3COGSDepExp</f>
        <v>111139920.19505827</v>
      </c>
      <c r="F326" s="901">
        <f>finPNLReg2Prod3COGSDepExp</f>
        <v>111139920.19505827</v>
      </c>
      <c r="G326" s="901">
        <f>finPNLReg2Prod3COGSDepExp</f>
        <v>111139920.19505827</v>
      </c>
      <c r="H326" s="901">
        <f>finPNLReg2Prod3COGSDepExp</f>
        <v>111139920.19505827</v>
      </c>
      <c r="I326" s="901">
        <f>finPNLReg2Prod3COGSDepExp</f>
        <v>111139920.19505827</v>
      </c>
    </row>
    <row r="327" spans="2:9">
      <c r="D327" t="s">
        <v>1396</v>
      </c>
      <c r="E327" s="11">
        <f ca="1">(finPNLReg2Prod3Rev)-SUM(E322:E325)</f>
        <v>677714311.72071815</v>
      </c>
      <c r="F327" s="11">
        <f ca="1">(finPNLReg2Prod3Rev)-SUM(F322:F325)</f>
        <v>677714311.72071815</v>
      </c>
      <c r="G327" s="11">
        <f ca="1">(finPNLReg2Prod3Rev)-SUM(G322:G325)</f>
        <v>677714311.72071815</v>
      </c>
      <c r="H327" s="11">
        <f ca="1">(finPNLReg2Prod3Rev)-SUM(H322:H325)</f>
        <v>677714311.72071815</v>
      </c>
      <c r="I327" s="11">
        <f ca="1">(finPNLReg2Prod3Rev)-SUM(I322:I325)</f>
        <v>677714311.72071815</v>
      </c>
    </row>
    <row r="328" spans="2:9">
      <c r="D328" t="s">
        <v>3063</v>
      </c>
      <c r="E328" s="435">
        <f ca="1">E327/(finPNLReg2Prod3NetRev)</f>
        <v>0.2965926965955003</v>
      </c>
      <c r="F328" s="435">
        <f ca="1">F327/(finPNLReg2Prod3NetRev)</f>
        <v>0.2965926965955003</v>
      </c>
      <c r="G328" s="435">
        <f ca="1">G327/(finPNLReg2Prod3NetRev)</f>
        <v>0.2965926965955003</v>
      </c>
      <c r="H328" s="435">
        <f ca="1">H327/(finPNLReg2Prod3NetRev)</f>
        <v>0.2965926965955003</v>
      </c>
      <c r="I328" s="435">
        <f ca="1">I327/(finPNLReg2Prod3NetRev)</f>
        <v>0.2965926965955003</v>
      </c>
    </row>
    <row r="329" spans="2:9">
      <c r="E329" s="435"/>
      <c r="F329" s="435"/>
      <c r="G329" s="435"/>
      <c r="H329" s="435"/>
      <c r="I329" s="435"/>
    </row>
    <row r="331" spans="2:9">
      <c r="B331" s="2" t="s">
        <v>360</v>
      </c>
      <c r="E331" t="str">
        <f>decTeamName</f>
        <v>Vivia</v>
      </c>
      <c r="F331" t="str">
        <f>decTeamName</f>
        <v>Vivia</v>
      </c>
      <c r="G331" t="str">
        <f>decTeamName</f>
        <v>Vivia</v>
      </c>
      <c r="H331" t="str">
        <f>decTeamName</f>
        <v>Vivia</v>
      </c>
      <c r="I331" t="str">
        <f>decTeamName</f>
        <v>Vivia</v>
      </c>
    </row>
    <row r="332" spans="2:9">
      <c r="D332" t="s">
        <v>1286</v>
      </c>
      <c r="E332" s="10">
        <f>capProd4COGSPUnitMat</f>
        <v>3.3147265540000004</v>
      </c>
      <c r="F332" s="10">
        <f>capProd4COGSPUnitMat</f>
        <v>3.3147265540000004</v>
      </c>
      <c r="G332" s="10">
        <f>capProd4COGSPUnitMat</f>
        <v>3.3147265540000004</v>
      </c>
      <c r="H332" s="10">
        <f>capProd4COGSPUnitMat</f>
        <v>3.3147265540000004</v>
      </c>
      <c r="I332" s="10">
        <f>capProd4COGSPUnitMat</f>
        <v>3.3147265540000004</v>
      </c>
    </row>
    <row r="333" spans="2:9">
      <c r="D333" t="s">
        <v>1287</v>
      </c>
      <c r="E333" s="10">
        <f>capReg1Prod4CostPUnitEmp3</f>
        <v>1.5628409401201129</v>
      </c>
      <c r="F333" s="10">
        <f>capReg1Prod4CostPUnitEmp3</f>
        <v>1.5628409401201129</v>
      </c>
      <c r="G333" s="10">
        <f>capReg1Prod4CostPUnitEmp3</f>
        <v>1.5628409401201129</v>
      </c>
      <c r="H333" s="10">
        <f>capReg1Prod4CostPUnitEmp3</f>
        <v>1.5628409401201129</v>
      </c>
      <c r="I333" s="10">
        <f>capReg1Prod4CostPUnitEmp3</f>
        <v>1.5628409401201129</v>
      </c>
    </row>
    <row r="334" spans="2:9">
      <c r="D334" t="s">
        <v>1288</v>
      </c>
      <c r="E334" s="10">
        <f ca="1">capProd4COGSPUnitPlant1</f>
        <v>1.5686905131130217E-3</v>
      </c>
      <c r="F334" s="10">
        <f ca="1">capProd4COGSPUnitPlant1</f>
        <v>1.5686905131130217E-3</v>
      </c>
      <c r="G334" s="10">
        <f ca="1">capProd4COGSPUnitPlant1</f>
        <v>1.5686905131130217E-3</v>
      </c>
      <c r="H334" s="10">
        <f ca="1">capProd4COGSPUnitPlant1</f>
        <v>1.5686905131130217E-3</v>
      </c>
      <c r="I334" s="10">
        <f ca="1">capProd4COGSPUnitPlant1</f>
        <v>1.5686905131130217E-3</v>
      </c>
    </row>
    <row r="335" spans="2:9">
      <c r="D335" t="s">
        <v>3796</v>
      </c>
      <c r="E335" s="10">
        <f>(paramReg1Prod4DistCostPUnit)</f>
        <v>0.88214336000000437</v>
      </c>
      <c r="F335" s="10">
        <f>(paramReg1Prod4DistCostPUnit)</f>
        <v>0.88214336000000437</v>
      </c>
      <c r="G335" s="10">
        <f>(paramReg1Prod4DistCostPUnit)</f>
        <v>0.88214336000000437</v>
      </c>
      <c r="H335" s="10">
        <f>(paramReg1Prod4DistCostPUnit)</f>
        <v>0.88214336000000437</v>
      </c>
      <c r="I335" s="10">
        <f>(paramReg1Prod4DistCostPUnit)</f>
        <v>0.88214336000000437</v>
      </c>
    </row>
    <row r="336" spans="2:9">
      <c r="D336" t="s">
        <v>2086</v>
      </c>
      <c r="E336" s="10">
        <f>(finPNLReg1Prod4COGSRoyExp)/(capReg1Prod4UnitsProduction)</f>
        <v>0</v>
      </c>
      <c r="F336" s="10">
        <f>(finPNLReg1Prod4COGSRoyExp)/(capReg1Prod4UnitsProduction)</f>
        <v>0</v>
      </c>
      <c r="G336" s="10">
        <f>(finPNLReg1Prod4COGSRoyExp)/(capReg1Prod4UnitsProduction)</f>
        <v>0</v>
      </c>
      <c r="H336" s="10">
        <f>(finPNLReg1Prod4COGSRoyExp)/(capReg1Prod4UnitsProduction)</f>
        <v>0</v>
      </c>
      <c r="I336" s="10">
        <f>(finPNLReg1Prod4COGSRoyExp)/(capReg1Prod4UnitsProduction)</f>
        <v>0</v>
      </c>
    </row>
    <row r="337" spans="2:9">
      <c r="D337" t="s">
        <v>1640</v>
      </c>
      <c r="E337" s="10">
        <f>(finPNLReg1Prod4COGSSpecialityExp)/(capReg1Prod4UnitsProduction)</f>
        <v>0</v>
      </c>
      <c r="F337" s="10">
        <f>(finPNLReg1Prod4COGSSpecialityExp)/(capReg1Prod4UnitsProduction)</f>
        <v>0</v>
      </c>
      <c r="G337" s="10">
        <f>(finPNLReg1Prod4COGSSpecialityExp)/(capReg1Prod4UnitsProduction)</f>
        <v>0</v>
      </c>
      <c r="H337" s="10">
        <f>(finPNLReg1Prod4COGSSpecialityExp)/(capReg1Prod4UnitsProduction)</f>
        <v>0</v>
      </c>
      <c r="I337" s="10">
        <f>(finPNLReg1Prod4COGSSpecialityExp)/(capReg1Prod4UnitsProduction)</f>
        <v>0</v>
      </c>
    </row>
    <row r="338" spans="2:9">
      <c r="D338" t="s">
        <v>3146</v>
      </c>
      <c r="E338" s="18">
        <f ca="1">(capProd4Reg1Price)-SUM(E332:E337)</f>
        <v>6.7387204553667699</v>
      </c>
      <c r="F338" s="18">
        <f ca="1">(capProd4Reg1Price)-SUM(F332:F337)</f>
        <v>6.7387204553667699</v>
      </c>
      <c r="G338" s="18">
        <f ca="1">(capProd4Reg1Price)-SUM(G332:G337)</f>
        <v>6.7387204553667699</v>
      </c>
      <c r="H338" s="18">
        <f ca="1">(capProd4Reg1Price)-SUM(H332:H337)</f>
        <v>6.7387204553667699</v>
      </c>
      <c r="I338" s="18">
        <f ca="1">(capProd4Reg1Price)-SUM(I332:I337)</f>
        <v>6.7387204553667699</v>
      </c>
    </row>
    <row r="339" spans="2:9">
      <c r="D339" t="s">
        <v>3067</v>
      </c>
      <c r="E339" s="435">
        <f ca="1">E338/((capProd4Reg1Price))</f>
        <v>0.53909763642934161</v>
      </c>
      <c r="F339" s="435">
        <f ca="1">F338/((capProd4Reg1Price))</f>
        <v>0.53909763642934161</v>
      </c>
      <c r="G339" s="435">
        <f ca="1">G338/((capProd4Reg1Price))</f>
        <v>0.53909763642934161</v>
      </c>
      <c r="H339" s="435">
        <f ca="1">H338/((capProd4Reg1Price))</f>
        <v>0.53909763642934161</v>
      </c>
      <c r="I339" s="435">
        <f ca="1">I338/((capProd4Reg1Price))</f>
        <v>0.53909763642934161</v>
      </c>
    </row>
    <row r="341" spans="2:9">
      <c r="B341" s="2" t="s">
        <v>1527</v>
      </c>
      <c r="E341" t="str">
        <f>decTeamName</f>
        <v>Vivia</v>
      </c>
      <c r="F341" t="str">
        <f>decTeamName</f>
        <v>Vivia</v>
      </c>
      <c r="G341" t="str">
        <f>decTeamName</f>
        <v>Vivia</v>
      </c>
      <c r="H341" t="str">
        <f>decTeamName</f>
        <v>Vivia</v>
      </c>
      <c r="I341" t="str">
        <f>decTeamName</f>
        <v>Vivia</v>
      </c>
    </row>
    <row r="342" spans="2:9">
      <c r="D342" t="s">
        <v>3640</v>
      </c>
      <c r="E342" s="11">
        <f ca="1">finPNLReg1Prod4COGSExp</f>
        <v>2855397899.7046804</v>
      </c>
      <c r="F342" s="11">
        <f ca="1">finPNLReg1Prod4COGSExp</f>
        <v>2855397899.7046804</v>
      </c>
      <c r="G342" s="11">
        <f ca="1">finPNLReg1Prod4COGSExp</f>
        <v>2855397899.7046804</v>
      </c>
      <c r="H342" s="11">
        <f ca="1">finPNLReg1Prod4COGSExp</f>
        <v>2855397899.7046804</v>
      </c>
      <c r="I342" s="11">
        <f ca="1">finPNLReg1Prod4COGSExp</f>
        <v>2855397899.7046804</v>
      </c>
    </row>
    <row r="343" spans="2:9">
      <c r="D343" t="s">
        <v>173</v>
      </c>
      <c r="E343" s="11">
        <f ca="1">finPNLReg1Prod4SGAExp</f>
        <v>1235622307.1178322</v>
      </c>
      <c r="F343" s="11">
        <f ca="1">finPNLReg1Prod4SGAExp</f>
        <v>1235622307.1178322</v>
      </c>
      <c r="G343" s="11">
        <f ca="1">finPNLReg1Prod4SGAExp</f>
        <v>1235622307.1178322</v>
      </c>
      <c r="H343" s="11">
        <f ca="1">finPNLReg1Prod4SGAExp</f>
        <v>1235622307.1178322</v>
      </c>
      <c r="I343" s="11">
        <f ca="1">finPNLReg1Prod4SGAExp</f>
        <v>1235622307.1178322</v>
      </c>
    </row>
    <row r="344" spans="2:9">
      <c r="D344" t="s">
        <v>172</v>
      </c>
      <c r="E344" s="11">
        <f>finPNLReg1Prod4RandDExp</f>
        <v>32604542.986220576</v>
      </c>
      <c r="F344" s="11">
        <f>finPNLReg1Prod4RandDExp</f>
        <v>32604542.986220576</v>
      </c>
      <c r="G344" s="11">
        <f>finPNLReg1Prod4RandDExp</f>
        <v>32604542.986220576</v>
      </c>
      <c r="H344" s="11">
        <f>finPNLReg1Prod4RandDExp</f>
        <v>32604542.986220576</v>
      </c>
      <c r="I344" s="11">
        <f>finPNLReg1Prod4RandDExp</f>
        <v>32604542.986220576</v>
      </c>
    </row>
    <row r="345" spans="2:9">
      <c r="D345" t="s">
        <v>1906</v>
      </c>
      <c r="E345" s="11">
        <f ca="1">finPNLReg1Prod4OtherOpExp</f>
        <v>42288449.139453106</v>
      </c>
      <c r="F345" s="11">
        <f ca="1">finPNLReg1Prod4OtherOpExp</f>
        <v>42288449.139453106</v>
      </c>
      <c r="G345" s="11">
        <f ca="1">finPNLReg1Prod4OtherOpExp</f>
        <v>42288449.139453106</v>
      </c>
      <c r="H345" s="11">
        <f ca="1">finPNLReg1Prod4OtherOpExp</f>
        <v>42288449.139453106</v>
      </c>
      <c r="I345" s="11">
        <f ca="1">finPNLReg1Prod4OtherOpExp</f>
        <v>42288449.139453106</v>
      </c>
    </row>
    <row r="346" spans="2:9">
      <c r="D346" s="26" t="s">
        <v>1563</v>
      </c>
      <c r="E346" s="901">
        <f>finPNLReg1Prod4COGSDepExp</f>
        <v>212302608.02509454</v>
      </c>
      <c r="F346" s="901">
        <f>finPNLReg1Prod4COGSDepExp</f>
        <v>212302608.02509454</v>
      </c>
      <c r="G346" s="901">
        <f>finPNLReg1Prod4COGSDepExp</f>
        <v>212302608.02509454</v>
      </c>
      <c r="H346" s="901">
        <f>finPNLReg1Prod4COGSDepExp</f>
        <v>212302608.02509454</v>
      </c>
      <c r="I346" s="901">
        <f>finPNLReg1Prod4COGSDepExp</f>
        <v>212302608.02509454</v>
      </c>
    </row>
    <row r="347" spans="2:9">
      <c r="D347" t="s">
        <v>1396</v>
      </c>
      <c r="E347" s="11">
        <f ca="1">(finPNLReg1Prod4Rev)-SUM(E342:E345)</f>
        <v>2605336801.0518141</v>
      </c>
      <c r="F347" s="11">
        <f ca="1">(finPNLReg1Prod4Rev)-SUM(F342:F345)</f>
        <v>2605336801.0518141</v>
      </c>
      <c r="G347" s="11">
        <f ca="1">(finPNLReg1Prod4Rev)-SUM(G342:G345)</f>
        <v>2605336801.0518141</v>
      </c>
      <c r="H347" s="11">
        <f ca="1">(finPNLReg1Prod4Rev)-SUM(H342:H345)</f>
        <v>2605336801.0518141</v>
      </c>
      <c r="I347" s="11">
        <f ca="1">(finPNLReg1Prod4Rev)-SUM(I342:I345)</f>
        <v>2605336801.0518141</v>
      </c>
    </row>
    <row r="348" spans="2:9">
      <c r="D348" t="s">
        <v>3063</v>
      </c>
      <c r="E348" s="435">
        <f ca="1">E347/(finPNLReg1Prod4NetRev)</f>
        <v>0.43341015613255379</v>
      </c>
      <c r="F348" s="435">
        <f ca="1">F347/(finPNLReg1Prod4NetRev)</f>
        <v>0.43341015613255379</v>
      </c>
      <c r="G348" s="435">
        <f ca="1">G347/(finPNLReg1Prod4NetRev)</f>
        <v>0.43341015613255379</v>
      </c>
      <c r="H348" s="435">
        <f ca="1">H347/(finPNLReg1Prod4NetRev)</f>
        <v>0.43341015613255379</v>
      </c>
      <c r="I348" s="435">
        <f ca="1">I347/(finPNLReg1Prod4NetRev)</f>
        <v>0.43341015613255379</v>
      </c>
    </row>
    <row r="349" spans="2:9">
      <c r="E349" s="435"/>
      <c r="F349" s="435"/>
      <c r="G349" s="435"/>
      <c r="H349" s="435"/>
      <c r="I349" s="435"/>
    </row>
    <row r="351" spans="2:9">
      <c r="B351" s="2" t="s">
        <v>361</v>
      </c>
      <c r="E351" t="str">
        <f>decTeamName</f>
        <v>Vivia</v>
      </c>
      <c r="F351" t="str">
        <f>decTeamName</f>
        <v>Vivia</v>
      </c>
      <c r="G351" t="str">
        <f>decTeamName</f>
        <v>Vivia</v>
      </c>
      <c r="H351" t="str">
        <f>decTeamName</f>
        <v>Vivia</v>
      </c>
      <c r="I351" t="str">
        <f>decTeamName</f>
        <v>Vivia</v>
      </c>
    </row>
    <row r="352" spans="2:9">
      <c r="D352" t="s">
        <v>1286</v>
      </c>
      <c r="E352" s="10">
        <f>capProd4COGSPUnitMat</f>
        <v>3.3147265540000004</v>
      </c>
      <c r="F352" s="10">
        <f>capProd4COGSPUnitMat</f>
        <v>3.3147265540000004</v>
      </c>
      <c r="G352" s="10">
        <f>capProd4COGSPUnitMat</f>
        <v>3.3147265540000004</v>
      </c>
      <c r="H352" s="10">
        <f>capProd4COGSPUnitMat</f>
        <v>3.3147265540000004</v>
      </c>
      <c r="I352" s="10">
        <f>capProd4COGSPUnitMat</f>
        <v>3.3147265540000004</v>
      </c>
    </row>
    <row r="353" spans="1:11">
      <c r="D353" t="s">
        <v>1287</v>
      </c>
      <c r="E353" s="10">
        <f>capReg2Prod4CostPUnitEmp3</f>
        <v>0.41920124118758345</v>
      </c>
      <c r="F353" s="10">
        <f>capReg2Prod4CostPUnitEmp3</f>
        <v>0.41920124118758345</v>
      </c>
      <c r="G353" s="10">
        <f>capReg2Prod4CostPUnitEmp3</f>
        <v>0.41920124118758345</v>
      </c>
      <c r="H353" s="10">
        <f>capReg2Prod4CostPUnitEmp3</f>
        <v>0.41920124118758345</v>
      </c>
      <c r="I353" s="10">
        <f>capReg2Prod4CostPUnitEmp3</f>
        <v>0.41920124118758345</v>
      </c>
    </row>
    <row r="354" spans="1:11">
      <c r="D354" t="s">
        <v>1288</v>
      </c>
      <c r="E354" s="10">
        <f ca="1">capProd4COGSPUnitPlant1</f>
        <v>1.5686905131130217E-3</v>
      </c>
      <c r="F354" s="10">
        <f ca="1">capProd4COGSPUnitPlant1</f>
        <v>1.5686905131130217E-3</v>
      </c>
      <c r="G354" s="10">
        <f ca="1">capProd4COGSPUnitPlant1</f>
        <v>1.5686905131130217E-3</v>
      </c>
      <c r="H354" s="10">
        <f ca="1">capProd4COGSPUnitPlant1</f>
        <v>1.5686905131130217E-3</v>
      </c>
      <c r="I354" s="10">
        <f ca="1">capProd4COGSPUnitPlant1</f>
        <v>1.5686905131130217E-3</v>
      </c>
    </row>
    <row r="355" spans="1:11">
      <c r="D355" t="s">
        <v>3796</v>
      </c>
      <c r="E355" s="10">
        <f>(paramReg2Prod4DistCostPUnit)</f>
        <v>1.0740132734117653</v>
      </c>
      <c r="F355" s="10">
        <f>(paramReg2Prod4DistCostPUnit)</f>
        <v>1.0740132734117653</v>
      </c>
      <c r="G355" s="10">
        <f>(paramReg2Prod4DistCostPUnit)</f>
        <v>1.0740132734117653</v>
      </c>
      <c r="H355" s="10">
        <f>(paramReg2Prod4DistCostPUnit)</f>
        <v>1.0740132734117653</v>
      </c>
      <c r="I355" s="10">
        <f>(paramReg2Prod4DistCostPUnit)</f>
        <v>1.0740132734117653</v>
      </c>
    </row>
    <row r="356" spans="1:11">
      <c r="D356" t="s">
        <v>2086</v>
      </c>
      <c r="E356" s="10">
        <f>(finPNLReg2Prod4COGSRoyExp)/(capReg2Prod4UnitsProduction)</f>
        <v>0</v>
      </c>
      <c r="F356" s="10">
        <f>(finPNLReg2Prod4COGSRoyExp)/(capReg2Prod4UnitsProduction)</f>
        <v>0</v>
      </c>
      <c r="G356" s="10">
        <f>(finPNLReg2Prod4COGSRoyExp)/(capReg2Prod4UnitsProduction)</f>
        <v>0</v>
      </c>
      <c r="H356" s="10">
        <f>(finPNLReg2Prod4COGSRoyExp)/(capReg2Prod4UnitsProduction)</f>
        <v>0</v>
      </c>
      <c r="I356" s="10">
        <f>(finPNLReg2Prod4COGSRoyExp)/(capReg2Prod4UnitsProduction)</f>
        <v>0</v>
      </c>
    </row>
    <row r="357" spans="1:11">
      <c r="D357" t="s">
        <v>1640</v>
      </c>
      <c r="E357" s="10">
        <f>(finPNLReg2Prod4COGSSpecialityExp)/(capReg2Prod4UnitsProduction)</f>
        <v>0</v>
      </c>
      <c r="F357" s="10">
        <f>(finPNLReg2Prod4COGSSpecialityExp)/(capReg2Prod4UnitsProduction)</f>
        <v>0</v>
      </c>
      <c r="G357" s="10">
        <f>(finPNLReg2Prod4COGSSpecialityExp)/(capReg2Prod4UnitsProduction)</f>
        <v>0</v>
      </c>
      <c r="H357" s="10">
        <f>(finPNLReg2Prod4COGSSpecialityExp)/(capReg2Prod4UnitsProduction)</f>
        <v>0</v>
      </c>
      <c r="I357" s="10">
        <f>(finPNLReg2Prod4COGSSpecialityExp)/(capReg2Prod4UnitsProduction)</f>
        <v>0</v>
      </c>
    </row>
    <row r="358" spans="1:11" s="183" customFormat="1">
      <c r="A358"/>
      <c r="B358"/>
      <c r="C358"/>
      <c r="D358" t="s">
        <v>3146</v>
      </c>
      <c r="E358" s="18">
        <f ca="1">(capProd4Reg2Price)-SUM(E352:E357)</f>
        <v>4.190490240887538</v>
      </c>
      <c r="F358" s="18">
        <f ca="1">(capProd4Reg2Price)-SUM(F352:F357)</f>
        <v>4.190490240887538</v>
      </c>
      <c r="G358" s="18">
        <f ca="1">(capProd4Reg2Price)-SUM(G352:G357)</f>
        <v>4.190490240887538</v>
      </c>
      <c r="H358" s="18">
        <f ca="1">(capProd4Reg2Price)-SUM(H352:H357)</f>
        <v>4.190490240887538</v>
      </c>
      <c r="I358" s="18">
        <f ca="1">(capProd4Reg2Price)-SUM(I352:I357)</f>
        <v>4.190490240887538</v>
      </c>
    </row>
    <row r="359" spans="1:11">
      <c r="D359" t="s">
        <v>3067</v>
      </c>
      <c r="E359" s="435">
        <f ca="1">E358/((capProd4Reg2Price))</f>
        <v>0.46561002676528201</v>
      </c>
      <c r="F359" s="435">
        <f ca="1">F358/((capProd4Reg2Price))</f>
        <v>0.46561002676528201</v>
      </c>
      <c r="G359" s="435">
        <f ca="1">G358/((capProd4Reg2Price))</f>
        <v>0.46561002676528201</v>
      </c>
      <c r="H359" s="435">
        <f ca="1">H358/((capProd4Reg2Price))</f>
        <v>0.46561002676528201</v>
      </c>
      <c r="I359" s="435">
        <f ca="1">I358/((capProd4Reg2Price))</f>
        <v>0.46561002676528201</v>
      </c>
    </row>
    <row r="361" spans="1:11">
      <c r="B361" s="2" t="s">
        <v>1528</v>
      </c>
      <c r="E361" t="str">
        <f>decTeamName</f>
        <v>Vivia</v>
      </c>
      <c r="F361" t="str">
        <f>decTeamName</f>
        <v>Vivia</v>
      </c>
      <c r="G361" t="str">
        <f>decTeamName</f>
        <v>Vivia</v>
      </c>
      <c r="H361" t="str">
        <f>decTeamName</f>
        <v>Vivia</v>
      </c>
      <c r="I361" t="str">
        <f>decTeamName</f>
        <v>Vivia</v>
      </c>
      <c r="K361">
        <v>-1</v>
      </c>
    </row>
    <row r="362" spans="1:11">
      <c r="D362" t="s">
        <v>3640</v>
      </c>
      <c r="E362" s="11">
        <f ca="1">finPNLReg2Prod4COGSExp</f>
        <v>928676875.46728945</v>
      </c>
      <c r="F362" s="11">
        <f ca="1">finPNLReg2Prod4COGSExp</f>
        <v>928676875.46728945</v>
      </c>
      <c r="G362" s="11">
        <f ca="1">finPNLReg2Prod4COGSExp</f>
        <v>928676875.46728945</v>
      </c>
      <c r="H362" s="11">
        <f ca="1">finPNLReg2Prod4COGSExp</f>
        <v>928676875.46728945</v>
      </c>
      <c r="I362" s="11">
        <f ca="1">finPNLReg2Prod4COGSExp</f>
        <v>928676875.46728945</v>
      </c>
    </row>
    <row r="363" spans="1:11">
      <c r="D363" t="s">
        <v>173</v>
      </c>
      <c r="E363" s="11">
        <f ca="1">finPNLReg2Prod4SGAExp</f>
        <v>460397171.50128555</v>
      </c>
      <c r="F363" s="11">
        <f ca="1">finPNLReg2Prod4SGAExp</f>
        <v>460397171.50128555</v>
      </c>
      <c r="G363" s="11">
        <f ca="1">finPNLReg2Prod4SGAExp</f>
        <v>460397171.50128555</v>
      </c>
      <c r="H363" s="11">
        <f ca="1">finPNLReg2Prod4SGAExp</f>
        <v>460397171.50128555</v>
      </c>
      <c r="I363" s="11">
        <f ca="1">finPNLReg2Prod4SGAExp</f>
        <v>460397171.50128555</v>
      </c>
    </row>
    <row r="364" spans="1:11">
      <c r="D364" t="s">
        <v>172</v>
      </c>
      <c r="E364" s="11">
        <f>finPNLReg2Prod4RandDExp</f>
        <v>8875000</v>
      </c>
      <c r="F364" s="11">
        <f>finPNLReg2Prod4RandDExp</f>
        <v>8875000</v>
      </c>
      <c r="G364" s="11">
        <f>finPNLReg2Prod4RandDExp</f>
        <v>8875000</v>
      </c>
      <c r="H364" s="11">
        <f>finPNLReg2Prod4RandDExp</f>
        <v>8875000</v>
      </c>
      <c r="I364" s="11">
        <f>finPNLReg2Prod4RandDExp</f>
        <v>8875000</v>
      </c>
    </row>
    <row r="365" spans="1:11">
      <c r="D365" t="s">
        <v>1906</v>
      </c>
      <c r="E365" s="11">
        <f ca="1">finPNLReg2Prod4OtherOpExp</f>
        <v>26895574.697045017</v>
      </c>
      <c r="F365" s="11">
        <f ca="1">finPNLReg2Prod4OtherOpExp</f>
        <v>26895574.697045017</v>
      </c>
      <c r="G365" s="11">
        <f ca="1">finPNLReg2Prod4OtherOpExp</f>
        <v>26895574.697045017</v>
      </c>
      <c r="H365" s="11">
        <f ca="1">finPNLReg2Prod4OtherOpExp</f>
        <v>26895574.697045017</v>
      </c>
      <c r="I365" s="11">
        <f ca="1">finPNLReg2Prod4OtherOpExp</f>
        <v>26895574.697045017</v>
      </c>
    </row>
    <row r="366" spans="1:11">
      <c r="D366" s="26" t="s">
        <v>1563</v>
      </c>
      <c r="E366" s="901">
        <f>finPNLReg2Prod4COGSDepExp</f>
        <v>88181810.606694251</v>
      </c>
      <c r="F366" s="901">
        <f>finPNLReg2Prod4COGSDepExp</f>
        <v>88181810.606694251</v>
      </c>
      <c r="G366" s="901">
        <f>finPNLReg2Prod4COGSDepExp</f>
        <v>88181810.606694251</v>
      </c>
      <c r="H366" s="901">
        <f>finPNLReg2Prod4COGSDepExp</f>
        <v>88181810.606694251</v>
      </c>
      <c r="I366" s="901">
        <f>finPNLReg2Prod4COGSDepExp</f>
        <v>88181810.606694251</v>
      </c>
    </row>
    <row r="367" spans="1:11">
      <c r="D367" t="s">
        <v>1396</v>
      </c>
      <c r="E367" s="11">
        <f ca="1">(finPNLReg2Prod4Rev)-SUM(E362:E365)</f>
        <v>600155378.33437991</v>
      </c>
      <c r="F367" s="11">
        <f ca="1">(finPNLReg2Prod4Rev)-SUM(F362:F365)</f>
        <v>600155378.33437991</v>
      </c>
      <c r="G367" s="11">
        <f ca="1">(finPNLReg2Prod4Rev)-SUM(G362:G365)</f>
        <v>600155378.33437991</v>
      </c>
      <c r="H367" s="11">
        <f ca="1">(finPNLReg2Prod4Rev)-SUM(H362:H365)</f>
        <v>600155378.33437991</v>
      </c>
      <c r="I367" s="11">
        <f ca="1">(finPNLReg2Prod4Rev)-SUM(I362:I365)</f>
        <v>600155378.33437991</v>
      </c>
    </row>
    <row r="368" spans="1:11">
      <c r="D368" t="s">
        <v>3063</v>
      </c>
      <c r="E368" s="435">
        <f ca="1">E367/(finPNLReg2Prod4NetRev)</f>
        <v>0.31096133592454916</v>
      </c>
      <c r="F368" s="435">
        <f ca="1">F367/(finPNLReg2Prod4NetRev)</f>
        <v>0.31096133592454916</v>
      </c>
      <c r="G368" s="435">
        <f ca="1">G367/(finPNLReg2Prod4NetRev)</f>
        <v>0.31096133592454916</v>
      </c>
      <c r="H368" s="435">
        <f ca="1">H367/(finPNLReg2Prod4NetRev)</f>
        <v>0.31096133592454916</v>
      </c>
      <c r="I368" s="435">
        <f ca="1">I367/(finPNLReg2Prod4NetRev)</f>
        <v>0.31096133592454916</v>
      </c>
    </row>
    <row r="369" spans="1:9">
      <c r="A369" s="183"/>
      <c r="B369" s="183"/>
      <c r="C369" s="183"/>
      <c r="D369" s="183"/>
      <c r="E369" s="430"/>
      <c r="F369" s="430"/>
      <c r="G369" s="430"/>
      <c r="H369" s="430"/>
      <c r="I369" s="430"/>
    </row>
    <row r="370" spans="1:9">
      <c r="B370" s="2" t="s">
        <v>1681</v>
      </c>
    </row>
    <row r="371" spans="1:9">
      <c r="E371" t="str">
        <f>decTeamName</f>
        <v>Vivia</v>
      </c>
      <c r="F371" t="str">
        <f>decTeamName</f>
        <v>Vivia</v>
      </c>
      <c r="G371" t="str">
        <f>decTeamName</f>
        <v>Vivia</v>
      </c>
      <c r="H371" t="str">
        <f>decTeamName</f>
        <v>Vivia</v>
      </c>
      <c r="I371" t="str">
        <f>decTeamName</f>
        <v>Vivia</v>
      </c>
    </row>
    <row r="372" spans="1:9">
      <c r="D372" t="s">
        <v>1402</v>
      </c>
      <c r="E372" t="e">
        <f>(E134)*-1</f>
        <v>#DIV/0!</v>
      </c>
      <c r="F372" t="e">
        <f>(F134)*-1</f>
        <v>#DIV/0!</v>
      </c>
      <c r="G372" t="e">
        <f>(G134)*-1</f>
        <v>#DIV/0!</v>
      </c>
      <c r="H372" t="e">
        <f>(H134)*-1</f>
        <v>#DIV/0!</v>
      </c>
      <c r="I372" t="e">
        <f>(I134)*-1</f>
        <v>#DIV/0!</v>
      </c>
    </row>
    <row r="373" spans="1:9">
      <c r="D373" t="str">
        <f>DataNameProd3</f>
        <v>NCB</v>
      </c>
      <c r="E373" s="900" t="e">
        <f>SUM(E137:E138)</f>
        <v>#DIV/0!</v>
      </c>
      <c r="F373" s="900" t="e">
        <f>SUM(F137:F138)</f>
        <v>#DIV/0!</v>
      </c>
      <c r="G373" s="900" t="e">
        <f>SUM(G137:G138)</f>
        <v>#DIV/0!</v>
      </c>
      <c r="H373" s="900" t="e">
        <f>SUM(H137:H138)</f>
        <v>#DIV/0!</v>
      </c>
      <c r="I373" s="900" t="e">
        <f>SUM(I137:I138)</f>
        <v>#DIV/0!</v>
      </c>
    </row>
    <row r="374" spans="1:9">
      <c r="D374" t="s">
        <v>3210</v>
      </c>
      <c r="E374" s="435">
        <f>capReg1Prod1UnitsSold/SUM(capReg1Prod1UnitsSold)</f>
        <v>0.2</v>
      </c>
      <c r="F374" s="435">
        <f>capReg1Prod1UnitsSold/SUM(capReg1Prod1UnitsSold)</f>
        <v>0.2</v>
      </c>
      <c r="G374" s="435">
        <f>capReg1Prod1UnitsSold/SUM(capReg1Prod1UnitsSold)</f>
        <v>0.2</v>
      </c>
      <c r="H374" s="435">
        <f>capReg1Prod1UnitsSold/SUM(capReg1Prod1UnitsSold)</f>
        <v>0.2</v>
      </c>
      <c r="I374" s="435">
        <f>capReg1Prod1UnitsSold/SUM(capReg1Prod1UnitsSold)</f>
        <v>0.2</v>
      </c>
    </row>
    <row r="376" spans="1:9">
      <c r="B376" s="2" t="s">
        <v>1682</v>
      </c>
    </row>
    <row r="377" spans="1:9">
      <c r="E377" t="str">
        <f>decTeamName</f>
        <v>Vivia</v>
      </c>
      <c r="F377" t="str">
        <f>decTeamName</f>
        <v>Vivia</v>
      </c>
      <c r="G377" t="str">
        <f>decTeamName</f>
        <v>Vivia</v>
      </c>
      <c r="H377" t="str">
        <f>decTeamName</f>
        <v>Vivia</v>
      </c>
      <c r="I377" t="str">
        <f>decTeamName</f>
        <v>Vivia</v>
      </c>
    </row>
    <row r="378" spans="1:9">
      <c r="D378" t="s">
        <v>1402</v>
      </c>
      <c r="E378" t="e">
        <f>(E144)*-1</f>
        <v>#DIV/0!</v>
      </c>
      <c r="F378" t="e">
        <f>(F144)*-1</f>
        <v>#DIV/0!</v>
      </c>
      <c r="G378" t="e">
        <f>(G144)*-1</f>
        <v>#DIV/0!</v>
      </c>
      <c r="H378" t="e">
        <f>(H144)*-1</f>
        <v>#DIV/0!</v>
      </c>
      <c r="I378" t="e">
        <f>(I144)*-1</f>
        <v>#DIV/0!</v>
      </c>
    </row>
    <row r="379" spans="1:9">
      <c r="D379" t="str">
        <f>DataNameProd3</f>
        <v>NCB</v>
      </c>
      <c r="E379" s="900" t="e">
        <f>SUM(E146:E149)</f>
        <v>#DIV/0!</v>
      </c>
      <c r="F379" s="900" t="e">
        <f>SUM(F146:F149)</f>
        <v>#DIV/0!</v>
      </c>
      <c r="G379" s="900" t="e">
        <f>SUM(G146:G149)</f>
        <v>#DIV/0!</v>
      </c>
      <c r="H379" s="900" t="e">
        <f>SUM(H146:H149)</f>
        <v>#DIV/0!</v>
      </c>
      <c r="I379" s="900" t="e">
        <f>SUM(I146:I149)</f>
        <v>#DIV/0!</v>
      </c>
    </row>
    <row r="380" spans="1:9">
      <c r="D380" t="s">
        <v>3210</v>
      </c>
      <c r="E380" s="435">
        <f>capReg2Prod1UnitsSold/SUM(capReg2Prod1UnitsSold)</f>
        <v>0.2</v>
      </c>
      <c r="F380" s="435">
        <f>capReg2Prod1UnitsSold/SUM(capReg2Prod1UnitsSold)</f>
        <v>0.2</v>
      </c>
      <c r="G380" s="435">
        <f>capReg2Prod1UnitsSold/SUM(capReg2Prod1UnitsSold)</f>
        <v>0.2</v>
      </c>
      <c r="H380" s="435">
        <f>capReg2Prod1UnitsSold/SUM(capReg2Prod1UnitsSold)</f>
        <v>0.2</v>
      </c>
      <c r="I380" s="435">
        <f>capReg2Prod1UnitsSold/SUM(capReg2Prod1UnitsSold)</f>
        <v>0.2</v>
      </c>
    </row>
    <row r="382" spans="1:9">
      <c r="B382" s="2" t="s">
        <v>1683</v>
      </c>
    </row>
    <row r="383" spans="1:9">
      <c r="E383" t="str">
        <f>decTeamName</f>
        <v>Vivia</v>
      </c>
      <c r="F383" t="str">
        <f>decTeamName</f>
        <v>Vivia</v>
      </c>
      <c r="G383" t="str">
        <f>decTeamName</f>
        <v>Vivia</v>
      </c>
      <c r="H383" t="str">
        <f>decTeamName</f>
        <v>Vivia</v>
      </c>
      <c r="I383" t="str">
        <f>decTeamName</f>
        <v>Vivia</v>
      </c>
    </row>
    <row r="384" spans="1:9">
      <c r="D384" t="s">
        <v>1402</v>
      </c>
      <c r="E384" t="e">
        <f>(E155)*-1</f>
        <v>#DIV/0!</v>
      </c>
      <c r="F384" t="e">
        <f>(F155)*-1</f>
        <v>#DIV/0!</v>
      </c>
      <c r="G384" t="e">
        <f>(G155)*-1</f>
        <v>#DIV/0!</v>
      </c>
      <c r="H384" t="e">
        <f>(H155)*-1</f>
        <v>#DIV/0!</v>
      </c>
      <c r="I384" t="e">
        <f>(I155)*-1</f>
        <v>#DIV/0!</v>
      </c>
    </row>
    <row r="385" spans="2:9">
      <c r="D385" t="str">
        <f>DataNameProd3</f>
        <v>NCB</v>
      </c>
      <c r="E385" s="900" t="e">
        <f>SUM(E158:E159)</f>
        <v>#DIV/0!</v>
      </c>
      <c r="F385" s="900" t="e">
        <f>SUM(F158:F159)</f>
        <v>#DIV/0!</v>
      </c>
      <c r="G385" s="900" t="e">
        <f>SUM(G158:G159)</f>
        <v>#DIV/0!</v>
      </c>
      <c r="H385" s="900" t="e">
        <f>SUM(H158:H159)</f>
        <v>#DIV/0!</v>
      </c>
      <c r="I385" s="900" t="e">
        <f>SUM(I158:I159)</f>
        <v>#DIV/0!</v>
      </c>
    </row>
    <row r="386" spans="2:9">
      <c r="D386" t="s">
        <v>3210</v>
      </c>
      <c r="E386" s="435">
        <f>capReg1Prod3UnitsSold/SUM(capReg1Prod3UnitsSold)</f>
        <v>0.2</v>
      </c>
      <c r="F386" s="435">
        <f>capReg1Prod3UnitsSold/SUM(capReg1Prod3UnitsSold)</f>
        <v>0.2</v>
      </c>
      <c r="G386" s="435">
        <f>capReg1Prod3UnitsSold/SUM(capReg1Prod3UnitsSold)</f>
        <v>0.2</v>
      </c>
      <c r="H386" s="435">
        <f>capReg1Prod3UnitsSold/SUM(capReg1Prod3UnitsSold)</f>
        <v>0.2</v>
      </c>
      <c r="I386" s="435">
        <f>capReg1Prod3UnitsSold/SUM(capReg1Prod3UnitsSold)</f>
        <v>0.2</v>
      </c>
    </row>
    <row r="388" spans="2:9">
      <c r="B388" s="2" t="s">
        <v>1684</v>
      </c>
    </row>
    <row r="389" spans="2:9">
      <c r="E389" t="str">
        <f>decTeamName</f>
        <v>Vivia</v>
      </c>
      <c r="F389" t="str">
        <f>decTeamName</f>
        <v>Vivia</v>
      </c>
      <c r="G389" t="str">
        <f>decTeamName</f>
        <v>Vivia</v>
      </c>
      <c r="H389" t="str">
        <f>decTeamName</f>
        <v>Vivia</v>
      </c>
      <c r="I389" t="str">
        <f>decTeamName</f>
        <v>Vivia</v>
      </c>
    </row>
    <row r="390" spans="2:9">
      <c r="D390" t="s">
        <v>1402</v>
      </c>
      <c r="E390" t="e">
        <f>(E165)*-1</f>
        <v>#DIV/0!</v>
      </c>
      <c r="F390" t="e">
        <f>(F165)*-1</f>
        <v>#DIV/0!</v>
      </c>
      <c r="G390" t="e">
        <f>(G165)*-1</f>
        <v>#DIV/0!</v>
      </c>
      <c r="H390" t="e">
        <f>(H165)*-1</f>
        <v>#DIV/0!</v>
      </c>
      <c r="I390" t="e">
        <f>(I165)*-1</f>
        <v>#DIV/0!</v>
      </c>
    </row>
    <row r="391" spans="2:9">
      <c r="D391" t="str">
        <f>DataNameProd3</f>
        <v>NCB</v>
      </c>
      <c r="E391" s="900" t="e">
        <f>SUM(E170:E173)</f>
        <v>#DIV/0!</v>
      </c>
      <c r="F391" s="900" t="e">
        <f>SUM(F170:F173)</f>
        <v>#DIV/0!</v>
      </c>
      <c r="G391" s="900" t="e">
        <f>SUM(G170:G173)</f>
        <v>#DIV/0!</v>
      </c>
      <c r="H391" s="900" t="e">
        <f>SUM(H170:H173)</f>
        <v>#DIV/0!</v>
      </c>
      <c r="I391" s="900" t="e">
        <f>SUM(I170:I173)</f>
        <v>#DIV/0!</v>
      </c>
    </row>
    <row r="392" spans="2:9">
      <c r="D392" t="s">
        <v>3210</v>
      </c>
      <c r="E392" s="435">
        <f>capReg2Prod3UnitsSold/SUM(capReg2Prod3UnitsSold)</f>
        <v>0.2</v>
      </c>
      <c r="F392" s="435">
        <f>capReg2Prod3UnitsSold/SUM(capReg2Prod3UnitsSold)</f>
        <v>0.2</v>
      </c>
      <c r="G392" s="435">
        <f>capReg2Prod3UnitsSold/SUM(capReg2Prod3UnitsSold)</f>
        <v>0.2</v>
      </c>
      <c r="H392" s="435">
        <f>capReg2Prod3UnitsSold/SUM(capReg2Prod3UnitsSold)</f>
        <v>0.2</v>
      </c>
      <c r="I392" s="435">
        <f>capReg2Prod3UnitsSold/SUM(capReg2Prod3UnitsSold)</f>
        <v>0.2</v>
      </c>
    </row>
    <row r="394" spans="2:9">
      <c r="B394" s="2" t="s">
        <v>3418</v>
      </c>
    </row>
    <row r="395" spans="2:9">
      <c r="E395" t="str">
        <f>decTeamName</f>
        <v>Vivia</v>
      </c>
      <c r="F395" t="str">
        <f>decTeamName</f>
        <v>Vivia</v>
      </c>
      <c r="G395" t="str">
        <f>decTeamName</f>
        <v>Vivia</v>
      </c>
      <c r="H395" t="str">
        <f>decTeamName</f>
        <v>Vivia</v>
      </c>
      <c r="I395" t="str">
        <f>decTeamName</f>
        <v>Vivia</v>
      </c>
    </row>
    <row r="396" spans="2:9">
      <c r="D396" t="s">
        <v>1402</v>
      </c>
      <c r="E396" t="e">
        <f>(#REF!)*-1</f>
        <v>#REF!</v>
      </c>
      <c r="F396" t="e">
        <f>(#REF!)*-1</f>
        <v>#REF!</v>
      </c>
      <c r="G396" t="e">
        <f>(#REF!)*-1</f>
        <v>#REF!</v>
      </c>
      <c r="H396" t="e">
        <f>(#REF!)*-1</f>
        <v>#REF!</v>
      </c>
      <c r="I396" t="e">
        <f>(#REF!)*-1</f>
        <v>#REF!</v>
      </c>
    </row>
    <row r="397" spans="2:9">
      <c r="D397" t="str">
        <f>DataNameProd3</f>
        <v>NCB</v>
      </c>
      <c r="E397" s="900" t="e">
        <f>SUM(#REF!,#REF!,#REF!)</f>
        <v>#REF!</v>
      </c>
      <c r="F397" s="900" t="e">
        <f>SUM(#REF!,#REF!,#REF!)</f>
        <v>#REF!</v>
      </c>
      <c r="G397" s="900" t="e">
        <f>SUM(#REF!,#REF!,#REF!)</f>
        <v>#REF!</v>
      </c>
      <c r="H397" s="900" t="e">
        <f>SUM(#REF!,#REF!,#REF!)</f>
        <v>#REF!</v>
      </c>
      <c r="I397" s="900" t="e">
        <f>SUM(#REF!,#REF!,#REF!)</f>
        <v>#REF!</v>
      </c>
    </row>
    <row r="398" spans="2:9">
      <c r="D398" t="s">
        <v>3210</v>
      </c>
      <c r="E398" s="435">
        <f>capReg1Prod4UnitsSold/SUM(capReg1Prod4UnitsSold)</f>
        <v>0.2</v>
      </c>
      <c r="F398" s="435">
        <f>capReg1Prod4UnitsSold/SUM(capReg1Prod4UnitsSold)</f>
        <v>0.2</v>
      </c>
      <c r="G398" s="435">
        <f>capReg1Prod4UnitsSold/SUM(capReg1Prod4UnitsSold)</f>
        <v>0.2</v>
      </c>
      <c r="H398" s="435">
        <f>capReg1Prod4UnitsSold/SUM(capReg1Prod4UnitsSold)</f>
        <v>0.2</v>
      </c>
      <c r="I398" s="435">
        <f>capReg1Prod4UnitsSold/SUM(capReg1Prod4UnitsSold)</f>
        <v>0.2</v>
      </c>
    </row>
    <row r="400" spans="2:9" ht="12.75" customHeight="1">
      <c r="B400" s="2" t="s">
        <v>3419</v>
      </c>
    </row>
    <row r="401" spans="2:9">
      <c r="E401" t="str">
        <f>decTeamName</f>
        <v>Vivia</v>
      </c>
      <c r="F401" t="str">
        <f>decTeamName</f>
        <v>Vivia</v>
      </c>
      <c r="G401" t="str">
        <f>decTeamName</f>
        <v>Vivia</v>
      </c>
      <c r="H401" t="str">
        <f>decTeamName</f>
        <v>Vivia</v>
      </c>
      <c r="I401" t="str">
        <f>decTeamName</f>
        <v>Vivia</v>
      </c>
    </row>
    <row r="402" spans="2:9">
      <c r="D402" t="s">
        <v>1402</v>
      </c>
      <c r="E402" t="e">
        <f>(#REF!)*-1</f>
        <v>#REF!</v>
      </c>
      <c r="F402" t="e">
        <f>(#REF!)*-1</f>
        <v>#REF!</v>
      </c>
      <c r="G402" t="e">
        <f>(#REF!)*-1</f>
        <v>#REF!</v>
      </c>
      <c r="H402" t="e">
        <f>(#REF!)*-1</f>
        <v>#REF!</v>
      </c>
      <c r="I402" t="e">
        <f>(#REF!)*-1</f>
        <v>#REF!</v>
      </c>
    </row>
    <row r="403" spans="2:9">
      <c r="D403" t="str">
        <f>DataNameProd3</f>
        <v>NCB</v>
      </c>
      <c r="E403" s="900" t="e">
        <f>SUM(#REF!,#REF!,#REF!)</f>
        <v>#REF!</v>
      </c>
      <c r="F403" s="900" t="e">
        <f>SUM(#REF!,#REF!,#REF!)</f>
        <v>#REF!</v>
      </c>
      <c r="G403" s="900" t="e">
        <f>SUM(#REF!,#REF!,#REF!)</f>
        <v>#REF!</v>
      </c>
      <c r="H403" s="900" t="e">
        <f>SUM(#REF!,#REF!,#REF!)</f>
        <v>#REF!</v>
      </c>
      <c r="I403" s="900" t="e">
        <f>SUM(#REF!,#REF!,#REF!)</f>
        <v>#REF!</v>
      </c>
    </row>
    <row r="404" spans="2:9">
      <c r="D404" t="s">
        <v>3210</v>
      </c>
      <c r="E404" s="435">
        <f>capReg2Prod4UnitsSold/SUM(capReg2Prod4UnitsSold)</f>
        <v>0.2</v>
      </c>
      <c r="F404" s="435">
        <f>capReg2Prod4UnitsSold/SUM(capReg2Prod4UnitsSold)</f>
        <v>0.2</v>
      </c>
      <c r="G404" s="435">
        <f>capReg2Prod4UnitsSold/SUM(capReg2Prod4UnitsSold)</f>
        <v>0.2</v>
      </c>
      <c r="H404" s="435">
        <f>capReg2Prod4UnitsSold/SUM(capReg2Prod4UnitsSold)</f>
        <v>0.2</v>
      </c>
      <c r="I404" s="435">
        <f>capReg2Prod4UnitsSold/SUM(capReg2Prod4UnitsSold)</f>
        <v>0.2</v>
      </c>
    </row>
    <row r="406" spans="2:9">
      <c r="B406" s="137" t="s">
        <v>1530</v>
      </c>
      <c r="E406" t="str">
        <f>decTeamName</f>
        <v>Vivia</v>
      </c>
      <c r="F406" t="str">
        <f>decTeamName</f>
        <v>Vivia</v>
      </c>
      <c r="G406" t="str">
        <f>decTeamName</f>
        <v>Vivia</v>
      </c>
      <c r="H406" t="str">
        <f>decTeamName</f>
        <v>Vivia</v>
      </c>
      <c r="I406" t="str">
        <f>decTeamName</f>
        <v>Vivia</v>
      </c>
    </row>
    <row r="407" spans="2:9" ht="12.75">
      <c r="D407" s="3" t="s">
        <v>319</v>
      </c>
      <c r="E407" s="846">
        <f>(adj!E$213)</f>
        <v>0</v>
      </c>
      <c r="F407" s="846">
        <f>(adj!F$213)</f>
        <v>0</v>
      </c>
      <c r="G407" s="846">
        <f>(adj!G$213)</f>
        <v>0</v>
      </c>
      <c r="H407" s="846">
        <f>(adj!H$213)</f>
        <v>0</v>
      </c>
      <c r="I407" s="846">
        <f>(adj!I$213)</f>
        <v>0</v>
      </c>
    </row>
    <row r="408" spans="2:9" ht="12.75">
      <c r="D408" s="3" t="s">
        <v>320</v>
      </c>
      <c r="E408" s="846">
        <f>(adj!E$221)</f>
        <v>0</v>
      </c>
      <c r="F408" s="846">
        <f>(adj!F$221)</f>
        <v>0</v>
      </c>
      <c r="G408" s="846">
        <f>(adj!G$221)</f>
        <v>0</v>
      </c>
      <c r="H408" s="846">
        <f>(adj!H$221)</f>
        <v>0</v>
      </c>
      <c r="I408" s="846">
        <f>(adj!I$221)</f>
        <v>0</v>
      </c>
    </row>
    <row r="409" spans="2:9" ht="12.75">
      <c r="D409" s="3" t="s">
        <v>321</v>
      </c>
      <c r="E409" s="846">
        <f>(adj!E$241)</f>
        <v>0</v>
      </c>
      <c r="F409" s="846">
        <f>(adj!F$241)</f>
        <v>0</v>
      </c>
      <c r="G409" s="846">
        <f>(adj!G$241)</f>
        <v>0</v>
      </c>
      <c r="H409" s="846">
        <f>(adj!H$241)</f>
        <v>0</v>
      </c>
      <c r="I409" s="846">
        <f>(adj!I$241)</f>
        <v>0</v>
      </c>
    </row>
    <row r="410" spans="2:9" ht="12.75">
      <c r="D410" s="3" t="s">
        <v>322</v>
      </c>
      <c r="E410" s="846">
        <f>(adj!E$231)</f>
        <v>0</v>
      </c>
      <c r="F410" s="846">
        <f>(adj!F$231)</f>
        <v>0</v>
      </c>
      <c r="G410" s="846">
        <f>(adj!G$231)</f>
        <v>0</v>
      </c>
      <c r="H410" s="846">
        <f>(adj!H$231)</f>
        <v>0</v>
      </c>
      <c r="I410" s="846">
        <f>(adj!I$231)</f>
        <v>0</v>
      </c>
    </row>
    <row r="411" spans="2:9" ht="12.75">
      <c r="D411" s="3" t="s">
        <v>1945</v>
      </c>
      <c r="E411" s="846">
        <f>SUMIF(adj!$C$327:$C$849,5,adj!E$327:E$849)</f>
        <v>0</v>
      </c>
      <c r="F411" s="846">
        <f>SUMIF(adj!$C$327:$C$849,5,adj!F$327:F$849)</f>
        <v>0</v>
      </c>
      <c r="G411" s="846">
        <f>SUMIF(adj!$C$327:$C$849,5,adj!G$327:G$849)</f>
        <v>0</v>
      </c>
      <c r="H411" s="846">
        <f>SUMIF(adj!$C$327:$C$849,5,adj!H$327:H$849)</f>
        <v>0</v>
      </c>
      <c r="I411" s="846">
        <f>SUMIF(adj!$C$327:$C$849,5,adj!I$327:I$849)</f>
        <v>0</v>
      </c>
    </row>
    <row r="412" spans="2:9">
      <c r="E412" s="442">
        <f>SUM(E407:E411)</f>
        <v>0</v>
      </c>
      <c r="F412" s="442">
        <f>SUM(F407:F411)</f>
        <v>0</v>
      </c>
      <c r="G412" s="442">
        <f>SUM(G407:G411)</f>
        <v>0</v>
      </c>
      <c r="H412" s="442">
        <f>SUM(H407:H411)</f>
        <v>0</v>
      </c>
      <c r="I412" s="442">
        <f>SUM(I407:I411)</f>
        <v>0</v>
      </c>
    </row>
    <row r="413" spans="2:9">
      <c r="D413" s="902"/>
      <c r="E413" s="902"/>
      <c r="F413" s="902"/>
      <c r="G413" s="902"/>
      <c r="H413" s="902"/>
      <c r="I413" s="902"/>
    </row>
    <row r="414" spans="2:9">
      <c r="C414" s="2" t="s">
        <v>1531</v>
      </c>
      <c r="D414" s="902"/>
      <c r="E414" s="902">
        <f>capPlant1UnitsEnd</f>
        <v>931</v>
      </c>
      <c r="F414" s="902">
        <f>capPlant1UnitsEnd</f>
        <v>931</v>
      </c>
      <c r="G414" s="902">
        <f>capPlant1UnitsEnd</f>
        <v>931</v>
      </c>
      <c r="H414" s="902">
        <f>capPlant1UnitsEnd</f>
        <v>931</v>
      </c>
      <c r="I414" s="902">
        <f>capPlant1UnitsEnd</f>
        <v>931</v>
      </c>
    </row>
    <row r="415" spans="2:9">
      <c r="D415" s="902"/>
      <c r="E415" s="902"/>
      <c r="F415" s="902"/>
      <c r="G415" s="902"/>
      <c r="H415" s="902"/>
      <c r="I415" s="902"/>
    </row>
    <row r="418" spans="2:9">
      <c r="B418" s="2" t="str">
        <f>DataNameProd1&amp;" Price-Volume:  Vetera"</f>
        <v>CSD Price-Volume:  Vetera</v>
      </c>
    </row>
    <row r="419" spans="2:9">
      <c r="E419" t="str">
        <f>decTeamName</f>
        <v>Vivia</v>
      </c>
      <c r="F419" t="str">
        <f>decTeamName</f>
        <v>Vivia</v>
      </c>
      <c r="G419" t="str">
        <f>decTeamName</f>
        <v>Vivia</v>
      </c>
      <c r="H419" t="str">
        <f>decTeamName</f>
        <v>Vivia</v>
      </c>
      <c r="I419" t="str">
        <f>decTeamName</f>
        <v>Vivia</v>
      </c>
    </row>
    <row r="420" spans="2:9">
      <c r="D420" t="s">
        <v>1402</v>
      </c>
      <c r="E420" s="581">
        <f>capProd1Reg1Price</f>
        <v>9.5</v>
      </c>
      <c r="F420" s="581">
        <f>capProd1Reg1Price</f>
        <v>9.5</v>
      </c>
      <c r="G420" s="581">
        <f>capProd1Reg1Price</f>
        <v>9.5</v>
      </c>
      <c r="H420" s="581">
        <f>capProd1Reg1Price</f>
        <v>9.5</v>
      </c>
      <c r="I420" s="581">
        <f>capProd1Reg1Price</f>
        <v>9.5</v>
      </c>
    </row>
    <row r="421" spans="2:9">
      <c r="D421" t="str">
        <f>DataNameProd1</f>
        <v>CSD</v>
      </c>
      <c r="E421" s="1308">
        <f>capReg1Prod1UnitsSold</f>
        <v>741713021</v>
      </c>
      <c r="F421" s="1308">
        <f>capReg1Prod1UnitsSold</f>
        <v>741713021</v>
      </c>
      <c r="G421" s="1308">
        <f>capReg1Prod1UnitsSold</f>
        <v>741713021</v>
      </c>
      <c r="H421" s="1308">
        <f>capReg1Prod1UnitsSold</f>
        <v>741713021</v>
      </c>
      <c r="I421" s="1308">
        <f>capReg1Prod1UnitsSold</f>
        <v>741713021</v>
      </c>
    </row>
    <row r="422" spans="2:9">
      <c r="D422" t="s">
        <v>3210</v>
      </c>
      <c r="E422" s="435">
        <f>capReg1Prod1UnitsSold/SUM(capReg1Prod1UnitsSold)</f>
        <v>0.2</v>
      </c>
      <c r="F422" s="435">
        <f>capReg1Prod1UnitsSold/SUM(capReg1Prod1UnitsSold)</f>
        <v>0.2</v>
      </c>
      <c r="G422" s="435">
        <f>capReg1Prod1UnitsSold/SUM(capReg1Prod1UnitsSold)</f>
        <v>0.2</v>
      </c>
      <c r="H422" s="435">
        <f>capReg1Prod1UnitsSold/SUM(capReg1Prod1UnitsSold)</f>
        <v>0.2</v>
      </c>
      <c r="I422" s="435">
        <f>capReg1Prod1UnitsSold/SUM(capReg1Prod1UnitsSold)</f>
        <v>0.2</v>
      </c>
    </row>
    <row r="424" spans="2:9">
      <c r="B424" s="2" t="str">
        <f>DataNameProd1&amp;" Price-Volume:  Escendia"</f>
        <v>CSD Price-Volume:  Escendia</v>
      </c>
    </row>
    <row r="425" spans="2:9">
      <c r="E425" t="str">
        <f>decTeamName</f>
        <v>Vivia</v>
      </c>
      <c r="F425" t="str">
        <f>decTeamName</f>
        <v>Vivia</v>
      </c>
      <c r="G425" t="str">
        <f>decTeamName</f>
        <v>Vivia</v>
      </c>
      <c r="H425" t="str">
        <f>decTeamName</f>
        <v>Vivia</v>
      </c>
      <c r="I425" t="str">
        <f>decTeamName</f>
        <v>Vivia</v>
      </c>
    </row>
    <row r="426" spans="2:9">
      <c r="D426" t="s">
        <v>1402</v>
      </c>
      <c r="E426" s="581">
        <f>capProd1Reg2Price</f>
        <v>7</v>
      </c>
      <c r="F426" s="581">
        <f>capProd1Reg2Price</f>
        <v>7</v>
      </c>
      <c r="G426" s="581">
        <f>capProd1Reg2Price</f>
        <v>7</v>
      </c>
      <c r="H426" s="581">
        <f>capProd1Reg2Price</f>
        <v>7</v>
      </c>
      <c r="I426" s="581">
        <f>capProd1Reg2Price</f>
        <v>7</v>
      </c>
    </row>
    <row r="427" spans="2:9">
      <c r="D427" t="str">
        <f>DataNameProd1</f>
        <v>CSD</v>
      </c>
      <c r="E427" s="1308">
        <f>capReg2Prod1UnitsSold</f>
        <v>356800000</v>
      </c>
      <c r="F427" s="1308">
        <f>capReg2Prod1UnitsSold</f>
        <v>356800000</v>
      </c>
      <c r="G427" s="1308">
        <f>capReg2Prod1UnitsSold</f>
        <v>356800000</v>
      </c>
      <c r="H427" s="1308">
        <f>capReg2Prod1UnitsSold</f>
        <v>356800000</v>
      </c>
      <c r="I427" s="1308">
        <f>capReg2Prod1UnitsSold</f>
        <v>356800000</v>
      </c>
    </row>
    <row r="428" spans="2:9">
      <c r="D428" t="s">
        <v>3210</v>
      </c>
      <c r="E428" s="435">
        <f>capReg2Prod1UnitsSold/SUM(capReg2Prod1UnitsSold)</f>
        <v>0.2</v>
      </c>
      <c r="F428" s="435">
        <f>capReg2Prod1UnitsSold/SUM(capReg2Prod1UnitsSold)</f>
        <v>0.2</v>
      </c>
      <c r="G428" s="435">
        <f>capReg2Prod1UnitsSold/SUM(capReg2Prod1UnitsSold)</f>
        <v>0.2</v>
      </c>
      <c r="H428" s="435">
        <f>capReg2Prod1UnitsSold/SUM(capReg2Prod1UnitsSold)</f>
        <v>0.2</v>
      </c>
      <c r="I428" s="435">
        <f>capReg2Prod1UnitsSold/SUM(capReg2Prod1UnitsSold)</f>
        <v>0.2</v>
      </c>
    </row>
    <row r="429" spans="2:9">
      <c r="B429" s="2"/>
    </row>
    <row r="430" spans="2:9">
      <c r="B430" s="2" t="s">
        <v>1761</v>
      </c>
    </row>
    <row r="431" spans="2:9">
      <c r="E431" t="str">
        <f>decTeamName</f>
        <v>Vivia</v>
      </c>
      <c r="F431" t="str">
        <f>decTeamName</f>
        <v>Vivia</v>
      </c>
      <c r="G431" t="str">
        <f>decTeamName</f>
        <v>Vivia</v>
      </c>
      <c r="H431" t="str">
        <f>decTeamName</f>
        <v>Vivia</v>
      </c>
      <c r="I431" t="str">
        <f>decTeamName</f>
        <v>Vivia</v>
      </c>
    </row>
    <row r="432" spans="2:9">
      <c r="D432" t="s">
        <v>1444</v>
      </c>
      <c r="E432" s="10">
        <f ca="1">capSustEnvironment</f>
        <v>101.47698543969102</v>
      </c>
      <c r="F432" s="10">
        <f ca="1">capSustEnvironment</f>
        <v>101.47698543969102</v>
      </c>
      <c r="G432" s="10">
        <f ca="1">capSustEnvironment</f>
        <v>101.47698543969102</v>
      </c>
      <c r="H432" s="10">
        <f ca="1">capSustEnvironment</f>
        <v>101.47698543969102</v>
      </c>
      <c r="I432" s="10">
        <f ca="1">capSustEnvironment</f>
        <v>101.47698543969102</v>
      </c>
    </row>
    <row r="433" spans="2:9">
      <c r="D433" t="s">
        <v>1445</v>
      </c>
      <c r="E433" s="10">
        <f>capSustHuman</f>
        <v>100</v>
      </c>
      <c r="F433" s="10">
        <f>capSustHuman</f>
        <v>100</v>
      </c>
      <c r="G433" s="10">
        <f>capSustHuman</f>
        <v>100</v>
      </c>
      <c r="H433" s="10">
        <f>capSustHuman</f>
        <v>100</v>
      </c>
      <c r="I433" s="10">
        <f>capSustHuman</f>
        <v>100</v>
      </c>
    </row>
    <row r="434" spans="2:9">
      <c r="D434" t="s">
        <v>1446</v>
      </c>
      <c r="E434" s="10">
        <f>capSustTalent</f>
        <v>99.915162526483627</v>
      </c>
      <c r="F434" s="10">
        <f>capSustTalent</f>
        <v>99.915162526483627</v>
      </c>
      <c r="G434" s="10">
        <f>capSustTalent</f>
        <v>99.915162526483627</v>
      </c>
      <c r="H434" s="10">
        <f>capSustTalent</f>
        <v>99.915162526483627</v>
      </c>
      <c r="I434" s="10">
        <f>capSustTalent</f>
        <v>99.915162526483627</v>
      </c>
    </row>
    <row r="435" spans="2:9">
      <c r="B435" s="2"/>
      <c r="E435" s="10">
        <f ca="1">AVERAGE(E432:E434)</f>
        <v>100.46404932205822</v>
      </c>
      <c r="F435" s="10">
        <f ca="1">AVERAGE(F432:F434)</f>
        <v>100.46404932205822</v>
      </c>
      <c r="G435" s="10">
        <f ca="1">AVERAGE(G432:G434)</f>
        <v>100.46404932205822</v>
      </c>
      <c r="H435" s="10">
        <f ca="1">AVERAGE(H432:H434)</f>
        <v>100.46404932205822</v>
      </c>
      <c r="I435" s="10">
        <f ca="1">AVERAGE(I432:I434)</f>
        <v>100.46404932205822</v>
      </c>
    </row>
    <row r="436" spans="2:9">
      <c r="B436" s="2"/>
      <c r="E436" s="10"/>
      <c r="F436" s="10"/>
      <c r="G436" s="10"/>
      <c r="H436" s="10"/>
      <c r="I436" s="10"/>
    </row>
    <row r="437" spans="2:9">
      <c r="B437" s="2" t="s">
        <v>3284</v>
      </c>
      <c r="E437" t="str">
        <f>decTeamName</f>
        <v>Vivia</v>
      </c>
      <c r="F437" t="str">
        <f>decTeamName</f>
        <v>Vivia</v>
      </c>
      <c r="G437" t="str">
        <f>decTeamName</f>
        <v>Vivia</v>
      </c>
      <c r="H437" t="str">
        <f>decTeamName</f>
        <v>Vivia</v>
      </c>
      <c r="I437" t="str">
        <f>decTeamName</f>
        <v>Vivia</v>
      </c>
    </row>
    <row r="438" spans="2:9">
      <c r="D438" t="s">
        <v>845</v>
      </c>
      <c r="E438">
        <f>capRFSHrnd</f>
        <v>0</v>
      </c>
      <c r="F438">
        <f>capRFSHrnd</f>
        <v>0</v>
      </c>
      <c r="G438">
        <f>capRFSHrnd</f>
        <v>0</v>
      </c>
      <c r="H438">
        <f>capRFSHrnd</f>
        <v>0</v>
      </c>
      <c r="I438">
        <f>capRFSHrnd</f>
        <v>0</v>
      </c>
    </row>
    <row r="439" spans="2:9">
      <c r="D439" s="905" t="s">
        <v>4095</v>
      </c>
      <c r="E439">
        <f>capBKTHrnd</f>
        <v>0</v>
      </c>
      <c r="F439">
        <f>capBKTHrnd</f>
        <v>0</v>
      </c>
      <c r="G439">
        <f>capBKTHrnd</f>
        <v>0</v>
      </c>
      <c r="H439">
        <f>capBKTHrnd</f>
        <v>0</v>
      </c>
      <c r="I439">
        <f>capBKTHrnd</f>
        <v>0</v>
      </c>
    </row>
    <row r="440" spans="2:9">
      <c r="D440" s="905" t="s">
        <v>846</v>
      </c>
      <c r="E440">
        <f>capDSRPrnd</f>
        <v>0</v>
      </c>
      <c r="F440">
        <f>capDSRPrnd</f>
        <v>0</v>
      </c>
      <c r="G440">
        <f>capDSRPrnd</f>
        <v>0</v>
      </c>
      <c r="H440">
        <f>capDSRPrnd</f>
        <v>0</v>
      </c>
      <c r="I440">
        <f>capDSRPrnd</f>
        <v>0</v>
      </c>
    </row>
    <row r="441" spans="2:9" hidden="1">
      <c r="D441" t="s">
        <v>1155</v>
      </c>
      <c r="E441">
        <f>capACQrnd</f>
        <v>0</v>
      </c>
      <c r="F441">
        <f>capACQrnd</f>
        <v>0</v>
      </c>
      <c r="G441">
        <f>capACQrnd</f>
        <v>0</v>
      </c>
      <c r="H441">
        <f>capACQrnd</f>
        <v>0</v>
      </c>
      <c r="I441">
        <f>capACQrnd</f>
        <v>0</v>
      </c>
    </row>
    <row r="442" spans="2:9">
      <c r="D442" t="s">
        <v>3794</v>
      </c>
      <c r="E442">
        <f>SUM(E438:E441)</f>
        <v>0</v>
      </c>
      <c r="F442">
        <f>SUM(F438:F441)</f>
        <v>0</v>
      </c>
      <c r="G442">
        <f>SUM(G438:G441)</f>
        <v>0</v>
      </c>
      <c r="H442">
        <f>SUM(H438:H441)</f>
        <v>0</v>
      </c>
      <c r="I442">
        <f>SUM(I438:I441)</f>
        <v>0</v>
      </c>
    </row>
    <row r="444" spans="2:9">
      <c r="B444" s="2" t="s">
        <v>2552</v>
      </c>
      <c r="E444" t="str">
        <f>decTeamName</f>
        <v>Vivia</v>
      </c>
      <c r="F444" t="str">
        <f>decTeamName</f>
        <v>Vivia</v>
      </c>
      <c r="G444" t="str">
        <f>decTeamName</f>
        <v>Vivia</v>
      </c>
      <c r="H444" t="str">
        <f>decTeamName</f>
        <v>Vivia</v>
      </c>
      <c r="I444" t="str">
        <f>decTeamName</f>
        <v>Vivia</v>
      </c>
    </row>
    <row r="445" spans="2:9">
      <c r="D445" t="str">
        <f>fin!A762</f>
        <v>Cost of Goods Sold</v>
      </c>
      <c r="E445" s="1312">
        <f ca="1">fin!E762</f>
        <v>11248910818.928865</v>
      </c>
      <c r="F445" s="1312">
        <f ca="1">fin!F762</f>
        <v>11248910818.928865</v>
      </c>
      <c r="G445" s="1312">
        <f ca="1">fin!G762</f>
        <v>11248910818.928865</v>
      </c>
      <c r="H445" s="1312">
        <f ca="1">fin!H762</f>
        <v>11248910818.928865</v>
      </c>
      <c r="I445" s="1312">
        <f ca="1">fin!I762</f>
        <v>11248910818.928865</v>
      </c>
    </row>
    <row r="446" spans="2:9">
      <c r="D446" t="str">
        <f>fin!A763</f>
        <v>SG&amp;A</v>
      </c>
      <c r="E446" s="1312">
        <f ca="1">fin!E763</f>
        <v>5590474655.6612024</v>
      </c>
      <c r="F446" s="1312">
        <f ca="1">fin!F763</f>
        <v>5590474655.6612024</v>
      </c>
      <c r="G446" s="1312">
        <f ca="1">fin!G763</f>
        <v>5590474655.6612024</v>
      </c>
      <c r="H446" s="1312">
        <f ca="1">fin!H763</f>
        <v>5590474655.6612024</v>
      </c>
      <c r="I446" s="1312">
        <f ca="1">fin!I763</f>
        <v>5590474655.6612024</v>
      </c>
    </row>
    <row r="447" spans="2:9">
      <c r="D447" t="str">
        <f>fin!A764</f>
        <v>R&amp;D Costs</v>
      </c>
      <c r="E447" s="1312">
        <f>fin!E764</f>
        <v>142497326.78673378</v>
      </c>
      <c r="F447" s="1312">
        <f>fin!F764</f>
        <v>142497326.78673378</v>
      </c>
      <c r="G447" s="1312">
        <f>fin!G764</f>
        <v>142497326.78673378</v>
      </c>
      <c r="H447" s="1312">
        <f>fin!H764</f>
        <v>142497326.78673378</v>
      </c>
      <c r="I447" s="1312">
        <f>fin!I764</f>
        <v>142497326.78673378</v>
      </c>
    </row>
    <row r="448" spans="2:9">
      <c r="D448" t="str">
        <f>fin!A765</f>
        <v>Other Operating Expenses</v>
      </c>
      <c r="E448" s="1312">
        <f ca="1">fin!E765</f>
        <v>366200411.79866314</v>
      </c>
      <c r="F448" s="1312">
        <f ca="1">fin!F765</f>
        <v>366200411.79866314</v>
      </c>
      <c r="G448" s="1312">
        <f ca="1">fin!G765</f>
        <v>366200411.79866314</v>
      </c>
      <c r="H448" s="1312">
        <f ca="1">fin!H765</f>
        <v>366200411.79866314</v>
      </c>
      <c r="I448" s="1312">
        <f ca="1">fin!I765</f>
        <v>366200411.79866314</v>
      </c>
    </row>
    <row r="449" spans="2:10">
      <c r="D449" t="str">
        <f>fin!A766</f>
        <v>NOPAT</v>
      </c>
      <c r="E449" s="1312">
        <f ca="1">fin!E766</f>
        <v>3322645506.3844571</v>
      </c>
      <c r="F449" s="1312">
        <f ca="1">fin!F766</f>
        <v>3322645506.3844571</v>
      </c>
      <c r="G449" s="1312">
        <f ca="1">fin!G766</f>
        <v>3322645506.3844571</v>
      </c>
      <c r="H449" s="1312">
        <f ca="1">fin!H766</f>
        <v>3322645506.3844571</v>
      </c>
      <c r="I449" s="1312">
        <f ca="1">fin!I766</f>
        <v>3322645506.3844571</v>
      </c>
    </row>
    <row r="450" spans="2:10">
      <c r="B450" s="2"/>
      <c r="D450" t="s">
        <v>3068</v>
      </c>
      <c r="E450" s="15">
        <f ca="1">E449/fin!E761</f>
        <v>0.14687593218570788</v>
      </c>
      <c r="F450" s="15">
        <f ca="1">F449/fin!F761</f>
        <v>0.14687593218570788</v>
      </c>
      <c r="G450" s="15">
        <f ca="1">G449/fin!G761</f>
        <v>0.14687593218570788</v>
      </c>
      <c r="H450" s="15">
        <f ca="1">H449/fin!H761</f>
        <v>0.14687593218570788</v>
      </c>
      <c r="I450" s="15">
        <f ca="1">I449/fin!I761</f>
        <v>0.14687593218570788</v>
      </c>
    </row>
    <row r="452" spans="2:10">
      <c r="B452" s="2" t="s">
        <v>3164</v>
      </c>
      <c r="E452" t="str">
        <f>decTeamName</f>
        <v>Vivia</v>
      </c>
      <c r="F452" t="str">
        <f>decTeamName</f>
        <v>Vivia</v>
      </c>
      <c r="G452" t="str">
        <f>decTeamName</f>
        <v>Vivia</v>
      </c>
      <c r="H452" t="str">
        <f>decTeamName</f>
        <v>Vivia</v>
      </c>
      <c r="I452" t="str">
        <f>decTeamName</f>
        <v>Vivia</v>
      </c>
    </row>
    <row r="453" spans="2:10">
      <c r="D453" t="s">
        <v>1374</v>
      </c>
      <c r="E453" s="10">
        <f ca="1">finNOPAT/finPNLNetRev</f>
        <v>0.14687593218570788</v>
      </c>
      <c r="F453" s="10">
        <f ca="1">finNOPAT/finPNLNetRev</f>
        <v>0.14687593218570788</v>
      </c>
      <c r="G453" s="10">
        <f ca="1">finNOPAT/finPNLNetRev</f>
        <v>0.14687593218570788</v>
      </c>
      <c r="H453" s="10">
        <f ca="1">finNOPAT/finPNLNetRev</f>
        <v>0.14687593218570788</v>
      </c>
      <c r="I453" s="10">
        <f ca="1">finNOPAT/finPNLNetRev</f>
        <v>0.14687593218570788</v>
      </c>
    </row>
    <row r="454" spans="2:10">
      <c r="D454" t="s">
        <v>1779</v>
      </c>
      <c r="E454" s="10">
        <f ca="1">finPNLNetRev/finInvestedCapital</f>
        <v>1.5614155879602738</v>
      </c>
      <c r="F454" s="10">
        <f ca="1">finPNLNetRev/finInvestedCapital</f>
        <v>1.5614155879602738</v>
      </c>
      <c r="G454" s="10">
        <f ca="1">finPNLNetRev/finInvestedCapital</f>
        <v>1.5614155879602738</v>
      </c>
      <c r="H454" s="10">
        <f ca="1">finPNLNetRev/finInvestedCapital</f>
        <v>1.5614155879602738</v>
      </c>
      <c r="I454" s="10">
        <f ca="1">finPNLNetRev/finInvestedCapital</f>
        <v>1.5614155879602738</v>
      </c>
    </row>
    <row r="455" spans="2:10">
      <c r="D455" t="s">
        <v>3164</v>
      </c>
      <c r="E455" s="435">
        <f ca="1">E453*E454</f>
        <v>0.22933437001096038</v>
      </c>
      <c r="F455" s="435">
        <f ca="1">F453*F454</f>
        <v>0.22933437001096038</v>
      </c>
      <c r="G455" s="435">
        <f ca="1">G453*G454</f>
        <v>0.22933437001096038</v>
      </c>
      <c r="H455" s="435">
        <f ca="1">H453*H454</f>
        <v>0.22933437001096038</v>
      </c>
      <c r="I455" s="435">
        <f ca="1">I453*I454</f>
        <v>0.22933437001096038</v>
      </c>
    </row>
    <row r="456" spans="2:10">
      <c r="E456" s="1312"/>
      <c r="F456" s="1312"/>
      <c r="G456" s="1312"/>
      <c r="H456" s="1312"/>
      <c r="I456" s="1312"/>
    </row>
    <row r="457" spans="2:10">
      <c r="B457" s="2" t="s">
        <v>1758</v>
      </c>
      <c r="E457" s="1312"/>
      <c r="F457" s="1312"/>
      <c r="G457" s="1312"/>
      <c r="H457" s="1312"/>
      <c r="I457" s="1312"/>
    </row>
    <row r="458" spans="2:10">
      <c r="D458" t="str">
        <f>"Net Revenue Growth (Year "&amp;xxYear&amp;")"</f>
        <v>Net Revenue Growth (Year 1)</v>
      </c>
      <c r="E458" s="435">
        <f>finPNLNetRev/obalNetRev-1</f>
        <v>3.3954230875199443E-3</v>
      </c>
      <c r="F458" s="435">
        <f>finPNLNetRev/obalNetRev-1</f>
        <v>3.3954230875199443E-3</v>
      </c>
      <c r="G458" s="435">
        <f>finPNLNetRev/obalNetRev-1</f>
        <v>3.3954230875199443E-3</v>
      </c>
      <c r="H458" s="435">
        <f>finPNLNetRev/obalNetRev-1</f>
        <v>3.3954230875199443E-3</v>
      </c>
      <c r="I458" s="435">
        <f>finPNLNetRev/obalNetRev-1</f>
        <v>3.3954230875199443E-3</v>
      </c>
    </row>
    <row r="459" spans="2:10">
      <c r="D459" t="s">
        <v>1375</v>
      </c>
      <c r="E459" s="435">
        <f>IF(xxYear=0,1,(finPNLNetRev/feedbackTS!E311)^(1/xxYear))-1</f>
        <v>3.3954230875199443E-3</v>
      </c>
      <c r="F459" s="435">
        <f>IF(xxYear=0,1,(finPNLNetRev/feedbackTS!F311)^(1/xxYear))-1</f>
        <v>3.3954230875199443E-3</v>
      </c>
      <c r="G459" s="435">
        <f>IF(xxYear=0,1,(finPNLNetRev/feedbackTS!G311)^(1/xxYear))-1</f>
        <v>3.3954230875199443E-3</v>
      </c>
      <c r="H459" s="435">
        <f>IF(xxYear=0,1,(finPNLNetRev/feedbackTS!H311)^(1/xxYear))-1</f>
        <v>3.3954230875199443E-3</v>
      </c>
      <c r="I459" s="435">
        <f>IF(xxYear=0,1,(finPNLNetRev/feedbackTS!I311)^(1/xxYear))-1</f>
        <v>3.3954230875199443E-3</v>
      </c>
      <c r="J459" s="860" t="s">
        <v>3061</v>
      </c>
    </row>
    <row r="460" spans="2:10">
      <c r="D460" t="str">
        <f>"ROIC (Year "&amp;xxYear&amp;")"</f>
        <v>ROIC (Year 1)</v>
      </c>
      <c r="E460" s="15">
        <f ca="1">finROIC</f>
        <v>0.22933437001096038</v>
      </c>
      <c r="F460" s="15">
        <f ca="1">finROIC</f>
        <v>0.22933437001096038</v>
      </c>
      <c r="G460" s="15">
        <f ca="1">finROIC</f>
        <v>0.22933437001096038</v>
      </c>
      <c r="H460" s="15">
        <f ca="1">finROIC</f>
        <v>0.22933437001096038</v>
      </c>
      <c r="I460" s="15">
        <f ca="1">finROIC</f>
        <v>0.22933437001096038</v>
      </c>
    </row>
    <row r="461" spans="2:10">
      <c r="D461" t="s">
        <v>345</v>
      </c>
      <c r="E461" s="1312">
        <f ca="1">analysis!E25</f>
        <v>0.22933437001096038</v>
      </c>
      <c r="F461" s="1312">
        <f ca="1">analysis!F25</f>
        <v>0.22933437001096038</v>
      </c>
      <c r="G461" s="1312">
        <f ca="1">analysis!G25</f>
        <v>0.22933437001096038</v>
      </c>
      <c r="H461" s="1312">
        <f ca="1">analysis!H25</f>
        <v>0.22933437001096038</v>
      </c>
      <c r="I461" s="1312">
        <f ca="1">analysis!I25</f>
        <v>0.22933437001096038</v>
      </c>
    </row>
    <row r="462" spans="2:10">
      <c r="D462" t="str">
        <f>"Sustainability (Year "&amp;xxYear&amp;")"</f>
        <v>Sustainability (Year 1)</v>
      </c>
      <c r="E462" s="398">
        <f ca="1">paramSustainability</f>
        <v>100.46404932205822</v>
      </c>
      <c r="F462" s="398">
        <f ca="1">paramSustainability</f>
        <v>100.46404932205822</v>
      </c>
      <c r="G462" s="398">
        <f ca="1">paramSustainability</f>
        <v>100.46404932205822</v>
      </c>
      <c r="H462" s="398">
        <f ca="1">paramSustainability</f>
        <v>100.46404932205822</v>
      </c>
      <c r="I462" s="398">
        <f ca="1">paramSustainability</f>
        <v>100.46404932205822</v>
      </c>
    </row>
    <row r="463" spans="2:10">
      <c r="D463" t="s">
        <v>346</v>
      </c>
      <c r="E463" s="1312"/>
      <c r="F463" s="1312"/>
      <c r="G463" s="1312"/>
      <c r="H463" s="1312"/>
      <c r="I463" s="1312"/>
    </row>
    <row r="464" spans="2:10">
      <c r="E464" s="1312"/>
      <c r="F464" s="1312"/>
      <c r="G464" s="1312"/>
      <c r="H464" s="1312"/>
      <c r="I464" s="1312"/>
    </row>
    <row r="465" spans="2:13">
      <c r="B465" s="2"/>
      <c r="E465" s="15"/>
      <c r="F465" s="15"/>
      <c r="G465" s="15"/>
      <c r="H465" s="15"/>
      <c r="I465" s="15"/>
    </row>
    <row r="466" spans="2:13" ht="12" thickBot="1"/>
    <row r="467" spans="2:13" ht="12" thickBot="1">
      <c r="E467" s="655">
        <v>0</v>
      </c>
      <c r="F467" s="656">
        <v>0</v>
      </c>
      <c r="G467" s="656">
        <v>0</v>
      </c>
      <c r="H467" s="656">
        <v>0</v>
      </c>
      <c r="I467" s="1325">
        <v>0</v>
      </c>
    </row>
    <row r="469" spans="2:13">
      <c r="B469" s="269" t="s">
        <v>350</v>
      </c>
      <c r="E469" s="1305" t="str">
        <f>decTeamName</f>
        <v>Vivia</v>
      </c>
      <c r="F469" s="1305" t="str">
        <f>decTeamName</f>
        <v>Vivia</v>
      </c>
      <c r="G469" s="1305" t="str">
        <f>decTeamName</f>
        <v>Vivia</v>
      </c>
      <c r="H469" s="1305" t="str">
        <f>decTeamName</f>
        <v>Vivia</v>
      </c>
      <c r="I469" s="1305" t="str">
        <f>decTeamName</f>
        <v>Vivia</v>
      </c>
    </row>
    <row r="470" spans="2:13">
      <c r="C470">
        <v>298</v>
      </c>
      <c r="D470" t="str">
        <f>mmProd4!C254</f>
        <v>Price</v>
      </c>
      <c r="E470" s="435" t="e">
        <f>(mmProd4!E298-AVERAGE(mmProd4!$E298:$I298))/(MAX(mmProd4!$E298:$I298)-MIN(mmProd4!$E298:$I298))</f>
        <v>#DIV/0!</v>
      </c>
      <c r="F470" s="435" t="e">
        <f>(mmProd4!F298-AVERAGE(mmProd4!$E298:$I298))/(MAX(mmProd4!$E298:$I298)-MIN(mmProd4!$E298:$I298))</f>
        <v>#DIV/0!</v>
      </c>
      <c r="G470" s="435" t="e">
        <f>(mmProd4!G298-AVERAGE(mmProd4!$E298:$I298))/(MAX(mmProd4!$E298:$I298)-MIN(mmProd4!$E298:$I298))</f>
        <v>#DIV/0!</v>
      </c>
      <c r="H470" s="435" t="e">
        <f>(mmProd4!H298-AVERAGE(mmProd4!$E298:$I298))/(MAX(mmProd4!$E298:$I298)-MIN(mmProd4!$E298:$I298))</f>
        <v>#DIV/0!</v>
      </c>
      <c r="I470" s="435" t="e">
        <f>(mmProd4!I298-AVERAGE(mmProd4!$E298:$I298))/(MAX(mmProd4!$E298:$I298)-MIN(mmProd4!$E298:$I298))</f>
        <v>#DIV/0!</v>
      </c>
      <c r="K470" t="s">
        <v>1402</v>
      </c>
      <c r="L470">
        <v>30</v>
      </c>
      <c r="M470">
        <f>RANK(L470,$L$155:$L$162)</f>
        <v>1</v>
      </c>
    </row>
    <row r="471" spans="2:13">
      <c r="C471">
        <v>304</v>
      </c>
      <c r="D471" t="str">
        <f>mmProd4!C260</f>
        <v>Innovation</v>
      </c>
      <c r="E471" s="435" t="e">
        <f>(mmProd4!E304-AVERAGE(mmProd4!$E304:$I304))/(MAX(mmProd4!$E304:$I304)-MIN(mmProd4!$E304:$I304))</f>
        <v>#DIV/0!</v>
      </c>
      <c r="F471" s="435" t="e">
        <f>(mmProd4!F304-AVERAGE(mmProd4!$E304:$I304))/(MAX(mmProd4!$E304:$I304)-MIN(mmProd4!$E304:$I304))</f>
        <v>#DIV/0!</v>
      </c>
      <c r="G471" s="435" t="e">
        <f>(mmProd4!G304-AVERAGE(mmProd4!$E304:$I304))/(MAX(mmProd4!$E304:$I304)-MIN(mmProd4!$E304:$I304))</f>
        <v>#DIV/0!</v>
      </c>
      <c r="H471" s="435" t="e">
        <f>(mmProd4!H304-AVERAGE(mmProd4!$E304:$I304))/(MAX(mmProd4!$E304:$I304)-MIN(mmProd4!$E304:$I304))</f>
        <v>#DIV/0!</v>
      </c>
      <c r="I471" s="435" t="e">
        <f>(mmProd4!I304-AVERAGE(mmProd4!$E304:$I304))/(MAX(mmProd4!$E304:$I304)-MIN(mmProd4!$E304:$I304))</f>
        <v>#DIV/0!</v>
      </c>
      <c r="K471" t="s">
        <v>2579</v>
      </c>
      <c r="L471">
        <v>12</v>
      </c>
      <c r="M471">
        <f>RANK(L471,$L$155:$L$162)</f>
        <v>3</v>
      </c>
    </row>
    <row r="472" spans="2:13">
      <c r="C472">
        <v>476</v>
      </c>
      <c r="D472" t="str">
        <f>mmProd4!C257&amp;" &amp; "&amp;mmProd4!C258</f>
        <v>Advertising &amp; Promotion</v>
      </c>
      <c r="E472" s="435" t="e">
        <f>(E476-AVERAGE($E476:$I476))/(MAX($E476:$I476)-MIN($E476:$I476))</f>
        <v>#DIV/0!</v>
      </c>
      <c r="F472" s="435" t="e">
        <f>(F476-AVERAGE($E476:$I476))/(MAX($E476:$I476)-MIN($E476:$I476))</f>
        <v>#DIV/0!</v>
      </c>
      <c r="G472" s="435" t="e">
        <f>(G476-AVERAGE($E476:$I476))/(MAX($E476:$I476)-MIN($E476:$I476))</f>
        <v>#DIV/0!</v>
      </c>
      <c r="H472" s="435" t="e">
        <f>(H476-AVERAGE($E476:$I476))/(MAX($E476:$I476)-MIN($E476:$I476))</f>
        <v>#DIV/0!</v>
      </c>
      <c r="I472" s="435" t="e">
        <f>(I476-AVERAGE($E476:$I476))/(MAX($E476:$I476)-MIN($E476:$I476))</f>
        <v>#DIV/0!</v>
      </c>
      <c r="K472" t="s">
        <v>2745</v>
      </c>
      <c r="L472">
        <v>10</v>
      </c>
      <c r="M472">
        <f>RANK(L472,$L$155:$L$162)</f>
        <v>4</v>
      </c>
    </row>
    <row r="473" spans="2:13">
      <c r="C473">
        <v>299</v>
      </c>
      <c r="D473" t="str">
        <f>mmProd4!C255</f>
        <v>Range Of Products</v>
      </c>
      <c r="E473" s="435" t="e">
        <f>(mmProd4!E299-AVERAGE(mmProd4!$E299:$I299))/(MAX(mmProd4!$E299:$I299)-MIN(mmProd4!$E299:$I299))</f>
        <v>#DIV/0!</v>
      </c>
      <c r="F473" s="435" t="e">
        <f>(mmProd4!F299-AVERAGE(mmProd4!$E299:$I299))/(MAX(mmProd4!$E299:$I299)-MIN(mmProd4!$E299:$I299))</f>
        <v>#DIV/0!</v>
      </c>
      <c r="G473" s="435" t="e">
        <f>(mmProd4!G299-AVERAGE(mmProd4!$E299:$I299))/(MAX(mmProd4!$E299:$I299)-MIN(mmProd4!$E299:$I299))</f>
        <v>#DIV/0!</v>
      </c>
      <c r="H473" s="435" t="e">
        <f>(mmProd4!H299-AVERAGE(mmProd4!$E299:$I299))/(MAX(mmProd4!$E299:$I299)-MIN(mmProd4!$E299:$I299))</f>
        <v>#DIV/0!</v>
      </c>
      <c r="I473" s="435" t="e">
        <f>(mmProd4!I299-AVERAGE(mmProd4!$E299:$I299))/(MAX(mmProd4!$E299:$I299)-MIN(mmProd4!$E299:$I299))</f>
        <v>#DIV/0!</v>
      </c>
      <c r="K473" t="s">
        <v>175</v>
      </c>
      <c r="L473">
        <v>9</v>
      </c>
      <c r="M473">
        <f>RANK(L473,$L$155:$L$162)</f>
        <v>5</v>
      </c>
    </row>
    <row r="474" spans="2:13">
      <c r="C474">
        <v>303</v>
      </c>
      <c r="D474" t="str">
        <f>mmProd4!C259</f>
        <v>Sales Force</v>
      </c>
      <c r="E474" s="435" t="e">
        <f>(mmProd4!E303-AVERAGE(mmProd4!$E303:$I303))/(MAX(mmProd4!$E303:$I303)-MIN(mmProd4!$E303:$I303))</f>
        <v>#DIV/0!</v>
      </c>
      <c r="F474" s="435" t="e">
        <f>(mmProd4!F303-AVERAGE(mmProd4!$E303:$I303))/(MAX(mmProd4!$E303:$I303)-MIN(mmProd4!$E303:$I303))</f>
        <v>#DIV/0!</v>
      </c>
      <c r="G474" s="435" t="e">
        <f>(mmProd4!G303-AVERAGE(mmProd4!$E303:$I303))/(MAX(mmProd4!$E303:$I303)-MIN(mmProd4!$E303:$I303))</f>
        <v>#DIV/0!</v>
      </c>
      <c r="H474" s="435" t="e">
        <f>(mmProd4!H303-AVERAGE(mmProd4!$E303:$I303))/(MAX(mmProd4!$E303:$I303)-MIN(mmProd4!$E303:$I303))</f>
        <v>#DIV/0!</v>
      </c>
      <c r="I474" s="435" t="e">
        <f>(mmProd4!I303-AVERAGE(mmProd4!$E303:$I303))/(MAX(mmProd4!$E303:$I303)-MIN(mmProd4!$E303:$I303))</f>
        <v>#DIV/0!</v>
      </c>
      <c r="K474" t="s">
        <v>1404</v>
      </c>
      <c r="L474">
        <v>19</v>
      </c>
      <c r="M474">
        <f>RANK(L474,$L$155:$L$162)</f>
        <v>2</v>
      </c>
    </row>
    <row r="475" spans="2:13">
      <c r="E475" s="435"/>
      <c r="F475" s="435"/>
      <c r="G475" s="435"/>
      <c r="H475" s="435"/>
      <c r="I475" s="435"/>
    </row>
    <row r="476" spans="2:13">
      <c r="D476" t="s">
        <v>1536</v>
      </c>
      <c r="E476" s="435">
        <f>SUM(mmProd4!E301:E302)</f>
        <v>0</v>
      </c>
      <c r="F476" s="435">
        <f>SUM(mmProd4!F301:F302)</f>
        <v>0</v>
      </c>
      <c r="G476" s="435">
        <f>SUM(mmProd4!G301:G302)</f>
        <v>0</v>
      </c>
      <c r="H476" s="435">
        <f>SUM(mmProd4!H301:H302)</f>
        <v>0</v>
      </c>
      <c r="I476" s="435">
        <f>SUM(mmProd4!I301:I302)</f>
        <v>0</v>
      </c>
    </row>
    <row r="477" spans="2:13">
      <c r="E477" s="435"/>
      <c r="F477" s="435"/>
      <c r="G477" s="435"/>
      <c r="H477" s="435"/>
      <c r="I477" s="435"/>
    </row>
    <row r="478" spans="2:13">
      <c r="E478" s="1305"/>
      <c r="F478" s="1305"/>
      <c r="G478" s="1305"/>
      <c r="H478" s="1305"/>
      <c r="I478" s="1305"/>
    </row>
    <row r="479" spans="2:13">
      <c r="B479" s="269" t="s">
        <v>351</v>
      </c>
      <c r="E479" s="1305" t="str">
        <f>decTeamName</f>
        <v>Vivia</v>
      </c>
      <c r="F479" s="1305" t="str">
        <f>decTeamName</f>
        <v>Vivia</v>
      </c>
      <c r="G479" s="1305" t="str">
        <f>decTeamName</f>
        <v>Vivia</v>
      </c>
      <c r="H479" s="1305" t="str">
        <f>decTeamName</f>
        <v>Vivia</v>
      </c>
      <c r="I479" s="1305" t="str">
        <f>decTeamName</f>
        <v>Vivia</v>
      </c>
    </row>
    <row r="480" spans="2:13">
      <c r="C480">
        <v>320</v>
      </c>
      <c r="D480" t="str">
        <f>mmProd4!C320</f>
        <v>Price</v>
      </c>
      <c r="E480" s="435" t="e">
        <f>(mmProd4!E320-AVERAGE(mmProd4!$E320:$I320))/(MAX(mmProd4!$E320:$I320)-MIN(mmProd4!$E320:$I320))</f>
        <v>#DIV/0!</v>
      </c>
      <c r="F480" s="435" t="e">
        <f>(mmProd4!F320-AVERAGE(mmProd4!$E320:$I320))/(MAX(mmProd4!$E320:$I320)-MIN(mmProd4!$E320:$I320))</f>
        <v>#DIV/0!</v>
      </c>
      <c r="G480" s="435" t="e">
        <f>(mmProd4!G320-AVERAGE(mmProd4!$E320:$I320))/(MAX(mmProd4!$E320:$I320)-MIN(mmProd4!$E320:$I320))</f>
        <v>#DIV/0!</v>
      </c>
      <c r="H480" s="435" t="e">
        <f>(mmProd4!H320-AVERAGE(mmProd4!$E320:$I320))/(MAX(mmProd4!$E320:$I320)-MIN(mmProd4!$E320:$I320))</f>
        <v>#DIV/0!</v>
      </c>
      <c r="I480" s="435" t="e">
        <f>(mmProd4!I320-AVERAGE(mmProd4!$E320:$I320))/(MAX(mmProd4!$E320:$I320)-MIN(mmProd4!$E320:$I320))</f>
        <v>#DIV/0!</v>
      </c>
      <c r="K480" t="s">
        <v>1402</v>
      </c>
      <c r="L480">
        <v>50</v>
      </c>
      <c r="M480">
        <f t="shared" ref="M480:M485" si="3">RANK(L480,$L$165:$L$173)</f>
        <v>1</v>
      </c>
    </row>
    <row r="481" spans="2:13">
      <c r="C481">
        <v>327</v>
      </c>
      <c r="D481" t="str">
        <f>mmProd4!C327</f>
        <v>Channel Penetration</v>
      </c>
      <c r="E481" s="435" t="e">
        <f>(mmProd4!E327-AVERAGE(mmProd4!$E327:$I327))/(MAX(mmProd4!$E327:$I327)-MIN(mmProd4!$E327:$I327))</f>
        <v>#DIV/0!</v>
      </c>
      <c r="F481" s="435" t="e">
        <f>(mmProd4!F327-AVERAGE(mmProd4!$E327:$I327))/(MAX(mmProd4!$E327:$I327)-MIN(mmProd4!$E327:$I327))</f>
        <v>#DIV/0!</v>
      </c>
      <c r="G481" s="435" t="e">
        <f>(mmProd4!G327-AVERAGE(mmProd4!$E327:$I327))/(MAX(mmProd4!$E327:$I327)-MIN(mmProd4!$E327:$I327))</f>
        <v>#DIV/0!</v>
      </c>
      <c r="H481" s="435" t="e">
        <f>(mmProd4!H327-AVERAGE(mmProd4!$E327:$I327))/(MAX(mmProd4!$E327:$I327)-MIN(mmProd4!$E327:$I327))</f>
        <v>#DIV/0!</v>
      </c>
      <c r="I481" s="435" t="e">
        <f>(mmProd4!I327-AVERAGE(mmProd4!$E327:$I327))/(MAX(mmProd4!$E327:$I327)-MIN(mmProd4!$E327:$I327))</f>
        <v>#DIV/0!</v>
      </c>
      <c r="K481" t="s">
        <v>1108</v>
      </c>
      <c r="L481">
        <v>15</v>
      </c>
      <c r="M481">
        <f>RANK(L481,$L$165:$L$173)</f>
        <v>2</v>
      </c>
    </row>
    <row r="482" spans="2:13">
      <c r="C482">
        <v>325</v>
      </c>
      <c r="D482" t="str">
        <f>mmProd4!C325</f>
        <v>Sales Force</v>
      </c>
      <c r="E482" s="435" t="e">
        <f>(mmProd4!E325-AVERAGE(mmProd4!$E325:$I325))/(MAX(mmProd4!$E325:$I325)-MIN(mmProd4!$E325:$I325))</f>
        <v>#DIV/0!</v>
      </c>
      <c r="F482" s="435" t="e">
        <f>(mmProd4!F325-AVERAGE(mmProd4!$E325:$I325))/(MAX(mmProd4!$E325:$I325)-MIN(mmProd4!$E325:$I325))</f>
        <v>#DIV/0!</v>
      </c>
      <c r="G482" s="435" t="e">
        <f>(mmProd4!G325-AVERAGE(mmProd4!$E325:$I325))/(MAX(mmProd4!$E325:$I325)-MIN(mmProd4!$E325:$I325))</f>
        <v>#DIV/0!</v>
      </c>
      <c r="H482" s="435" t="e">
        <f>(mmProd4!H325-AVERAGE(mmProd4!$E325:$I325))/(MAX(mmProd4!$E325:$I325)-MIN(mmProd4!$E325:$I325))</f>
        <v>#DIV/0!</v>
      </c>
      <c r="I482" s="435" t="e">
        <f>(mmProd4!I325-AVERAGE(mmProd4!$E325:$I325))/(MAX(mmProd4!$E325:$I325)-MIN(mmProd4!$E325:$I325))</f>
        <v>#DIV/0!</v>
      </c>
      <c r="K482" t="s">
        <v>175</v>
      </c>
      <c r="L482">
        <v>7</v>
      </c>
      <c r="M482">
        <f>RANK(L482,$L$165:$L$173)</f>
        <v>6</v>
      </c>
    </row>
    <row r="483" spans="2:13">
      <c r="C483">
        <v>487</v>
      </c>
      <c r="D483" t="str">
        <f>D487</f>
        <v>Advertising &amp; Promotion</v>
      </c>
      <c r="E483" s="435" t="e">
        <f>(E487-AVERAGE($E487:$I487))/(MAX($E487:$I487)-MIN($E487:$I487))</f>
        <v>#DIV/0!</v>
      </c>
      <c r="F483" s="435" t="e">
        <f>(F487-AVERAGE($E487:$I487))/(MAX($E487:$I487)-MIN($E487:$I487))</f>
        <v>#DIV/0!</v>
      </c>
      <c r="G483" s="435" t="e">
        <f>(G487-AVERAGE($E487:$I487))/(MAX($E487:$I487)-MIN($E487:$I487))</f>
        <v>#DIV/0!</v>
      </c>
      <c r="H483" s="435" t="e">
        <f>(H487-AVERAGE($E487:$I487))/(MAX($E487:$I487)-MIN($E487:$I487))</f>
        <v>#DIV/0!</v>
      </c>
      <c r="I483" s="435" t="e">
        <f>(I487-AVERAGE($E487:$I487))/(MAX($E487:$I487)-MIN($E487:$I487))</f>
        <v>#DIV/0!</v>
      </c>
      <c r="K483" t="s">
        <v>1404</v>
      </c>
      <c r="L483">
        <v>12</v>
      </c>
      <c r="M483">
        <f>RANK(L483,$L$165:$L$173)</f>
        <v>4</v>
      </c>
    </row>
    <row r="484" spans="2:13">
      <c r="C484">
        <v>321</v>
      </c>
      <c r="D484" t="str">
        <f>mmProd4!C321</f>
        <v>Range Of Products</v>
      </c>
      <c r="E484" s="435" t="e">
        <f>(mmProd4!E321-AVERAGE(mmProd4!$E321:$I321))/(MAX(mmProd4!$E321:$I321)-MIN(mmProd4!$E321:$I321))</f>
        <v>#DIV/0!</v>
      </c>
      <c r="F484" s="435" t="e">
        <f>(mmProd4!F321-AVERAGE(mmProd4!$E321:$I321))/(MAX(mmProd4!$E321:$I321)-MIN(mmProd4!$E321:$I321))</f>
        <v>#DIV/0!</v>
      </c>
      <c r="G484" s="435" t="e">
        <f>(mmProd4!G321-AVERAGE(mmProd4!$E321:$I321))/(MAX(mmProd4!$E321:$I321)-MIN(mmProd4!$E321:$I321))</f>
        <v>#DIV/0!</v>
      </c>
      <c r="H484" s="435" t="e">
        <f>(mmProd4!H321-AVERAGE(mmProd4!$E321:$I321))/(MAX(mmProd4!$E321:$I321)-MIN(mmProd4!$E321:$I321))</f>
        <v>#DIV/0!</v>
      </c>
      <c r="I484" s="435" t="e">
        <f>(mmProd4!I321-AVERAGE(mmProd4!$E321:$I321))/(MAX(mmProd4!$E321:$I321)-MIN(mmProd4!$E321:$I321))</f>
        <v>#DIV/0!</v>
      </c>
      <c r="K484" t="s">
        <v>2745</v>
      </c>
      <c r="L484">
        <v>9</v>
      </c>
      <c r="M484">
        <f t="shared" si="3"/>
        <v>5</v>
      </c>
    </row>
    <row r="485" spans="2:13">
      <c r="C485">
        <v>326</v>
      </c>
      <c r="D485" t="str">
        <f>mmProd4!C326</f>
        <v>Innovation</v>
      </c>
      <c r="E485" s="435" t="e">
        <f>(mmProd4!E326-AVERAGE(mmProd4!$E326:$I326))/(MAX(mmProd4!$E326:$I326)-MIN(mmProd4!$E326:$I326))</f>
        <v>#DIV/0!</v>
      </c>
      <c r="F485" s="435" t="e">
        <f>(mmProd4!F326-AVERAGE(mmProd4!$E326:$I326))/(MAX(mmProd4!$E326:$I326)-MIN(mmProd4!$E326:$I326))</f>
        <v>#DIV/0!</v>
      </c>
      <c r="G485" s="435" t="e">
        <f>(mmProd4!G326-AVERAGE(mmProd4!$E326:$I326))/(MAX(mmProd4!$E326:$I326)-MIN(mmProd4!$E326:$I326))</f>
        <v>#DIV/0!</v>
      </c>
      <c r="H485" s="435" t="e">
        <f>(mmProd4!H326-AVERAGE(mmProd4!$E326:$I326))/(MAX(mmProd4!$E326:$I326)-MIN(mmProd4!$E326:$I326))</f>
        <v>#DIV/0!</v>
      </c>
      <c r="I485" s="435" t="e">
        <f>(mmProd4!I326-AVERAGE(mmProd4!$E326:$I326))/(MAX(mmProd4!$E326:$I326)-MIN(mmProd4!$E326:$I326))</f>
        <v>#DIV/0!</v>
      </c>
      <c r="K485" t="s">
        <v>2579</v>
      </c>
      <c r="L485">
        <v>14</v>
      </c>
      <c r="M485">
        <f t="shared" si="3"/>
        <v>3</v>
      </c>
    </row>
    <row r="486" spans="2:13">
      <c r="E486" s="435"/>
      <c r="F486" s="435"/>
      <c r="G486" s="435"/>
      <c r="H486" s="435"/>
      <c r="I486" s="435"/>
    </row>
    <row r="487" spans="2:13">
      <c r="C487" t="s">
        <v>349</v>
      </c>
      <c r="D487" t="s">
        <v>1536</v>
      </c>
      <c r="E487" s="15">
        <f>SUM(mmProd4!E323:E324)</f>
        <v>0</v>
      </c>
      <c r="F487" s="15">
        <f>SUM(mmProd4!F323:F324)</f>
        <v>0</v>
      </c>
      <c r="G487" s="15">
        <f>SUM(mmProd4!G323:G324)</f>
        <v>0</v>
      </c>
      <c r="H487" s="15">
        <f>SUM(mmProd4!H323:H324)</f>
        <v>0</v>
      </c>
      <c r="I487" s="15">
        <f>SUM(mmProd4!I323:I324)</f>
        <v>0</v>
      </c>
    </row>
    <row r="489" spans="2:13">
      <c r="B489" s="2" t="s">
        <v>1067</v>
      </c>
    </row>
    <row r="490" spans="2:13">
      <c r="E490" s="1305" t="str">
        <f>decTeamName</f>
        <v>Vivia</v>
      </c>
      <c r="F490" s="1305" t="str">
        <f>decTeamName</f>
        <v>Vivia</v>
      </c>
      <c r="G490" s="1305" t="str">
        <f>decTeamName</f>
        <v>Vivia</v>
      </c>
      <c r="H490" s="1305" t="str">
        <f>decTeamName</f>
        <v>Vivia</v>
      </c>
      <c r="I490" s="1305" t="str">
        <f>decTeamName</f>
        <v>Vivia</v>
      </c>
    </row>
    <row r="491" spans="2:13">
      <c r="D491" s="905" t="s">
        <v>3442</v>
      </c>
      <c r="E491">
        <f>paramConsumerStrategy</f>
        <v>15</v>
      </c>
      <c r="F491">
        <f>paramConsumerStrategy</f>
        <v>15</v>
      </c>
      <c r="G491">
        <f>paramConsumerStrategy</f>
        <v>15</v>
      </c>
      <c r="H491">
        <f>paramConsumerStrategy</f>
        <v>15</v>
      </c>
      <c r="I491">
        <f>paramConsumerStrategy</f>
        <v>15</v>
      </c>
    </row>
    <row r="492" spans="2:13">
      <c r="D492" s="905" t="s">
        <v>1108</v>
      </c>
      <c r="E492">
        <f>paramInnovationStrategy</f>
        <v>1</v>
      </c>
      <c r="F492">
        <f>paramInnovationStrategy</f>
        <v>1</v>
      </c>
      <c r="G492">
        <f>paramInnovationStrategy</f>
        <v>1</v>
      </c>
      <c r="H492">
        <f>paramInnovationStrategy</f>
        <v>1</v>
      </c>
      <c r="I492">
        <f>paramInnovationStrategy</f>
        <v>1</v>
      </c>
    </row>
    <row r="493" spans="2:13">
      <c r="D493" s="905" t="s">
        <v>4121</v>
      </c>
      <c r="E493">
        <f>paramCustomerStrategy</f>
        <v>12.5</v>
      </c>
      <c r="F493">
        <f>paramCustomerStrategy</f>
        <v>12.5</v>
      </c>
      <c r="G493">
        <f>paramCustomerStrategy</f>
        <v>12.5</v>
      </c>
      <c r="H493">
        <f>paramCustomerStrategy</f>
        <v>12.5</v>
      </c>
      <c r="I493">
        <f>paramCustomerStrategy</f>
        <v>12.5</v>
      </c>
    </row>
    <row r="494" spans="2:13">
      <c r="D494" s="905" t="s">
        <v>4004</v>
      </c>
      <c r="E494">
        <f>paramCompanyStrategy</f>
        <v>24.5</v>
      </c>
      <c r="F494">
        <f>paramCompanyStrategy</f>
        <v>24.5</v>
      </c>
      <c r="G494">
        <f>paramCompanyStrategy</f>
        <v>24.5</v>
      </c>
      <c r="H494">
        <f>paramCompanyStrategy</f>
        <v>24.5</v>
      </c>
      <c r="I494">
        <f>paramCompanyStrategy</f>
        <v>24.5</v>
      </c>
    </row>
    <row r="495" spans="2:13">
      <c r="D495" s="905"/>
    </row>
    <row r="496" spans="2:13">
      <c r="B496" s="2" t="s">
        <v>2801</v>
      </c>
      <c r="E496" s="1305" t="str">
        <f>decTeamName</f>
        <v>Vivia</v>
      </c>
      <c r="F496" s="1305" t="str">
        <f>decTeamName</f>
        <v>Vivia</v>
      </c>
      <c r="G496" s="1305" t="str">
        <f>decTeamName</f>
        <v>Vivia</v>
      </c>
      <c r="H496" s="1305" t="str">
        <f>decTeamName</f>
        <v>Vivia</v>
      </c>
      <c r="I496" s="1305" t="str">
        <f>decTeamName</f>
        <v>Vivia</v>
      </c>
    </row>
    <row r="497" spans="2:9">
      <c r="D497" t="s">
        <v>2802</v>
      </c>
      <c r="E497">
        <f>capStratReg1Prod1Rating</f>
        <v>0</v>
      </c>
      <c r="F497">
        <f>capStratReg1Prod1Rating</f>
        <v>0</v>
      </c>
      <c r="G497">
        <f>capStratReg1Prod1Rating</f>
        <v>0</v>
      </c>
      <c r="H497">
        <f>capStratReg1Prod1Rating</f>
        <v>0</v>
      </c>
      <c r="I497">
        <f>capStratReg1Prod1Rating</f>
        <v>0</v>
      </c>
    </row>
    <row r="498" spans="2:9">
      <c r="D498" t="s">
        <v>2807</v>
      </c>
      <c r="E498">
        <f>capStratReg1Prod3Rating</f>
        <v>0</v>
      </c>
      <c r="F498">
        <f>capStratReg1Prod3Rating</f>
        <v>0</v>
      </c>
      <c r="G498">
        <f>capStratReg1Prod3Rating</f>
        <v>0</v>
      </c>
      <c r="H498">
        <f>capStratReg1Prod3Rating</f>
        <v>0</v>
      </c>
      <c r="I498">
        <f>capStratReg1Prod3Rating</f>
        <v>0</v>
      </c>
    </row>
    <row r="499" spans="2:9">
      <c r="D499" t="s">
        <v>2803</v>
      </c>
      <c r="E499">
        <f>capStratReg1Prod4Rating</f>
        <v>0</v>
      </c>
      <c r="F499">
        <f>capStratReg1Prod4Rating</f>
        <v>0</v>
      </c>
      <c r="G499">
        <f>capStratReg1Prod4Rating</f>
        <v>0</v>
      </c>
      <c r="H499">
        <f>capStratReg1Prod4Rating</f>
        <v>0</v>
      </c>
      <c r="I499">
        <f>capStratReg1Prod4Rating</f>
        <v>0</v>
      </c>
    </row>
    <row r="500" spans="2:9">
      <c r="D500" t="s">
        <v>2804</v>
      </c>
      <c r="E500">
        <f>capStratReg2Prod1Rating</f>
        <v>0</v>
      </c>
      <c r="F500">
        <f>capStratReg2Prod1Rating</f>
        <v>0</v>
      </c>
      <c r="G500">
        <f>capStratReg2Prod1Rating</f>
        <v>0</v>
      </c>
      <c r="H500">
        <f>capStratReg2Prod1Rating</f>
        <v>0</v>
      </c>
      <c r="I500">
        <f>capStratReg2Prod1Rating</f>
        <v>0</v>
      </c>
    </row>
    <row r="501" spans="2:9">
      <c r="D501" t="s">
        <v>2808</v>
      </c>
      <c r="E501">
        <f>capStratReg2Prod3Rating</f>
        <v>0</v>
      </c>
      <c r="F501">
        <f>capStratReg2Prod3Rating</f>
        <v>0</v>
      </c>
      <c r="G501">
        <f>capStratReg2Prod3Rating</f>
        <v>0</v>
      </c>
      <c r="H501">
        <f>capStratReg2Prod3Rating</f>
        <v>0</v>
      </c>
      <c r="I501">
        <f>capStratReg2Prod3Rating</f>
        <v>0</v>
      </c>
    </row>
    <row r="502" spans="2:9">
      <c r="D502" t="s">
        <v>2805</v>
      </c>
      <c r="E502">
        <f>capStratReg2Prod4Rating</f>
        <v>0</v>
      </c>
      <c r="F502">
        <f>capStratReg2Prod4Rating</f>
        <v>0</v>
      </c>
      <c r="G502">
        <f>capStratReg2Prod4Rating</f>
        <v>0</v>
      </c>
      <c r="H502">
        <f>capStratReg2Prod4Rating</f>
        <v>0</v>
      </c>
      <c r="I502">
        <f>capStratReg2Prod4Rating</f>
        <v>0</v>
      </c>
    </row>
    <row r="504" spans="2:9">
      <c r="B504" s="2" t="s">
        <v>3219</v>
      </c>
      <c r="E504" s="1305" t="str">
        <f>decTeamName</f>
        <v>Vivia</v>
      </c>
      <c r="F504" s="1305" t="str">
        <f>decTeamName</f>
        <v>Vivia</v>
      </c>
      <c r="G504" s="1305" t="str">
        <f>decTeamName</f>
        <v>Vivia</v>
      </c>
      <c r="H504" s="1305" t="str">
        <f>decTeamName</f>
        <v>Vivia</v>
      </c>
      <c r="I504" s="1305" t="str">
        <f>decTeamName</f>
        <v>Vivia</v>
      </c>
    </row>
    <row r="505" spans="2:9">
      <c r="B505" s="2"/>
      <c r="D505" s="905" t="s">
        <v>3442</v>
      </c>
      <c r="E505">
        <f>capStratConsumerScore</f>
        <v>7</v>
      </c>
      <c r="F505">
        <f>capStratConsumerScore</f>
        <v>7</v>
      </c>
      <c r="G505">
        <f>capStratConsumerScore</f>
        <v>7</v>
      </c>
      <c r="H505">
        <f>capStratConsumerScore</f>
        <v>7</v>
      </c>
      <c r="I505">
        <f>capStratConsumerScore</f>
        <v>7</v>
      </c>
    </row>
    <row r="506" spans="2:9">
      <c r="D506" s="905" t="s">
        <v>1108</v>
      </c>
      <c r="E506">
        <f>capStratInnovationScore</f>
        <v>7</v>
      </c>
      <c r="F506">
        <f>capStratInnovationScore</f>
        <v>7</v>
      </c>
      <c r="G506">
        <f>capStratInnovationScore</f>
        <v>7</v>
      </c>
      <c r="H506">
        <f>capStratInnovationScore</f>
        <v>7</v>
      </c>
      <c r="I506">
        <f>capStratInnovationScore</f>
        <v>7</v>
      </c>
    </row>
    <row r="507" spans="2:9">
      <c r="D507" s="905" t="s">
        <v>4121</v>
      </c>
      <c r="E507">
        <f>capStratCustomerScore</f>
        <v>7</v>
      </c>
      <c r="F507">
        <f>capStratCustomerScore</f>
        <v>7</v>
      </c>
      <c r="G507">
        <f>capStratCustomerScore</f>
        <v>7</v>
      </c>
      <c r="H507">
        <f>capStratCustomerScore</f>
        <v>7</v>
      </c>
      <c r="I507">
        <f>capStratCustomerScore</f>
        <v>7</v>
      </c>
    </row>
    <row r="508" spans="2:9">
      <c r="D508" s="905" t="s">
        <v>4004</v>
      </c>
      <c r="E508">
        <f>capStratCompanyScore</f>
        <v>7</v>
      </c>
      <c r="F508">
        <f>capStratCompanyScore</f>
        <v>7</v>
      </c>
      <c r="G508">
        <f>capStratCompanyScore</f>
        <v>7</v>
      </c>
      <c r="H508">
        <f>capStratCompanyScore</f>
        <v>7</v>
      </c>
      <c r="I508">
        <f>capStratCompanyScore</f>
        <v>7</v>
      </c>
    </row>
    <row r="510" spans="2:9">
      <c r="B510" s="2" t="s">
        <v>3220</v>
      </c>
      <c r="E510" s="1305" t="str">
        <f>decTeamName</f>
        <v>Vivia</v>
      </c>
      <c r="F510" s="1305" t="str">
        <f>decTeamName</f>
        <v>Vivia</v>
      </c>
      <c r="G510" s="1305" t="str">
        <f>decTeamName</f>
        <v>Vivia</v>
      </c>
      <c r="H510" s="1305" t="str">
        <f>decTeamName</f>
        <v>Vivia</v>
      </c>
      <c r="I510" s="1305" t="str">
        <f>decTeamName</f>
        <v>Vivia</v>
      </c>
    </row>
    <row r="511" spans="2:9">
      <c r="B511" s="2"/>
      <c r="D511" s="905" t="s">
        <v>3442</v>
      </c>
      <c r="E511">
        <f>capStratReg1ConsumerScore</f>
        <v>0</v>
      </c>
      <c r="F511">
        <f>capStratReg1ConsumerScore</f>
        <v>0</v>
      </c>
      <c r="G511">
        <f>capStratReg1ConsumerScore</f>
        <v>0</v>
      </c>
      <c r="H511">
        <f>capStratReg1ConsumerScore</f>
        <v>0</v>
      </c>
      <c r="I511">
        <f>capStratReg1ConsumerScore</f>
        <v>0</v>
      </c>
    </row>
    <row r="512" spans="2:9">
      <c r="B512" s="2"/>
      <c r="D512" s="905" t="s">
        <v>1108</v>
      </c>
      <c r="E512">
        <f>capStratReg1InnovationScore</f>
        <v>0</v>
      </c>
      <c r="F512">
        <f>capStratReg1InnovationScore</f>
        <v>0</v>
      </c>
      <c r="G512">
        <f>capStratReg1InnovationScore</f>
        <v>0</v>
      </c>
      <c r="H512">
        <f>capStratReg1InnovationScore</f>
        <v>0</v>
      </c>
      <c r="I512">
        <f>capStratReg1InnovationScore</f>
        <v>0</v>
      </c>
    </row>
    <row r="513" spans="2:9">
      <c r="D513" s="905" t="s">
        <v>4121</v>
      </c>
      <c r="E513">
        <f>capStratReg1CustomerScore</f>
        <v>0</v>
      </c>
      <c r="F513">
        <f>capStratReg1CustomerScore</f>
        <v>0</v>
      </c>
      <c r="G513">
        <f>capStratReg1CustomerScore</f>
        <v>0</v>
      </c>
      <c r="H513">
        <f>capStratReg1CustomerScore</f>
        <v>0</v>
      </c>
      <c r="I513">
        <f>capStratReg1CustomerScore</f>
        <v>0</v>
      </c>
    </row>
    <row r="514" spans="2:9">
      <c r="D514" s="905" t="s">
        <v>4004</v>
      </c>
      <c r="E514">
        <f>capStratReg1CompanyScore</f>
        <v>0</v>
      </c>
      <c r="F514">
        <f>capStratReg1CompanyScore</f>
        <v>0</v>
      </c>
      <c r="G514">
        <f>capStratReg1CompanyScore</f>
        <v>0</v>
      </c>
      <c r="H514">
        <f>capStratReg1CompanyScore</f>
        <v>0</v>
      </c>
      <c r="I514">
        <f>capStratReg1CompanyScore</f>
        <v>0</v>
      </c>
    </row>
    <row r="516" spans="2:9">
      <c r="B516" s="2" t="s">
        <v>3221</v>
      </c>
      <c r="E516" s="1305" t="str">
        <f>decTeamName</f>
        <v>Vivia</v>
      </c>
      <c r="F516" s="1305" t="str">
        <f>decTeamName</f>
        <v>Vivia</v>
      </c>
      <c r="G516" s="1305" t="str">
        <f>decTeamName</f>
        <v>Vivia</v>
      </c>
      <c r="H516" s="1305" t="str">
        <f>decTeamName</f>
        <v>Vivia</v>
      </c>
      <c r="I516" s="1305" t="str">
        <f>decTeamName</f>
        <v>Vivia</v>
      </c>
    </row>
    <row r="517" spans="2:9">
      <c r="B517" s="2"/>
      <c r="D517" s="905" t="s">
        <v>3442</v>
      </c>
      <c r="E517">
        <f>capStratReg2ConsumerScore</f>
        <v>0</v>
      </c>
      <c r="F517">
        <f>capStratReg2ConsumerScore</f>
        <v>0</v>
      </c>
      <c r="G517">
        <f>capStratReg2ConsumerScore</f>
        <v>0</v>
      </c>
      <c r="H517">
        <f>capStratReg2ConsumerScore</f>
        <v>0</v>
      </c>
      <c r="I517">
        <f>capStratReg2ConsumerScore</f>
        <v>0</v>
      </c>
    </row>
    <row r="518" spans="2:9">
      <c r="B518" s="2"/>
      <c r="D518" s="905" t="s">
        <v>1108</v>
      </c>
      <c r="E518">
        <f>capStratReg2InnovationScore</f>
        <v>0</v>
      </c>
      <c r="F518">
        <f>capStratReg2InnovationScore</f>
        <v>0</v>
      </c>
      <c r="G518">
        <f>capStratReg2InnovationScore</f>
        <v>0</v>
      </c>
      <c r="H518">
        <f>capStratReg2InnovationScore</f>
        <v>0</v>
      </c>
      <c r="I518">
        <f>capStratReg2InnovationScore</f>
        <v>0</v>
      </c>
    </row>
    <row r="519" spans="2:9">
      <c r="D519" s="905" t="s">
        <v>4121</v>
      </c>
      <c r="E519">
        <f>capStratReg2CustomerScore</f>
        <v>0</v>
      </c>
      <c r="F519">
        <f>capStratReg2CustomerScore</f>
        <v>0</v>
      </c>
      <c r="G519">
        <f>capStratReg2CustomerScore</f>
        <v>0</v>
      </c>
      <c r="H519">
        <f>capStratReg2CustomerScore</f>
        <v>0</v>
      </c>
      <c r="I519">
        <f>capStratReg2CustomerScore</f>
        <v>0</v>
      </c>
    </row>
    <row r="520" spans="2:9">
      <c r="D520" s="905" t="s">
        <v>4004</v>
      </c>
      <c r="E520">
        <f>capStratReg2CompanyScore</f>
        <v>0</v>
      </c>
      <c r="F520">
        <f>capStratReg2CompanyScore</f>
        <v>0</v>
      </c>
      <c r="G520">
        <f>capStratReg2CompanyScore</f>
        <v>0</v>
      </c>
      <c r="H520">
        <f>capStratReg2CompanyScore</f>
        <v>0</v>
      </c>
      <c r="I520">
        <f>capStratReg2CompanyScore</f>
        <v>0</v>
      </c>
    </row>
    <row r="522" spans="2:9">
      <c r="B522" s="2" t="s">
        <v>3222</v>
      </c>
      <c r="E522" s="1305" t="str">
        <f>decTeamName</f>
        <v>Vivia</v>
      </c>
      <c r="F522" s="1305" t="str">
        <f>decTeamName</f>
        <v>Vivia</v>
      </c>
      <c r="G522" s="1305" t="str">
        <f>decTeamName</f>
        <v>Vivia</v>
      </c>
      <c r="H522" s="1305" t="str">
        <f>decTeamName</f>
        <v>Vivia</v>
      </c>
      <c r="I522" s="1305" t="str">
        <f>decTeamName</f>
        <v>Vivia</v>
      </c>
    </row>
    <row r="523" spans="2:9">
      <c r="D523" s="905" t="s">
        <v>4128</v>
      </c>
      <c r="E523">
        <f>capStratReg1ConsumerScore</f>
        <v>0</v>
      </c>
      <c r="F523">
        <f>capStratReg1ConsumerScore</f>
        <v>0</v>
      </c>
      <c r="G523">
        <f>capStratReg1ConsumerScore</f>
        <v>0</v>
      </c>
      <c r="H523">
        <f>capStratReg1ConsumerScore</f>
        <v>0</v>
      </c>
      <c r="I523">
        <f>capStratReg1ConsumerScore</f>
        <v>0</v>
      </c>
    </row>
    <row r="524" spans="2:9">
      <c r="D524" s="905" t="s">
        <v>4129</v>
      </c>
      <c r="E524">
        <f>capStratReg1InnovationScore</f>
        <v>0</v>
      </c>
      <c r="F524">
        <f>capStratReg1InnovationScore</f>
        <v>0</v>
      </c>
      <c r="G524">
        <f>capStratReg1InnovationScore</f>
        <v>0</v>
      </c>
      <c r="H524">
        <f>capStratReg1InnovationScore</f>
        <v>0</v>
      </c>
      <c r="I524">
        <f>capStratReg1InnovationScore</f>
        <v>0</v>
      </c>
    </row>
    <row r="525" spans="2:9">
      <c r="D525" s="905" t="s">
        <v>4130</v>
      </c>
      <c r="E525">
        <f>capStratReg1CustomerScore</f>
        <v>0</v>
      </c>
      <c r="F525">
        <f>capStratReg1CustomerScore</f>
        <v>0</v>
      </c>
      <c r="G525">
        <f>capStratReg1CustomerScore</f>
        <v>0</v>
      </c>
      <c r="H525">
        <f>capStratReg1CustomerScore</f>
        <v>0</v>
      </c>
      <c r="I525">
        <f>capStratReg1CustomerScore</f>
        <v>0</v>
      </c>
    </row>
    <row r="526" spans="2:9">
      <c r="D526" s="905" t="s">
        <v>4165</v>
      </c>
      <c r="E526">
        <f>capStratReg1CompanyScore</f>
        <v>0</v>
      </c>
      <c r="F526">
        <f>capStratReg1CompanyScore</f>
        <v>0</v>
      </c>
      <c r="G526">
        <f>capStratReg1CompanyScore</f>
        <v>0</v>
      </c>
      <c r="H526">
        <f>capStratReg1CompanyScore</f>
        <v>0</v>
      </c>
      <c r="I526">
        <f>capStratReg1CompanyScore</f>
        <v>0</v>
      </c>
    </row>
    <row r="527" spans="2:9">
      <c r="D527" s="905" t="s">
        <v>4132</v>
      </c>
      <c r="E527">
        <f>capStratReg2ConsumerScore</f>
        <v>0</v>
      </c>
      <c r="F527">
        <f>capStratReg2ConsumerScore</f>
        <v>0</v>
      </c>
      <c r="G527">
        <f>capStratReg2ConsumerScore</f>
        <v>0</v>
      </c>
      <c r="H527">
        <f>capStratReg2ConsumerScore</f>
        <v>0</v>
      </c>
      <c r="I527">
        <f>capStratReg2ConsumerScore</f>
        <v>0</v>
      </c>
    </row>
    <row r="528" spans="2:9">
      <c r="D528" s="905" t="s">
        <v>4133</v>
      </c>
      <c r="E528">
        <f>capStratReg2InnovationScore</f>
        <v>0</v>
      </c>
      <c r="F528">
        <f>capStratReg2InnovationScore</f>
        <v>0</v>
      </c>
      <c r="G528">
        <f>capStratReg2InnovationScore</f>
        <v>0</v>
      </c>
      <c r="H528">
        <f>capStratReg2InnovationScore</f>
        <v>0</v>
      </c>
      <c r="I528">
        <f>capStratReg2InnovationScore</f>
        <v>0</v>
      </c>
    </row>
    <row r="529" spans="2:9">
      <c r="D529" s="905" t="s">
        <v>4134</v>
      </c>
      <c r="E529">
        <f>capStratReg2CustomerScore</f>
        <v>0</v>
      </c>
      <c r="F529">
        <f>capStratReg2CustomerScore</f>
        <v>0</v>
      </c>
      <c r="G529">
        <f>capStratReg2CustomerScore</f>
        <v>0</v>
      </c>
      <c r="H529">
        <f>capStratReg2CustomerScore</f>
        <v>0</v>
      </c>
      <c r="I529">
        <f>capStratReg2CustomerScore</f>
        <v>0</v>
      </c>
    </row>
    <row r="530" spans="2:9">
      <c r="D530" s="905" t="s">
        <v>4135</v>
      </c>
      <c r="E530">
        <f>capStratReg2CompanyScore</f>
        <v>0</v>
      </c>
      <c r="F530">
        <f>capStratReg2CompanyScore</f>
        <v>0</v>
      </c>
      <c r="G530">
        <f>capStratReg2CompanyScore</f>
        <v>0</v>
      </c>
      <c r="H530">
        <f>capStratReg2CompanyScore</f>
        <v>0</v>
      </c>
      <c r="I530">
        <f>capStratReg2CompanyScore</f>
        <v>0</v>
      </c>
    </row>
    <row r="532" spans="2:9">
      <c r="B532" s="2" t="str">
        <f>DataNameProd4&amp;" Operating Margin - Escendia"</f>
        <v>F&amp;S Operating Margin - Escendia</v>
      </c>
      <c r="E532" t="str">
        <f>decTeamName</f>
        <v>Vivia</v>
      </c>
      <c r="F532" t="str">
        <f>decTeamName</f>
        <v>Vivia</v>
      </c>
      <c r="G532" t="str">
        <f>decTeamName</f>
        <v>Vivia</v>
      </c>
      <c r="H532" t="str">
        <f>decTeamName</f>
        <v>Vivia</v>
      </c>
      <c r="I532" t="str">
        <f>decTeamName</f>
        <v>Vivia</v>
      </c>
    </row>
    <row r="533" spans="2:9">
      <c r="D533" t="s">
        <v>3640</v>
      </c>
      <c r="E533" s="16">
        <f ca="1">finPNLReg2Prod4COGSExp</f>
        <v>928676875.46728945</v>
      </c>
      <c r="F533" s="16">
        <f ca="1">finPNLReg2Prod4COGSExp</f>
        <v>928676875.46728945</v>
      </c>
      <c r="G533" s="16">
        <f ca="1">finPNLReg2Prod4COGSExp</f>
        <v>928676875.46728945</v>
      </c>
      <c r="H533" s="16">
        <f ca="1">finPNLReg2Prod4COGSExp</f>
        <v>928676875.46728945</v>
      </c>
      <c r="I533" s="16">
        <f ca="1">finPNLReg2Prod4COGSExp</f>
        <v>928676875.46728945</v>
      </c>
    </row>
    <row r="534" spans="2:9">
      <c r="D534" t="s">
        <v>173</v>
      </c>
      <c r="E534" s="16">
        <f ca="1">finPNLReg2Prod4SGAExp</f>
        <v>460397171.50128555</v>
      </c>
      <c r="F534" s="16">
        <f ca="1">finPNLReg2Prod4SGAExp</f>
        <v>460397171.50128555</v>
      </c>
      <c r="G534" s="16">
        <f ca="1">finPNLReg2Prod4SGAExp</f>
        <v>460397171.50128555</v>
      </c>
      <c r="H534" s="16">
        <f ca="1">finPNLReg2Prod4SGAExp</f>
        <v>460397171.50128555</v>
      </c>
      <c r="I534" s="16">
        <f ca="1">finPNLReg2Prod4SGAExp</f>
        <v>460397171.50128555</v>
      </c>
    </row>
    <row r="535" spans="2:9">
      <c r="D535" t="s">
        <v>172</v>
      </c>
      <c r="E535" s="16"/>
      <c r="F535" s="16"/>
      <c r="G535" s="16"/>
      <c r="H535" s="16"/>
      <c r="I535" s="16"/>
    </row>
    <row r="536" spans="2:9">
      <c r="D536" t="s">
        <v>1906</v>
      </c>
      <c r="E536" s="16">
        <f ca="1">finPNLReg2Prod4OtherOpExp</f>
        <v>26895574.697045017</v>
      </c>
      <c r="F536" s="16">
        <f ca="1">finPNLReg2Prod4OtherOpExp</f>
        <v>26895574.697045017</v>
      </c>
      <c r="G536" s="16">
        <f ca="1">finPNLReg2Prod4OtherOpExp</f>
        <v>26895574.697045017</v>
      </c>
      <c r="H536" s="16">
        <f ca="1">finPNLReg2Prod4OtherOpExp</f>
        <v>26895574.697045017</v>
      </c>
      <c r="I536" s="16">
        <f ca="1">finPNLReg2Prod4OtherOpExp</f>
        <v>26895574.697045017</v>
      </c>
    </row>
    <row r="537" spans="2:9">
      <c r="D537" t="s">
        <v>3763</v>
      </c>
      <c r="E537" s="16">
        <f ca="1">(finPNLReg2Prod4NetRev)-SUM(E533:E536)</f>
        <v>514030378.33437991</v>
      </c>
      <c r="F537" s="16">
        <f ca="1">(finPNLReg2Prod4NetRev)-SUM(F533:F536)</f>
        <v>514030378.33437991</v>
      </c>
      <c r="G537" s="16">
        <f ca="1">(finPNLReg2Prod4NetRev)-SUM(G533:G536)</f>
        <v>514030378.33437991</v>
      </c>
      <c r="H537" s="16">
        <f ca="1">(finPNLReg2Prod4NetRev)-SUM(H533:H536)</f>
        <v>514030378.33437991</v>
      </c>
      <c r="I537" s="16">
        <f ca="1">(finPNLReg2Prod4NetRev)-SUM(I533:I536)</f>
        <v>514030378.33437991</v>
      </c>
    </row>
    <row r="538" spans="2:9">
      <c r="D538" t="s">
        <v>1376</v>
      </c>
      <c r="E538" s="12">
        <f ca="1">E537/(finPNLReg2Prod4NetRev)</f>
        <v>0.26633698359294294</v>
      </c>
      <c r="F538" s="12">
        <f ca="1">F537/(finPNLReg2Prod4NetRev)</f>
        <v>0.26633698359294294</v>
      </c>
      <c r="G538" s="12">
        <f ca="1">G537/(finPNLReg2Prod4NetRev)</f>
        <v>0.26633698359294294</v>
      </c>
      <c r="H538" s="12">
        <f ca="1">H537/(finPNLReg2Prod4NetRev)</f>
        <v>0.26633698359294294</v>
      </c>
      <c r="I538" s="12">
        <f ca="1">I537/(finPNLReg2Prod4NetRev)</f>
        <v>0.26633698359294294</v>
      </c>
    </row>
    <row r="540" spans="2:9" ht="12.75">
      <c r="B540" s="22" t="s">
        <v>4119</v>
      </c>
      <c r="E540" t="str">
        <f>decTeamName</f>
        <v>Vivia</v>
      </c>
      <c r="F540" t="str">
        <f>decTeamName</f>
        <v>Vivia</v>
      </c>
      <c r="G540" t="str">
        <f>decTeamName</f>
        <v>Vivia</v>
      </c>
      <c r="H540" t="str">
        <f>decTeamName</f>
        <v>Vivia</v>
      </c>
      <c r="I540" t="str">
        <f>decTeamName</f>
        <v>Vivia</v>
      </c>
    </row>
    <row r="541" spans="2:9">
      <c r="D541" t="str">
        <f>+DataNameProd1Seg1</f>
        <v>Vetera</v>
      </c>
      <c r="E541" s="442">
        <f>analysis!E50</f>
        <v>0.71189265488173181</v>
      </c>
      <c r="F541" s="442">
        <f>analysis!F50</f>
        <v>0.71189265488173181</v>
      </c>
      <c r="G541" s="442">
        <f>analysis!G50</f>
        <v>0.71189265488173181</v>
      </c>
      <c r="H541" s="442">
        <f>analysis!H50</f>
        <v>0.71189265488173181</v>
      </c>
      <c r="I541" s="442">
        <f>analysis!I50</f>
        <v>0.71189265488173181</v>
      </c>
    </row>
    <row r="542" spans="2:9">
      <c r="D542" t="str">
        <f>+DataNameProd1Seg2</f>
        <v>Escendia</v>
      </c>
      <c r="E542" s="442">
        <f>analysis!E51</f>
        <v>0.28810734511826819</v>
      </c>
      <c r="F542" s="442">
        <f>analysis!F51</f>
        <v>0.28810734511826819</v>
      </c>
      <c r="G542" s="442">
        <f>analysis!G51</f>
        <v>0.28810734511826819</v>
      </c>
      <c r="H542" s="442">
        <f>analysis!H51</f>
        <v>0.28810734511826819</v>
      </c>
      <c r="I542" s="442">
        <f>analysis!I51</f>
        <v>0.28810734511826819</v>
      </c>
    </row>
    <row r="544" spans="2:9" ht="12.75">
      <c r="B544" s="22" t="s">
        <v>4120</v>
      </c>
      <c r="E544" t="str">
        <f>decTeamName</f>
        <v>Vivia</v>
      </c>
      <c r="F544" t="str">
        <f>decTeamName</f>
        <v>Vivia</v>
      </c>
      <c r="G544" t="str">
        <f>decTeamName</f>
        <v>Vivia</v>
      </c>
      <c r="H544" t="str">
        <f>decTeamName</f>
        <v>Vivia</v>
      </c>
      <c r="I544" t="str">
        <f>decTeamName</f>
        <v>Vivia</v>
      </c>
    </row>
    <row r="545" spans="4:9">
      <c r="D545" t="str">
        <f>+DataNameBev</f>
        <v>Beverage</v>
      </c>
      <c r="E545" s="442">
        <f>analysis!E53</f>
        <v>0.64896089750514807</v>
      </c>
      <c r="F545" s="442">
        <f>analysis!F53</f>
        <v>0.64896089750514807</v>
      </c>
      <c r="G545" s="442">
        <f>analysis!G53</f>
        <v>0.64896089750514807</v>
      </c>
      <c r="H545" s="442">
        <f>analysis!H53</f>
        <v>0.64896089750514807</v>
      </c>
      <c r="I545" s="442">
        <f>analysis!I53</f>
        <v>0.64896089750514807</v>
      </c>
    </row>
    <row r="546" spans="4:9">
      <c r="D546" t="str">
        <f>+DataNameProd4</f>
        <v>F&amp;S</v>
      </c>
      <c r="E546" s="442">
        <f>analysis!E54</f>
        <v>0.35103910249485193</v>
      </c>
      <c r="F546" s="442">
        <f>analysis!F54</f>
        <v>0.35103910249485193</v>
      </c>
      <c r="G546" s="442">
        <f>analysis!G54</f>
        <v>0.35103910249485193</v>
      </c>
      <c r="H546" s="442">
        <f>analysis!H54</f>
        <v>0.35103910249485193</v>
      </c>
      <c r="I546" s="442">
        <f>analysis!I54</f>
        <v>0.35103910249485193</v>
      </c>
    </row>
  </sheetData>
  <phoneticPr fontId="0" type="noConversion"/>
  <pageMargins left="0.5" right="0.5" top="0.5" bottom="0.5" header="0.5" footer="0.5"/>
  <pageSetup scale="60" fitToHeight="13" orientation="portrait" horizontalDpi="300" verticalDpi="300" r:id="rId1"/>
  <headerFooter alignWithMargins="0"/>
  <ignoredErrors>
    <ignoredError sqref="E461:I461" evalError="1"/>
  </ignoredError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feedbackTS"/>
  <dimension ref="A1:N510"/>
  <sheetViews>
    <sheetView workbookViewId="0">
      <selection activeCell="E463" sqref="E463:I463"/>
    </sheetView>
  </sheetViews>
  <sheetFormatPr defaultRowHeight="11.25"/>
  <cols>
    <col min="3" max="3" width="13.83203125" customWidth="1"/>
    <col min="5" max="9" width="15" customWidth="1"/>
    <col min="10" max="10" width="12" customWidth="1"/>
    <col min="12" max="12" width="11.5" bestFit="1" customWidth="1"/>
    <col min="14" max="14" width="17" customWidth="1"/>
  </cols>
  <sheetData>
    <row r="1" spans="1:12" s="143" customFormat="1" ht="15.75">
      <c r="A1" s="143" t="s">
        <v>3124</v>
      </c>
    </row>
    <row r="2" spans="1:12">
      <c r="B2" t="s">
        <v>649</v>
      </c>
      <c r="E2" t="s">
        <v>3756</v>
      </c>
      <c r="F2" t="s">
        <v>3756</v>
      </c>
      <c r="G2" t="s">
        <v>3756</v>
      </c>
      <c r="H2" t="s">
        <v>3756</v>
      </c>
      <c r="I2" t="s">
        <v>3756</v>
      </c>
      <c r="L2" t="s">
        <v>3756</v>
      </c>
    </row>
    <row r="3" spans="1:12">
      <c r="E3" s="32"/>
      <c r="F3" s="32"/>
      <c r="G3" s="32"/>
      <c r="H3" s="32"/>
      <c r="I3" s="32"/>
      <c r="J3" t="s">
        <v>403</v>
      </c>
      <c r="L3" s="32"/>
    </row>
    <row r="4" spans="1:12">
      <c r="L4" s="32"/>
    </row>
    <row r="5" spans="1:12">
      <c r="B5" s="2" t="str">
        <f>"Price Volume "&amp;DataNameProd1</f>
        <v>Price Volume CSD</v>
      </c>
      <c r="L5" s="32"/>
    </row>
    <row r="6" spans="1:12">
      <c r="B6" s="2" t="s">
        <v>1598</v>
      </c>
      <c r="D6" s="77" t="s">
        <v>1402</v>
      </c>
      <c r="E6" s="10">
        <f>decProd1Reg1Price</f>
        <v>9.5</v>
      </c>
      <c r="F6" s="10">
        <f>decProd1Reg1Price</f>
        <v>9.5</v>
      </c>
      <c r="G6" s="10">
        <f>decProd1Reg1Price</f>
        <v>9.5</v>
      </c>
      <c r="H6" s="10">
        <f>decProd1Reg1Price</f>
        <v>9.5</v>
      </c>
      <c r="I6" s="10">
        <f>decProd1Reg1Price</f>
        <v>9.5</v>
      </c>
      <c r="L6" s="32" t="e">
        <f>decProd1Reg1Price</f>
        <v>#VALUE!</v>
      </c>
    </row>
    <row r="7" spans="1:12">
      <c r="E7" t="str">
        <f>decTeamName</f>
        <v>Vivia</v>
      </c>
      <c r="F7" t="str">
        <f>decTeamName</f>
        <v>Vivia</v>
      </c>
      <c r="G7" t="str">
        <f>decTeamName</f>
        <v>Vivia</v>
      </c>
      <c r="H7" t="str">
        <f>decTeamName</f>
        <v>Vivia</v>
      </c>
      <c r="I7" t="str">
        <f>decTeamName</f>
        <v>Vivia</v>
      </c>
      <c r="L7" s="32" t="e">
        <f>decTeamName</f>
        <v>#VALUE!</v>
      </c>
    </row>
    <row r="8" spans="1:12">
      <c r="D8">
        <v>0</v>
      </c>
      <c r="E8" s="10">
        <v>9.5</v>
      </c>
      <c r="F8" s="10">
        <v>9.5</v>
      </c>
      <c r="G8" s="10">
        <v>9.5</v>
      </c>
      <c r="H8" s="10">
        <v>9.5</v>
      </c>
      <c r="I8" s="10">
        <v>9.5</v>
      </c>
      <c r="J8" t="s">
        <v>803</v>
      </c>
      <c r="L8" s="32" t="e">
        <f>IF(xxYear&gt;=$D8,L$6,NA())</f>
        <v>#VALUE!</v>
      </c>
    </row>
    <row r="9" spans="1:12">
      <c r="D9">
        <v>1</v>
      </c>
      <c r="E9" s="10">
        <f t="shared" ref="E9:I12" si="0">IF(xxYear&gt;=$D9,E$6,NA())</f>
        <v>9.5</v>
      </c>
      <c r="F9" s="10">
        <f t="shared" si="0"/>
        <v>9.5</v>
      </c>
      <c r="G9" s="10">
        <f t="shared" si="0"/>
        <v>9.5</v>
      </c>
      <c r="H9" s="10">
        <f t="shared" si="0"/>
        <v>9.5</v>
      </c>
      <c r="I9" s="10">
        <f t="shared" si="0"/>
        <v>9.5</v>
      </c>
      <c r="L9" s="32" t="e">
        <f>IF(xxYear&gt;=$D9,L$6,NA())</f>
        <v>#VALUE!</v>
      </c>
    </row>
    <row r="10" spans="1:12">
      <c r="D10">
        <v>2</v>
      </c>
      <c r="E10" s="10" t="e">
        <f t="shared" si="0"/>
        <v>#N/A</v>
      </c>
      <c r="F10" s="10" t="e">
        <f t="shared" si="0"/>
        <v>#N/A</v>
      </c>
      <c r="G10" s="10" t="e">
        <f t="shared" si="0"/>
        <v>#N/A</v>
      </c>
      <c r="H10" s="10" t="e">
        <f t="shared" si="0"/>
        <v>#N/A</v>
      </c>
      <c r="I10" s="10" t="e">
        <f t="shared" si="0"/>
        <v>#N/A</v>
      </c>
      <c r="L10" s="32" t="e">
        <f>IF(xxYear&gt;=$D10,L$6,NA())</f>
        <v>#N/A</v>
      </c>
    </row>
    <row r="11" spans="1:12">
      <c r="D11">
        <v>3</v>
      </c>
      <c r="E11" s="10" t="e">
        <f t="shared" si="0"/>
        <v>#N/A</v>
      </c>
      <c r="F11" s="10" t="e">
        <f t="shared" si="0"/>
        <v>#N/A</v>
      </c>
      <c r="G11" s="10" t="e">
        <f t="shared" si="0"/>
        <v>#N/A</v>
      </c>
      <c r="H11" s="10" t="e">
        <f t="shared" si="0"/>
        <v>#N/A</v>
      </c>
      <c r="I11" s="10" t="e">
        <f t="shared" si="0"/>
        <v>#N/A</v>
      </c>
      <c r="L11" s="32" t="e">
        <f>IF(xxYear&gt;=$D11,L$6,NA())</f>
        <v>#N/A</v>
      </c>
    </row>
    <row r="12" spans="1:12">
      <c r="D12">
        <v>4</v>
      </c>
      <c r="E12" s="10" t="e">
        <f t="shared" si="0"/>
        <v>#N/A</v>
      </c>
      <c r="F12" s="10" t="e">
        <f t="shared" si="0"/>
        <v>#N/A</v>
      </c>
      <c r="G12" s="10" t="e">
        <f t="shared" si="0"/>
        <v>#N/A</v>
      </c>
      <c r="H12" s="10" t="e">
        <f t="shared" si="0"/>
        <v>#N/A</v>
      </c>
      <c r="I12" s="10" t="e">
        <f t="shared" si="0"/>
        <v>#N/A</v>
      </c>
      <c r="L12" s="32" t="e">
        <f>IF(xxYear&gt;=$D12,L$6,NA())</f>
        <v>#N/A</v>
      </c>
    </row>
    <row r="13" spans="1:12">
      <c r="L13" s="32"/>
    </row>
    <row r="14" spans="1:12">
      <c r="D14" s="77" t="s">
        <v>1403</v>
      </c>
      <c r="E14" s="398">
        <f>capReg1Prod1UnitsSold</f>
        <v>741713021</v>
      </c>
      <c r="F14" s="398">
        <f>capReg1Prod1UnitsSold</f>
        <v>741713021</v>
      </c>
      <c r="G14" s="398">
        <f>capReg1Prod1UnitsSold</f>
        <v>741713021</v>
      </c>
      <c r="H14" s="398">
        <f>capReg1Prod1UnitsSold</f>
        <v>741713021</v>
      </c>
      <c r="I14" s="398">
        <f>capReg1Prod1UnitsSold</f>
        <v>741713021</v>
      </c>
      <c r="L14" s="503" t="e">
        <f>capReg1Prod1UnitsSold</f>
        <v>#VALUE!</v>
      </c>
    </row>
    <row r="15" spans="1:12">
      <c r="E15" t="str">
        <f>decTeamName</f>
        <v>Vivia</v>
      </c>
      <c r="F15" t="str">
        <f>decTeamName</f>
        <v>Vivia</v>
      </c>
      <c r="G15" t="str">
        <f>decTeamName</f>
        <v>Vivia</v>
      </c>
      <c r="H15" t="str">
        <f>decTeamName</f>
        <v>Vivia</v>
      </c>
      <c r="I15" t="str">
        <f>decTeamName</f>
        <v>Vivia</v>
      </c>
      <c r="L15" s="32" t="e">
        <f>decTeamName</f>
        <v>#VALUE!</v>
      </c>
    </row>
    <row r="16" spans="1:12">
      <c r="D16">
        <v>0</v>
      </c>
      <c r="E16" s="398">
        <v>749205072</v>
      </c>
      <c r="F16" s="398">
        <v>749205072</v>
      </c>
      <c r="G16" s="398">
        <v>749205072</v>
      </c>
      <c r="H16" s="398">
        <v>749205072</v>
      </c>
      <c r="I16" s="398">
        <v>749205072</v>
      </c>
      <c r="J16" t="s">
        <v>952</v>
      </c>
      <c r="L16" s="32" t="e">
        <f>IF(xxYear&gt;=$D16,L$14,NA())</f>
        <v>#VALUE!</v>
      </c>
    </row>
    <row r="17" spans="4:12">
      <c r="D17">
        <v>1</v>
      </c>
      <c r="E17" s="398">
        <f t="shared" ref="E17:I20" si="1">IF(xxYear&gt;=$D17,E$14,NA())</f>
        <v>741713021</v>
      </c>
      <c r="F17" s="398">
        <f t="shared" si="1"/>
        <v>741713021</v>
      </c>
      <c r="G17" s="398">
        <f t="shared" si="1"/>
        <v>741713021</v>
      </c>
      <c r="H17" s="398">
        <f t="shared" si="1"/>
        <v>741713021</v>
      </c>
      <c r="I17" s="398">
        <f t="shared" si="1"/>
        <v>741713021</v>
      </c>
      <c r="L17" s="32" t="e">
        <f>IF(xxYear&gt;=$D17,L$14,NA())</f>
        <v>#VALUE!</v>
      </c>
    </row>
    <row r="18" spans="4:12">
      <c r="D18">
        <v>2</v>
      </c>
      <c r="E18" s="10" t="e">
        <f t="shared" si="1"/>
        <v>#N/A</v>
      </c>
      <c r="F18" s="10" t="e">
        <f t="shared" si="1"/>
        <v>#N/A</v>
      </c>
      <c r="G18" s="10" t="e">
        <f t="shared" si="1"/>
        <v>#N/A</v>
      </c>
      <c r="H18" s="10" t="e">
        <f t="shared" si="1"/>
        <v>#N/A</v>
      </c>
      <c r="I18" s="10" t="e">
        <f t="shared" si="1"/>
        <v>#N/A</v>
      </c>
      <c r="L18" s="32" t="e">
        <f>IF(xxYear&gt;=$D18,L$14,NA())</f>
        <v>#N/A</v>
      </c>
    </row>
    <row r="19" spans="4:12">
      <c r="D19">
        <v>3</v>
      </c>
      <c r="E19" s="10" t="e">
        <f t="shared" si="1"/>
        <v>#N/A</v>
      </c>
      <c r="F19" s="10" t="e">
        <f t="shared" si="1"/>
        <v>#N/A</v>
      </c>
      <c r="G19" s="10" t="e">
        <f t="shared" si="1"/>
        <v>#N/A</v>
      </c>
      <c r="H19" s="10" t="e">
        <f t="shared" si="1"/>
        <v>#N/A</v>
      </c>
      <c r="I19" s="10" t="e">
        <f t="shared" si="1"/>
        <v>#N/A</v>
      </c>
      <c r="L19" s="32" t="e">
        <f>IF(xxYear&gt;=$D19,L$14,NA())</f>
        <v>#N/A</v>
      </c>
    </row>
    <row r="20" spans="4:12">
      <c r="D20">
        <v>4</v>
      </c>
      <c r="E20" s="10" t="e">
        <f t="shared" si="1"/>
        <v>#N/A</v>
      </c>
      <c r="F20" s="10" t="e">
        <f t="shared" si="1"/>
        <v>#N/A</v>
      </c>
      <c r="G20" s="10" t="e">
        <f t="shared" si="1"/>
        <v>#N/A</v>
      </c>
      <c r="H20" s="10" t="e">
        <f t="shared" si="1"/>
        <v>#N/A</v>
      </c>
      <c r="I20" s="10" t="e">
        <f t="shared" si="1"/>
        <v>#N/A</v>
      </c>
      <c r="L20" s="32" t="e">
        <f>IF(xxYear&gt;=$D20,L$14,NA())</f>
        <v>#N/A</v>
      </c>
    </row>
    <row r="21" spans="4:12">
      <c r="L21" s="32"/>
    </row>
    <row r="22" spans="4:12">
      <c r="D22" s="77" t="s">
        <v>3145</v>
      </c>
      <c r="E22" s="398" t="e">
        <f>IF(capReg1Prod1UnitsFGEnd&gt;0,capReg1Prod1UnitsSold,NA())</f>
        <v>#N/A</v>
      </c>
      <c r="F22" s="398" t="e">
        <f>IF(capReg1Prod1UnitsFGEnd&gt;0,capReg1Prod1UnitsSold,NA())</f>
        <v>#N/A</v>
      </c>
      <c r="G22" s="398" t="e">
        <f>IF(capReg1Prod1UnitsFGEnd&gt;0,capReg1Prod1UnitsSold,NA())</f>
        <v>#N/A</v>
      </c>
      <c r="H22" s="398" t="e">
        <f>IF(capReg1Prod1UnitsFGEnd&gt;0,capReg1Prod1UnitsSold,NA())</f>
        <v>#N/A</v>
      </c>
      <c r="I22" s="398" t="e">
        <f>IF(capReg1Prod1UnitsFGEnd&gt;0,capReg1Prod1UnitsSold,NA())</f>
        <v>#N/A</v>
      </c>
      <c r="L22" s="118" t="e">
        <f>IF(capReg1Prod1UnitsFGEnd&gt;0,capReg1Prod1UnitsSold,NA())</f>
        <v>#VALUE!</v>
      </c>
    </row>
    <row r="23" spans="4:12">
      <c r="E23" t="str">
        <f>decTeamName</f>
        <v>Vivia</v>
      </c>
      <c r="F23" t="str">
        <f>decTeamName</f>
        <v>Vivia</v>
      </c>
      <c r="G23" t="str">
        <f>decTeamName</f>
        <v>Vivia</v>
      </c>
      <c r="H23" t="str">
        <f>decTeamName</f>
        <v>Vivia</v>
      </c>
      <c r="I23" t="str">
        <f>decTeamName</f>
        <v>Vivia</v>
      </c>
      <c r="L23" s="32" t="e">
        <f>decTeamName</f>
        <v>#VALUE!</v>
      </c>
    </row>
    <row r="24" spans="4:12">
      <c r="D24">
        <v>0</v>
      </c>
      <c r="E24" s="398" t="e">
        <v>#N/A</v>
      </c>
      <c r="F24" s="398" t="e">
        <v>#N/A</v>
      </c>
      <c r="G24" s="398" t="e">
        <v>#N/A</v>
      </c>
      <c r="H24" s="398" t="e">
        <v>#N/A</v>
      </c>
      <c r="I24" s="398" t="e">
        <v>#N/A</v>
      </c>
      <c r="J24" t="s">
        <v>953</v>
      </c>
      <c r="L24" s="118" t="e">
        <f>IF(xxYear=$D24,L$22,NA())</f>
        <v>#N/A</v>
      </c>
    </row>
    <row r="25" spans="4:12">
      <c r="D25">
        <v>1</v>
      </c>
      <c r="E25" s="398" t="e">
        <f t="shared" ref="E25:I28" si="2">IF(xxYear=$D25,E$22,NA())</f>
        <v>#N/A</v>
      </c>
      <c r="F25" s="398" t="e">
        <f t="shared" si="2"/>
        <v>#N/A</v>
      </c>
      <c r="G25" s="398" t="e">
        <f t="shared" si="2"/>
        <v>#N/A</v>
      </c>
      <c r="H25" s="398" t="e">
        <f t="shared" si="2"/>
        <v>#N/A</v>
      </c>
      <c r="I25" s="398" t="e">
        <f t="shared" si="2"/>
        <v>#N/A</v>
      </c>
      <c r="L25" s="32" t="e">
        <f>IF(xxYear=$D25,L$22,NA())</f>
        <v>#VALUE!</v>
      </c>
    </row>
    <row r="26" spans="4:12">
      <c r="D26">
        <v>2</v>
      </c>
      <c r="E26" s="10" t="e">
        <f t="shared" si="2"/>
        <v>#N/A</v>
      </c>
      <c r="F26" s="10" t="e">
        <f t="shared" si="2"/>
        <v>#N/A</v>
      </c>
      <c r="G26" s="10" t="e">
        <f t="shared" si="2"/>
        <v>#N/A</v>
      </c>
      <c r="H26" s="10" t="e">
        <f t="shared" si="2"/>
        <v>#N/A</v>
      </c>
      <c r="I26" s="10" t="e">
        <f t="shared" si="2"/>
        <v>#N/A</v>
      </c>
      <c r="L26" s="32" t="e">
        <f>IF(xxYear=$D26,L$22,NA())</f>
        <v>#N/A</v>
      </c>
    </row>
    <row r="27" spans="4:12">
      <c r="D27">
        <v>3</v>
      </c>
      <c r="E27" s="10" t="e">
        <f t="shared" si="2"/>
        <v>#N/A</v>
      </c>
      <c r="F27" s="10" t="e">
        <f t="shared" si="2"/>
        <v>#N/A</v>
      </c>
      <c r="G27" s="10" t="e">
        <f t="shared" si="2"/>
        <v>#N/A</v>
      </c>
      <c r="H27" s="10" t="e">
        <f t="shared" si="2"/>
        <v>#N/A</v>
      </c>
      <c r="I27" s="10" t="e">
        <f t="shared" si="2"/>
        <v>#N/A</v>
      </c>
      <c r="L27" s="32" t="e">
        <f>IF(xxYear=$D27,L$22,NA())</f>
        <v>#N/A</v>
      </c>
    </row>
    <row r="28" spans="4:12" ht="12" customHeight="1">
      <c r="D28">
        <v>4</v>
      </c>
      <c r="E28" s="10" t="e">
        <f t="shared" si="2"/>
        <v>#N/A</v>
      </c>
      <c r="F28" s="10" t="e">
        <f t="shared" si="2"/>
        <v>#N/A</v>
      </c>
      <c r="G28" s="10" t="e">
        <f t="shared" si="2"/>
        <v>#N/A</v>
      </c>
      <c r="H28" s="10" t="e">
        <f t="shared" si="2"/>
        <v>#N/A</v>
      </c>
      <c r="I28" s="10" t="e">
        <f t="shared" si="2"/>
        <v>#N/A</v>
      </c>
      <c r="L28" s="32" t="e">
        <f>IF(xxYear=$D28,L$22,NA())</f>
        <v>#N/A</v>
      </c>
    </row>
    <row r="29" spans="4:12" ht="12" customHeight="1">
      <c r="E29" s="10"/>
      <c r="F29" s="10"/>
      <c r="G29" s="10"/>
      <c r="H29" s="10"/>
      <c r="I29" s="10"/>
      <c r="L29" s="32"/>
    </row>
    <row r="30" spans="4:12">
      <c r="D30" s="77" t="s">
        <v>1174</v>
      </c>
      <c r="E30" s="398">
        <f>IF(capReg1Prod1UnitsFGEnd&lt;=0,capReg1Prod1UnitsSold,NA())</f>
        <v>741713021</v>
      </c>
      <c r="F30" s="398">
        <f>IF(capReg1Prod1UnitsFGEnd&lt;=0,capReg1Prod1UnitsSold,NA())</f>
        <v>741713021</v>
      </c>
      <c r="G30" s="398">
        <f>IF(capReg1Prod1UnitsFGEnd&lt;=0,capReg1Prod1UnitsSold,NA())</f>
        <v>741713021</v>
      </c>
      <c r="H30" s="398">
        <f>IF(capReg1Prod1UnitsFGEnd&lt;=0,capReg1Prod1UnitsSold,NA())</f>
        <v>741713021</v>
      </c>
      <c r="I30" s="398">
        <f>IF(capReg1Prod1UnitsFGEnd&lt;=0,capReg1Prod1UnitsSold,NA())</f>
        <v>741713021</v>
      </c>
      <c r="L30" s="32" t="e">
        <f>IF(capReg1Prod1UnitsFGEnd&lt;=0,capReg1Prod1UnitsSold,NA())</f>
        <v>#VALUE!</v>
      </c>
    </row>
    <row r="31" spans="4:12">
      <c r="E31" t="str">
        <f>decTeamName</f>
        <v>Vivia</v>
      </c>
      <c r="F31" t="str">
        <f>decTeamName</f>
        <v>Vivia</v>
      </c>
      <c r="G31" t="str">
        <f>decTeamName</f>
        <v>Vivia</v>
      </c>
      <c r="H31" t="str">
        <f>decTeamName</f>
        <v>Vivia</v>
      </c>
      <c r="I31" t="str">
        <f>decTeamName</f>
        <v>Vivia</v>
      </c>
      <c r="L31" s="32" t="e">
        <f>decTeamName</f>
        <v>#VALUE!</v>
      </c>
    </row>
    <row r="32" spans="4:12">
      <c r="D32">
        <v>0</v>
      </c>
      <c r="E32" s="10">
        <v>749205072</v>
      </c>
      <c r="F32" s="10">
        <v>749205072</v>
      </c>
      <c r="G32" s="10">
        <v>749205072</v>
      </c>
      <c r="H32" s="10">
        <v>749205072</v>
      </c>
      <c r="I32" s="10">
        <v>749205072</v>
      </c>
      <c r="J32" t="s">
        <v>954</v>
      </c>
      <c r="L32" s="118" t="e">
        <f>IF(xxYear&gt;=$D32,L$30,NA())</f>
        <v>#VALUE!</v>
      </c>
    </row>
    <row r="33" spans="2:12">
      <c r="D33">
        <v>1</v>
      </c>
      <c r="E33" s="10">
        <f t="shared" ref="E33:I36" si="3">IF(xxYear&gt;=$D33,E$30,NA())</f>
        <v>741713021</v>
      </c>
      <c r="F33" s="10">
        <f t="shared" si="3"/>
        <v>741713021</v>
      </c>
      <c r="G33" s="10">
        <f t="shared" si="3"/>
        <v>741713021</v>
      </c>
      <c r="H33" s="10">
        <f t="shared" si="3"/>
        <v>741713021</v>
      </c>
      <c r="I33" s="10">
        <f t="shared" si="3"/>
        <v>741713021</v>
      </c>
      <c r="L33" s="32" t="e">
        <f>IF(xxYear&gt;=$D33,L$30,NA())</f>
        <v>#VALUE!</v>
      </c>
    </row>
    <row r="34" spans="2:12">
      <c r="D34">
        <v>2</v>
      </c>
      <c r="E34" s="10" t="e">
        <f t="shared" si="3"/>
        <v>#N/A</v>
      </c>
      <c r="F34" s="10" t="e">
        <f t="shared" si="3"/>
        <v>#N/A</v>
      </c>
      <c r="G34" s="10" t="e">
        <f t="shared" si="3"/>
        <v>#N/A</v>
      </c>
      <c r="H34" s="10" t="e">
        <f t="shared" si="3"/>
        <v>#N/A</v>
      </c>
      <c r="I34" s="10" t="e">
        <f t="shared" si="3"/>
        <v>#N/A</v>
      </c>
      <c r="L34" s="32" t="e">
        <f>IF(xxYear&gt;=$D34,L$30,NA())</f>
        <v>#N/A</v>
      </c>
    </row>
    <row r="35" spans="2:12">
      <c r="D35">
        <v>3</v>
      </c>
      <c r="E35" s="10" t="e">
        <f t="shared" si="3"/>
        <v>#N/A</v>
      </c>
      <c r="F35" s="10" t="e">
        <f t="shared" si="3"/>
        <v>#N/A</v>
      </c>
      <c r="G35" s="10" t="e">
        <f t="shared" si="3"/>
        <v>#N/A</v>
      </c>
      <c r="H35" s="10" t="e">
        <f t="shared" si="3"/>
        <v>#N/A</v>
      </c>
      <c r="I35" s="10" t="e">
        <f t="shared" si="3"/>
        <v>#N/A</v>
      </c>
      <c r="L35" s="32" t="e">
        <f>IF(xxYear&gt;=$D35,L$30,NA())</f>
        <v>#N/A</v>
      </c>
    </row>
    <row r="36" spans="2:12">
      <c r="D36">
        <v>4</v>
      </c>
      <c r="E36" s="10" t="e">
        <f t="shared" si="3"/>
        <v>#N/A</v>
      </c>
      <c r="F36" s="10" t="e">
        <f t="shared" si="3"/>
        <v>#N/A</v>
      </c>
      <c r="G36" s="10" t="e">
        <f t="shared" si="3"/>
        <v>#N/A</v>
      </c>
      <c r="H36" s="10" t="e">
        <f t="shared" si="3"/>
        <v>#N/A</v>
      </c>
      <c r="I36" s="10" t="e">
        <f t="shared" si="3"/>
        <v>#N/A</v>
      </c>
      <c r="L36" s="32" t="e">
        <f>IF(xxYear&gt;=$D36,L$30,NA())</f>
        <v>#N/A</v>
      </c>
    </row>
    <row r="37" spans="2:12">
      <c r="D37" s="2"/>
      <c r="L37" s="32"/>
    </row>
    <row r="38" spans="2:12">
      <c r="B38" s="2" t="str">
        <f>"Price Volume " &amp;DataNameProd1</f>
        <v>Price Volume CSD</v>
      </c>
      <c r="D38" s="77" t="s">
        <v>1402</v>
      </c>
      <c r="E38" s="10">
        <f>decProd1Reg2Price</f>
        <v>7</v>
      </c>
      <c r="F38" s="10">
        <f>decProd1Reg2Price</f>
        <v>7</v>
      </c>
      <c r="G38" s="10">
        <f>decProd1Reg2Price</f>
        <v>7</v>
      </c>
      <c r="H38" s="10">
        <f>decProd1Reg2Price</f>
        <v>7</v>
      </c>
      <c r="I38" s="10">
        <f>decProd1Reg2Price</f>
        <v>7</v>
      </c>
      <c r="L38" s="32" t="e">
        <f>decProd1Reg2Price</f>
        <v>#VALUE!</v>
      </c>
    </row>
    <row r="39" spans="2:12">
      <c r="B39" s="2" t="s">
        <v>1599</v>
      </c>
      <c r="E39" t="str">
        <f>decTeamName</f>
        <v>Vivia</v>
      </c>
      <c r="F39" t="str">
        <f>decTeamName</f>
        <v>Vivia</v>
      </c>
      <c r="G39" t="str">
        <f>decTeamName</f>
        <v>Vivia</v>
      </c>
      <c r="H39" t="str">
        <f>decTeamName</f>
        <v>Vivia</v>
      </c>
      <c r="I39" t="str">
        <f>decTeamName</f>
        <v>Vivia</v>
      </c>
      <c r="L39" s="32" t="e">
        <f>decTeamName</f>
        <v>#VALUE!</v>
      </c>
    </row>
    <row r="40" spans="2:12">
      <c r="D40">
        <v>0</v>
      </c>
      <c r="E40" s="10">
        <v>7</v>
      </c>
      <c r="F40" s="10">
        <v>7</v>
      </c>
      <c r="G40" s="10">
        <v>7</v>
      </c>
      <c r="H40" s="10">
        <v>7</v>
      </c>
      <c r="I40" s="10">
        <v>7</v>
      </c>
      <c r="J40" t="s">
        <v>2399</v>
      </c>
      <c r="L40" s="32" t="e">
        <f>IF(xxYear&gt;=$D40,L38,NA())</f>
        <v>#VALUE!</v>
      </c>
    </row>
    <row r="41" spans="2:12">
      <c r="D41">
        <v>1</v>
      </c>
      <c r="E41" s="10">
        <f>IF(xxYear&gt;=$D41,E38,NA())</f>
        <v>7</v>
      </c>
      <c r="F41" s="10">
        <f>IF(xxYear&gt;=$D41,F38,NA())</f>
        <v>7</v>
      </c>
      <c r="G41" s="10">
        <f>IF(xxYear&gt;=$D41,G38,NA())</f>
        <v>7</v>
      </c>
      <c r="H41" s="10">
        <f>IF(xxYear&gt;=$D41,H38,NA())</f>
        <v>7</v>
      </c>
      <c r="I41" s="10">
        <f>IF(xxYear&gt;=$D41,I38,NA())</f>
        <v>7</v>
      </c>
      <c r="L41" s="32" t="e">
        <f>IF(xxYear&gt;=$D41,L38,NA())</f>
        <v>#VALUE!</v>
      </c>
    </row>
    <row r="42" spans="2:12">
      <c r="D42">
        <v>2</v>
      </c>
      <c r="E42" s="10" t="e">
        <f>IF(xxYear&gt;=$D42,E38,NA())</f>
        <v>#N/A</v>
      </c>
      <c r="F42" s="10" t="e">
        <f>IF(xxYear&gt;=$D42,F38,NA())</f>
        <v>#N/A</v>
      </c>
      <c r="G42" s="10" t="e">
        <f>IF(xxYear&gt;=$D42,G38,NA())</f>
        <v>#N/A</v>
      </c>
      <c r="H42" s="10" t="e">
        <f>IF(xxYear&gt;=$D42,H38,NA())</f>
        <v>#N/A</v>
      </c>
      <c r="I42" s="10" t="e">
        <f>IF(xxYear&gt;=$D42,I38,NA())</f>
        <v>#N/A</v>
      </c>
      <c r="L42" s="32" t="e">
        <f>IF(xxYear&gt;=$D42,L38,NA())</f>
        <v>#N/A</v>
      </c>
    </row>
    <row r="43" spans="2:12">
      <c r="D43">
        <v>3</v>
      </c>
      <c r="E43" s="10" t="e">
        <f>IF(xxYear&gt;=$D43,E38,NA())</f>
        <v>#N/A</v>
      </c>
      <c r="F43" s="10" t="e">
        <f>IF(xxYear&gt;=$D43,F38,NA())</f>
        <v>#N/A</v>
      </c>
      <c r="G43" s="10" t="e">
        <f>IF(xxYear&gt;=$D43,G38,NA())</f>
        <v>#N/A</v>
      </c>
      <c r="H43" s="10" t="e">
        <f>IF(xxYear&gt;=$D43,H38,NA())</f>
        <v>#N/A</v>
      </c>
      <c r="I43" s="10" t="e">
        <f>IF(xxYear&gt;=$D43,I38,NA())</f>
        <v>#N/A</v>
      </c>
      <c r="L43" s="32" t="e">
        <f>IF(xxYear&gt;=$D43,L38,NA())</f>
        <v>#N/A</v>
      </c>
    </row>
    <row r="44" spans="2:12">
      <c r="D44">
        <v>4</v>
      </c>
      <c r="E44" s="10" t="e">
        <f>IF(xxYear&gt;=$D44,E38,NA())</f>
        <v>#N/A</v>
      </c>
      <c r="F44" s="10" t="e">
        <f>IF(xxYear&gt;=$D44,F38,NA())</f>
        <v>#N/A</v>
      </c>
      <c r="G44" s="10" t="e">
        <f>IF(xxYear&gt;=$D44,G38,NA())</f>
        <v>#N/A</v>
      </c>
      <c r="H44" s="10" t="e">
        <f>IF(xxYear&gt;=$D44,H38,NA())</f>
        <v>#N/A</v>
      </c>
      <c r="I44" s="10" t="e">
        <f>IF(xxYear&gt;=$D44,I38,NA())</f>
        <v>#N/A</v>
      </c>
      <c r="L44" s="32" t="e">
        <f>IF(xxYear&gt;=$D44,L38,NA())</f>
        <v>#N/A</v>
      </c>
    </row>
    <row r="45" spans="2:12">
      <c r="L45" s="32"/>
    </row>
    <row r="46" spans="2:12">
      <c r="D46" s="77" t="s">
        <v>1403</v>
      </c>
      <c r="E46" s="398">
        <f>capReg2Prod1UnitsSold</f>
        <v>356800000</v>
      </c>
      <c r="F46" s="398">
        <f>capReg2Prod1UnitsSold</f>
        <v>356800000</v>
      </c>
      <c r="G46" s="398">
        <f>capReg2Prod1UnitsSold</f>
        <v>356800000</v>
      </c>
      <c r="H46" s="398">
        <f>capReg2Prod1UnitsSold</f>
        <v>356800000</v>
      </c>
      <c r="I46" s="398">
        <f>capReg2Prod1UnitsSold</f>
        <v>356800000</v>
      </c>
      <c r="L46" s="32" t="e">
        <f>capReg2Prod1UnitsSold</f>
        <v>#VALUE!</v>
      </c>
    </row>
    <row r="47" spans="2:12">
      <c r="E47" t="str">
        <f>decTeamName</f>
        <v>Vivia</v>
      </c>
      <c r="F47" t="str">
        <f>decTeamName</f>
        <v>Vivia</v>
      </c>
      <c r="G47" t="str">
        <f>decTeamName</f>
        <v>Vivia</v>
      </c>
      <c r="H47" t="str">
        <f>decTeamName</f>
        <v>Vivia</v>
      </c>
      <c r="I47" t="str">
        <f>decTeamName</f>
        <v>Vivia</v>
      </c>
      <c r="L47" s="32" t="e">
        <f>decTeamName</f>
        <v>#VALUE!</v>
      </c>
    </row>
    <row r="48" spans="2:12">
      <c r="D48">
        <v>0</v>
      </c>
      <c r="E48" s="398">
        <v>348807680</v>
      </c>
      <c r="F48" s="398">
        <v>348807680</v>
      </c>
      <c r="G48" s="398">
        <v>348807680</v>
      </c>
      <c r="H48" s="398">
        <v>348807680</v>
      </c>
      <c r="I48" s="398">
        <v>348807680</v>
      </c>
      <c r="J48" t="s">
        <v>2400</v>
      </c>
      <c r="L48" s="32" t="e">
        <f>IF(xxYear&gt;=$D48,L46,NA())</f>
        <v>#VALUE!</v>
      </c>
    </row>
    <row r="49" spans="4:12">
      <c r="D49">
        <v>1</v>
      </c>
      <c r="E49" s="398">
        <f>IF(xxYear&gt;=$D49,E46,NA())</f>
        <v>356800000</v>
      </c>
      <c r="F49" s="398">
        <f>IF(xxYear&gt;=$D49,F46,NA())</f>
        <v>356800000</v>
      </c>
      <c r="G49" s="398">
        <f>IF(xxYear&gt;=$D49,G46,NA())</f>
        <v>356800000</v>
      </c>
      <c r="H49" s="398">
        <f>IF(xxYear&gt;=$D49,H46,NA())</f>
        <v>356800000</v>
      </c>
      <c r="I49" s="398">
        <f>IF(xxYear&gt;=$D49,I46,NA())</f>
        <v>356800000</v>
      </c>
      <c r="L49" s="32" t="e">
        <f>IF(xxYear&gt;=$D49,L46,NA())</f>
        <v>#VALUE!</v>
      </c>
    </row>
    <row r="50" spans="4:12">
      <c r="D50">
        <v>2</v>
      </c>
      <c r="E50" s="398" t="e">
        <f>IF(xxYear&gt;=$D50,E46,NA())</f>
        <v>#N/A</v>
      </c>
      <c r="F50" s="398" t="e">
        <f>IF(xxYear&gt;=$D50,F46,NA())</f>
        <v>#N/A</v>
      </c>
      <c r="G50" s="398" t="e">
        <f>IF(xxYear&gt;=$D50,G46,NA())</f>
        <v>#N/A</v>
      </c>
      <c r="H50" s="398" t="e">
        <f>IF(xxYear&gt;=$D50,H46,NA())</f>
        <v>#N/A</v>
      </c>
      <c r="I50" s="398" t="e">
        <f>IF(xxYear&gt;=$D50,I46,NA())</f>
        <v>#N/A</v>
      </c>
      <c r="L50" s="32" t="e">
        <f>IF(xxYear&gt;=$D50,L46,NA())</f>
        <v>#N/A</v>
      </c>
    </row>
    <row r="51" spans="4:12">
      <c r="D51">
        <v>3</v>
      </c>
      <c r="E51" s="398" t="e">
        <f>IF(xxYear&gt;=$D51,E46,NA())</f>
        <v>#N/A</v>
      </c>
      <c r="F51" s="398" t="e">
        <f>IF(xxYear&gt;=$D51,F46,NA())</f>
        <v>#N/A</v>
      </c>
      <c r="G51" s="398" t="e">
        <f>IF(xxYear&gt;=$D51,G46,NA())</f>
        <v>#N/A</v>
      </c>
      <c r="H51" s="398" t="e">
        <f>IF(xxYear&gt;=$D51,H46,NA())</f>
        <v>#N/A</v>
      </c>
      <c r="I51" s="398" t="e">
        <f>IF(xxYear&gt;=$D51,I46,NA())</f>
        <v>#N/A</v>
      </c>
      <c r="L51" s="32" t="e">
        <f>IF(xxYear&gt;=$D51,L46,NA())</f>
        <v>#N/A</v>
      </c>
    </row>
    <row r="52" spans="4:12">
      <c r="D52">
        <v>4</v>
      </c>
      <c r="E52" s="398" t="e">
        <f>IF(xxYear&gt;=$D52,E46,NA())</f>
        <v>#N/A</v>
      </c>
      <c r="F52" s="398" t="e">
        <f>IF(xxYear&gt;=$D52,F46,NA())</f>
        <v>#N/A</v>
      </c>
      <c r="G52" s="398" t="e">
        <f>IF(xxYear&gt;=$D52,G46,NA())</f>
        <v>#N/A</v>
      </c>
      <c r="H52" s="398" t="e">
        <f>IF(xxYear&gt;=$D52,H46,NA())</f>
        <v>#N/A</v>
      </c>
      <c r="I52" s="398" t="e">
        <f>IF(xxYear&gt;=$D52,I46,NA())</f>
        <v>#N/A</v>
      </c>
      <c r="L52" s="32" t="e">
        <f>IF(xxYear&gt;=$D52,L46,NA())</f>
        <v>#N/A</v>
      </c>
    </row>
    <row r="53" spans="4:12">
      <c r="L53" s="32"/>
    </row>
    <row r="54" spans="4:12">
      <c r="D54" s="77" t="s">
        <v>3145</v>
      </c>
      <c r="E54" s="398">
        <f>IF(capReg2Prod1UnitsFGEnd&gt;0,capReg2Prod1UnitsSold,NA())</f>
        <v>356800000</v>
      </c>
      <c r="F54" s="398">
        <f>IF(capReg2Prod1UnitsFGEnd&gt;0,capReg2Prod1UnitsSold,NA())</f>
        <v>356800000</v>
      </c>
      <c r="G54" s="398">
        <f>IF(capReg2Prod1UnitsFGEnd&gt;0,capReg2Prod1UnitsSold,NA())</f>
        <v>356800000</v>
      </c>
      <c r="H54" s="398">
        <f>IF(capReg2Prod1UnitsFGEnd&gt;0,capReg2Prod1UnitsSold,NA())</f>
        <v>356800000</v>
      </c>
      <c r="I54" s="398">
        <f>IF(capReg2Prod1UnitsFGEnd&gt;0,capReg2Prod1UnitsSold,NA())</f>
        <v>356800000</v>
      </c>
      <c r="L54" s="118" t="e">
        <f>IF(capReg2Prod1UnitsFGEnd&gt;0,capReg2Prod1UnitsSold,NA())</f>
        <v>#VALUE!</v>
      </c>
    </row>
    <row r="55" spans="4:12">
      <c r="E55" t="str">
        <f>decTeamName</f>
        <v>Vivia</v>
      </c>
      <c r="F55" t="str">
        <f>decTeamName</f>
        <v>Vivia</v>
      </c>
      <c r="G55" t="str">
        <f>decTeamName</f>
        <v>Vivia</v>
      </c>
      <c r="H55" t="str">
        <f>decTeamName</f>
        <v>Vivia</v>
      </c>
      <c r="I55" t="str">
        <f>decTeamName</f>
        <v>Vivia</v>
      </c>
      <c r="L55" s="32" t="e">
        <f>decTeamName</f>
        <v>#VALUE!</v>
      </c>
    </row>
    <row r="56" spans="4:12">
      <c r="D56">
        <v>0</v>
      </c>
      <c r="E56" s="398" t="e">
        <v>#N/A</v>
      </c>
      <c r="F56" s="398" t="e">
        <v>#N/A</v>
      </c>
      <c r="G56" s="398" t="e">
        <v>#N/A</v>
      </c>
      <c r="H56" s="398" t="e">
        <v>#N/A</v>
      </c>
      <c r="I56" s="398" t="e">
        <v>#N/A</v>
      </c>
      <c r="J56" t="s">
        <v>1772</v>
      </c>
      <c r="L56" s="32" t="e">
        <f>IF(xxYear=$D56,L$54,NA())</f>
        <v>#N/A</v>
      </c>
    </row>
    <row r="57" spans="4:12">
      <c r="D57">
        <v>1</v>
      </c>
      <c r="E57" s="398">
        <f t="shared" ref="E57:I60" si="4">IF(xxYear=$D57,E$54,NA())</f>
        <v>356800000</v>
      </c>
      <c r="F57" s="398">
        <f t="shared" si="4"/>
        <v>356800000</v>
      </c>
      <c r="G57" s="398">
        <f t="shared" si="4"/>
        <v>356800000</v>
      </c>
      <c r="H57" s="398">
        <f t="shared" si="4"/>
        <v>356800000</v>
      </c>
      <c r="I57" s="398">
        <f t="shared" si="4"/>
        <v>356800000</v>
      </c>
      <c r="L57" s="32" t="e">
        <f>IF(xxYear=$D57,L$54,NA())</f>
        <v>#VALUE!</v>
      </c>
    </row>
    <row r="58" spans="4:12">
      <c r="D58">
        <v>2</v>
      </c>
      <c r="E58" s="418" t="e">
        <f t="shared" si="4"/>
        <v>#N/A</v>
      </c>
      <c r="F58" s="418" t="e">
        <f t="shared" si="4"/>
        <v>#N/A</v>
      </c>
      <c r="G58" s="418" t="e">
        <f t="shared" si="4"/>
        <v>#N/A</v>
      </c>
      <c r="H58" s="418" t="e">
        <f t="shared" si="4"/>
        <v>#N/A</v>
      </c>
      <c r="I58" s="418" t="e">
        <f t="shared" si="4"/>
        <v>#N/A</v>
      </c>
      <c r="L58" s="32" t="e">
        <f>IF(xxYear=$D58,L$54,NA())</f>
        <v>#N/A</v>
      </c>
    </row>
    <row r="59" spans="4:12">
      <c r="D59">
        <v>3</v>
      </c>
      <c r="E59" s="418" t="e">
        <f t="shared" si="4"/>
        <v>#N/A</v>
      </c>
      <c r="F59" s="418" t="e">
        <f t="shared" si="4"/>
        <v>#N/A</v>
      </c>
      <c r="G59" s="418" t="e">
        <f t="shared" si="4"/>
        <v>#N/A</v>
      </c>
      <c r="H59" s="418" t="e">
        <f t="shared" si="4"/>
        <v>#N/A</v>
      </c>
      <c r="I59" s="418" t="e">
        <f t="shared" si="4"/>
        <v>#N/A</v>
      </c>
      <c r="L59" s="32" t="e">
        <f>IF(xxYear=$D59,L$54,NA())</f>
        <v>#N/A</v>
      </c>
    </row>
    <row r="60" spans="4:12" ht="12" customHeight="1">
      <c r="D60">
        <v>4</v>
      </c>
      <c r="E60" s="418" t="e">
        <f t="shared" si="4"/>
        <v>#N/A</v>
      </c>
      <c r="F60" s="418" t="e">
        <f t="shared" si="4"/>
        <v>#N/A</v>
      </c>
      <c r="G60" s="418" t="e">
        <f t="shared" si="4"/>
        <v>#N/A</v>
      </c>
      <c r="H60" s="418" t="e">
        <f t="shared" si="4"/>
        <v>#N/A</v>
      </c>
      <c r="I60" s="418" t="e">
        <f t="shared" si="4"/>
        <v>#N/A</v>
      </c>
      <c r="L60" s="32" t="e">
        <f>IF(xxYear=$D60,L$54,NA())</f>
        <v>#N/A</v>
      </c>
    </row>
    <row r="61" spans="4:12" ht="12" customHeight="1">
      <c r="E61" s="10"/>
      <c r="F61" s="10"/>
      <c r="G61" s="10"/>
      <c r="H61" s="10"/>
      <c r="I61" s="10"/>
      <c r="L61" s="32"/>
    </row>
    <row r="62" spans="4:12">
      <c r="D62" s="77" t="s">
        <v>1174</v>
      </c>
      <c r="E62" s="398" t="e">
        <f>IF(capReg2Prod1UnitsFGEnd&lt;=0,capReg2Prod1UnitsSold,NA())</f>
        <v>#N/A</v>
      </c>
      <c r="F62" s="398" t="e">
        <f>IF(capReg2Prod1UnitsFGEnd&lt;=0,capReg2Prod1UnitsSold,NA())</f>
        <v>#N/A</v>
      </c>
      <c r="G62" s="398" t="e">
        <f>IF(capReg2Prod1UnitsFGEnd&lt;=0,capReg2Prod1UnitsSold,NA())</f>
        <v>#N/A</v>
      </c>
      <c r="H62" s="398" t="e">
        <f>IF(capReg2Prod1UnitsFGEnd&lt;=0,capReg2Prod1UnitsSold,NA())</f>
        <v>#N/A</v>
      </c>
      <c r="I62" s="398" t="e">
        <f>IF(capReg2Prod1UnitsFGEnd&lt;=0,capReg2Prod1UnitsSold,NA())</f>
        <v>#N/A</v>
      </c>
      <c r="L62" s="32" t="e">
        <f>IF(capReg2Prod1UnitsFGEnd&lt;=0,capReg2Prod1UnitsSold,NA())</f>
        <v>#VALUE!</v>
      </c>
    </row>
    <row r="63" spans="4:12">
      <c r="E63" t="str">
        <f>decTeamName</f>
        <v>Vivia</v>
      </c>
      <c r="F63" t="str">
        <f>decTeamName</f>
        <v>Vivia</v>
      </c>
      <c r="G63" t="str">
        <f>decTeamName</f>
        <v>Vivia</v>
      </c>
      <c r="H63" t="str">
        <f>decTeamName</f>
        <v>Vivia</v>
      </c>
      <c r="I63" t="str">
        <f>decTeamName</f>
        <v>Vivia</v>
      </c>
      <c r="L63" s="32" t="e">
        <f>decTeamName</f>
        <v>#VALUE!</v>
      </c>
    </row>
    <row r="64" spans="4:12">
      <c r="D64">
        <v>0</v>
      </c>
      <c r="E64" s="398">
        <v>348807680</v>
      </c>
      <c r="F64" s="398">
        <v>348807680</v>
      </c>
      <c r="G64" s="398">
        <v>348807680</v>
      </c>
      <c r="H64" s="398">
        <v>348807680</v>
      </c>
      <c r="I64" s="398">
        <v>348807680</v>
      </c>
      <c r="J64" t="s">
        <v>1773</v>
      </c>
      <c r="L64" s="32" t="e">
        <f>IF(xxYear=$D64,L$62,NA())</f>
        <v>#N/A</v>
      </c>
    </row>
    <row r="65" spans="2:12">
      <c r="D65">
        <v>1</v>
      </c>
      <c r="E65" s="398" t="e">
        <f t="shared" ref="E65:I68" si="5">IF(xxYear=$D65,E$62,NA())</f>
        <v>#N/A</v>
      </c>
      <c r="F65" s="398" t="e">
        <f t="shared" si="5"/>
        <v>#N/A</v>
      </c>
      <c r="G65" s="398" t="e">
        <f t="shared" si="5"/>
        <v>#N/A</v>
      </c>
      <c r="H65" s="398" t="e">
        <f t="shared" si="5"/>
        <v>#N/A</v>
      </c>
      <c r="I65" s="398" t="e">
        <f t="shared" si="5"/>
        <v>#N/A</v>
      </c>
      <c r="L65" s="32" t="e">
        <f>IF(xxYear=$D65,L$62,NA())</f>
        <v>#VALUE!</v>
      </c>
    </row>
    <row r="66" spans="2:12">
      <c r="D66">
        <v>2</v>
      </c>
      <c r="E66" s="398" t="e">
        <f t="shared" si="5"/>
        <v>#N/A</v>
      </c>
      <c r="F66" s="398" t="e">
        <f t="shared" si="5"/>
        <v>#N/A</v>
      </c>
      <c r="G66" s="398" t="e">
        <f t="shared" si="5"/>
        <v>#N/A</v>
      </c>
      <c r="H66" s="398" t="e">
        <f t="shared" si="5"/>
        <v>#N/A</v>
      </c>
      <c r="I66" s="398" t="e">
        <f t="shared" si="5"/>
        <v>#N/A</v>
      </c>
      <c r="L66" s="32" t="e">
        <f>IF(xxYear=$D66,L$62,NA())</f>
        <v>#N/A</v>
      </c>
    </row>
    <row r="67" spans="2:12">
      <c r="D67">
        <v>3</v>
      </c>
      <c r="E67" s="398" t="e">
        <f t="shared" si="5"/>
        <v>#N/A</v>
      </c>
      <c r="F67" s="398" t="e">
        <f t="shared" si="5"/>
        <v>#N/A</v>
      </c>
      <c r="G67" s="398" t="e">
        <f t="shared" si="5"/>
        <v>#N/A</v>
      </c>
      <c r="H67" s="398" t="e">
        <f t="shared" si="5"/>
        <v>#N/A</v>
      </c>
      <c r="I67" s="398" t="e">
        <f t="shared" si="5"/>
        <v>#N/A</v>
      </c>
      <c r="L67" s="32" t="e">
        <f>IF(xxYear=$D67,L$62,NA())</f>
        <v>#N/A</v>
      </c>
    </row>
    <row r="68" spans="2:12">
      <c r="D68">
        <v>4</v>
      </c>
      <c r="E68" s="398" t="e">
        <f t="shared" si="5"/>
        <v>#N/A</v>
      </c>
      <c r="F68" s="398" t="e">
        <f t="shared" si="5"/>
        <v>#N/A</v>
      </c>
      <c r="G68" s="398" t="e">
        <f t="shared" si="5"/>
        <v>#N/A</v>
      </c>
      <c r="H68" s="398" t="e">
        <f t="shared" si="5"/>
        <v>#N/A</v>
      </c>
      <c r="I68" s="398" t="e">
        <f t="shared" si="5"/>
        <v>#N/A</v>
      </c>
      <c r="L68" s="32" t="e">
        <f>IF(xxYear=$D68,L$62,NA())</f>
        <v>#N/A</v>
      </c>
    </row>
    <row r="69" spans="2:12">
      <c r="D69" s="2"/>
      <c r="L69" s="32"/>
    </row>
    <row r="70" spans="2:12">
      <c r="D70" s="2"/>
      <c r="L70" s="32"/>
    </row>
    <row r="71" spans="2:12">
      <c r="B71" s="2" t="str">
        <f>"Price Volume " &amp;DataNameProd3</f>
        <v>Price Volume NCB</v>
      </c>
      <c r="D71" s="77" t="s">
        <v>1402</v>
      </c>
      <c r="E71" s="10">
        <f>decProd3Reg1Price</f>
        <v>15</v>
      </c>
      <c r="F71" s="10">
        <f>decProd3Reg1Price</f>
        <v>15</v>
      </c>
      <c r="G71" s="10">
        <f>decProd3Reg1Price</f>
        <v>15</v>
      </c>
      <c r="H71" s="10">
        <f>decProd3Reg1Price</f>
        <v>15</v>
      </c>
      <c r="I71" s="10">
        <f>decProd3Reg1Price</f>
        <v>15</v>
      </c>
      <c r="L71" s="32" t="e">
        <f>decProd3Reg1Price</f>
        <v>#VALUE!</v>
      </c>
    </row>
    <row r="72" spans="2:12">
      <c r="B72" s="2" t="s">
        <v>1598</v>
      </c>
      <c r="E72" t="str">
        <f>decTeamName</f>
        <v>Vivia</v>
      </c>
      <c r="F72" t="str">
        <f>decTeamName</f>
        <v>Vivia</v>
      </c>
      <c r="G72" t="str">
        <f>decTeamName</f>
        <v>Vivia</v>
      </c>
      <c r="H72" t="str">
        <f>decTeamName</f>
        <v>Vivia</v>
      </c>
      <c r="I72" t="str">
        <f>decTeamName</f>
        <v>Vivia</v>
      </c>
      <c r="L72" s="32" t="e">
        <f>decTeamName</f>
        <v>#VALUE!</v>
      </c>
    </row>
    <row r="73" spans="2:12">
      <c r="D73">
        <v>0</v>
      </c>
      <c r="E73" s="10">
        <v>15</v>
      </c>
      <c r="F73" s="10">
        <v>15</v>
      </c>
      <c r="G73" s="10">
        <v>15</v>
      </c>
      <c r="H73" s="10">
        <v>15</v>
      </c>
      <c r="I73" s="10">
        <v>15</v>
      </c>
      <c r="J73" t="s">
        <v>842</v>
      </c>
      <c r="L73" s="32" t="e">
        <f>IF(xxYear&gt;=$D73,L71,NA())</f>
        <v>#VALUE!</v>
      </c>
    </row>
    <row r="74" spans="2:12">
      <c r="D74">
        <v>1</v>
      </c>
      <c r="E74" s="10">
        <f>IF(xxYear&gt;=$D74,E71,NA())</f>
        <v>15</v>
      </c>
      <c r="F74" s="10">
        <f>IF(xxYear&gt;=$D74,F71,NA())</f>
        <v>15</v>
      </c>
      <c r="G74" s="10">
        <f>IF(xxYear&gt;=$D74,G71,NA())</f>
        <v>15</v>
      </c>
      <c r="H74" s="10">
        <f>IF(xxYear&gt;=$D74,H71,NA())</f>
        <v>15</v>
      </c>
      <c r="I74" s="10">
        <f>IF(xxYear&gt;=$D74,I71,NA())</f>
        <v>15</v>
      </c>
      <c r="L74" s="32" t="e">
        <f>IF(xxYear&gt;=$D74,L71,NA())</f>
        <v>#VALUE!</v>
      </c>
    </row>
    <row r="75" spans="2:12">
      <c r="D75">
        <v>2</v>
      </c>
      <c r="E75" s="10" t="e">
        <f>IF(xxYear&gt;=$D75,E71,NA())</f>
        <v>#N/A</v>
      </c>
      <c r="F75" s="10" t="e">
        <f>IF(xxYear&gt;=$D75,F71,NA())</f>
        <v>#N/A</v>
      </c>
      <c r="G75" s="10" t="e">
        <f>IF(xxYear&gt;=$D75,G71,NA())</f>
        <v>#N/A</v>
      </c>
      <c r="H75" s="10" t="e">
        <f>IF(xxYear&gt;=$D75,H71,NA())</f>
        <v>#N/A</v>
      </c>
      <c r="I75" s="10" t="e">
        <f>IF(xxYear&gt;=$D75,I71,NA())</f>
        <v>#N/A</v>
      </c>
      <c r="L75" s="32" t="e">
        <f>IF(xxYear&gt;=$D75,L71,NA())</f>
        <v>#N/A</v>
      </c>
    </row>
    <row r="76" spans="2:12">
      <c r="D76">
        <v>3</v>
      </c>
      <c r="E76" s="10" t="e">
        <f>IF(xxYear&gt;=$D76,E71,NA())</f>
        <v>#N/A</v>
      </c>
      <c r="F76" s="10" t="e">
        <f>IF(xxYear&gt;=$D76,F71,NA())</f>
        <v>#N/A</v>
      </c>
      <c r="G76" s="10" t="e">
        <f>IF(xxYear&gt;=$D76,G71,NA())</f>
        <v>#N/A</v>
      </c>
      <c r="H76" s="10" t="e">
        <f>IF(xxYear&gt;=$D76,H71,NA())</f>
        <v>#N/A</v>
      </c>
      <c r="I76" s="10" t="e">
        <f>IF(xxYear&gt;=$D76,I71,NA())</f>
        <v>#N/A</v>
      </c>
      <c r="L76" s="32" t="e">
        <f>IF(xxYear&gt;=$D76,L71,NA())</f>
        <v>#N/A</v>
      </c>
    </row>
    <row r="77" spans="2:12">
      <c r="D77">
        <v>4</v>
      </c>
      <c r="E77" s="10" t="e">
        <f>IF(xxYear&gt;=$D77,E71,NA())</f>
        <v>#N/A</v>
      </c>
      <c r="F77" s="10" t="e">
        <f>IF(xxYear&gt;=$D77,F71,NA())</f>
        <v>#N/A</v>
      </c>
      <c r="G77" s="10" t="e">
        <f>IF(xxYear&gt;=$D77,G71,NA())</f>
        <v>#N/A</v>
      </c>
      <c r="H77" s="10" t="e">
        <f>IF(xxYear&gt;=$D77,H71,NA())</f>
        <v>#N/A</v>
      </c>
      <c r="I77" s="10" t="e">
        <f>IF(xxYear&gt;=$D77,I71,NA())</f>
        <v>#N/A</v>
      </c>
      <c r="L77" s="32" t="e">
        <f>IF(xxYear&gt;=$D77,L71,NA())</f>
        <v>#N/A</v>
      </c>
    </row>
    <row r="78" spans="2:12">
      <c r="L78" s="32"/>
    </row>
    <row r="79" spans="2:12">
      <c r="D79" s="77" t="s">
        <v>1403</v>
      </c>
      <c r="E79" s="398">
        <f>capReg1Prod3UnitsSold</f>
        <v>356800000</v>
      </c>
      <c r="F79" s="398">
        <f>capReg1Prod3UnitsSold</f>
        <v>356800000</v>
      </c>
      <c r="G79" s="398">
        <f>capReg1Prod3UnitsSold</f>
        <v>356800000</v>
      </c>
      <c r="H79" s="398">
        <f>capReg1Prod3UnitsSold</f>
        <v>356800000</v>
      </c>
      <c r="I79" s="398">
        <f>capReg1Prod3UnitsSold</f>
        <v>356800000</v>
      </c>
      <c r="L79" s="32" t="e">
        <f>capReg1Prod3UnitsSold</f>
        <v>#VALUE!</v>
      </c>
    </row>
    <row r="80" spans="2:12">
      <c r="E80" t="str">
        <f>decTeamName</f>
        <v>Vivia</v>
      </c>
      <c r="F80" t="str">
        <f>decTeamName</f>
        <v>Vivia</v>
      </c>
      <c r="G80" t="str">
        <f>decTeamName</f>
        <v>Vivia</v>
      </c>
      <c r="H80" t="str">
        <f>decTeamName</f>
        <v>Vivia</v>
      </c>
      <c r="I80" t="str">
        <f>decTeamName</f>
        <v>Vivia</v>
      </c>
      <c r="L80" s="32" t="e">
        <f>decTeamName</f>
        <v>#VALUE!</v>
      </c>
    </row>
    <row r="81" spans="4:12">
      <c r="D81">
        <v>0</v>
      </c>
      <c r="E81" s="398">
        <v>355908000</v>
      </c>
      <c r="F81" s="398">
        <v>355908000</v>
      </c>
      <c r="G81" s="398">
        <v>355908000</v>
      </c>
      <c r="H81" s="398">
        <v>355908000</v>
      </c>
      <c r="I81" s="398">
        <v>355908000</v>
      </c>
      <c r="J81" t="s">
        <v>843</v>
      </c>
      <c r="L81" s="32" t="e">
        <f>IF(xxYear&gt;=$D81,L79,NA())</f>
        <v>#VALUE!</v>
      </c>
    </row>
    <row r="82" spans="4:12">
      <c r="D82">
        <v>1</v>
      </c>
      <c r="E82" s="398">
        <f>IF(xxYear&gt;=$D82,E79,NA())</f>
        <v>356800000</v>
      </c>
      <c r="F82" s="398">
        <f>IF(xxYear&gt;=$D82,F79,NA())</f>
        <v>356800000</v>
      </c>
      <c r="G82" s="398">
        <f>IF(xxYear&gt;=$D82,G79,NA())</f>
        <v>356800000</v>
      </c>
      <c r="H82" s="398">
        <f>IF(xxYear&gt;=$D82,H79,NA())</f>
        <v>356800000</v>
      </c>
      <c r="I82" s="398">
        <f>IF(xxYear&gt;=$D82,I79,NA())</f>
        <v>356800000</v>
      </c>
      <c r="L82" s="32" t="e">
        <f>IF(xxYear&gt;=$D82,L79,NA())</f>
        <v>#VALUE!</v>
      </c>
    </row>
    <row r="83" spans="4:12">
      <c r="D83">
        <v>2</v>
      </c>
      <c r="E83" s="398" t="e">
        <f>IF(xxYear&gt;=$D83,E79,NA())</f>
        <v>#N/A</v>
      </c>
      <c r="F83" s="398" t="e">
        <f>IF(xxYear&gt;=$D83,F79,NA())</f>
        <v>#N/A</v>
      </c>
      <c r="G83" s="398" t="e">
        <f>IF(xxYear&gt;=$D83,G79,NA())</f>
        <v>#N/A</v>
      </c>
      <c r="H83" s="398" t="e">
        <f>IF(xxYear&gt;=$D83,H79,NA())</f>
        <v>#N/A</v>
      </c>
      <c r="I83" s="398" t="e">
        <f>IF(xxYear&gt;=$D83,I79,NA())</f>
        <v>#N/A</v>
      </c>
      <c r="L83" s="32" t="e">
        <f>IF(xxYear&gt;=$D83,L79,NA())</f>
        <v>#N/A</v>
      </c>
    </row>
    <row r="84" spans="4:12">
      <c r="D84">
        <v>3</v>
      </c>
      <c r="E84" s="398" t="e">
        <f>IF(xxYear&gt;=$D84,E79,NA())</f>
        <v>#N/A</v>
      </c>
      <c r="F84" s="398" t="e">
        <f>IF(xxYear&gt;=$D84,F79,NA())</f>
        <v>#N/A</v>
      </c>
      <c r="G84" s="398" t="e">
        <f>IF(xxYear&gt;=$D84,G79,NA())</f>
        <v>#N/A</v>
      </c>
      <c r="H84" s="398" t="e">
        <f>IF(xxYear&gt;=$D84,H79,NA())</f>
        <v>#N/A</v>
      </c>
      <c r="I84" s="398" t="e">
        <f>IF(xxYear&gt;=$D84,I79,NA())</f>
        <v>#N/A</v>
      </c>
      <c r="L84" s="32" t="e">
        <f>IF(xxYear&gt;=$D84,L79,NA())</f>
        <v>#N/A</v>
      </c>
    </row>
    <row r="85" spans="4:12">
      <c r="D85">
        <v>4</v>
      </c>
      <c r="E85" s="398" t="e">
        <f>IF(xxYear&gt;=$D85,E79,NA())</f>
        <v>#N/A</v>
      </c>
      <c r="F85" s="398" t="e">
        <f>IF(xxYear&gt;=$D85,F79,NA())</f>
        <v>#N/A</v>
      </c>
      <c r="G85" s="398" t="e">
        <f>IF(xxYear&gt;=$D85,G79,NA())</f>
        <v>#N/A</v>
      </c>
      <c r="H85" s="398" t="e">
        <f>IF(xxYear&gt;=$D85,H79,NA())</f>
        <v>#N/A</v>
      </c>
      <c r="I85" s="398" t="e">
        <f>IF(xxYear&gt;=$D85,I79,NA())</f>
        <v>#N/A</v>
      </c>
      <c r="L85" s="32" t="e">
        <f>IF(xxYear&gt;=$D85,L79,NA())</f>
        <v>#N/A</v>
      </c>
    </row>
    <row r="86" spans="4:12">
      <c r="L86" s="32"/>
    </row>
    <row r="87" spans="4:12">
      <c r="D87" s="77" t="s">
        <v>3145</v>
      </c>
      <c r="E87" s="398">
        <f>IF(capReg1Prod3UnitsFGEnd&gt;0,capReg1Prod3UnitsSold,NA())</f>
        <v>356800000</v>
      </c>
      <c r="F87" s="398">
        <f>IF(capReg1Prod3UnitsFGEnd&gt;0,capReg1Prod3UnitsSold,NA())</f>
        <v>356800000</v>
      </c>
      <c r="G87" s="398">
        <f>IF(capReg1Prod3UnitsFGEnd&gt;0,capReg1Prod3UnitsSold,NA())</f>
        <v>356800000</v>
      </c>
      <c r="H87" s="398">
        <f>IF(capReg1Prod3UnitsFGEnd&gt;0,capReg1Prod3UnitsSold,NA())</f>
        <v>356800000</v>
      </c>
      <c r="I87" s="398">
        <f>IF(capReg1Prod3UnitsFGEnd&gt;0,capReg1Prod3UnitsSold,NA())</f>
        <v>356800000</v>
      </c>
      <c r="L87" s="118" t="e">
        <f>IF(capReg1Prod3UnitsFGEnd&gt;0,capReg1Prod3UnitsSold,NA())</f>
        <v>#VALUE!</v>
      </c>
    </row>
    <row r="88" spans="4:12">
      <c r="E88" t="str">
        <f>decTeamName</f>
        <v>Vivia</v>
      </c>
      <c r="F88" t="str">
        <f>decTeamName</f>
        <v>Vivia</v>
      </c>
      <c r="G88" t="str">
        <f>decTeamName</f>
        <v>Vivia</v>
      </c>
      <c r="H88" t="str">
        <f>decTeamName</f>
        <v>Vivia</v>
      </c>
      <c r="I88" t="str">
        <f>decTeamName</f>
        <v>Vivia</v>
      </c>
      <c r="L88" s="32" t="e">
        <f>decTeamName</f>
        <v>#VALUE!</v>
      </c>
    </row>
    <row r="89" spans="4:12">
      <c r="D89">
        <v>0</v>
      </c>
      <c r="E89" s="398" t="e">
        <v>#N/A</v>
      </c>
      <c r="F89" s="398" t="e">
        <v>#N/A</v>
      </c>
      <c r="G89" s="398" t="e">
        <v>#N/A</v>
      </c>
      <c r="H89" s="398" t="e">
        <v>#N/A</v>
      </c>
      <c r="I89" s="398" t="e">
        <v>#N/A</v>
      </c>
      <c r="J89" t="s">
        <v>3070</v>
      </c>
      <c r="L89" s="32" t="e">
        <f>IF(xxYear=$D89,L$87,NA())</f>
        <v>#N/A</v>
      </c>
    </row>
    <row r="90" spans="4:12">
      <c r="D90">
        <v>1</v>
      </c>
      <c r="E90" s="398">
        <f t="shared" ref="E90:I93" si="6">IF(xxYear=$D90,E$87,NA())</f>
        <v>356800000</v>
      </c>
      <c r="F90" s="398">
        <f t="shared" si="6"/>
        <v>356800000</v>
      </c>
      <c r="G90" s="398">
        <f t="shared" si="6"/>
        <v>356800000</v>
      </c>
      <c r="H90" s="398">
        <f t="shared" si="6"/>
        <v>356800000</v>
      </c>
      <c r="I90" s="398">
        <f t="shared" si="6"/>
        <v>356800000</v>
      </c>
      <c r="L90" s="32" t="e">
        <f>IF(xxYear=$D90,L$87,NA())</f>
        <v>#VALUE!</v>
      </c>
    </row>
    <row r="91" spans="4:12">
      <c r="D91">
        <v>2</v>
      </c>
      <c r="E91" s="10" t="e">
        <f t="shared" si="6"/>
        <v>#N/A</v>
      </c>
      <c r="F91" s="10" t="e">
        <f t="shared" si="6"/>
        <v>#N/A</v>
      </c>
      <c r="G91" s="10" t="e">
        <f t="shared" si="6"/>
        <v>#N/A</v>
      </c>
      <c r="H91" s="10" t="e">
        <f t="shared" si="6"/>
        <v>#N/A</v>
      </c>
      <c r="I91" s="10" t="e">
        <f t="shared" si="6"/>
        <v>#N/A</v>
      </c>
      <c r="L91" s="32" t="e">
        <f>IF(xxYear=$D91,L$87,NA())</f>
        <v>#N/A</v>
      </c>
    </row>
    <row r="92" spans="4:12">
      <c r="D92">
        <v>3</v>
      </c>
      <c r="E92" s="10" t="e">
        <f t="shared" si="6"/>
        <v>#N/A</v>
      </c>
      <c r="F92" s="10" t="e">
        <f t="shared" si="6"/>
        <v>#N/A</v>
      </c>
      <c r="G92" s="10" t="e">
        <f t="shared" si="6"/>
        <v>#N/A</v>
      </c>
      <c r="H92" s="10" t="e">
        <f t="shared" si="6"/>
        <v>#N/A</v>
      </c>
      <c r="I92" s="10" t="e">
        <f t="shared" si="6"/>
        <v>#N/A</v>
      </c>
      <c r="L92" s="32" t="e">
        <f>IF(xxYear=$D92,L$87,NA())</f>
        <v>#N/A</v>
      </c>
    </row>
    <row r="93" spans="4:12" ht="12" customHeight="1">
      <c r="D93">
        <v>4</v>
      </c>
      <c r="E93" s="10" t="e">
        <f t="shared" si="6"/>
        <v>#N/A</v>
      </c>
      <c r="F93" s="10" t="e">
        <f t="shared" si="6"/>
        <v>#N/A</v>
      </c>
      <c r="G93" s="10" t="e">
        <f t="shared" si="6"/>
        <v>#N/A</v>
      </c>
      <c r="H93" s="10" t="e">
        <f t="shared" si="6"/>
        <v>#N/A</v>
      </c>
      <c r="I93" s="10" t="e">
        <f t="shared" si="6"/>
        <v>#N/A</v>
      </c>
      <c r="L93" s="32" t="e">
        <f>IF(xxYear=$D93,L$87,NA())</f>
        <v>#N/A</v>
      </c>
    </row>
    <row r="94" spans="4:12" ht="12" customHeight="1">
      <c r="E94" s="10"/>
      <c r="F94" s="10"/>
      <c r="G94" s="10"/>
      <c r="H94" s="10"/>
      <c r="I94" s="10"/>
      <c r="L94" s="32"/>
    </row>
    <row r="95" spans="4:12">
      <c r="D95" s="77" t="s">
        <v>1174</v>
      </c>
      <c r="E95" s="398" t="e">
        <f>IF(capReg1Prod3UnitsFGEnd&lt;=0,capReg1Prod3UnitsSold,NA())</f>
        <v>#N/A</v>
      </c>
      <c r="F95" s="398" t="e">
        <f>IF(capReg1Prod3UnitsFGEnd&lt;=0,capReg1Prod3UnitsSold,NA())</f>
        <v>#N/A</v>
      </c>
      <c r="G95" s="398" t="e">
        <f>IF(capReg1Prod3UnitsFGEnd&lt;=0,capReg1Prod3UnitsSold,NA())</f>
        <v>#N/A</v>
      </c>
      <c r="H95" s="398" t="e">
        <f>IF(capReg1Prod3UnitsFGEnd&lt;=0,capReg1Prod3UnitsSold,NA())</f>
        <v>#N/A</v>
      </c>
      <c r="I95" s="398" t="e">
        <f>IF(capReg1Prod3UnitsFGEnd&lt;=0,capReg1Prod3UnitsSold,NA())</f>
        <v>#N/A</v>
      </c>
      <c r="L95" s="32" t="e">
        <f>IF(capReg1Prod3UnitsFGEnd&lt;=0,capReg1Prod3UnitsSold,NA())</f>
        <v>#VALUE!</v>
      </c>
    </row>
    <row r="96" spans="4:12">
      <c r="E96" t="str">
        <f>decTeamName</f>
        <v>Vivia</v>
      </c>
      <c r="F96" t="str">
        <f>decTeamName</f>
        <v>Vivia</v>
      </c>
      <c r="G96" t="str">
        <f>decTeamName</f>
        <v>Vivia</v>
      </c>
      <c r="H96" t="str">
        <f>decTeamName</f>
        <v>Vivia</v>
      </c>
      <c r="I96" t="str">
        <f>decTeamName</f>
        <v>Vivia</v>
      </c>
      <c r="L96" s="32" t="e">
        <f>decTeamName</f>
        <v>#VALUE!</v>
      </c>
    </row>
    <row r="97" spans="2:12">
      <c r="D97">
        <v>0</v>
      </c>
      <c r="E97" s="398">
        <v>355908000</v>
      </c>
      <c r="F97" s="398">
        <v>355908000</v>
      </c>
      <c r="G97" s="398">
        <v>355908000</v>
      </c>
      <c r="H97" s="398">
        <v>355908000</v>
      </c>
      <c r="I97" s="398">
        <v>355908000</v>
      </c>
      <c r="J97" s="398" t="s">
        <v>3420</v>
      </c>
      <c r="L97" s="118" t="e">
        <f>IF(xxYear=$D97,L$95,NA())</f>
        <v>#N/A</v>
      </c>
    </row>
    <row r="98" spans="2:12">
      <c r="D98">
        <v>1</v>
      </c>
      <c r="E98" s="398" t="e">
        <f t="shared" ref="E98:I101" si="7">IF(xxYear=$D98,E$95,NA())</f>
        <v>#N/A</v>
      </c>
      <c r="F98" s="398" t="e">
        <f t="shared" si="7"/>
        <v>#N/A</v>
      </c>
      <c r="G98" s="398" t="e">
        <f t="shared" si="7"/>
        <v>#N/A</v>
      </c>
      <c r="H98" s="398" t="e">
        <f t="shared" si="7"/>
        <v>#N/A</v>
      </c>
      <c r="I98" s="398" t="e">
        <f t="shared" si="7"/>
        <v>#N/A</v>
      </c>
      <c r="J98" s="398"/>
      <c r="L98" s="32" t="e">
        <f>IF(xxYear=$D98,L$95,NA())</f>
        <v>#VALUE!</v>
      </c>
    </row>
    <row r="99" spans="2:12">
      <c r="D99">
        <v>2</v>
      </c>
      <c r="E99" s="398" t="e">
        <f t="shared" si="7"/>
        <v>#N/A</v>
      </c>
      <c r="F99" s="398" t="e">
        <f t="shared" si="7"/>
        <v>#N/A</v>
      </c>
      <c r="G99" s="398" t="e">
        <f t="shared" si="7"/>
        <v>#N/A</v>
      </c>
      <c r="H99" s="398" t="e">
        <f t="shared" si="7"/>
        <v>#N/A</v>
      </c>
      <c r="I99" s="398" t="e">
        <f t="shared" si="7"/>
        <v>#N/A</v>
      </c>
      <c r="J99" s="398"/>
      <c r="L99" s="32" t="e">
        <f>IF(xxYear=$D99,L$95,NA())</f>
        <v>#N/A</v>
      </c>
    </row>
    <row r="100" spans="2:12">
      <c r="D100">
        <v>3</v>
      </c>
      <c r="E100" s="398" t="e">
        <f t="shared" si="7"/>
        <v>#N/A</v>
      </c>
      <c r="F100" s="398" t="e">
        <f t="shared" si="7"/>
        <v>#N/A</v>
      </c>
      <c r="G100" s="398" t="e">
        <f t="shared" si="7"/>
        <v>#N/A</v>
      </c>
      <c r="H100" s="398" t="e">
        <f t="shared" si="7"/>
        <v>#N/A</v>
      </c>
      <c r="I100" s="398" t="e">
        <f t="shared" si="7"/>
        <v>#N/A</v>
      </c>
      <c r="J100" s="398"/>
      <c r="L100" s="32" t="e">
        <f>IF(xxYear=$D100,L$95,NA())</f>
        <v>#N/A</v>
      </c>
    </row>
    <row r="101" spans="2:12">
      <c r="D101">
        <v>4</v>
      </c>
      <c r="E101" s="398" t="e">
        <f t="shared" si="7"/>
        <v>#N/A</v>
      </c>
      <c r="F101" s="398" t="e">
        <f t="shared" si="7"/>
        <v>#N/A</v>
      </c>
      <c r="G101" s="398" t="e">
        <f t="shared" si="7"/>
        <v>#N/A</v>
      </c>
      <c r="H101" s="398" t="e">
        <f t="shared" si="7"/>
        <v>#N/A</v>
      </c>
      <c r="I101" s="398" t="e">
        <f t="shared" si="7"/>
        <v>#N/A</v>
      </c>
      <c r="J101" s="398"/>
      <c r="L101" s="32" t="e">
        <f>IF(xxYear=$D101,L$95,NA())</f>
        <v>#N/A</v>
      </c>
    </row>
    <row r="102" spans="2:12">
      <c r="E102" s="10"/>
      <c r="F102" s="10"/>
      <c r="G102" s="10"/>
      <c r="H102" s="10"/>
      <c r="I102" s="10"/>
      <c r="L102" s="32"/>
    </row>
    <row r="103" spans="2:12">
      <c r="E103" s="10"/>
      <c r="F103" s="10"/>
      <c r="G103" s="10"/>
      <c r="H103" s="10"/>
      <c r="I103" s="10"/>
      <c r="L103" s="32"/>
    </row>
    <row r="104" spans="2:12">
      <c r="E104" s="10"/>
      <c r="F104" s="10"/>
      <c r="G104" s="10"/>
      <c r="H104" s="10"/>
      <c r="I104" s="10"/>
      <c r="L104" s="32"/>
    </row>
    <row r="105" spans="2:12">
      <c r="B105" s="2" t="str">
        <f>"Price Volume " &amp;DataNameProd3</f>
        <v>Price Volume NCB</v>
      </c>
      <c r="D105" s="77" t="s">
        <v>1402</v>
      </c>
      <c r="E105" s="10">
        <f>decProd3Reg2Price</f>
        <v>10</v>
      </c>
      <c r="F105" s="10">
        <f>decProd3Reg2Price</f>
        <v>10</v>
      </c>
      <c r="G105" s="10">
        <f>decProd3Reg2Price</f>
        <v>10</v>
      </c>
      <c r="H105" s="10">
        <f>decProd3Reg2Price</f>
        <v>10</v>
      </c>
      <c r="I105" s="10">
        <f>decProd3Reg2Price</f>
        <v>10</v>
      </c>
      <c r="L105" s="32" t="e">
        <f>decProd3Reg2Price</f>
        <v>#VALUE!</v>
      </c>
    </row>
    <row r="106" spans="2:12">
      <c r="B106" s="2" t="s">
        <v>1599</v>
      </c>
      <c r="E106" t="str">
        <f>decTeamName</f>
        <v>Vivia</v>
      </c>
      <c r="F106" t="str">
        <f>decTeamName</f>
        <v>Vivia</v>
      </c>
      <c r="G106" t="str">
        <f>decTeamName</f>
        <v>Vivia</v>
      </c>
      <c r="H106" t="str">
        <f>decTeamName</f>
        <v>Vivia</v>
      </c>
      <c r="I106" t="str">
        <f>decTeamName</f>
        <v>Vivia</v>
      </c>
      <c r="L106" s="32" t="e">
        <f>decTeamName</f>
        <v>#VALUE!</v>
      </c>
    </row>
    <row r="107" spans="2:12">
      <c r="D107">
        <v>0</v>
      </c>
      <c r="E107" s="10">
        <v>10</v>
      </c>
      <c r="F107" s="10">
        <v>10</v>
      </c>
      <c r="G107" s="10">
        <v>10</v>
      </c>
      <c r="H107" s="10">
        <v>10</v>
      </c>
      <c r="I107" s="10">
        <v>10</v>
      </c>
      <c r="J107" t="s">
        <v>955</v>
      </c>
      <c r="L107" s="32" t="e">
        <f>IF(xxYear&gt;=$D107,L105,NA())</f>
        <v>#VALUE!</v>
      </c>
    </row>
    <row r="108" spans="2:12">
      <c r="D108">
        <v>1</v>
      </c>
      <c r="E108" s="10">
        <f>IF(xxYear&gt;=$D108,E105,NA())</f>
        <v>10</v>
      </c>
      <c r="F108" s="10">
        <f>IF(xxYear&gt;=$D108,F105,NA())</f>
        <v>10</v>
      </c>
      <c r="G108" s="10">
        <f>IF(xxYear&gt;=$D108,G105,NA())</f>
        <v>10</v>
      </c>
      <c r="H108" s="10">
        <f>IF(xxYear&gt;=$D108,H105,NA())</f>
        <v>10</v>
      </c>
      <c r="I108" s="10">
        <f>IF(xxYear&gt;=$D108,I105,NA())</f>
        <v>10</v>
      </c>
      <c r="L108" s="32" t="e">
        <f>IF(xxYear&gt;=$D108,L105,NA())</f>
        <v>#VALUE!</v>
      </c>
    </row>
    <row r="109" spans="2:12">
      <c r="D109">
        <v>2</v>
      </c>
      <c r="E109" s="10" t="e">
        <f>IF(xxYear&gt;=$D109,E105,NA())</f>
        <v>#N/A</v>
      </c>
      <c r="F109" s="10" t="e">
        <f>IF(xxYear&gt;=$D109,F105,NA())</f>
        <v>#N/A</v>
      </c>
      <c r="G109" s="10" t="e">
        <f>IF(xxYear&gt;=$D109,G105,NA())</f>
        <v>#N/A</v>
      </c>
      <c r="H109" s="10" t="e">
        <f>IF(xxYear&gt;=$D109,H105,NA())</f>
        <v>#N/A</v>
      </c>
      <c r="I109" s="10" t="e">
        <f>IF(xxYear&gt;=$D109,I105,NA())</f>
        <v>#N/A</v>
      </c>
      <c r="L109" s="32" t="e">
        <f>IF(xxYear&gt;=$D109,L105,NA())</f>
        <v>#N/A</v>
      </c>
    </row>
    <row r="110" spans="2:12">
      <c r="D110">
        <v>3</v>
      </c>
      <c r="E110" s="10" t="e">
        <f>IF(xxYear&gt;=$D110,E105,NA())</f>
        <v>#N/A</v>
      </c>
      <c r="F110" s="10" t="e">
        <f>IF(xxYear&gt;=$D110,F105,NA())</f>
        <v>#N/A</v>
      </c>
      <c r="G110" s="10" t="e">
        <f>IF(xxYear&gt;=$D110,G105,NA())</f>
        <v>#N/A</v>
      </c>
      <c r="H110" s="10" t="e">
        <f>IF(xxYear&gt;=$D110,H105,NA())</f>
        <v>#N/A</v>
      </c>
      <c r="I110" s="10" t="e">
        <f>IF(xxYear&gt;=$D110,I105,NA())</f>
        <v>#N/A</v>
      </c>
      <c r="L110" s="32" t="e">
        <f>IF(xxYear&gt;=$D110,L105,NA())</f>
        <v>#N/A</v>
      </c>
    </row>
    <row r="111" spans="2:12">
      <c r="D111">
        <v>4</v>
      </c>
      <c r="E111" s="10" t="e">
        <f>IF(xxYear&gt;=$D111,E105,NA())</f>
        <v>#N/A</v>
      </c>
      <c r="F111" s="10" t="e">
        <f>IF(xxYear&gt;=$D111,F105,NA())</f>
        <v>#N/A</v>
      </c>
      <c r="G111" s="10" t="e">
        <f>IF(xxYear&gt;=$D111,G105,NA())</f>
        <v>#N/A</v>
      </c>
      <c r="H111" s="10" t="e">
        <f>IF(xxYear&gt;=$D111,H105,NA())</f>
        <v>#N/A</v>
      </c>
      <c r="I111" s="10" t="e">
        <f>IF(xxYear&gt;=$D111,I105,NA())</f>
        <v>#N/A</v>
      </c>
      <c r="L111" s="32" t="e">
        <f>IF(xxYear&gt;=$D111,L105,NA())</f>
        <v>#N/A</v>
      </c>
    </row>
    <row r="112" spans="2:12">
      <c r="L112" s="32"/>
    </row>
    <row r="113" spans="4:12">
      <c r="D113" s="77" t="s">
        <v>1403</v>
      </c>
      <c r="E113" s="398">
        <f>capReg2Prod3UnitsSold</f>
        <v>245000000</v>
      </c>
      <c r="F113" s="398">
        <f>capReg2Prod3UnitsSold</f>
        <v>245000000</v>
      </c>
      <c r="G113" s="398">
        <f>capReg2Prod3UnitsSold</f>
        <v>245000000</v>
      </c>
      <c r="H113" s="398">
        <f>capReg2Prod3UnitsSold</f>
        <v>245000000</v>
      </c>
      <c r="I113" s="398">
        <f>capReg2Prod3UnitsSold</f>
        <v>245000000</v>
      </c>
      <c r="L113" s="32" t="e">
        <f>capReg2Prod3UnitsSold</f>
        <v>#VALUE!</v>
      </c>
    </row>
    <row r="114" spans="4:12">
      <c r="E114" t="str">
        <f>decTeamName</f>
        <v>Vivia</v>
      </c>
      <c r="F114" t="str">
        <f>decTeamName</f>
        <v>Vivia</v>
      </c>
      <c r="G114" t="str">
        <f>decTeamName</f>
        <v>Vivia</v>
      </c>
      <c r="H114" t="str">
        <f>decTeamName</f>
        <v>Vivia</v>
      </c>
      <c r="I114" t="str">
        <f>decTeamName</f>
        <v>Vivia</v>
      </c>
      <c r="L114" s="32" t="e">
        <f>decTeamName</f>
        <v>#VALUE!</v>
      </c>
    </row>
    <row r="115" spans="4:12">
      <c r="D115">
        <v>0</v>
      </c>
      <c r="E115" s="398">
        <v>237160000</v>
      </c>
      <c r="F115" s="398">
        <v>237160000</v>
      </c>
      <c r="G115" s="398">
        <v>237160000</v>
      </c>
      <c r="H115" s="398">
        <v>237160000</v>
      </c>
      <c r="I115" s="398">
        <v>237160000</v>
      </c>
      <c r="J115" t="s">
        <v>3255</v>
      </c>
      <c r="L115" s="32" t="e">
        <f>IF(xxYear&gt;=$D115,L113,NA())</f>
        <v>#VALUE!</v>
      </c>
    </row>
    <row r="116" spans="4:12">
      <c r="D116">
        <v>1</v>
      </c>
      <c r="E116" s="398">
        <f>IF(xxYear&gt;=$D116,E113,NA())</f>
        <v>245000000</v>
      </c>
      <c r="F116" s="398">
        <f>IF(xxYear&gt;=$D116,F113,NA())</f>
        <v>245000000</v>
      </c>
      <c r="G116" s="398">
        <f>IF(xxYear&gt;=$D116,G113,NA())</f>
        <v>245000000</v>
      </c>
      <c r="H116" s="398">
        <f>IF(xxYear&gt;=$D116,H113,NA())</f>
        <v>245000000</v>
      </c>
      <c r="I116" s="398">
        <f>IF(xxYear&gt;=$D116,I113,NA())</f>
        <v>245000000</v>
      </c>
      <c r="L116" s="32" t="e">
        <f>IF(xxYear&gt;=$D116,L113,NA())</f>
        <v>#VALUE!</v>
      </c>
    </row>
    <row r="117" spans="4:12">
      <c r="D117">
        <v>2</v>
      </c>
      <c r="E117" s="398" t="e">
        <f>IF(xxYear&gt;=$D117,E113,NA())</f>
        <v>#N/A</v>
      </c>
      <c r="F117" s="398" t="e">
        <f>IF(xxYear&gt;=$D117,F113,NA())</f>
        <v>#N/A</v>
      </c>
      <c r="G117" s="398" t="e">
        <f>IF(xxYear&gt;=$D117,G113,NA())</f>
        <v>#N/A</v>
      </c>
      <c r="H117" s="398" t="e">
        <f>IF(xxYear&gt;=$D117,H113,NA())</f>
        <v>#N/A</v>
      </c>
      <c r="I117" s="398" t="e">
        <f>IF(xxYear&gt;=$D117,I113,NA())</f>
        <v>#N/A</v>
      </c>
      <c r="L117" s="32" t="e">
        <f>IF(xxYear&gt;=$D117,L113,NA())</f>
        <v>#N/A</v>
      </c>
    </row>
    <row r="118" spans="4:12">
      <c r="D118">
        <v>3</v>
      </c>
      <c r="E118" s="398" t="e">
        <f>IF(xxYear&gt;=$D118,E113,NA())</f>
        <v>#N/A</v>
      </c>
      <c r="F118" s="398" t="e">
        <f>IF(xxYear&gt;=$D118,F113,NA())</f>
        <v>#N/A</v>
      </c>
      <c r="G118" s="398" t="e">
        <f>IF(xxYear&gt;=$D118,G113,NA())</f>
        <v>#N/A</v>
      </c>
      <c r="H118" s="398" t="e">
        <f>IF(xxYear&gt;=$D118,H113,NA())</f>
        <v>#N/A</v>
      </c>
      <c r="I118" s="398" t="e">
        <f>IF(xxYear&gt;=$D118,I113,NA())</f>
        <v>#N/A</v>
      </c>
      <c r="L118" s="32" t="e">
        <f>IF(xxYear&gt;=$D118,L113,NA())</f>
        <v>#N/A</v>
      </c>
    </row>
    <row r="119" spans="4:12">
      <c r="D119">
        <v>4</v>
      </c>
      <c r="E119" s="398" t="e">
        <f>IF(xxYear&gt;=$D119,E113,NA())</f>
        <v>#N/A</v>
      </c>
      <c r="F119" s="398" t="e">
        <f>IF(xxYear&gt;=$D119,F113,NA())</f>
        <v>#N/A</v>
      </c>
      <c r="G119" s="398" t="e">
        <f>IF(xxYear&gt;=$D119,G113,NA())</f>
        <v>#N/A</v>
      </c>
      <c r="H119" s="398" t="e">
        <f>IF(xxYear&gt;=$D119,H113,NA())</f>
        <v>#N/A</v>
      </c>
      <c r="I119" s="398" t="e">
        <f>IF(xxYear&gt;=$D119,I113,NA())</f>
        <v>#N/A</v>
      </c>
      <c r="L119" s="32" t="e">
        <f>IF(xxYear&gt;=$D119,L113,NA())</f>
        <v>#N/A</v>
      </c>
    </row>
    <row r="120" spans="4:12">
      <c r="L120" s="32"/>
    </row>
    <row r="121" spans="4:12">
      <c r="D121" s="77" t="s">
        <v>3145</v>
      </c>
      <c r="E121" s="398">
        <f>IF(capReg2Prod3UnitsFGEnd&gt;0,capReg2Prod3UnitsSold,NA())</f>
        <v>245000000</v>
      </c>
      <c r="F121" s="398">
        <f>IF(capReg2Prod3UnitsFGEnd&gt;0,capReg2Prod3UnitsSold,NA())</f>
        <v>245000000</v>
      </c>
      <c r="G121" s="398">
        <f>IF(capReg2Prod3UnitsFGEnd&gt;0,capReg2Prod3UnitsSold,NA())</f>
        <v>245000000</v>
      </c>
      <c r="H121" s="398">
        <f>IF(capReg2Prod3UnitsFGEnd&gt;0,capReg2Prod3UnitsSold,NA())</f>
        <v>245000000</v>
      </c>
      <c r="I121" s="398">
        <f>IF(capReg2Prod3UnitsFGEnd&gt;0,capReg2Prod3UnitsSold,NA())</f>
        <v>245000000</v>
      </c>
      <c r="L121" s="118" t="e">
        <f>IF(capReg2Prod3UnitsFGEnd&gt;0,capReg2Prod3UnitsSold,NA())</f>
        <v>#VALUE!</v>
      </c>
    </row>
    <row r="122" spans="4:12">
      <c r="E122" t="str">
        <f>decTeamName</f>
        <v>Vivia</v>
      </c>
      <c r="F122" t="str">
        <f>decTeamName</f>
        <v>Vivia</v>
      </c>
      <c r="G122" t="str">
        <f>decTeamName</f>
        <v>Vivia</v>
      </c>
      <c r="H122" t="str">
        <f>decTeamName</f>
        <v>Vivia</v>
      </c>
      <c r="I122" t="str">
        <f>decTeamName</f>
        <v>Vivia</v>
      </c>
      <c r="L122" s="32" t="e">
        <f>decTeamName</f>
        <v>#VALUE!</v>
      </c>
    </row>
    <row r="123" spans="4:12">
      <c r="D123">
        <v>0</v>
      </c>
      <c r="E123" s="398" t="e">
        <v>#N/A</v>
      </c>
      <c r="F123" s="398" t="e">
        <v>#N/A</v>
      </c>
      <c r="G123" s="398" t="e">
        <v>#N/A</v>
      </c>
      <c r="H123" s="398" t="e">
        <v>#N/A</v>
      </c>
      <c r="I123" s="398" t="e">
        <v>#N/A</v>
      </c>
      <c r="J123" t="s">
        <v>3256</v>
      </c>
      <c r="L123" s="32" t="e">
        <f>IF(xxYear&gt;=$D123,L121,NA())</f>
        <v>#VALUE!</v>
      </c>
    </row>
    <row r="124" spans="4:12">
      <c r="D124">
        <v>1</v>
      </c>
      <c r="E124" s="398">
        <f>IF(xxYear=$D124,E121,NA())</f>
        <v>245000000</v>
      </c>
      <c r="F124" s="398">
        <f>IF(xxYear=$D124,F121,NA())</f>
        <v>245000000</v>
      </c>
      <c r="G124" s="398">
        <f>IF(xxYear=$D124,G121,NA())</f>
        <v>245000000</v>
      </c>
      <c r="H124" s="398">
        <f>IF(xxYear=$D124,H121,NA())</f>
        <v>245000000</v>
      </c>
      <c r="I124" s="398">
        <f>IF(xxYear=$D124,I121,NA())</f>
        <v>245000000</v>
      </c>
      <c r="L124" s="32" t="e">
        <f>IF(xxYear=$D124,L121,NA())</f>
        <v>#VALUE!</v>
      </c>
    </row>
    <row r="125" spans="4:12">
      <c r="D125">
        <v>2</v>
      </c>
      <c r="E125" s="398" t="e">
        <f>IF(xxYear=$D125,E121,NA())</f>
        <v>#N/A</v>
      </c>
      <c r="F125" s="398" t="e">
        <f>IF(xxYear=$D125,F121,NA())</f>
        <v>#N/A</v>
      </c>
      <c r="G125" s="398" t="e">
        <f>IF(xxYear=$D125,G121,NA())</f>
        <v>#N/A</v>
      </c>
      <c r="H125" s="398" t="e">
        <f>IF(xxYear=$D125,H121,NA())</f>
        <v>#N/A</v>
      </c>
      <c r="I125" s="398" t="e">
        <f>IF(xxYear=$D125,I121,NA())</f>
        <v>#N/A</v>
      </c>
      <c r="L125" s="32" t="e">
        <f>IF(xxYear=$D125,L121,NA())</f>
        <v>#N/A</v>
      </c>
    </row>
    <row r="126" spans="4:12">
      <c r="D126">
        <v>3</v>
      </c>
      <c r="E126" s="398" t="e">
        <f>IF(xxYear=$D126,E121,NA())</f>
        <v>#N/A</v>
      </c>
      <c r="F126" s="398" t="e">
        <f>IF(xxYear=$D126,F121,NA())</f>
        <v>#N/A</v>
      </c>
      <c r="G126" s="398" t="e">
        <f>IF(xxYear=$D126,G121,NA())</f>
        <v>#N/A</v>
      </c>
      <c r="H126" s="398" t="e">
        <f>IF(xxYear=$D126,H121,NA())</f>
        <v>#N/A</v>
      </c>
      <c r="I126" s="398" t="e">
        <f>IF(xxYear=$D126,I121,NA())</f>
        <v>#N/A</v>
      </c>
      <c r="L126" s="32" t="e">
        <f>IF(xxYear=$D126,L121,NA())</f>
        <v>#N/A</v>
      </c>
    </row>
    <row r="127" spans="4:12" ht="12" customHeight="1">
      <c r="D127">
        <v>4</v>
      </c>
      <c r="E127" s="398" t="e">
        <f>IF(xxYear=$D127,E121,NA())</f>
        <v>#N/A</v>
      </c>
      <c r="F127" s="398" t="e">
        <f>IF(xxYear=$D127,F121,NA())</f>
        <v>#N/A</v>
      </c>
      <c r="G127" s="398" t="e">
        <f>IF(xxYear=$D127,G121,NA())</f>
        <v>#N/A</v>
      </c>
      <c r="H127" s="398" t="e">
        <f>IF(xxYear=$D127,H121,NA())</f>
        <v>#N/A</v>
      </c>
      <c r="I127" s="398" t="e">
        <f>IF(xxYear=$D127,I121,NA())</f>
        <v>#N/A</v>
      </c>
      <c r="L127" s="32" t="e">
        <f>IF(xxYear=$D127,L121,NA())</f>
        <v>#N/A</v>
      </c>
    </row>
    <row r="128" spans="4:12" ht="12" customHeight="1">
      <c r="E128" s="10"/>
      <c r="F128" s="10"/>
      <c r="G128" s="10"/>
      <c r="H128" s="10"/>
      <c r="I128" s="10"/>
      <c r="L128" s="32"/>
    </row>
    <row r="129" spans="2:12">
      <c r="D129" s="77" t="s">
        <v>1174</v>
      </c>
      <c r="E129" s="10" t="e">
        <f>IF(capReg2Prod3UnitsFGEnd&lt;=0,capReg2Prod3UnitsSold,NA())</f>
        <v>#N/A</v>
      </c>
      <c r="F129" s="10" t="e">
        <f>IF(capReg2Prod3UnitsFGEnd&lt;=0,capReg2Prod3UnitsSold,NA())</f>
        <v>#N/A</v>
      </c>
      <c r="G129" s="10" t="e">
        <f>IF(capReg2Prod3UnitsFGEnd&lt;=0,capReg2Prod3UnitsSold,NA())</f>
        <v>#N/A</v>
      </c>
      <c r="H129" s="10" t="e">
        <f>IF(capReg2Prod3UnitsFGEnd&lt;=0,capReg2Prod3UnitsSold,NA())</f>
        <v>#N/A</v>
      </c>
      <c r="I129" s="10" t="e">
        <f>IF(capReg2Prod3UnitsFGEnd&lt;=0,capReg2Prod3UnitsSold,NA())</f>
        <v>#N/A</v>
      </c>
      <c r="L129" s="32" t="e">
        <f>IF(capReg2Prod3UnitsFGEnd&lt;=0,capReg2Prod3UnitsSold,NA())</f>
        <v>#VALUE!</v>
      </c>
    </row>
    <row r="130" spans="2:12">
      <c r="E130" t="str">
        <f>decTeamName</f>
        <v>Vivia</v>
      </c>
      <c r="F130" t="str">
        <f>decTeamName</f>
        <v>Vivia</v>
      </c>
      <c r="G130" t="str">
        <f>decTeamName</f>
        <v>Vivia</v>
      </c>
      <c r="H130" t="str">
        <f>decTeamName</f>
        <v>Vivia</v>
      </c>
      <c r="I130" t="str">
        <f>decTeamName</f>
        <v>Vivia</v>
      </c>
      <c r="L130" s="32" t="e">
        <f>decTeamName</f>
        <v>#VALUE!</v>
      </c>
    </row>
    <row r="131" spans="2:12">
      <c r="D131">
        <v>0</v>
      </c>
      <c r="E131" s="10">
        <v>237160000</v>
      </c>
      <c r="F131" s="10">
        <v>237160000</v>
      </c>
      <c r="G131" s="10">
        <v>237160000</v>
      </c>
      <c r="H131" s="10">
        <v>237160000</v>
      </c>
      <c r="I131" s="10">
        <v>237160000</v>
      </c>
      <c r="J131" t="s">
        <v>956</v>
      </c>
      <c r="L131" s="32" t="e">
        <f>IF(xxYear&gt;=$D131,L129,NA())</f>
        <v>#VALUE!</v>
      </c>
    </row>
    <row r="132" spans="2:12">
      <c r="D132">
        <v>1</v>
      </c>
      <c r="E132" s="10" t="e">
        <f>IF(xxYear=$D132,E129,NA())</f>
        <v>#N/A</v>
      </c>
      <c r="F132" s="10" t="e">
        <f>IF(xxYear=$D132,F129,NA())</f>
        <v>#N/A</v>
      </c>
      <c r="G132" s="10" t="e">
        <f>IF(xxYear=$D132,G129,NA())</f>
        <v>#N/A</v>
      </c>
      <c r="H132" s="10" t="e">
        <f>IF(xxYear=$D132,H129,NA())</f>
        <v>#N/A</v>
      </c>
      <c r="I132" s="10" t="e">
        <f>IF(xxYear=$D132,I129,NA())</f>
        <v>#N/A</v>
      </c>
      <c r="L132" s="32" t="e">
        <f>IF(xxYear=$D132,L129,NA())</f>
        <v>#VALUE!</v>
      </c>
    </row>
    <row r="133" spans="2:12">
      <c r="D133">
        <v>2</v>
      </c>
      <c r="E133" s="10" t="e">
        <f>IF(xxYear=$D133,E129,NA())</f>
        <v>#N/A</v>
      </c>
      <c r="F133" s="10" t="e">
        <f>IF(xxYear=$D133,F129,NA())</f>
        <v>#N/A</v>
      </c>
      <c r="G133" s="10" t="e">
        <f>IF(xxYear=$D133,G129,NA())</f>
        <v>#N/A</v>
      </c>
      <c r="H133" s="10" t="e">
        <f>IF(xxYear=$D133,H129,NA())</f>
        <v>#N/A</v>
      </c>
      <c r="I133" s="10" t="e">
        <f>IF(xxYear=$D133,I129,NA())</f>
        <v>#N/A</v>
      </c>
      <c r="L133" s="32" t="e">
        <f>IF(xxYear=$D133,L129,NA())</f>
        <v>#N/A</v>
      </c>
    </row>
    <row r="134" spans="2:12">
      <c r="D134">
        <v>3</v>
      </c>
      <c r="E134" s="10" t="e">
        <f>IF(xxYear=$D134,E129,NA())</f>
        <v>#N/A</v>
      </c>
      <c r="F134" s="10" t="e">
        <f>IF(xxYear=$D134,F129,NA())</f>
        <v>#N/A</v>
      </c>
      <c r="G134" s="10" t="e">
        <f>IF(xxYear=$D134,G129,NA())</f>
        <v>#N/A</v>
      </c>
      <c r="H134" s="10" t="e">
        <f>IF(xxYear=$D134,H129,NA())</f>
        <v>#N/A</v>
      </c>
      <c r="I134" s="10" t="e">
        <f>IF(xxYear=$D134,I129,NA())</f>
        <v>#N/A</v>
      </c>
      <c r="L134" s="32" t="e">
        <f>IF(xxYear=$D134,L129,NA())</f>
        <v>#N/A</v>
      </c>
    </row>
    <row r="135" spans="2:12">
      <c r="D135">
        <v>4</v>
      </c>
      <c r="E135" s="10" t="e">
        <f>IF(xxYear=$D135,E129,NA())</f>
        <v>#N/A</v>
      </c>
      <c r="F135" s="10" t="e">
        <f>IF(xxYear=$D135,F129,NA())</f>
        <v>#N/A</v>
      </c>
      <c r="G135" s="10" t="e">
        <f>IF(xxYear=$D135,G129,NA())</f>
        <v>#N/A</v>
      </c>
      <c r="H135" s="10" t="e">
        <f>IF(xxYear=$D135,H129,NA())</f>
        <v>#N/A</v>
      </c>
      <c r="I135" s="10" t="e">
        <f>IF(xxYear=$D135,I129,NA())</f>
        <v>#N/A</v>
      </c>
      <c r="L135" s="32" t="e">
        <f>IF(xxYear=$D135,L129,NA())</f>
        <v>#N/A</v>
      </c>
    </row>
    <row r="136" spans="2:12">
      <c r="D136" s="2"/>
      <c r="L136" s="32"/>
    </row>
    <row r="137" spans="2:12">
      <c r="D137" s="2"/>
      <c r="L137" s="32"/>
    </row>
    <row r="138" spans="2:12">
      <c r="B138" s="2" t="str">
        <f>"Price Volume " &amp;DataNameProd4</f>
        <v>Price Volume F&amp;S</v>
      </c>
      <c r="D138" s="77" t="s">
        <v>1402</v>
      </c>
      <c r="E138" s="10">
        <f>decProd4Reg1Price</f>
        <v>12.5</v>
      </c>
      <c r="F138" s="10">
        <f>decProd4Reg1Price</f>
        <v>12.5</v>
      </c>
      <c r="G138" s="10">
        <f>decProd4Reg1Price</f>
        <v>12.5</v>
      </c>
      <c r="H138" s="10">
        <f>decProd4Reg1Price</f>
        <v>12.5</v>
      </c>
      <c r="I138" s="10">
        <f>decProd4Reg1Price</f>
        <v>12.5</v>
      </c>
      <c r="L138" s="32" t="e">
        <f>decProd4Reg1Price</f>
        <v>#VALUE!</v>
      </c>
    </row>
    <row r="139" spans="2:12">
      <c r="B139" s="2" t="s">
        <v>1598</v>
      </c>
      <c r="E139" t="str">
        <f>decTeamName</f>
        <v>Vivia</v>
      </c>
      <c r="F139" t="str">
        <f>decTeamName</f>
        <v>Vivia</v>
      </c>
      <c r="G139" t="str">
        <f>decTeamName</f>
        <v>Vivia</v>
      </c>
      <c r="H139" t="str">
        <f>decTeamName</f>
        <v>Vivia</v>
      </c>
      <c r="I139" t="str">
        <f>decTeamName</f>
        <v>Vivia</v>
      </c>
      <c r="L139" s="32" t="e">
        <f>decTeamName</f>
        <v>#VALUE!</v>
      </c>
    </row>
    <row r="140" spans="2:12">
      <c r="D140">
        <v>0</v>
      </c>
      <c r="E140" s="10">
        <v>12.5</v>
      </c>
      <c r="F140" s="10">
        <v>12.5</v>
      </c>
      <c r="G140" s="10">
        <v>12.5</v>
      </c>
      <c r="H140" s="10">
        <v>12.5</v>
      </c>
      <c r="I140" s="10">
        <v>12.5</v>
      </c>
      <c r="J140" t="s">
        <v>957</v>
      </c>
      <c r="L140" s="32" t="e">
        <f>IF(xxYear&gt;=$D140,L138,NA())</f>
        <v>#VALUE!</v>
      </c>
    </row>
    <row r="141" spans="2:12">
      <c r="D141">
        <v>1</v>
      </c>
      <c r="E141" s="10">
        <f>IF(xxYear&gt;=$D141,E138,NA())</f>
        <v>12.5</v>
      </c>
      <c r="F141" s="10">
        <f>IF(xxYear&gt;=$D141,F138,NA())</f>
        <v>12.5</v>
      </c>
      <c r="G141" s="10">
        <f>IF(xxYear&gt;=$D141,G138,NA())</f>
        <v>12.5</v>
      </c>
      <c r="H141" s="10">
        <f>IF(xxYear&gt;=$D141,H138,NA())</f>
        <v>12.5</v>
      </c>
      <c r="I141" s="10">
        <f>IF(xxYear&gt;=$D141,I138,NA())</f>
        <v>12.5</v>
      </c>
      <c r="L141" s="32" t="e">
        <f>IF(xxYear&gt;=$D141,L138,NA())</f>
        <v>#VALUE!</v>
      </c>
    </row>
    <row r="142" spans="2:12">
      <c r="D142">
        <v>2</v>
      </c>
      <c r="E142" s="10" t="e">
        <f>IF(xxYear&gt;=$D142,E138,NA())</f>
        <v>#N/A</v>
      </c>
      <c r="F142" s="10" t="e">
        <f>IF(xxYear&gt;=$D142,F138,NA())</f>
        <v>#N/A</v>
      </c>
      <c r="G142" s="10" t="e">
        <f>IF(xxYear&gt;=$D142,G138,NA())</f>
        <v>#N/A</v>
      </c>
      <c r="H142" s="10" t="e">
        <f>IF(xxYear&gt;=$D142,H138,NA())</f>
        <v>#N/A</v>
      </c>
      <c r="I142" s="10" t="e">
        <f>IF(xxYear&gt;=$D142,I138,NA())</f>
        <v>#N/A</v>
      </c>
      <c r="L142" s="32" t="e">
        <f>IF(xxYear&gt;=$D142,L138,NA())</f>
        <v>#N/A</v>
      </c>
    </row>
    <row r="143" spans="2:12">
      <c r="D143">
        <v>3</v>
      </c>
      <c r="E143" s="10" t="e">
        <f>IF(xxYear&gt;=$D143,E138,NA())</f>
        <v>#N/A</v>
      </c>
      <c r="F143" s="10" t="e">
        <f>IF(xxYear&gt;=$D143,F138,NA())</f>
        <v>#N/A</v>
      </c>
      <c r="G143" s="10" t="e">
        <f>IF(xxYear&gt;=$D143,G138,NA())</f>
        <v>#N/A</v>
      </c>
      <c r="H143" s="10" t="e">
        <f>IF(xxYear&gt;=$D143,H138,NA())</f>
        <v>#N/A</v>
      </c>
      <c r="I143" s="10" t="e">
        <f>IF(xxYear&gt;=$D143,I138,NA())</f>
        <v>#N/A</v>
      </c>
      <c r="L143" s="32" t="e">
        <f>IF(xxYear&gt;=$D143,L138,NA())</f>
        <v>#N/A</v>
      </c>
    </row>
    <row r="144" spans="2:12">
      <c r="D144">
        <v>4</v>
      </c>
      <c r="E144" s="10" t="e">
        <f>IF(xxYear&gt;=$D144,E138,NA())</f>
        <v>#N/A</v>
      </c>
      <c r="F144" s="10" t="e">
        <f>IF(xxYear&gt;=$D144,F138,NA())</f>
        <v>#N/A</v>
      </c>
      <c r="G144" s="10" t="e">
        <f>IF(xxYear&gt;=$D144,G138,NA())</f>
        <v>#N/A</v>
      </c>
      <c r="H144" s="10" t="e">
        <f>IF(xxYear&gt;=$D144,H138,NA())</f>
        <v>#N/A</v>
      </c>
      <c r="I144" s="10" t="e">
        <f>IF(xxYear&gt;=$D144,I138,NA())</f>
        <v>#N/A</v>
      </c>
      <c r="L144" s="32" t="e">
        <f>IF(xxYear&gt;=$D144,L138,NA())</f>
        <v>#N/A</v>
      </c>
    </row>
    <row r="145" spans="4:12">
      <c r="L145" s="32"/>
    </row>
    <row r="146" spans="4:12">
      <c r="D146" s="77" t="s">
        <v>1403</v>
      </c>
      <c r="E146" s="398">
        <f>capReg1Prod4UnitsSold</f>
        <v>541700000</v>
      </c>
      <c r="F146" s="398">
        <f>capReg1Prod4UnitsSold</f>
        <v>541700000</v>
      </c>
      <c r="G146" s="398">
        <f>capReg1Prod4UnitsSold</f>
        <v>541700000</v>
      </c>
      <c r="H146" s="398">
        <f>capReg1Prod4UnitsSold</f>
        <v>541700000</v>
      </c>
      <c r="I146" s="398">
        <f>capReg1Prod4UnitsSold</f>
        <v>541700000</v>
      </c>
      <c r="L146" s="32" t="e">
        <f>capReg1Prod4UnitsSold</f>
        <v>#VALUE!</v>
      </c>
    </row>
    <row r="147" spans="4:12">
      <c r="E147" t="str">
        <f>decTeamName</f>
        <v>Vivia</v>
      </c>
      <c r="F147" t="str">
        <f>decTeamName</f>
        <v>Vivia</v>
      </c>
      <c r="G147" t="str">
        <f>decTeamName</f>
        <v>Vivia</v>
      </c>
      <c r="H147" t="str">
        <f>decTeamName</f>
        <v>Vivia</v>
      </c>
      <c r="I147" t="str">
        <f>decTeamName</f>
        <v>Vivia</v>
      </c>
      <c r="L147" s="32" t="e">
        <f>decTeamName</f>
        <v>#VALUE!</v>
      </c>
    </row>
    <row r="148" spans="4:12">
      <c r="D148">
        <v>0</v>
      </c>
      <c r="E148" s="398">
        <v>541700000</v>
      </c>
      <c r="F148" s="398">
        <v>541700000</v>
      </c>
      <c r="G148" s="398">
        <v>541700000</v>
      </c>
      <c r="H148" s="398">
        <v>541700000</v>
      </c>
      <c r="I148" s="398">
        <v>541700000</v>
      </c>
      <c r="J148" t="s">
        <v>958</v>
      </c>
      <c r="L148" s="32" t="e">
        <f>IF(xxYear&gt;=$D148,L146,NA())</f>
        <v>#VALUE!</v>
      </c>
    </row>
    <row r="149" spans="4:12">
      <c r="D149">
        <v>1</v>
      </c>
      <c r="E149" s="398">
        <f>IF(xxYear&gt;=$D149,E146,NA())</f>
        <v>541700000</v>
      </c>
      <c r="F149" s="398">
        <f>IF(xxYear&gt;=$D149,F146,NA())</f>
        <v>541700000</v>
      </c>
      <c r="G149" s="398">
        <f>IF(xxYear&gt;=$D149,G146,NA())</f>
        <v>541700000</v>
      </c>
      <c r="H149" s="398">
        <f>IF(xxYear&gt;=$D149,H146,NA())</f>
        <v>541700000</v>
      </c>
      <c r="I149" s="398">
        <f>IF(xxYear&gt;=$D149,I146,NA())</f>
        <v>541700000</v>
      </c>
      <c r="L149" s="32" t="e">
        <f>IF(xxYear&gt;=$D149,L146,NA())</f>
        <v>#VALUE!</v>
      </c>
    </row>
    <row r="150" spans="4:12">
      <c r="D150">
        <v>2</v>
      </c>
      <c r="E150" s="398" t="e">
        <f>IF(xxYear&gt;=$D150,E146,NA())</f>
        <v>#N/A</v>
      </c>
      <c r="F150" s="398" t="e">
        <f>IF(xxYear&gt;=$D150,F146,NA())</f>
        <v>#N/A</v>
      </c>
      <c r="G150" s="398" t="e">
        <f>IF(xxYear&gt;=$D150,G146,NA())</f>
        <v>#N/A</v>
      </c>
      <c r="H150" s="398" t="e">
        <f>IF(xxYear&gt;=$D150,H146,NA())</f>
        <v>#N/A</v>
      </c>
      <c r="I150" s="398" t="e">
        <f>IF(xxYear&gt;=$D150,I146,NA())</f>
        <v>#N/A</v>
      </c>
      <c r="L150" s="32" t="e">
        <f>IF(xxYear&gt;=$D150,L146,NA())</f>
        <v>#N/A</v>
      </c>
    </row>
    <row r="151" spans="4:12">
      <c r="D151">
        <v>3</v>
      </c>
      <c r="E151" s="398" t="e">
        <f>IF(xxYear&gt;=$D151,E146,NA())</f>
        <v>#N/A</v>
      </c>
      <c r="F151" s="398" t="e">
        <f>IF(xxYear&gt;=$D151,F146,NA())</f>
        <v>#N/A</v>
      </c>
      <c r="G151" s="398" t="e">
        <f>IF(xxYear&gt;=$D151,G146,NA())</f>
        <v>#N/A</v>
      </c>
      <c r="H151" s="398" t="e">
        <f>IF(xxYear&gt;=$D151,H146,NA())</f>
        <v>#N/A</v>
      </c>
      <c r="I151" s="398" t="e">
        <f>IF(xxYear&gt;=$D151,I146,NA())</f>
        <v>#N/A</v>
      </c>
      <c r="L151" s="32" t="e">
        <f>IF(xxYear&gt;=$D151,L146,NA())</f>
        <v>#N/A</v>
      </c>
    </row>
    <row r="152" spans="4:12">
      <c r="D152">
        <v>4</v>
      </c>
      <c r="E152" s="398" t="e">
        <f>IF(xxYear&gt;=$D152,E146,NA())</f>
        <v>#N/A</v>
      </c>
      <c r="F152" s="398" t="e">
        <f>IF(xxYear&gt;=$D152,F146,NA())</f>
        <v>#N/A</v>
      </c>
      <c r="G152" s="398" t="e">
        <f>IF(xxYear&gt;=$D152,G146,NA())</f>
        <v>#N/A</v>
      </c>
      <c r="H152" s="398" t="e">
        <f>IF(xxYear&gt;=$D152,H146,NA())</f>
        <v>#N/A</v>
      </c>
      <c r="I152" s="398" t="e">
        <f>IF(xxYear&gt;=$D152,I146,NA())</f>
        <v>#N/A</v>
      </c>
      <c r="L152" s="32" t="e">
        <f>IF(xxYear&gt;=$D152,L146,NA())</f>
        <v>#N/A</v>
      </c>
    </row>
    <row r="153" spans="4:12">
      <c r="L153" s="32"/>
    </row>
    <row r="154" spans="4:12">
      <c r="D154" s="77" t="s">
        <v>3145</v>
      </c>
      <c r="E154" s="398">
        <f>IF(capReg1Prod4UnitsFGEnd&gt;0,capReg1Prod4UnitsSold,NA())</f>
        <v>541700000</v>
      </c>
      <c r="F154" s="398">
        <f>IF(capReg1Prod4UnitsFGEnd&gt;0,capReg1Prod4UnitsSold,NA())</f>
        <v>541700000</v>
      </c>
      <c r="G154" s="398">
        <f>IF(capReg1Prod4UnitsFGEnd&gt;0,capReg1Prod4UnitsSold,NA())</f>
        <v>541700000</v>
      </c>
      <c r="H154" s="398">
        <f>IF(capReg1Prod4UnitsFGEnd&gt;0,capReg1Prod4UnitsSold,NA())</f>
        <v>541700000</v>
      </c>
      <c r="I154" s="398">
        <f>IF(capReg1Prod4UnitsFGEnd&gt;0,capReg1Prod4UnitsSold,NA())</f>
        <v>541700000</v>
      </c>
      <c r="L154" s="118" t="e">
        <f>IF(capReg1Prod4UnitsFGEnd&gt;0,capReg1Prod4UnitsSold,NA())</f>
        <v>#VALUE!</v>
      </c>
    </row>
    <row r="155" spans="4:12">
      <c r="E155" t="str">
        <f>decTeamName</f>
        <v>Vivia</v>
      </c>
      <c r="F155" t="str">
        <f>decTeamName</f>
        <v>Vivia</v>
      </c>
      <c r="G155" t="str">
        <f>decTeamName</f>
        <v>Vivia</v>
      </c>
      <c r="H155" t="str">
        <f>decTeamName</f>
        <v>Vivia</v>
      </c>
      <c r="I155" t="str">
        <f>decTeamName</f>
        <v>Vivia</v>
      </c>
      <c r="L155" s="32" t="e">
        <f>decTeamName</f>
        <v>#VALUE!</v>
      </c>
    </row>
    <row r="156" spans="4:12">
      <c r="D156">
        <v>0</v>
      </c>
      <c r="E156" s="398">
        <v>541700000</v>
      </c>
      <c r="F156" s="398">
        <v>541700000</v>
      </c>
      <c r="G156" s="398">
        <v>541700000</v>
      </c>
      <c r="H156" s="398">
        <v>541700000</v>
      </c>
      <c r="I156" s="398">
        <v>541700000</v>
      </c>
      <c r="J156" t="s">
        <v>17</v>
      </c>
      <c r="L156" s="32" t="e">
        <f>IF(xxYear=$D156,L$154,NA())</f>
        <v>#N/A</v>
      </c>
    </row>
    <row r="157" spans="4:12">
      <c r="D157">
        <v>1</v>
      </c>
      <c r="E157" s="398">
        <f>IF(xxYear=$D157,E$154,NA())</f>
        <v>541700000</v>
      </c>
      <c r="F157" s="398">
        <f>IF(xxYear=$D157,F$154,NA())</f>
        <v>541700000</v>
      </c>
      <c r="G157" s="398">
        <f>IF(xxYear=$D157,G$154,NA())</f>
        <v>541700000</v>
      </c>
      <c r="H157" s="398">
        <f>IF(xxYear=$D157,H$154,NA())</f>
        <v>541700000</v>
      </c>
      <c r="I157" s="398">
        <f>IF(xxYear=$D157,I$154,NA())</f>
        <v>541700000</v>
      </c>
      <c r="L157" s="32" t="e">
        <f>IF(xxYear=$D157,L$154,NA())</f>
        <v>#VALUE!</v>
      </c>
    </row>
    <row r="158" spans="4:12">
      <c r="D158">
        <v>2</v>
      </c>
      <c r="E158" s="10" t="e">
        <f>IF(xxYear=$D158,E154,NA())</f>
        <v>#N/A</v>
      </c>
      <c r="F158" s="10" t="e">
        <f>IF(xxYear=$D158,F154,NA())</f>
        <v>#N/A</v>
      </c>
      <c r="G158" s="10" t="e">
        <f>IF(xxYear=$D158,G154,NA())</f>
        <v>#N/A</v>
      </c>
      <c r="H158" s="10" t="e">
        <f>IF(xxYear=$D158,H154,NA())</f>
        <v>#N/A</v>
      </c>
      <c r="I158" s="10" t="e">
        <f>IF(xxYear=$D158,I154,NA())</f>
        <v>#N/A</v>
      </c>
      <c r="L158" s="32" t="e">
        <f>IF(xxYear=$D158,L154,NA())</f>
        <v>#N/A</v>
      </c>
    </row>
    <row r="159" spans="4:12">
      <c r="D159">
        <v>3</v>
      </c>
      <c r="E159" s="10" t="e">
        <f>IF(xxYear=$D159,E154,NA())</f>
        <v>#N/A</v>
      </c>
      <c r="F159" s="10" t="e">
        <f>IF(xxYear=$D159,F154,NA())</f>
        <v>#N/A</v>
      </c>
      <c r="G159" s="10" t="e">
        <f>IF(xxYear=$D159,G154,NA())</f>
        <v>#N/A</v>
      </c>
      <c r="H159" s="10" t="e">
        <f>IF(xxYear=$D159,H154,NA())</f>
        <v>#N/A</v>
      </c>
      <c r="I159" s="10" t="e">
        <f>IF(xxYear=$D159,I154,NA())</f>
        <v>#N/A</v>
      </c>
      <c r="L159" s="32" t="e">
        <f>IF(xxYear=$D159,L154,NA())</f>
        <v>#N/A</v>
      </c>
    </row>
    <row r="160" spans="4:12" ht="12" customHeight="1">
      <c r="D160">
        <v>4</v>
      </c>
      <c r="E160" s="10" t="e">
        <f>IF(xxYear=$D160,E154,NA())</f>
        <v>#N/A</v>
      </c>
      <c r="F160" s="10" t="e">
        <f>IF(xxYear=$D160,F154,NA())</f>
        <v>#N/A</v>
      </c>
      <c r="G160" s="10" t="e">
        <f>IF(xxYear=$D160,G154,NA())</f>
        <v>#N/A</v>
      </c>
      <c r="H160" s="10" t="e">
        <f>IF(xxYear=$D160,H154,NA())</f>
        <v>#N/A</v>
      </c>
      <c r="I160" s="10" t="e">
        <f>IF(xxYear=$D160,I154,NA())</f>
        <v>#N/A</v>
      </c>
      <c r="L160" s="32" t="e">
        <f>IF(xxYear=$D160,L154,NA())</f>
        <v>#N/A</v>
      </c>
    </row>
    <row r="161" spans="2:12" ht="12" customHeight="1">
      <c r="E161" s="10"/>
      <c r="F161" s="10"/>
      <c r="G161" s="10"/>
      <c r="H161" s="10"/>
      <c r="I161" s="10"/>
      <c r="L161" s="32"/>
    </row>
    <row r="162" spans="2:12">
      <c r="D162" s="77" t="s">
        <v>1174</v>
      </c>
      <c r="E162" s="10" t="e">
        <f>IF(capReg1Prod4UnitsFGEnd&lt;=0,capReg1Prod4UnitsSold,NA())</f>
        <v>#N/A</v>
      </c>
      <c r="F162" s="10" t="e">
        <f>IF(capReg1Prod4UnitsFGEnd&lt;=0,capReg1Prod4UnitsSold,NA())</f>
        <v>#N/A</v>
      </c>
      <c r="G162" s="10" t="e">
        <f>IF(capReg1Prod4UnitsFGEnd&lt;=0,capReg1Prod4UnitsSold,NA())</f>
        <v>#N/A</v>
      </c>
      <c r="H162" s="10" t="e">
        <f>IF(capReg1Prod4UnitsFGEnd&lt;=0,capReg1Prod4UnitsSold,NA())</f>
        <v>#N/A</v>
      </c>
      <c r="I162" s="10" t="e">
        <f>IF(capReg1Prod4UnitsFGEnd&lt;=0,capReg1Prod4UnitsSold,NA())</f>
        <v>#N/A</v>
      </c>
      <c r="L162" s="32" t="e">
        <f>IF(capReg1Prod4UnitsFGEnd&lt;=0,capReg1Prod4UnitsSold,NA())</f>
        <v>#VALUE!</v>
      </c>
    </row>
    <row r="163" spans="2:12">
      <c r="E163" t="str">
        <f>decTeamName</f>
        <v>Vivia</v>
      </c>
      <c r="F163" t="str">
        <f>decTeamName</f>
        <v>Vivia</v>
      </c>
      <c r="G163" t="str">
        <f>decTeamName</f>
        <v>Vivia</v>
      </c>
      <c r="H163" t="str">
        <f>decTeamName</f>
        <v>Vivia</v>
      </c>
      <c r="I163" t="str">
        <f>decTeamName</f>
        <v>Vivia</v>
      </c>
      <c r="L163" s="32" t="e">
        <f>decTeamName</f>
        <v>#VALUE!</v>
      </c>
    </row>
    <row r="164" spans="2:12">
      <c r="D164">
        <v>0</v>
      </c>
      <c r="E164" s="10" t="e">
        <v>#N/A</v>
      </c>
      <c r="F164" s="10" t="e">
        <v>#N/A</v>
      </c>
      <c r="G164" s="10" t="e">
        <v>#N/A</v>
      </c>
      <c r="H164" s="10" t="e">
        <v>#N/A</v>
      </c>
      <c r="I164" s="10" t="e">
        <v>#N/A</v>
      </c>
      <c r="J164" t="s">
        <v>18</v>
      </c>
      <c r="L164" s="32" t="e">
        <f>IF(xxYear=$D164,L$162,NA())</f>
        <v>#N/A</v>
      </c>
    </row>
    <row r="165" spans="2:12">
      <c r="D165">
        <v>1</v>
      </c>
      <c r="E165" s="10" t="e">
        <f>IF(xxYear=$D165,E$162,NA())</f>
        <v>#N/A</v>
      </c>
      <c r="F165" s="10" t="e">
        <f>IF(xxYear=$D165,F$162,NA())</f>
        <v>#N/A</v>
      </c>
      <c r="G165" s="10" t="e">
        <f>IF(xxYear=$D165,G$162,NA())</f>
        <v>#N/A</v>
      </c>
      <c r="H165" s="10" t="e">
        <f>IF(xxYear=$D165,H$162,NA())</f>
        <v>#N/A</v>
      </c>
      <c r="I165" s="10" t="e">
        <f>IF(xxYear=$D165,I$162,NA())</f>
        <v>#N/A</v>
      </c>
      <c r="L165" s="32" t="e">
        <f>IF(xxYear=$D165,L$162,NA())</f>
        <v>#VALUE!</v>
      </c>
    </row>
    <row r="166" spans="2:12">
      <c r="D166">
        <v>2</v>
      </c>
      <c r="E166" s="10" t="e">
        <f>IF(xxYear=$D166,E162,NA())</f>
        <v>#N/A</v>
      </c>
      <c r="F166" s="10" t="e">
        <f>IF(xxYear=$D166,F162,NA())</f>
        <v>#N/A</v>
      </c>
      <c r="G166" s="10" t="e">
        <f>IF(xxYear=$D166,G162,NA())</f>
        <v>#N/A</v>
      </c>
      <c r="H166" s="10" t="e">
        <f>IF(xxYear=$D166,H162,NA())</f>
        <v>#N/A</v>
      </c>
      <c r="I166" s="10" t="e">
        <f>IF(xxYear=$D166,I162,NA())</f>
        <v>#N/A</v>
      </c>
      <c r="L166" s="32" t="e">
        <f>IF(xxYear=$D166,L162,NA())</f>
        <v>#N/A</v>
      </c>
    </row>
    <row r="167" spans="2:12">
      <c r="D167">
        <v>3</v>
      </c>
      <c r="E167" s="10" t="e">
        <f>IF(xxYear=$D167,E162,NA())</f>
        <v>#N/A</v>
      </c>
      <c r="F167" s="10" t="e">
        <f>IF(xxYear=$D167,F162,NA())</f>
        <v>#N/A</v>
      </c>
      <c r="G167" s="10" t="e">
        <f>IF(xxYear=$D167,G162,NA())</f>
        <v>#N/A</v>
      </c>
      <c r="H167" s="10" t="e">
        <f>IF(xxYear=$D167,H162,NA())</f>
        <v>#N/A</v>
      </c>
      <c r="I167" s="10" t="e">
        <f>IF(xxYear=$D167,I162,NA())</f>
        <v>#N/A</v>
      </c>
      <c r="L167" s="32" t="e">
        <f>IF(xxYear=$D167,L162,NA())</f>
        <v>#N/A</v>
      </c>
    </row>
    <row r="168" spans="2:12">
      <c r="D168">
        <v>4</v>
      </c>
      <c r="E168" s="10" t="e">
        <f>IF(xxYear=$D168,E162,NA())</f>
        <v>#N/A</v>
      </c>
      <c r="F168" s="10" t="e">
        <f>IF(xxYear=$D168,F162,NA())</f>
        <v>#N/A</v>
      </c>
      <c r="G168" s="10" t="e">
        <f>IF(xxYear=$D168,G162,NA())</f>
        <v>#N/A</v>
      </c>
      <c r="H168" s="10" t="e">
        <f>IF(xxYear=$D168,H162,NA())</f>
        <v>#N/A</v>
      </c>
      <c r="I168" s="10" t="e">
        <f>IF(xxYear=$D168,I162,NA())</f>
        <v>#N/A</v>
      </c>
      <c r="L168" s="32" t="e">
        <f>IF(xxYear=$D168,L162,NA())</f>
        <v>#N/A</v>
      </c>
    </row>
    <row r="169" spans="2:12">
      <c r="D169" s="2"/>
      <c r="L169" s="32"/>
    </row>
    <row r="170" spans="2:12">
      <c r="D170" s="2"/>
      <c r="L170" s="32"/>
    </row>
    <row r="171" spans="2:12">
      <c r="B171" s="2" t="str">
        <f>"Price Volume " &amp;DataNameProd4</f>
        <v>Price Volume F&amp;S</v>
      </c>
      <c r="D171" s="77" t="s">
        <v>1402</v>
      </c>
      <c r="E171" s="10">
        <f>decProd4Reg2Price</f>
        <v>9</v>
      </c>
      <c r="F171" s="10">
        <f>decProd4Reg2Price</f>
        <v>9</v>
      </c>
      <c r="G171" s="10">
        <f>decProd4Reg2Price</f>
        <v>9</v>
      </c>
      <c r="H171" s="10">
        <f>decProd4Reg2Price</f>
        <v>9</v>
      </c>
      <c r="I171" s="10">
        <f>decProd4Reg2Price</f>
        <v>9</v>
      </c>
      <c r="L171" s="32" t="e">
        <f>decProd4Reg2Price</f>
        <v>#VALUE!</v>
      </c>
    </row>
    <row r="172" spans="2:12">
      <c r="B172" s="2" t="s">
        <v>1599</v>
      </c>
      <c r="E172" t="str">
        <f>decTeamName</f>
        <v>Vivia</v>
      </c>
      <c r="F172" t="str">
        <f>decTeamName</f>
        <v>Vivia</v>
      </c>
      <c r="G172" t="str">
        <f>decTeamName</f>
        <v>Vivia</v>
      </c>
      <c r="H172" t="str">
        <f>decTeamName</f>
        <v>Vivia</v>
      </c>
      <c r="I172" t="str">
        <f>decTeamName</f>
        <v>Vivia</v>
      </c>
      <c r="L172" s="32" t="e">
        <f>decTeamName</f>
        <v>#VALUE!</v>
      </c>
    </row>
    <row r="173" spans="2:12">
      <c r="D173">
        <v>0</v>
      </c>
      <c r="E173" s="10">
        <v>9</v>
      </c>
      <c r="F173" s="10">
        <v>9</v>
      </c>
      <c r="G173" s="10">
        <v>9</v>
      </c>
      <c r="H173" s="10">
        <v>9</v>
      </c>
      <c r="I173" s="10">
        <v>9</v>
      </c>
      <c r="J173" t="s">
        <v>19</v>
      </c>
      <c r="L173" s="32" t="e">
        <f>IF(xxYear&gt;=$D173,L$171,NA())</f>
        <v>#VALUE!</v>
      </c>
    </row>
    <row r="174" spans="2:12">
      <c r="D174">
        <v>1</v>
      </c>
      <c r="E174" s="10">
        <f t="shared" ref="E174:I177" si="8">IF(xxYear&gt;=$D174,E$171,NA())</f>
        <v>9</v>
      </c>
      <c r="F174" s="10">
        <f t="shared" si="8"/>
        <v>9</v>
      </c>
      <c r="G174" s="10">
        <f t="shared" si="8"/>
        <v>9</v>
      </c>
      <c r="H174" s="10">
        <f t="shared" si="8"/>
        <v>9</v>
      </c>
      <c r="I174" s="10">
        <f t="shared" si="8"/>
        <v>9</v>
      </c>
      <c r="L174" s="32" t="e">
        <f>IF(xxYear&gt;=$D174,L$171,NA())</f>
        <v>#VALUE!</v>
      </c>
    </row>
    <row r="175" spans="2:12">
      <c r="D175">
        <v>2</v>
      </c>
      <c r="E175" s="10" t="e">
        <f t="shared" si="8"/>
        <v>#N/A</v>
      </c>
      <c r="F175" s="10" t="e">
        <f t="shared" si="8"/>
        <v>#N/A</v>
      </c>
      <c r="G175" s="10" t="e">
        <f t="shared" si="8"/>
        <v>#N/A</v>
      </c>
      <c r="H175" s="10" t="e">
        <f t="shared" si="8"/>
        <v>#N/A</v>
      </c>
      <c r="I175" s="10" t="e">
        <f t="shared" si="8"/>
        <v>#N/A</v>
      </c>
      <c r="L175" s="32" t="e">
        <f>IF(xxYear&gt;=$D175,L$171,NA())</f>
        <v>#N/A</v>
      </c>
    </row>
    <row r="176" spans="2:12">
      <c r="D176">
        <v>3</v>
      </c>
      <c r="E176" s="10" t="e">
        <f t="shared" si="8"/>
        <v>#N/A</v>
      </c>
      <c r="F176" s="10" t="e">
        <f t="shared" si="8"/>
        <v>#N/A</v>
      </c>
      <c r="G176" s="10" t="e">
        <f t="shared" si="8"/>
        <v>#N/A</v>
      </c>
      <c r="H176" s="10" t="e">
        <f t="shared" si="8"/>
        <v>#N/A</v>
      </c>
      <c r="I176" s="10" t="e">
        <f t="shared" si="8"/>
        <v>#N/A</v>
      </c>
      <c r="L176" s="32" t="e">
        <f>IF(xxYear&gt;=$D176,L$171,NA())</f>
        <v>#N/A</v>
      </c>
    </row>
    <row r="177" spans="4:12">
      <c r="D177">
        <v>4</v>
      </c>
      <c r="E177" s="10" t="e">
        <f t="shared" si="8"/>
        <v>#N/A</v>
      </c>
      <c r="F177" s="10" t="e">
        <f t="shared" si="8"/>
        <v>#N/A</v>
      </c>
      <c r="G177" s="10" t="e">
        <f t="shared" si="8"/>
        <v>#N/A</v>
      </c>
      <c r="H177" s="10" t="e">
        <f t="shared" si="8"/>
        <v>#N/A</v>
      </c>
      <c r="I177" s="10" t="e">
        <f t="shared" si="8"/>
        <v>#N/A</v>
      </c>
      <c r="L177" s="32" t="e">
        <f>IF(xxYear&gt;=$D177,L$171,NA())</f>
        <v>#N/A</v>
      </c>
    </row>
    <row r="178" spans="4:12">
      <c r="L178" s="32"/>
    </row>
    <row r="179" spans="4:12">
      <c r="D179" s="77" t="s">
        <v>1403</v>
      </c>
      <c r="E179" s="398">
        <f>capReg2Prod4UnitsSold</f>
        <v>225000000</v>
      </c>
      <c r="F179" s="398">
        <f>capReg2Prod4UnitsSold</f>
        <v>225000000</v>
      </c>
      <c r="G179" s="398">
        <f>capReg2Prod4UnitsSold</f>
        <v>225000000</v>
      </c>
      <c r="H179" s="398">
        <f>capReg2Prod4UnitsSold</f>
        <v>225000000</v>
      </c>
      <c r="I179" s="398">
        <f>capReg2Prod4UnitsSold</f>
        <v>225000000</v>
      </c>
      <c r="L179" s="32" t="e">
        <f>capReg2Prod4UnitsSold</f>
        <v>#VALUE!</v>
      </c>
    </row>
    <row r="180" spans="4:12">
      <c r="E180" t="str">
        <f>decTeamName</f>
        <v>Vivia</v>
      </c>
      <c r="F180" t="str">
        <f>decTeamName</f>
        <v>Vivia</v>
      </c>
      <c r="G180" t="str">
        <f>decTeamName</f>
        <v>Vivia</v>
      </c>
      <c r="H180" t="str">
        <f>decTeamName</f>
        <v>Vivia</v>
      </c>
      <c r="I180" t="str">
        <f>decTeamName</f>
        <v>Vivia</v>
      </c>
      <c r="L180" s="32" t="e">
        <f>decTeamName</f>
        <v>#VALUE!</v>
      </c>
    </row>
    <row r="181" spans="4:12">
      <c r="D181">
        <v>0</v>
      </c>
      <c r="E181" s="398">
        <v>225000000</v>
      </c>
      <c r="F181" s="398">
        <v>225000000</v>
      </c>
      <c r="G181" s="398">
        <v>225000000</v>
      </c>
      <c r="H181" s="398">
        <v>225000000</v>
      </c>
      <c r="I181" s="398">
        <v>225000000</v>
      </c>
      <c r="J181" t="s">
        <v>3527</v>
      </c>
      <c r="L181" s="32" t="e">
        <f>IF(xxYear&gt;=$D181,L$179,NA())</f>
        <v>#VALUE!</v>
      </c>
    </row>
    <row r="182" spans="4:12">
      <c r="D182">
        <v>1</v>
      </c>
      <c r="E182" s="398">
        <f t="shared" ref="E182:I185" si="9">IF(xxYear&gt;=$D182,E$179,NA())</f>
        <v>225000000</v>
      </c>
      <c r="F182" s="398">
        <f t="shared" si="9"/>
        <v>225000000</v>
      </c>
      <c r="G182" s="398">
        <f t="shared" si="9"/>
        <v>225000000</v>
      </c>
      <c r="H182" s="398">
        <f t="shared" si="9"/>
        <v>225000000</v>
      </c>
      <c r="I182" s="398">
        <f t="shared" si="9"/>
        <v>225000000</v>
      </c>
      <c r="L182" s="32" t="e">
        <f>IF(xxYear&gt;=$D182,L$179,NA())</f>
        <v>#VALUE!</v>
      </c>
    </row>
    <row r="183" spans="4:12">
      <c r="D183">
        <v>2</v>
      </c>
      <c r="E183" s="10" t="e">
        <f t="shared" si="9"/>
        <v>#N/A</v>
      </c>
      <c r="F183" s="10" t="e">
        <f t="shared" si="9"/>
        <v>#N/A</v>
      </c>
      <c r="G183" s="10" t="e">
        <f t="shared" si="9"/>
        <v>#N/A</v>
      </c>
      <c r="H183" s="10" t="e">
        <f t="shared" si="9"/>
        <v>#N/A</v>
      </c>
      <c r="I183" s="10" t="e">
        <f t="shared" si="9"/>
        <v>#N/A</v>
      </c>
      <c r="L183" s="32" t="e">
        <f>IF(xxYear&gt;=$D183,L$179,NA())</f>
        <v>#N/A</v>
      </c>
    </row>
    <row r="184" spans="4:12">
      <c r="D184">
        <v>3</v>
      </c>
      <c r="E184" s="10" t="e">
        <f t="shared" si="9"/>
        <v>#N/A</v>
      </c>
      <c r="F184" s="10" t="e">
        <f t="shared" si="9"/>
        <v>#N/A</v>
      </c>
      <c r="G184" s="10" t="e">
        <f t="shared" si="9"/>
        <v>#N/A</v>
      </c>
      <c r="H184" s="10" t="e">
        <f t="shared" si="9"/>
        <v>#N/A</v>
      </c>
      <c r="I184" s="10" t="e">
        <f t="shared" si="9"/>
        <v>#N/A</v>
      </c>
      <c r="L184" s="32" t="e">
        <f>IF(xxYear&gt;=$D184,L$179,NA())</f>
        <v>#N/A</v>
      </c>
    </row>
    <row r="185" spans="4:12">
      <c r="D185">
        <v>4</v>
      </c>
      <c r="E185" s="10" t="e">
        <f t="shared" si="9"/>
        <v>#N/A</v>
      </c>
      <c r="F185" s="10" t="e">
        <f t="shared" si="9"/>
        <v>#N/A</v>
      </c>
      <c r="G185" s="10" t="e">
        <f t="shared" si="9"/>
        <v>#N/A</v>
      </c>
      <c r="H185" s="10" t="e">
        <f t="shared" si="9"/>
        <v>#N/A</v>
      </c>
      <c r="I185" s="10" t="e">
        <f t="shared" si="9"/>
        <v>#N/A</v>
      </c>
      <c r="L185" s="32" t="e">
        <f>IF(xxYear&gt;=$D185,L$179,NA())</f>
        <v>#N/A</v>
      </c>
    </row>
    <row r="186" spans="4:12">
      <c r="L186" s="32"/>
    </row>
    <row r="187" spans="4:12">
      <c r="D187" s="77" t="s">
        <v>3145</v>
      </c>
      <c r="E187" s="398">
        <f>IF(capReg2Prod4UnitsFGEnd&gt;0,capReg2Prod4UnitsSold,NA())</f>
        <v>225000000</v>
      </c>
      <c r="F187" s="398">
        <f>IF(capReg2Prod4UnitsFGEnd&gt;0,capReg2Prod4UnitsSold,NA())</f>
        <v>225000000</v>
      </c>
      <c r="G187" s="398">
        <f>IF(capReg2Prod4UnitsFGEnd&gt;0,capReg2Prod4UnitsSold,NA())</f>
        <v>225000000</v>
      </c>
      <c r="H187" s="398">
        <f>IF(capReg2Prod4UnitsFGEnd&gt;0,capReg2Prod4UnitsSold,NA())</f>
        <v>225000000</v>
      </c>
      <c r="I187" s="398">
        <f>IF(capReg2Prod4UnitsFGEnd&gt;0,capReg2Prod4UnitsSold,NA())</f>
        <v>225000000</v>
      </c>
      <c r="L187" s="118" t="e">
        <f>IF(capReg2Prod4UnitsFGEnd&gt;0,capReg2Prod4UnitsSold,NA())</f>
        <v>#VALUE!</v>
      </c>
    </row>
    <row r="188" spans="4:12">
      <c r="E188" t="str">
        <f>decTeamName</f>
        <v>Vivia</v>
      </c>
      <c r="F188" t="str">
        <f>decTeamName</f>
        <v>Vivia</v>
      </c>
      <c r="G188" t="str">
        <f>decTeamName</f>
        <v>Vivia</v>
      </c>
      <c r="H188" t="str">
        <f>decTeamName</f>
        <v>Vivia</v>
      </c>
      <c r="I188" t="str">
        <f>decTeamName</f>
        <v>Vivia</v>
      </c>
      <c r="L188" s="32" t="e">
        <f>decTeamName</f>
        <v>#VALUE!</v>
      </c>
    </row>
    <row r="189" spans="4:12">
      <c r="D189">
        <v>0</v>
      </c>
      <c r="E189" s="398">
        <v>225000000</v>
      </c>
      <c r="F189" s="398">
        <v>225000000</v>
      </c>
      <c r="G189" s="398">
        <v>225000000</v>
      </c>
      <c r="H189" s="398">
        <v>225000000</v>
      </c>
      <c r="I189" s="398">
        <v>225000000</v>
      </c>
      <c r="J189" t="s">
        <v>3528</v>
      </c>
      <c r="L189" s="32" t="e">
        <f>IF(xxYear=$D189,L$187,NA())</f>
        <v>#N/A</v>
      </c>
    </row>
    <row r="190" spans="4:12">
      <c r="D190">
        <v>1</v>
      </c>
      <c r="E190" s="398">
        <f>IF(xxYear=$D190,E$187,NA())</f>
        <v>225000000</v>
      </c>
      <c r="F190" s="398">
        <f>IF(xxYear=$D190,F$187,NA())</f>
        <v>225000000</v>
      </c>
      <c r="G190" s="398">
        <f>IF(xxYear=$D190,G$187,NA())</f>
        <v>225000000</v>
      </c>
      <c r="H190" s="398">
        <f>IF(xxYear=$D190,H$187,NA())</f>
        <v>225000000</v>
      </c>
      <c r="I190" s="398">
        <f>IF(xxYear=$D190,I$187,NA())</f>
        <v>225000000</v>
      </c>
      <c r="L190" s="32" t="e">
        <f>IF(xxYear=$D190,L$187,NA())</f>
        <v>#VALUE!</v>
      </c>
    </row>
    <row r="191" spans="4:12">
      <c r="D191">
        <v>2</v>
      </c>
      <c r="E191" s="10" t="e">
        <f>IF(xxYear=$D191,E187,NA())</f>
        <v>#N/A</v>
      </c>
      <c r="F191" s="10" t="e">
        <f>IF(xxYear=$D191,F187,NA())</f>
        <v>#N/A</v>
      </c>
      <c r="G191" s="10" t="e">
        <f>IF(xxYear=$D191,G187,NA())</f>
        <v>#N/A</v>
      </c>
      <c r="H191" s="10" t="e">
        <f>IF(xxYear=$D191,H187,NA())</f>
        <v>#N/A</v>
      </c>
      <c r="I191" s="10" t="e">
        <f>IF(xxYear=$D191,I187,NA())</f>
        <v>#N/A</v>
      </c>
      <c r="L191" s="32" t="e">
        <f>IF(xxYear=$D191,L187,NA())</f>
        <v>#N/A</v>
      </c>
    </row>
    <row r="192" spans="4:12">
      <c r="D192">
        <v>3</v>
      </c>
      <c r="E192" s="10" t="e">
        <f>IF(xxYear=$D192,E187,NA())</f>
        <v>#N/A</v>
      </c>
      <c r="F192" s="10" t="e">
        <f>IF(xxYear=$D192,F187,NA())</f>
        <v>#N/A</v>
      </c>
      <c r="G192" s="10" t="e">
        <f>IF(xxYear=$D192,G187,NA())</f>
        <v>#N/A</v>
      </c>
      <c r="H192" s="10" t="e">
        <f>IF(xxYear=$D192,H187,NA())</f>
        <v>#N/A</v>
      </c>
      <c r="I192" s="10" t="e">
        <f>IF(xxYear=$D192,I187,NA())</f>
        <v>#N/A</v>
      </c>
      <c r="L192" s="32" t="e">
        <f>IF(xxYear=$D192,L187,NA())</f>
        <v>#N/A</v>
      </c>
    </row>
    <row r="193" spans="2:12" ht="12" customHeight="1">
      <c r="D193">
        <v>4</v>
      </c>
      <c r="E193" s="10" t="e">
        <f>IF(xxYear=$D193,E187,NA())</f>
        <v>#N/A</v>
      </c>
      <c r="F193" s="10" t="e">
        <f>IF(xxYear=$D193,F187,NA())</f>
        <v>#N/A</v>
      </c>
      <c r="G193" s="10" t="e">
        <f>IF(xxYear=$D193,G187,NA())</f>
        <v>#N/A</v>
      </c>
      <c r="H193" s="10" t="e">
        <f>IF(xxYear=$D193,H187,NA())</f>
        <v>#N/A</v>
      </c>
      <c r="I193" s="10" t="e">
        <f>IF(xxYear=$D193,I187,NA())</f>
        <v>#N/A</v>
      </c>
      <c r="L193" s="32" t="e">
        <f>IF(xxYear=$D193,L187,NA())</f>
        <v>#N/A</v>
      </c>
    </row>
    <row r="194" spans="2:12" ht="12" customHeight="1">
      <c r="E194" s="10"/>
      <c r="F194" s="10"/>
      <c r="G194" s="10"/>
      <c r="H194" s="10"/>
      <c r="I194" s="10"/>
      <c r="L194" s="32"/>
    </row>
    <row r="195" spans="2:12">
      <c r="D195" s="77" t="s">
        <v>1174</v>
      </c>
      <c r="E195" s="10" t="e">
        <f>IF(capReg2Prod4UnitsFGEnd&lt;=0,capReg2Prod4UnitsSold,NA())</f>
        <v>#N/A</v>
      </c>
      <c r="F195" s="10" t="e">
        <f>IF(capReg2Prod4UnitsFGEnd&lt;=0,capReg2Prod4UnitsSold,NA())</f>
        <v>#N/A</v>
      </c>
      <c r="G195" s="10" t="e">
        <f>IF(capReg2Prod4UnitsFGEnd&lt;=0,capReg2Prod4UnitsSold,NA())</f>
        <v>#N/A</v>
      </c>
      <c r="H195" s="10" t="e">
        <f>IF(capReg2Prod4UnitsFGEnd&lt;=0,capReg2Prod4UnitsSold,NA())</f>
        <v>#N/A</v>
      </c>
      <c r="I195" s="10" t="e">
        <f>IF(capReg2Prod4UnitsFGEnd&lt;=0,capReg2Prod4UnitsSold,NA())</f>
        <v>#N/A</v>
      </c>
      <c r="L195" s="32" t="e">
        <f>IF(capReg2Prod4UnitsFGEnd&lt;=0,capReg2Prod4UnitsSold,NA())</f>
        <v>#VALUE!</v>
      </c>
    </row>
    <row r="196" spans="2:12">
      <c r="E196" t="str">
        <f>decTeamName</f>
        <v>Vivia</v>
      </c>
      <c r="F196" t="str">
        <f>decTeamName</f>
        <v>Vivia</v>
      </c>
      <c r="G196" t="str">
        <f>decTeamName</f>
        <v>Vivia</v>
      </c>
      <c r="H196" t="str">
        <f>decTeamName</f>
        <v>Vivia</v>
      </c>
      <c r="I196" t="str">
        <f>decTeamName</f>
        <v>Vivia</v>
      </c>
      <c r="L196" s="32" t="e">
        <f>decTeamName</f>
        <v>#VALUE!</v>
      </c>
    </row>
    <row r="197" spans="2:12">
      <c r="D197">
        <v>0</v>
      </c>
      <c r="E197" s="10" t="e">
        <v>#N/A</v>
      </c>
      <c r="F197" s="10" t="e">
        <v>#N/A</v>
      </c>
      <c r="G197" s="10" t="e">
        <v>#N/A</v>
      </c>
      <c r="H197" s="10" t="e">
        <v>#N/A</v>
      </c>
      <c r="I197" s="10" t="e">
        <v>#N/A</v>
      </c>
      <c r="J197" t="s">
        <v>3529</v>
      </c>
      <c r="L197" s="32" t="e">
        <f>IF(xxYear=$D197,L$195,NA())</f>
        <v>#N/A</v>
      </c>
    </row>
    <row r="198" spans="2:12">
      <c r="D198">
        <v>1</v>
      </c>
      <c r="E198" s="10" t="e">
        <f>IF(xxYear=$D198,E$195,NA())</f>
        <v>#N/A</v>
      </c>
      <c r="F198" s="10" t="e">
        <f>IF(xxYear=$D198,F$195,NA())</f>
        <v>#N/A</v>
      </c>
      <c r="G198" s="10" t="e">
        <f>IF(xxYear=$D198,G$195,NA())</f>
        <v>#N/A</v>
      </c>
      <c r="H198" s="10" t="e">
        <f>IF(xxYear=$D198,H$195,NA())</f>
        <v>#N/A</v>
      </c>
      <c r="I198" s="10" t="e">
        <f>IF(xxYear=$D198,I$195,NA())</f>
        <v>#N/A</v>
      </c>
      <c r="L198" s="32" t="e">
        <f>IF(xxYear=$D198,L$195,NA())</f>
        <v>#VALUE!</v>
      </c>
    </row>
    <row r="199" spans="2:12">
      <c r="D199">
        <v>2</v>
      </c>
      <c r="E199" s="10" t="e">
        <f>IF(xxYear=$D199,E195,NA())</f>
        <v>#N/A</v>
      </c>
      <c r="F199" s="10" t="e">
        <f>IF(xxYear=$D199,F195,NA())</f>
        <v>#N/A</v>
      </c>
      <c r="G199" s="10" t="e">
        <f>IF(xxYear=$D199,G195,NA())</f>
        <v>#N/A</v>
      </c>
      <c r="H199" s="10" t="e">
        <f>IF(xxYear=$D199,H195,NA())</f>
        <v>#N/A</v>
      </c>
      <c r="I199" s="10" t="e">
        <f>IF(xxYear=$D199,I195,NA())</f>
        <v>#N/A</v>
      </c>
      <c r="L199" s="32" t="e">
        <f>IF(xxYear=$D199,L195,NA())</f>
        <v>#N/A</v>
      </c>
    </row>
    <row r="200" spans="2:12">
      <c r="D200">
        <v>3</v>
      </c>
      <c r="E200" s="10" t="e">
        <f>IF(xxYear=$D200,E195,NA())</f>
        <v>#N/A</v>
      </c>
      <c r="F200" s="10" t="e">
        <f>IF(xxYear=$D200,F195,NA())</f>
        <v>#N/A</v>
      </c>
      <c r="G200" s="10" t="e">
        <f>IF(xxYear=$D200,G195,NA())</f>
        <v>#N/A</v>
      </c>
      <c r="H200" s="10" t="e">
        <f>IF(xxYear=$D200,H195,NA())</f>
        <v>#N/A</v>
      </c>
      <c r="I200" s="10" t="e">
        <f>IF(xxYear=$D200,I195,NA())</f>
        <v>#N/A</v>
      </c>
      <c r="L200" s="32" t="e">
        <f>IF(xxYear=$D200,L195,NA())</f>
        <v>#N/A</v>
      </c>
    </row>
    <row r="201" spans="2:12">
      <c r="D201">
        <v>4</v>
      </c>
      <c r="E201" s="10" t="e">
        <f>IF(xxYear=$D201,E195,NA())</f>
        <v>#N/A</v>
      </c>
      <c r="F201" s="10" t="e">
        <f>IF(xxYear=$D201,F195,NA())</f>
        <v>#N/A</v>
      </c>
      <c r="G201" s="10" t="e">
        <f>IF(xxYear=$D201,G195,NA())</f>
        <v>#N/A</v>
      </c>
      <c r="H201" s="10" t="e">
        <f>IF(xxYear=$D201,H195,NA())</f>
        <v>#N/A</v>
      </c>
      <c r="I201" s="10" t="e">
        <f>IF(xxYear=$D201,I195,NA())</f>
        <v>#N/A</v>
      </c>
      <c r="L201" s="32" t="e">
        <f>IF(xxYear=$D201,L195,NA())</f>
        <v>#N/A</v>
      </c>
    </row>
    <row r="202" spans="2:12">
      <c r="D202" s="2"/>
      <c r="L202" s="32"/>
    </row>
    <row r="203" spans="2:12">
      <c r="B203" s="2" t="str">
        <f>"Price Volume " &amp;DataNameProd2</f>
        <v>Price Volume Breakthrough</v>
      </c>
      <c r="D203" s="77" t="s">
        <v>1402</v>
      </c>
      <c r="E203" s="10">
        <f>decProd2Reg1Price</f>
        <v>1</v>
      </c>
      <c r="F203" s="10">
        <f>decProd2Reg1Price</f>
        <v>1</v>
      </c>
      <c r="G203" s="10">
        <f>decProd2Reg1Price</f>
        <v>1</v>
      </c>
      <c r="H203" s="10">
        <f>decProd2Reg1Price</f>
        <v>1</v>
      </c>
      <c r="I203" s="10">
        <f>decProd2Reg1Price</f>
        <v>1</v>
      </c>
      <c r="L203" s="32" t="e">
        <f>decProd2Reg1Price</f>
        <v>#VALUE!</v>
      </c>
    </row>
    <row r="204" spans="2:12">
      <c r="B204" s="2" t="s">
        <v>1598</v>
      </c>
      <c r="E204" t="str">
        <f>decTeamName</f>
        <v>Vivia</v>
      </c>
      <c r="F204" t="str">
        <f>decTeamName</f>
        <v>Vivia</v>
      </c>
      <c r="G204" t="str">
        <f>decTeamName</f>
        <v>Vivia</v>
      </c>
      <c r="H204" t="str">
        <f>decTeamName</f>
        <v>Vivia</v>
      </c>
      <c r="I204" t="str">
        <f>decTeamName</f>
        <v>Vivia</v>
      </c>
      <c r="L204" s="32" t="e">
        <f>decTeamName</f>
        <v>#VALUE!</v>
      </c>
    </row>
    <row r="205" spans="2:12">
      <c r="D205">
        <v>0</v>
      </c>
      <c r="E205" s="10">
        <v>1</v>
      </c>
      <c r="F205" s="10">
        <v>1</v>
      </c>
      <c r="G205" s="10">
        <v>1</v>
      </c>
      <c r="H205" s="10">
        <v>1</v>
      </c>
      <c r="I205" s="10">
        <v>1</v>
      </c>
      <c r="J205" t="s">
        <v>3740</v>
      </c>
      <c r="L205" s="32" t="e">
        <f>IF(xxYear&gt;=$D205,L$203,NA())</f>
        <v>#VALUE!</v>
      </c>
    </row>
    <row r="206" spans="2:12">
      <c r="D206">
        <v>1</v>
      </c>
      <c r="E206" s="10">
        <f t="shared" ref="E206:I209" si="10">IF(xxYear&gt;=$D206,E$203,NA())</f>
        <v>1</v>
      </c>
      <c r="F206" s="10">
        <f t="shared" si="10"/>
        <v>1</v>
      </c>
      <c r="G206" s="10">
        <f t="shared" si="10"/>
        <v>1</v>
      </c>
      <c r="H206" s="10">
        <f t="shared" si="10"/>
        <v>1</v>
      </c>
      <c r="I206" s="10">
        <f t="shared" si="10"/>
        <v>1</v>
      </c>
      <c r="L206" s="32" t="e">
        <f>IF(xxYear&gt;=$D206,L$203,NA())</f>
        <v>#VALUE!</v>
      </c>
    </row>
    <row r="207" spans="2:12">
      <c r="D207">
        <v>2</v>
      </c>
      <c r="E207" s="10" t="e">
        <f t="shared" si="10"/>
        <v>#N/A</v>
      </c>
      <c r="F207" s="10" t="e">
        <f t="shared" si="10"/>
        <v>#N/A</v>
      </c>
      <c r="G207" s="10" t="e">
        <f t="shared" si="10"/>
        <v>#N/A</v>
      </c>
      <c r="H207" s="10" t="e">
        <f t="shared" si="10"/>
        <v>#N/A</v>
      </c>
      <c r="I207" s="10" t="e">
        <f t="shared" si="10"/>
        <v>#N/A</v>
      </c>
      <c r="L207" s="32" t="e">
        <f>IF(xxYear&gt;=$D207,L$203,NA())</f>
        <v>#N/A</v>
      </c>
    </row>
    <row r="208" spans="2:12">
      <c r="D208">
        <v>3</v>
      </c>
      <c r="E208" s="10" t="e">
        <f t="shared" si="10"/>
        <v>#N/A</v>
      </c>
      <c r="F208" s="10" t="e">
        <f t="shared" si="10"/>
        <v>#N/A</v>
      </c>
      <c r="G208" s="10" t="e">
        <f t="shared" si="10"/>
        <v>#N/A</v>
      </c>
      <c r="H208" s="10" t="e">
        <f t="shared" si="10"/>
        <v>#N/A</v>
      </c>
      <c r="I208" s="10" t="e">
        <f t="shared" si="10"/>
        <v>#N/A</v>
      </c>
      <c r="L208" s="32" t="e">
        <f>IF(xxYear&gt;=$D208,L$203,NA())</f>
        <v>#N/A</v>
      </c>
    </row>
    <row r="209" spans="4:12">
      <c r="D209">
        <v>4</v>
      </c>
      <c r="E209" s="10" t="e">
        <f t="shared" si="10"/>
        <v>#N/A</v>
      </c>
      <c r="F209" s="10" t="e">
        <f t="shared" si="10"/>
        <v>#N/A</v>
      </c>
      <c r="G209" s="10" t="e">
        <f t="shared" si="10"/>
        <v>#N/A</v>
      </c>
      <c r="H209" s="10" t="e">
        <f t="shared" si="10"/>
        <v>#N/A</v>
      </c>
      <c r="I209" s="10" t="e">
        <f t="shared" si="10"/>
        <v>#N/A</v>
      </c>
      <c r="L209" s="32" t="e">
        <f>IF(xxYear&gt;=$D209,L$203,NA())</f>
        <v>#N/A</v>
      </c>
    </row>
    <row r="210" spans="4:12">
      <c r="L210" s="32"/>
    </row>
    <row r="211" spans="4:12">
      <c r="D211" s="77" t="s">
        <v>1403</v>
      </c>
      <c r="E211" s="398">
        <f>capReg1Prod2UnitsSold</f>
        <v>0</v>
      </c>
      <c r="F211" s="398">
        <f>capReg1Prod2UnitsSold</f>
        <v>0</v>
      </c>
      <c r="G211" s="398">
        <f>capReg1Prod2UnitsSold</f>
        <v>0</v>
      </c>
      <c r="H211" s="398">
        <f>capReg1Prod2UnitsSold</f>
        <v>0</v>
      </c>
      <c r="I211" s="398">
        <f>capReg1Prod2UnitsSold</f>
        <v>0</v>
      </c>
      <c r="L211" s="32" t="e">
        <f>capReg1Prod2UnitsSold</f>
        <v>#VALUE!</v>
      </c>
    </row>
    <row r="212" spans="4:12">
      <c r="E212" t="str">
        <f>decTeamName</f>
        <v>Vivia</v>
      </c>
      <c r="F212" t="str">
        <f>decTeamName</f>
        <v>Vivia</v>
      </c>
      <c r="G212" t="str">
        <f>decTeamName</f>
        <v>Vivia</v>
      </c>
      <c r="H212" t="str">
        <f>decTeamName</f>
        <v>Vivia</v>
      </c>
      <c r="I212" t="str">
        <f>decTeamName</f>
        <v>Vivia</v>
      </c>
      <c r="L212" s="32" t="e">
        <f>decTeamName</f>
        <v>#VALUE!</v>
      </c>
    </row>
    <row r="213" spans="4:12">
      <c r="D213">
        <v>0</v>
      </c>
      <c r="E213" s="398">
        <v>0</v>
      </c>
      <c r="F213" s="398">
        <v>0</v>
      </c>
      <c r="G213" s="398">
        <v>0</v>
      </c>
      <c r="H213" s="398">
        <v>0</v>
      </c>
      <c r="I213" s="398">
        <v>0</v>
      </c>
      <c r="J213" t="s">
        <v>562</v>
      </c>
      <c r="L213" s="32" t="e">
        <f>IF(xxYear&gt;=$D213,L$211,NA())</f>
        <v>#VALUE!</v>
      </c>
    </row>
    <row r="214" spans="4:12">
      <c r="D214">
        <v>1</v>
      </c>
      <c r="E214" s="398">
        <f t="shared" ref="E214:I217" si="11">IF(xxYear&gt;=$D214,E$211,NA())</f>
        <v>0</v>
      </c>
      <c r="F214" s="398">
        <f t="shared" si="11"/>
        <v>0</v>
      </c>
      <c r="G214" s="398">
        <f t="shared" si="11"/>
        <v>0</v>
      </c>
      <c r="H214" s="398">
        <f t="shared" si="11"/>
        <v>0</v>
      </c>
      <c r="I214" s="398">
        <f t="shared" si="11"/>
        <v>0</v>
      </c>
      <c r="L214" s="32" t="e">
        <f>IF(xxYear&gt;=$D214,L$211,NA())</f>
        <v>#VALUE!</v>
      </c>
    </row>
    <row r="215" spans="4:12">
      <c r="D215">
        <v>2</v>
      </c>
      <c r="E215" s="398" t="e">
        <f t="shared" si="11"/>
        <v>#N/A</v>
      </c>
      <c r="F215" s="398" t="e">
        <f t="shared" si="11"/>
        <v>#N/A</v>
      </c>
      <c r="G215" s="398" t="e">
        <f t="shared" si="11"/>
        <v>#N/A</v>
      </c>
      <c r="H215" s="398" t="e">
        <f t="shared" si="11"/>
        <v>#N/A</v>
      </c>
      <c r="I215" s="398" t="e">
        <f t="shared" si="11"/>
        <v>#N/A</v>
      </c>
      <c r="L215" s="32" t="e">
        <f>IF(xxYear&gt;=$D215,L$211,NA())</f>
        <v>#N/A</v>
      </c>
    </row>
    <row r="216" spans="4:12">
      <c r="D216">
        <v>3</v>
      </c>
      <c r="E216" s="398" t="e">
        <f t="shared" si="11"/>
        <v>#N/A</v>
      </c>
      <c r="F216" s="398" t="e">
        <f t="shared" si="11"/>
        <v>#N/A</v>
      </c>
      <c r="G216" s="398" t="e">
        <f t="shared" si="11"/>
        <v>#N/A</v>
      </c>
      <c r="H216" s="398" t="e">
        <f t="shared" si="11"/>
        <v>#N/A</v>
      </c>
      <c r="I216" s="398" t="e">
        <f t="shared" si="11"/>
        <v>#N/A</v>
      </c>
      <c r="L216" s="32" t="e">
        <f>IF(xxYear&gt;=$D216,L$211,NA())</f>
        <v>#N/A</v>
      </c>
    </row>
    <row r="217" spans="4:12">
      <c r="D217">
        <v>4</v>
      </c>
      <c r="E217" s="398" t="e">
        <f t="shared" si="11"/>
        <v>#N/A</v>
      </c>
      <c r="F217" s="398" t="e">
        <f t="shared" si="11"/>
        <v>#N/A</v>
      </c>
      <c r="G217" s="398" t="e">
        <f t="shared" si="11"/>
        <v>#N/A</v>
      </c>
      <c r="H217" s="398" t="e">
        <f t="shared" si="11"/>
        <v>#N/A</v>
      </c>
      <c r="I217" s="398" t="e">
        <f t="shared" si="11"/>
        <v>#N/A</v>
      </c>
      <c r="L217" s="32" t="e">
        <f>IF(xxYear&gt;=$D217,L$211,NA())</f>
        <v>#N/A</v>
      </c>
    </row>
    <row r="218" spans="4:12">
      <c r="L218" s="32"/>
    </row>
    <row r="219" spans="4:12">
      <c r="D219" s="77" t="s">
        <v>3145</v>
      </c>
      <c r="E219" s="398" t="e">
        <f>IF(capReg1Prod2UnitsFGEnd&gt;0,capReg1Prod2UnitsSold,NA())</f>
        <v>#N/A</v>
      </c>
      <c r="F219" s="398" t="e">
        <f>IF(capReg1Prod2UnitsFGEnd&gt;0,capReg1Prod2UnitsSold,NA())</f>
        <v>#N/A</v>
      </c>
      <c r="G219" s="398" t="e">
        <f>IF(capReg1Prod2UnitsFGEnd&gt;0,capReg1Prod2UnitsSold,NA())</f>
        <v>#N/A</v>
      </c>
      <c r="H219" s="398" t="e">
        <f>IF(capReg1Prod2UnitsFGEnd&gt;0,capReg1Prod2UnitsSold,NA())</f>
        <v>#N/A</v>
      </c>
      <c r="I219" s="398" t="e">
        <f>IF(capReg1Prod2UnitsFGEnd&gt;0,capReg1Prod2UnitsSold,NA())</f>
        <v>#N/A</v>
      </c>
      <c r="L219" s="118" t="e">
        <f>IF(capReg1Prod2UnitsFGEnd&gt;0,capReg1Prod2UnitsSold,NA())</f>
        <v>#VALUE!</v>
      </c>
    </row>
    <row r="220" spans="4:12">
      <c r="E220" t="str">
        <f>decTeamName</f>
        <v>Vivia</v>
      </c>
      <c r="F220" t="str">
        <f>decTeamName</f>
        <v>Vivia</v>
      </c>
      <c r="G220" t="str">
        <f>decTeamName</f>
        <v>Vivia</v>
      </c>
      <c r="H220" t="str">
        <f>decTeamName</f>
        <v>Vivia</v>
      </c>
      <c r="I220" t="str">
        <f>decTeamName</f>
        <v>Vivia</v>
      </c>
      <c r="L220" s="32" t="e">
        <f>decTeamName</f>
        <v>#VALUE!</v>
      </c>
    </row>
    <row r="221" spans="4:12">
      <c r="D221">
        <v>0</v>
      </c>
      <c r="E221" s="398" t="e">
        <v>#N/A</v>
      </c>
      <c r="F221" s="398" t="e">
        <v>#N/A</v>
      </c>
      <c r="G221" s="398" t="e">
        <v>#N/A</v>
      </c>
      <c r="H221" s="398" t="e">
        <v>#N/A</v>
      </c>
      <c r="I221" s="398" t="e">
        <v>#N/A</v>
      </c>
      <c r="J221" t="s">
        <v>563</v>
      </c>
      <c r="L221" s="32" t="e">
        <f>IF(xxYear=$D221,L$219,NA())</f>
        <v>#N/A</v>
      </c>
    </row>
    <row r="222" spans="4:12">
      <c r="D222">
        <v>1</v>
      </c>
      <c r="E222" s="398" t="e">
        <f t="shared" ref="E222:I225" si="12">IF(xxYear=$D222,E$219,NA())</f>
        <v>#N/A</v>
      </c>
      <c r="F222" s="398" t="e">
        <f t="shared" si="12"/>
        <v>#N/A</v>
      </c>
      <c r="G222" s="398" t="e">
        <f t="shared" si="12"/>
        <v>#N/A</v>
      </c>
      <c r="H222" s="398" t="e">
        <f t="shared" si="12"/>
        <v>#N/A</v>
      </c>
      <c r="I222" s="398" t="e">
        <f t="shared" si="12"/>
        <v>#N/A</v>
      </c>
      <c r="L222" s="32" t="e">
        <f>IF(xxYear=$D222,L$219,NA())</f>
        <v>#VALUE!</v>
      </c>
    </row>
    <row r="223" spans="4:12">
      <c r="D223">
        <v>2</v>
      </c>
      <c r="E223" s="398" t="e">
        <f t="shared" si="12"/>
        <v>#N/A</v>
      </c>
      <c r="F223" s="398" t="e">
        <f t="shared" si="12"/>
        <v>#N/A</v>
      </c>
      <c r="G223" s="398" t="e">
        <f t="shared" si="12"/>
        <v>#N/A</v>
      </c>
      <c r="H223" s="398" t="e">
        <f t="shared" si="12"/>
        <v>#N/A</v>
      </c>
      <c r="I223" s="398" t="e">
        <f t="shared" si="12"/>
        <v>#N/A</v>
      </c>
      <c r="L223" s="32" t="e">
        <f>IF(xxYear=$D223,L$219,NA())</f>
        <v>#N/A</v>
      </c>
    </row>
    <row r="224" spans="4:12">
      <c r="D224">
        <v>3</v>
      </c>
      <c r="E224" s="398" t="e">
        <f t="shared" si="12"/>
        <v>#N/A</v>
      </c>
      <c r="F224" s="398" t="e">
        <f t="shared" si="12"/>
        <v>#N/A</v>
      </c>
      <c r="G224" s="398" t="e">
        <f t="shared" si="12"/>
        <v>#N/A</v>
      </c>
      <c r="H224" s="398" t="e">
        <f t="shared" si="12"/>
        <v>#N/A</v>
      </c>
      <c r="I224" s="398" t="e">
        <f t="shared" si="12"/>
        <v>#N/A</v>
      </c>
      <c r="L224" s="32" t="e">
        <f>IF(xxYear=$D224,L$219,NA())</f>
        <v>#N/A</v>
      </c>
    </row>
    <row r="225" spans="2:12" ht="12" customHeight="1">
      <c r="D225">
        <v>4</v>
      </c>
      <c r="E225" s="398" t="e">
        <f t="shared" si="12"/>
        <v>#N/A</v>
      </c>
      <c r="F225" s="398" t="e">
        <f t="shared" si="12"/>
        <v>#N/A</v>
      </c>
      <c r="G225" s="398" t="e">
        <f t="shared" si="12"/>
        <v>#N/A</v>
      </c>
      <c r="H225" s="398" t="e">
        <f t="shared" si="12"/>
        <v>#N/A</v>
      </c>
      <c r="I225" s="398" t="e">
        <f t="shared" si="12"/>
        <v>#N/A</v>
      </c>
      <c r="L225" s="32" t="e">
        <f>IF(xxYear=$D225,L$219,NA())</f>
        <v>#N/A</v>
      </c>
    </row>
    <row r="226" spans="2:12" ht="12" customHeight="1">
      <c r="E226" s="10"/>
      <c r="F226" s="10"/>
      <c r="G226" s="10"/>
      <c r="H226" s="10"/>
      <c r="I226" s="10"/>
      <c r="L226" s="32"/>
    </row>
    <row r="227" spans="2:12">
      <c r="D227" s="77" t="s">
        <v>1174</v>
      </c>
      <c r="E227" s="10">
        <f>IF(capReg1Prod2UnitsFGEnd&lt;=0,capReg1Prod2UnitsSold,NA())</f>
        <v>0</v>
      </c>
      <c r="F227" s="10">
        <f>IF(capReg1Prod2UnitsFGEnd&lt;=0,capReg1Prod2UnitsSold,NA())</f>
        <v>0</v>
      </c>
      <c r="G227" s="10">
        <f>IF(capReg1Prod2UnitsFGEnd&lt;=0,capReg1Prod2UnitsSold,NA())</f>
        <v>0</v>
      </c>
      <c r="H227" s="10">
        <f>IF(capReg1Prod2UnitsFGEnd&lt;=0,capReg1Prod2UnitsSold,NA())</f>
        <v>0</v>
      </c>
      <c r="I227" s="10">
        <f>IF(capReg1Prod2UnitsFGEnd&lt;=0,capReg1Prod2UnitsSold,NA())</f>
        <v>0</v>
      </c>
      <c r="L227" s="32" t="e">
        <f>IF(capReg1Prod2UnitsFGEnd&lt;=0,capReg1Prod2UnitsSold,NA())</f>
        <v>#VALUE!</v>
      </c>
    </row>
    <row r="228" spans="2:12">
      <c r="E228" t="str">
        <f>decTeamName</f>
        <v>Vivia</v>
      </c>
      <c r="F228" t="str">
        <f>decTeamName</f>
        <v>Vivia</v>
      </c>
      <c r="G228" t="str">
        <f>decTeamName</f>
        <v>Vivia</v>
      </c>
      <c r="H228" t="str">
        <f>decTeamName</f>
        <v>Vivia</v>
      </c>
      <c r="I228" t="str">
        <f>decTeamName</f>
        <v>Vivia</v>
      </c>
      <c r="L228" s="32" t="e">
        <f>decTeamName</f>
        <v>#VALUE!</v>
      </c>
    </row>
    <row r="229" spans="2:12">
      <c r="D229">
        <v>0</v>
      </c>
      <c r="E229" s="10" t="e">
        <v>#N/A</v>
      </c>
      <c r="F229" s="10" t="e">
        <v>#N/A</v>
      </c>
      <c r="G229" s="10" t="e">
        <v>#N/A</v>
      </c>
      <c r="H229" s="10" t="e">
        <v>#N/A</v>
      </c>
      <c r="I229" s="10" t="e">
        <v>#N/A</v>
      </c>
      <c r="J229" t="s">
        <v>564</v>
      </c>
      <c r="L229" s="32" t="e">
        <f>IF(xxYear=$D229,L$195,NA())</f>
        <v>#N/A</v>
      </c>
    </row>
    <row r="230" spans="2:12">
      <c r="D230">
        <v>1</v>
      </c>
      <c r="E230" s="10" t="e">
        <f>IF(xxYear=$D230,E$195,NA())</f>
        <v>#N/A</v>
      </c>
      <c r="F230" s="10" t="e">
        <f>IF(xxYear=$D230,F$195,NA())</f>
        <v>#N/A</v>
      </c>
      <c r="G230" s="10" t="e">
        <f>IF(xxYear=$D230,G$195,NA())</f>
        <v>#N/A</v>
      </c>
      <c r="H230" s="10" t="e">
        <f>IF(xxYear=$D230,H$195,NA())</f>
        <v>#N/A</v>
      </c>
      <c r="I230" s="10" t="e">
        <f>IF(xxYear=$D230,I$195,NA())</f>
        <v>#N/A</v>
      </c>
      <c r="L230" s="32" t="e">
        <f>IF(xxYear=$D230,L$195,NA())</f>
        <v>#VALUE!</v>
      </c>
    </row>
    <row r="231" spans="2:12">
      <c r="D231">
        <v>2</v>
      </c>
      <c r="E231" s="10" t="e">
        <f>IF(xxYear=$D231,E227,NA())</f>
        <v>#N/A</v>
      </c>
      <c r="F231" s="10" t="e">
        <f>IF(xxYear=$D231,F227,NA())</f>
        <v>#N/A</v>
      </c>
      <c r="G231" s="10" t="e">
        <f>IF(xxYear=$D231,G227,NA())</f>
        <v>#N/A</v>
      </c>
      <c r="H231" s="10" t="e">
        <f>IF(xxYear=$D231,H227,NA())</f>
        <v>#N/A</v>
      </c>
      <c r="I231" s="10" t="e">
        <f>IF(xxYear=$D231,I227,NA())</f>
        <v>#N/A</v>
      </c>
      <c r="L231" s="32" t="e">
        <f>IF(xxYear=$D231,L227,NA())</f>
        <v>#N/A</v>
      </c>
    </row>
    <row r="232" spans="2:12">
      <c r="D232">
        <v>3</v>
      </c>
      <c r="E232" s="10" t="e">
        <f>IF(xxYear=$D232,E227,NA())</f>
        <v>#N/A</v>
      </c>
      <c r="F232" s="10" t="e">
        <f>IF(xxYear=$D232,F227,NA())</f>
        <v>#N/A</v>
      </c>
      <c r="G232" s="10" t="e">
        <f>IF(xxYear=$D232,G227,NA())</f>
        <v>#N/A</v>
      </c>
      <c r="H232" s="10" t="e">
        <f>IF(xxYear=$D232,H227,NA())</f>
        <v>#N/A</v>
      </c>
      <c r="I232" s="10" t="e">
        <f>IF(xxYear=$D232,I227,NA())</f>
        <v>#N/A</v>
      </c>
      <c r="L232" s="32" t="e">
        <f>IF(xxYear=$D232,L227,NA())</f>
        <v>#N/A</v>
      </c>
    </row>
    <row r="233" spans="2:12">
      <c r="D233">
        <v>4</v>
      </c>
      <c r="E233" s="10" t="e">
        <f>IF(xxYear=$D233,E227,NA())</f>
        <v>#N/A</v>
      </c>
      <c r="F233" s="10" t="e">
        <f>IF(xxYear=$D233,F227,NA())</f>
        <v>#N/A</v>
      </c>
      <c r="G233" s="10" t="e">
        <f>IF(xxYear=$D233,G227,NA())</f>
        <v>#N/A</v>
      </c>
      <c r="H233" s="10" t="e">
        <f>IF(xxYear=$D233,H227,NA())</f>
        <v>#N/A</v>
      </c>
      <c r="I233" s="10" t="e">
        <f>IF(xxYear=$D233,I227,NA())</f>
        <v>#N/A</v>
      </c>
      <c r="L233" s="32" t="e">
        <f>IF(xxYear=$D233,L227,NA())</f>
        <v>#N/A</v>
      </c>
    </row>
    <row r="234" spans="2:12">
      <c r="E234" s="10"/>
      <c r="F234" s="10"/>
      <c r="G234" s="10"/>
      <c r="H234" s="10"/>
      <c r="I234" s="10"/>
      <c r="L234" s="32"/>
    </row>
    <row r="235" spans="2:12">
      <c r="B235" s="2" t="str">
        <f>"Price Volume " &amp;DataNameProd2</f>
        <v>Price Volume Breakthrough</v>
      </c>
      <c r="D235" s="77" t="s">
        <v>1402</v>
      </c>
      <c r="E235" s="10">
        <f>decProd2Reg2Price</f>
        <v>1</v>
      </c>
      <c r="F235" s="10">
        <f>decProd2Reg2Price</f>
        <v>1</v>
      </c>
      <c r="G235" s="10">
        <f>decProd2Reg2Price</f>
        <v>1</v>
      </c>
      <c r="H235" s="10">
        <f>decProd2Reg2Price</f>
        <v>1</v>
      </c>
      <c r="I235" s="10">
        <f>decProd2Reg2Price</f>
        <v>1</v>
      </c>
      <c r="L235" s="32" t="e">
        <f>decProd2Reg2Price</f>
        <v>#VALUE!</v>
      </c>
    </row>
    <row r="236" spans="2:12">
      <c r="B236" s="2" t="s">
        <v>1599</v>
      </c>
      <c r="E236" t="str">
        <f>decTeamName</f>
        <v>Vivia</v>
      </c>
      <c r="F236" t="str">
        <f>decTeamName</f>
        <v>Vivia</v>
      </c>
      <c r="G236" t="str">
        <f>decTeamName</f>
        <v>Vivia</v>
      </c>
      <c r="H236" t="str">
        <f>decTeamName</f>
        <v>Vivia</v>
      </c>
      <c r="I236" t="str">
        <f>decTeamName</f>
        <v>Vivia</v>
      </c>
      <c r="L236" s="32" t="e">
        <f>decTeamName</f>
        <v>#VALUE!</v>
      </c>
    </row>
    <row r="237" spans="2:12">
      <c r="D237">
        <v>0</v>
      </c>
      <c r="E237" s="10">
        <v>1</v>
      </c>
      <c r="F237" s="10">
        <v>1</v>
      </c>
      <c r="G237" s="10">
        <v>1</v>
      </c>
      <c r="H237" s="10">
        <v>1</v>
      </c>
      <c r="I237" s="10">
        <v>1</v>
      </c>
      <c r="J237" t="s">
        <v>3736</v>
      </c>
      <c r="L237" s="32" t="e">
        <f>IF(xxYear&gt;=$D237,L$235,NA())</f>
        <v>#VALUE!</v>
      </c>
    </row>
    <row r="238" spans="2:12">
      <c r="D238">
        <v>1</v>
      </c>
      <c r="E238" s="10">
        <f t="shared" ref="E238:I241" si="13">IF(xxYear&gt;=$D238,E$235,NA())</f>
        <v>1</v>
      </c>
      <c r="F238" s="10">
        <f t="shared" si="13"/>
        <v>1</v>
      </c>
      <c r="G238" s="10">
        <f t="shared" si="13"/>
        <v>1</v>
      </c>
      <c r="H238" s="10">
        <f t="shared" si="13"/>
        <v>1</v>
      </c>
      <c r="I238" s="10">
        <f t="shared" si="13"/>
        <v>1</v>
      </c>
      <c r="L238" s="32" t="e">
        <f>IF(xxYear&gt;=$D238,L$235,NA())</f>
        <v>#VALUE!</v>
      </c>
    </row>
    <row r="239" spans="2:12">
      <c r="D239">
        <v>2</v>
      </c>
      <c r="E239" s="10" t="e">
        <f t="shared" si="13"/>
        <v>#N/A</v>
      </c>
      <c r="F239" s="10" t="e">
        <f t="shared" si="13"/>
        <v>#N/A</v>
      </c>
      <c r="G239" s="10" t="e">
        <f t="shared" si="13"/>
        <v>#N/A</v>
      </c>
      <c r="H239" s="10" t="e">
        <f t="shared" si="13"/>
        <v>#N/A</v>
      </c>
      <c r="I239" s="10" t="e">
        <f t="shared" si="13"/>
        <v>#N/A</v>
      </c>
      <c r="L239" s="32" t="e">
        <f>IF(xxYear&gt;=$D239,L$235,NA())</f>
        <v>#N/A</v>
      </c>
    </row>
    <row r="240" spans="2:12">
      <c r="D240">
        <v>3</v>
      </c>
      <c r="E240" s="10" t="e">
        <f t="shared" si="13"/>
        <v>#N/A</v>
      </c>
      <c r="F240" s="10" t="e">
        <f t="shared" si="13"/>
        <v>#N/A</v>
      </c>
      <c r="G240" s="10" t="e">
        <f t="shared" si="13"/>
        <v>#N/A</v>
      </c>
      <c r="H240" s="10" t="e">
        <f t="shared" si="13"/>
        <v>#N/A</v>
      </c>
      <c r="I240" s="10" t="e">
        <f t="shared" si="13"/>
        <v>#N/A</v>
      </c>
      <c r="L240" s="32" t="e">
        <f>IF(xxYear&gt;=$D240,L$235,NA())</f>
        <v>#N/A</v>
      </c>
    </row>
    <row r="241" spans="4:12">
      <c r="D241">
        <v>4</v>
      </c>
      <c r="E241" s="10" t="e">
        <f t="shared" si="13"/>
        <v>#N/A</v>
      </c>
      <c r="F241" s="10" t="e">
        <f t="shared" si="13"/>
        <v>#N/A</v>
      </c>
      <c r="G241" s="10" t="e">
        <f t="shared" si="13"/>
        <v>#N/A</v>
      </c>
      <c r="H241" s="10" t="e">
        <f t="shared" si="13"/>
        <v>#N/A</v>
      </c>
      <c r="I241" s="10" t="e">
        <f t="shared" si="13"/>
        <v>#N/A</v>
      </c>
      <c r="L241" s="32" t="e">
        <f>IF(xxYear&gt;=$D241,L$235,NA())</f>
        <v>#N/A</v>
      </c>
    </row>
    <row r="242" spans="4:12">
      <c r="L242" s="32"/>
    </row>
    <row r="243" spans="4:12">
      <c r="D243" s="77" t="s">
        <v>1403</v>
      </c>
      <c r="E243" s="398">
        <f>capReg2Prod2UnitsSold</f>
        <v>0</v>
      </c>
      <c r="F243" s="398">
        <f>capReg2Prod2UnitsSold</f>
        <v>0</v>
      </c>
      <c r="G243" s="398">
        <f>capReg2Prod2UnitsSold</f>
        <v>0</v>
      </c>
      <c r="H243" s="398">
        <f>capReg2Prod2UnitsSold</f>
        <v>0</v>
      </c>
      <c r="I243" s="398">
        <f>capReg2Prod2UnitsSold</f>
        <v>0</v>
      </c>
      <c r="L243" s="32" t="e">
        <f>capReg2Prod2UnitsSold</f>
        <v>#VALUE!</v>
      </c>
    </row>
    <row r="244" spans="4:12">
      <c r="E244" t="str">
        <f>decTeamName</f>
        <v>Vivia</v>
      </c>
      <c r="F244" t="str">
        <f>decTeamName</f>
        <v>Vivia</v>
      </c>
      <c r="G244" t="str">
        <f>decTeamName</f>
        <v>Vivia</v>
      </c>
      <c r="H244" t="str">
        <f>decTeamName</f>
        <v>Vivia</v>
      </c>
      <c r="I244" t="str">
        <f>decTeamName</f>
        <v>Vivia</v>
      </c>
      <c r="L244" s="32" t="e">
        <f>decTeamName</f>
        <v>#VALUE!</v>
      </c>
    </row>
    <row r="245" spans="4:12">
      <c r="D245">
        <v>0</v>
      </c>
      <c r="E245" s="398">
        <v>0</v>
      </c>
      <c r="F245" s="398">
        <v>0</v>
      </c>
      <c r="G245" s="398">
        <v>0</v>
      </c>
      <c r="H245" s="398">
        <v>0</v>
      </c>
      <c r="I245" s="398">
        <v>0</v>
      </c>
      <c r="J245" t="s">
        <v>3737</v>
      </c>
      <c r="L245" s="32" t="e">
        <f>IF(xxYear&gt;=$D245,L$243,NA())</f>
        <v>#VALUE!</v>
      </c>
    </row>
    <row r="246" spans="4:12">
      <c r="D246">
        <v>1</v>
      </c>
      <c r="E246" s="398">
        <f t="shared" ref="E246:I249" si="14">IF(xxYear&gt;=$D246,E$243,NA())</f>
        <v>0</v>
      </c>
      <c r="F246" s="398">
        <f t="shared" si="14"/>
        <v>0</v>
      </c>
      <c r="G246" s="398">
        <f t="shared" si="14"/>
        <v>0</v>
      </c>
      <c r="H246" s="398">
        <f t="shared" si="14"/>
        <v>0</v>
      </c>
      <c r="I246" s="398">
        <f t="shared" si="14"/>
        <v>0</v>
      </c>
      <c r="L246" s="32" t="e">
        <f>IF(xxYear&gt;=$D246,L$243,NA())</f>
        <v>#VALUE!</v>
      </c>
    </row>
    <row r="247" spans="4:12">
      <c r="D247">
        <v>2</v>
      </c>
      <c r="E247" s="398" t="e">
        <f t="shared" si="14"/>
        <v>#N/A</v>
      </c>
      <c r="F247" s="398" t="e">
        <f t="shared" si="14"/>
        <v>#N/A</v>
      </c>
      <c r="G247" s="398" t="e">
        <f t="shared" si="14"/>
        <v>#N/A</v>
      </c>
      <c r="H247" s="398" t="e">
        <f t="shared" si="14"/>
        <v>#N/A</v>
      </c>
      <c r="I247" s="398" t="e">
        <f t="shared" si="14"/>
        <v>#N/A</v>
      </c>
      <c r="L247" s="32" t="e">
        <f>IF(xxYear&gt;=$D247,L$243,NA())</f>
        <v>#N/A</v>
      </c>
    </row>
    <row r="248" spans="4:12">
      <c r="D248">
        <v>3</v>
      </c>
      <c r="E248" s="398" t="e">
        <f t="shared" si="14"/>
        <v>#N/A</v>
      </c>
      <c r="F248" s="398" t="e">
        <f t="shared" si="14"/>
        <v>#N/A</v>
      </c>
      <c r="G248" s="398" t="e">
        <f t="shared" si="14"/>
        <v>#N/A</v>
      </c>
      <c r="H248" s="398" t="e">
        <f t="shared" si="14"/>
        <v>#N/A</v>
      </c>
      <c r="I248" s="398" t="e">
        <f t="shared" si="14"/>
        <v>#N/A</v>
      </c>
      <c r="L248" s="32" t="e">
        <f>IF(xxYear&gt;=$D248,L$243,NA())</f>
        <v>#N/A</v>
      </c>
    </row>
    <row r="249" spans="4:12">
      <c r="D249">
        <v>4</v>
      </c>
      <c r="E249" s="398" t="e">
        <f t="shared" si="14"/>
        <v>#N/A</v>
      </c>
      <c r="F249" s="398" t="e">
        <f t="shared" si="14"/>
        <v>#N/A</v>
      </c>
      <c r="G249" s="398" t="e">
        <f t="shared" si="14"/>
        <v>#N/A</v>
      </c>
      <c r="H249" s="398" t="e">
        <f t="shared" si="14"/>
        <v>#N/A</v>
      </c>
      <c r="I249" s="398" t="e">
        <f t="shared" si="14"/>
        <v>#N/A</v>
      </c>
      <c r="L249" s="32" t="e">
        <f>IF(xxYear&gt;=$D249,L$243,NA())</f>
        <v>#N/A</v>
      </c>
    </row>
    <row r="250" spans="4:12">
      <c r="L250" s="32"/>
    </row>
    <row r="251" spans="4:12">
      <c r="D251" s="77" t="s">
        <v>3145</v>
      </c>
      <c r="E251" s="398" t="e">
        <f>IF(capReg2Prod2UnitsFGEnd&gt;0,capReg2Prod2UnitsSold,NA())</f>
        <v>#N/A</v>
      </c>
      <c r="F251" s="398" t="e">
        <f>IF(capReg2Prod2UnitsFGEnd&gt;0,capReg2Prod2UnitsSold,NA())</f>
        <v>#N/A</v>
      </c>
      <c r="G251" s="398" t="e">
        <f>IF(capReg2Prod2UnitsFGEnd&gt;0,capReg2Prod2UnitsSold,NA())</f>
        <v>#N/A</v>
      </c>
      <c r="H251" s="398" t="e">
        <f>IF(capReg2Prod2UnitsFGEnd&gt;0,capReg2Prod2UnitsSold,NA())</f>
        <v>#N/A</v>
      </c>
      <c r="I251" s="398" t="e">
        <f>IF(capReg2Prod2UnitsFGEnd&gt;0,capReg2Prod2UnitsSold,NA())</f>
        <v>#N/A</v>
      </c>
      <c r="L251" s="118" t="e">
        <f>IF(capReg2Prod2UnitsFGEnd&gt;0,capReg2Prod2UnitsSold,NA())</f>
        <v>#VALUE!</v>
      </c>
    </row>
    <row r="252" spans="4:12">
      <c r="E252" t="str">
        <f>decTeamName</f>
        <v>Vivia</v>
      </c>
      <c r="F252" t="str">
        <f>decTeamName</f>
        <v>Vivia</v>
      </c>
      <c r="G252" t="str">
        <f>decTeamName</f>
        <v>Vivia</v>
      </c>
      <c r="H252" t="str">
        <f>decTeamName</f>
        <v>Vivia</v>
      </c>
      <c r="I252" t="str">
        <f>decTeamName</f>
        <v>Vivia</v>
      </c>
      <c r="L252" s="32" t="e">
        <f>decTeamName</f>
        <v>#VALUE!</v>
      </c>
    </row>
    <row r="253" spans="4:12">
      <c r="D253">
        <v>0</v>
      </c>
      <c r="E253" s="398">
        <v>225000000</v>
      </c>
      <c r="F253" s="398">
        <v>225000000</v>
      </c>
      <c r="G253" s="398">
        <v>225000000</v>
      </c>
      <c r="H253" s="398">
        <v>225000000</v>
      </c>
      <c r="I253" s="398">
        <v>225000000</v>
      </c>
      <c r="J253" t="s">
        <v>3738</v>
      </c>
      <c r="L253" s="32" t="e">
        <f>IF(xxYear=$D253,L$187,NA())</f>
        <v>#N/A</v>
      </c>
    </row>
    <row r="254" spans="4:12">
      <c r="D254">
        <v>1</v>
      </c>
      <c r="E254" s="398">
        <f>IF(xxYear=$D254,E$187,NA())</f>
        <v>225000000</v>
      </c>
      <c r="F254" s="398">
        <f>IF(xxYear=$D254,F$187,NA())</f>
        <v>225000000</v>
      </c>
      <c r="G254" s="398">
        <f>IF(xxYear=$D254,G$187,NA())</f>
        <v>225000000</v>
      </c>
      <c r="H254" s="398">
        <f>IF(xxYear=$D254,H$187,NA())</f>
        <v>225000000</v>
      </c>
      <c r="I254" s="398">
        <f>IF(xxYear=$D254,I$187,NA())</f>
        <v>225000000</v>
      </c>
      <c r="L254" s="32" t="e">
        <f>IF(xxYear=$D254,L$187,NA())</f>
        <v>#VALUE!</v>
      </c>
    </row>
    <row r="255" spans="4:12">
      <c r="D255">
        <v>2</v>
      </c>
      <c r="E255" s="398" t="e">
        <f>IF(xxYear=$D255,E251,NA())</f>
        <v>#N/A</v>
      </c>
      <c r="F255" s="398" t="e">
        <f>IF(xxYear=$D255,F251,NA())</f>
        <v>#N/A</v>
      </c>
      <c r="G255" s="398" t="e">
        <f>IF(xxYear=$D255,G251,NA())</f>
        <v>#N/A</v>
      </c>
      <c r="H255" s="398" t="e">
        <f>IF(xxYear=$D255,H251,NA())</f>
        <v>#N/A</v>
      </c>
      <c r="I255" s="398" t="e">
        <f>IF(xxYear=$D255,I251,NA())</f>
        <v>#N/A</v>
      </c>
      <c r="L255" s="32" t="e">
        <f>IF(xxYear=$D255,L251,NA())</f>
        <v>#N/A</v>
      </c>
    </row>
    <row r="256" spans="4:12">
      <c r="D256">
        <v>3</v>
      </c>
      <c r="E256" s="398" t="e">
        <f>IF(xxYear=$D256,E251,NA())</f>
        <v>#N/A</v>
      </c>
      <c r="F256" s="398" t="e">
        <f>IF(xxYear=$D256,F251,NA())</f>
        <v>#N/A</v>
      </c>
      <c r="G256" s="398" t="e">
        <f>IF(xxYear=$D256,G251,NA())</f>
        <v>#N/A</v>
      </c>
      <c r="H256" s="398" t="e">
        <f>IF(xxYear=$D256,H251,NA())</f>
        <v>#N/A</v>
      </c>
      <c r="I256" s="398" t="e">
        <f>IF(xxYear=$D256,I251,NA())</f>
        <v>#N/A</v>
      </c>
      <c r="L256" s="32" t="e">
        <f>IF(xxYear=$D256,L251,NA())</f>
        <v>#N/A</v>
      </c>
    </row>
    <row r="257" spans="1:12" ht="12" customHeight="1">
      <c r="D257">
        <v>4</v>
      </c>
      <c r="E257" s="398" t="e">
        <f>IF(xxYear=$D257,E251,NA())</f>
        <v>#N/A</v>
      </c>
      <c r="F257" s="398" t="e">
        <f>IF(xxYear=$D257,F251,NA())</f>
        <v>#N/A</v>
      </c>
      <c r="G257" s="398" t="e">
        <f>IF(xxYear=$D257,G251,NA())</f>
        <v>#N/A</v>
      </c>
      <c r="H257" s="398" t="e">
        <f>IF(xxYear=$D257,H251,NA())</f>
        <v>#N/A</v>
      </c>
      <c r="I257" s="398" t="e">
        <f>IF(xxYear=$D257,I251,NA())</f>
        <v>#N/A</v>
      </c>
      <c r="L257" s="32" t="e">
        <f>IF(xxYear=$D257,L251,NA())</f>
        <v>#N/A</v>
      </c>
    </row>
    <row r="258" spans="1:12" ht="12" customHeight="1">
      <c r="E258" s="10"/>
      <c r="F258" s="10"/>
      <c r="G258" s="10"/>
      <c r="H258" s="10"/>
      <c r="I258" s="10"/>
      <c r="L258" s="32"/>
    </row>
    <row r="259" spans="1:12">
      <c r="D259" s="77" t="s">
        <v>1174</v>
      </c>
      <c r="E259" s="10">
        <f>IF(capReg2Prod2UnitsFGEnd&lt;=0,capReg2Prod2UnitsSold,NA())</f>
        <v>0</v>
      </c>
      <c r="F259" s="10">
        <f>IF(capReg2Prod2UnitsFGEnd&lt;=0,capReg2Prod2UnitsSold,NA())</f>
        <v>0</v>
      </c>
      <c r="G259" s="10">
        <f>IF(capReg2Prod2UnitsFGEnd&lt;=0,capReg2Prod2UnitsSold,NA())</f>
        <v>0</v>
      </c>
      <c r="H259" s="10">
        <f>IF(capReg2Prod2UnitsFGEnd&lt;=0,capReg2Prod2UnitsSold,NA())</f>
        <v>0</v>
      </c>
      <c r="I259" s="10">
        <f>IF(capReg2Prod2UnitsFGEnd&lt;=0,capReg2Prod2UnitsSold,NA())</f>
        <v>0</v>
      </c>
      <c r="L259" s="32" t="e">
        <f>IF(capReg2Prod2UnitsFGEnd&lt;=0,capReg2Prod2UnitsSold,NA())</f>
        <v>#VALUE!</v>
      </c>
    </row>
    <row r="260" spans="1:12">
      <c r="E260" t="str">
        <f>decTeamName</f>
        <v>Vivia</v>
      </c>
      <c r="F260" t="str">
        <f>decTeamName</f>
        <v>Vivia</v>
      </c>
      <c r="G260" t="str">
        <f>decTeamName</f>
        <v>Vivia</v>
      </c>
      <c r="H260" t="str">
        <f>decTeamName</f>
        <v>Vivia</v>
      </c>
      <c r="I260" t="str">
        <f>decTeamName</f>
        <v>Vivia</v>
      </c>
      <c r="L260" s="32" t="e">
        <f>decTeamName</f>
        <v>#VALUE!</v>
      </c>
    </row>
    <row r="261" spans="1:12">
      <c r="D261">
        <v>0</v>
      </c>
      <c r="E261" s="10">
        <v>0</v>
      </c>
      <c r="F261" s="10">
        <v>0</v>
      </c>
      <c r="G261" s="10">
        <v>0</v>
      </c>
      <c r="H261" s="10">
        <v>0</v>
      </c>
      <c r="I261" s="10">
        <v>0</v>
      </c>
      <c r="J261" t="s">
        <v>3739</v>
      </c>
      <c r="L261" s="32" t="e">
        <f>IF(xxYear=$D261,L$259,NA())</f>
        <v>#N/A</v>
      </c>
    </row>
    <row r="262" spans="1:12">
      <c r="D262">
        <v>1</v>
      </c>
      <c r="E262" s="10">
        <f t="shared" ref="E262:I265" si="15">IF(xxYear=$D262,E$259,NA())</f>
        <v>0</v>
      </c>
      <c r="F262" s="10">
        <f t="shared" si="15"/>
        <v>0</v>
      </c>
      <c r="G262" s="10">
        <f t="shared" si="15"/>
        <v>0</v>
      </c>
      <c r="H262" s="10">
        <f t="shared" si="15"/>
        <v>0</v>
      </c>
      <c r="I262" s="10">
        <f t="shared" si="15"/>
        <v>0</v>
      </c>
      <c r="L262" s="32" t="e">
        <f>IF(xxYear=$D262,L$259,NA())</f>
        <v>#VALUE!</v>
      </c>
    </row>
    <row r="263" spans="1:12">
      <c r="D263">
        <v>2</v>
      </c>
      <c r="E263" s="10" t="e">
        <f t="shared" si="15"/>
        <v>#N/A</v>
      </c>
      <c r="F263" s="10" t="e">
        <f t="shared" si="15"/>
        <v>#N/A</v>
      </c>
      <c r="G263" s="10" t="e">
        <f t="shared" si="15"/>
        <v>#N/A</v>
      </c>
      <c r="H263" s="10" t="e">
        <f t="shared" si="15"/>
        <v>#N/A</v>
      </c>
      <c r="I263" s="10" t="e">
        <f t="shared" si="15"/>
        <v>#N/A</v>
      </c>
      <c r="L263" s="32" t="e">
        <f>IF(xxYear=$D263,L$259,NA())</f>
        <v>#N/A</v>
      </c>
    </row>
    <row r="264" spans="1:12">
      <c r="D264">
        <v>3</v>
      </c>
      <c r="E264" s="10" t="e">
        <f t="shared" si="15"/>
        <v>#N/A</v>
      </c>
      <c r="F264" s="10" t="e">
        <f t="shared" si="15"/>
        <v>#N/A</v>
      </c>
      <c r="G264" s="10" t="e">
        <f t="shared" si="15"/>
        <v>#N/A</v>
      </c>
      <c r="H264" s="10" t="e">
        <f t="shared" si="15"/>
        <v>#N/A</v>
      </c>
      <c r="I264" s="10" t="e">
        <f t="shared" si="15"/>
        <v>#N/A</v>
      </c>
      <c r="L264" s="32" t="e">
        <f>IF(xxYear=$D264,L$259,NA())</f>
        <v>#N/A</v>
      </c>
    </row>
    <row r="265" spans="1:12">
      <c r="D265">
        <v>4</v>
      </c>
      <c r="E265" s="10" t="e">
        <f t="shared" si="15"/>
        <v>#N/A</v>
      </c>
      <c r="F265" s="10" t="e">
        <f t="shared" si="15"/>
        <v>#N/A</v>
      </c>
      <c r="G265" s="10" t="e">
        <f t="shared" si="15"/>
        <v>#N/A</v>
      </c>
      <c r="H265" s="10" t="e">
        <f t="shared" si="15"/>
        <v>#N/A</v>
      </c>
      <c r="I265" s="10" t="e">
        <f t="shared" si="15"/>
        <v>#N/A</v>
      </c>
      <c r="L265" s="32" t="e">
        <f>IF(xxYear=$D265,L$259,NA())</f>
        <v>#N/A</v>
      </c>
    </row>
    <row r="266" spans="1:12">
      <c r="E266" s="10"/>
      <c r="F266" s="10"/>
      <c r="G266" s="10"/>
      <c r="H266" s="10"/>
      <c r="I266" s="10"/>
      <c r="L266" s="32"/>
    </row>
    <row r="267" spans="1:12">
      <c r="D267" s="2"/>
      <c r="L267" s="32"/>
    </row>
    <row r="268" spans="1:12">
      <c r="D268" s="2"/>
      <c r="L268" s="32"/>
    </row>
    <row r="269" spans="1:12">
      <c r="A269" s="717" t="s">
        <v>3474</v>
      </c>
      <c r="D269" s="77" t="s">
        <v>2206</v>
      </c>
      <c r="E269" s="138">
        <f ca="1">finPNLoperEarnPct</f>
        <v>0.23313640029477442</v>
      </c>
      <c r="F269" s="138">
        <f ca="1">finPNLoperEarnPct</f>
        <v>0.23313640029477442</v>
      </c>
      <c r="G269" s="138">
        <f ca="1">finPNLoperEarnPct</f>
        <v>0.23313640029477442</v>
      </c>
      <c r="H269" s="138">
        <f ca="1">finPNLoperEarnPct</f>
        <v>0.23313640029477442</v>
      </c>
      <c r="I269" s="138">
        <f ca="1">finPNLoperEarnPct</f>
        <v>0.23313640029477442</v>
      </c>
      <c r="L269" s="32" t="e">
        <f>finPNLoperEarnPct</f>
        <v>#VALUE!</v>
      </c>
    </row>
    <row r="270" spans="1:12">
      <c r="D270" s="2"/>
      <c r="E270" t="str">
        <f>decTeamName</f>
        <v>Vivia</v>
      </c>
      <c r="F270" t="str">
        <f>decTeamName</f>
        <v>Vivia</v>
      </c>
      <c r="G270" t="str">
        <f>decTeamName</f>
        <v>Vivia</v>
      </c>
      <c r="H270" t="str">
        <f>decTeamName</f>
        <v>Vivia</v>
      </c>
      <c r="I270" t="str">
        <f>decTeamName</f>
        <v>Vivia</v>
      </c>
      <c r="L270" s="32" t="e">
        <f>decTeamName</f>
        <v>#VALUE!</v>
      </c>
    </row>
    <row r="271" spans="1:12">
      <c r="D271">
        <v>0</v>
      </c>
      <c r="E271" s="138">
        <v>0.23163048596840308</v>
      </c>
      <c r="F271" s="138">
        <v>0.23163048596840308</v>
      </c>
      <c r="G271" s="138">
        <v>0.23163048596840308</v>
      </c>
      <c r="H271" s="138">
        <v>0.23163048596840308</v>
      </c>
      <c r="I271" s="138">
        <v>0.23163048596840308</v>
      </c>
      <c r="J271" t="s">
        <v>2207</v>
      </c>
      <c r="L271" s="32" t="e">
        <f>IF(xxYear=$D271,L$269,NA())</f>
        <v>#N/A</v>
      </c>
    </row>
    <row r="272" spans="1:12">
      <c r="D272">
        <v>1</v>
      </c>
      <c r="E272" s="138">
        <f t="shared" ref="E272:I275" ca="1" si="16">IF(xxYear=$D272,E$269,NA())</f>
        <v>0.23313640029477442</v>
      </c>
      <c r="F272" s="138">
        <f t="shared" ca="1" si="16"/>
        <v>0.23313640029477442</v>
      </c>
      <c r="G272" s="138">
        <f t="shared" ca="1" si="16"/>
        <v>0.23313640029477442</v>
      </c>
      <c r="H272" s="138">
        <f t="shared" ca="1" si="16"/>
        <v>0.23313640029477442</v>
      </c>
      <c r="I272" s="138">
        <f t="shared" ca="1" si="16"/>
        <v>0.23313640029477442</v>
      </c>
      <c r="L272" s="32" t="e">
        <f>IF(xxYear=$D272,L$269,NA())</f>
        <v>#VALUE!</v>
      </c>
    </row>
    <row r="273" spans="4:12">
      <c r="D273">
        <v>2</v>
      </c>
      <c r="E273" s="138" t="e">
        <f t="shared" si="16"/>
        <v>#N/A</v>
      </c>
      <c r="F273" s="138" t="e">
        <f t="shared" si="16"/>
        <v>#N/A</v>
      </c>
      <c r="G273" s="138" t="e">
        <f t="shared" si="16"/>
        <v>#N/A</v>
      </c>
      <c r="H273" s="138" t="e">
        <f t="shared" si="16"/>
        <v>#N/A</v>
      </c>
      <c r="I273" s="138" t="e">
        <f t="shared" si="16"/>
        <v>#N/A</v>
      </c>
      <c r="L273" s="32" t="e">
        <f>IF(xxYear=$D273,L$269,NA())</f>
        <v>#N/A</v>
      </c>
    </row>
    <row r="274" spans="4:12">
      <c r="D274">
        <v>3</v>
      </c>
      <c r="E274" s="138" t="e">
        <f t="shared" si="16"/>
        <v>#N/A</v>
      </c>
      <c r="F274" s="138" t="e">
        <f t="shared" si="16"/>
        <v>#N/A</v>
      </c>
      <c r="G274" s="138" t="e">
        <f t="shared" si="16"/>
        <v>#N/A</v>
      </c>
      <c r="H274" s="138" t="e">
        <f t="shared" si="16"/>
        <v>#N/A</v>
      </c>
      <c r="I274" s="138" t="e">
        <f t="shared" si="16"/>
        <v>#N/A</v>
      </c>
      <c r="L274" s="32" t="e">
        <f>IF(xxYear=$D274,L$269,NA())</f>
        <v>#N/A</v>
      </c>
    </row>
    <row r="275" spans="4:12">
      <c r="D275">
        <v>4</v>
      </c>
      <c r="E275" s="138" t="e">
        <f t="shared" si="16"/>
        <v>#N/A</v>
      </c>
      <c r="F275" s="138" t="e">
        <f t="shared" si="16"/>
        <v>#N/A</v>
      </c>
      <c r="G275" s="138" t="e">
        <f t="shared" si="16"/>
        <v>#N/A</v>
      </c>
      <c r="H275" s="138" t="e">
        <f t="shared" si="16"/>
        <v>#N/A</v>
      </c>
      <c r="I275" s="138" t="e">
        <f t="shared" si="16"/>
        <v>#N/A</v>
      </c>
      <c r="L275" s="32" t="e">
        <f>IF(xxYear=$D275,L$269,NA())</f>
        <v>#N/A</v>
      </c>
    </row>
    <row r="276" spans="4:12">
      <c r="D276" s="2"/>
      <c r="L276" s="32"/>
    </row>
    <row r="277" spans="4:12">
      <c r="D277" s="77" t="s">
        <v>2208</v>
      </c>
      <c r="E277" s="138">
        <f ca="1">finPNLReg1OpsMarginPct</f>
        <v>0.24008584776586239</v>
      </c>
      <c r="F277" s="138">
        <f ca="1">finPNLReg1OpsMarginPct</f>
        <v>0.24008584776586239</v>
      </c>
      <c r="G277" s="138">
        <f ca="1">finPNLReg1OpsMarginPct</f>
        <v>0.24008584776586239</v>
      </c>
      <c r="H277" s="138">
        <f ca="1">finPNLReg1OpsMarginPct</f>
        <v>0.24008584776586239</v>
      </c>
      <c r="I277" s="138">
        <f ca="1">finPNLReg1OpsMarginPct</f>
        <v>0.24008584776586239</v>
      </c>
      <c r="L277" s="32" t="e">
        <f>finPNLReg1OpsMarginPct</f>
        <v>#VALUE!</v>
      </c>
    </row>
    <row r="278" spans="4:12">
      <c r="D278" s="77"/>
      <c r="E278" t="str">
        <f>decTeamName</f>
        <v>Vivia</v>
      </c>
      <c r="F278" t="str">
        <f>decTeamName</f>
        <v>Vivia</v>
      </c>
      <c r="G278" t="str">
        <f>decTeamName</f>
        <v>Vivia</v>
      </c>
      <c r="H278" t="str">
        <f>decTeamName</f>
        <v>Vivia</v>
      </c>
      <c r="I278" t="str">
        <f>decTeamName</f>
        <v>Vivia</v>
      </c>
      <c r="L278" s="32" t="e">
        <f>decTeamName</f>
        <v>#VALUE!</v>
      </c>
    </row>
    <row r="279" spans="4:12">
      <c r="D279" s="604">
        <v>0</v>
      </c>
      <c r="E279" s="138">
        <v>0.23971690222716563</v>
      </c>
      <c r="F279" s="138">
        <v>0.23971690222716563</v>
      </c>
      <c r="G279" s="138">
        <v>0.23971690222716563</v>
      </c>
      <c r="H279" s="138">
        <v>0.23971690222716563</v>
      </c>
      <c r="I279" s="138">
        <v>0.23971690222716563</v>
      </c>
      <c r="J279" t="s">
        <v>2209</v>
      </c>
      <c r="L279" s="32" t="e">
        <f>IF(xxYear=$D279,L$277,NA())</f>
        <v>#N/A</v>
      </c>
    </row>
    <row r="280" spans="4:12">
      <c r="D280" s="604">
        <v>1</v>
      </c>
      <c r="E280" s="138">
        <f t="shared" ref="E280:I283" ca="1" si="17">IF(xxYear=$D280,E$277,NA())</f>
        <v>0.24008584776586239</v>
      </c>
      <c r="F280" s="138">
        <f t="shared" ca="1" si="17"/>
        <v>0.24008584776586239</v>
      </c>
      <c r="G280" s="138">
        <f t="shared" ca="1" si="17"/>
        <v>0.24008584776586239</v>
      </c>
      <c r="H280" s="138">
        <f t="shared" ca="1" si="17"/>
        <v>0.24008584776586239</v>
      </c>
      <c r="I280" s="138">
        <f t="shared" ca="1" si="17"/>
        <v>0.24008584776586239</v>
      </c>
      <c r="L280" s="32" t="e">
        <f>IF(xxYear=$D280,L$277,NA())</f>
        <v>#VALUE!</v>
      </c>
    </row>
    <row r="281" spans="4:12">
      <c r="D281" s="604">
        <v>2</v>
      </c>
      <c r="E281" s="138" t="e">
        <f t="shared" si="17"/>
        <v>#N/A</v>
      </c>
      <c r="F281" s="138" t="e">
        <f t="shared" si="17"/>
        <v>#N/A</v>
      </c>
      <c r="G281" s="138" t="e">
        <f t="shared" si="17"/>
        <v>#N/A</v>
      </c>
      <c r="H281" s="138" t="e">
        <f t="shared" si="17"/>
        <v>#N/A</v>
      </c>
      <c r="I281" s="138" t="e">
        <f t="shared" si="17"/>
        <v>#N/A</v>
      </c>
      <c r="L281" s="32" t="e">
        <f>IF(xxYear=$D281,L$277,NA())</f>
        <v>#N/A</v>
      </c>
    </row>
    <row r="282" spans="4:12">
      <c r="D282" s="604">
        <v>3</v>
      </c>
      <c r="E282" s="138" t="e">
        <f t="shared" si="17"/>
        <v>#N/A</v>
      </c>
      <c r="F282" s="138" t="e">
        <f t="shared" si="17"/>
        <v>#N/A</v>
      </c>
      <c r="G282" s="138" t="e">
        <f t="shared" si="17"/>
        <v>#N/A</v>
      </c>
      <c r="H282" s="138" t="e">
        <f t="shared" si="17"/>
        <v>#N/A</v>
      </c>
      <c r="I282" s="138" t="e">
        <f t="shared" si="17"/>
        <v>#N/A</v>
      </c>
      <c r="L282" s="32" t="e">
        <f>IF(xxYear=$D282,L$277,NA())</f>
        <v>#N/A</v>
      </c>
    </row>
    <row r="283" spans="4:12">
      <c r="D283" s="604">
        <v>4</v>
      </c>
      <c r="E283" s="138" t="e">
        <f t="shared" si="17"/>
        <v>#N/A</v>
      </c>
      <c r="F283" s="138" t="e">
        <f t="shared" si="17"/>
        <v>#N/A</v>
      </c>
      <c r="G283" s="138" t="e">
        <f t="shared" si="17"/>
        <v>#N/A</v>
      </c>
      <c r="H283" s="138" t="e">
        <f t="shared" si="17"/>
        <v>#N/A</v>
      </c>
      <c r="I283" s="138" t="e">
        <f t="shared" si="17"/>
        <v>#N/A</v>
      </c>
      <c r="L283" s="32" t="e">
        <f>IF(xxYear=$D283,L$277,NA())</f>
        <v>#N/A</v>
      </c>
    </row>
    <row r="284" spans="4:12">
      <c r="D284" s="77"/>
      <c r="L284" s="32"/>
    </row>
    <row r="285" spans="4:12">
      <c r="D285" s="77" t="s">
        <v>2210</v>
      </c>
      <c r="E285" s="138">
        <f ca="1">finPNLReg2OpsMarginPct</f>
        <v>0.24394065367317938</v>
      </c>
      <c r="F285" s="138">
        <f ca="1">finPNLReg2OpsMarginPct</f>
        <v>0.24394065367317938</v>
      </c>
      <c r="G285" s="138">
        <f ca="1">finPNLReg2OpsMarginPct</f>
        <v>0.24394065367317938</v>
      </c>
      <c r="H285" s="138">
        <f ca="1">finPNLReg2OpsMarginPct</f>
        <v>0.24394065367317938</v>
      </c>
      <c r="I285" s="138">
        <f ca="1">finPNLReg2OpsMarginPct</f>
        <v>0.24394065367317938</v>
      </c>
      <c r="L285" s="32" t="e">
        <f>finPNLReg2OpsMarginPct</f>
        <v>#VALUE!</v>
      </c>
    </row>
    <row r="286" spans="4:12">
      <c r="D286" s="77"/>
      <c r="E286" t="str">
        <f>decTeamName</f>
        <v>Vivia</v>
      </c>
      <c r="F286" t="str">
        <f>decTeamName</f>
        <v>Vivia</v>
      </c>
      <c r="G286" t="str">
        <f>decTeamName</f>
        <v>Vivia</v>
      </c>
      <c r="H286" t="str">
        <f>decTeamName</f>
        <v>Vivia</v>
      </c>
      <c r="I286" t="str">
        <f>decTeamName</f>
        <v>Vivia</v>
      </c>
      <c r="L286" s="32" t="e">
        <f>decTeamName</f>
        <v>#VALUE!</v>
      </c>
    </row>
    <row r="287" spans="4:12">
      <c r="D287" s="604">
        <v>0</v>
      </c>
      <c r="E287" s="138">
        <v>0.23973409403726531</v>
      </c>
      <c r="F287" s="138">
        <v>0.23973409403726531</v>
      </c>
      <c r="G287" s="138">
        <v>0.23973409403726531</v>
      </c>
      <c r="H287" s="138">
        <v>0.23973409403726531</v>
      </c>
      <c r="I287" s="138">
        <v>0.23973409403726531</v>
      </c>
      <c r="J287" t="s">
        <v>2211</v>
      </c>
      <c r="L287" s="32" t="e">
        <f>IF(xxYear=$D287,L$285,NA())</f>
        <v>#N/A</v>
      </c>
    </row>
    <row r="288" spans="4:12">
      <c r="D288" s="604">
        <v>1</v>
      </c>
      <c r="E288" s="138">
        <f t="shared" ref="E288:I291" ca="1" si="18">IF(xxYear=$D288,E$285,NA())</f>
        <v>0.24394065367317938</v>
      </c>
      <c r="F288" s="138">
        <f t="shared" ca="1" si="18"/>
        <v>0.24394065367317938</v>
      </c>
      <c r="G288" s="138">
        <f t="shared" ca="1" si="18"/>
        <v>0.24394065367317938</v>
      </c>
      <c r="H288" s="138">
        <f t="shared" ca="1" si="18"/>
        <v>0.24394065367317938</v>
      </c>
      <c r="I288" s="138">
        <f t="shared" ca="1" si="18"/>
        <v>0.24394065367317938</v>
      </c>
      <c r="L288" s="32" t="e">
        <f>IF(xxYear=$D288,L$285,NA())</f>
        <v>#VALUE!</v>
      </c>
    </row>
    <row r="289" spans="4:14">
      <c r="D289" s="604">
        <v>2</v>
      </c>
      <c r="E289" s="138" t="e">
        <f t="shared" si="18"/>
        <v>#N/A</v>
      </c>
      <c r="F289" s="138" t="e">
        <f t="shared" si="18"/>
        <v>#N/A</v>
      </c>
      <c r="G289" s="138" t="e">
        <f t="shared" si="18"/>
        <v>#N/A</v>
      </c>
      <c r="H289" s="138" t="e">
        <f t="shared" si="18"/>
        <v>#N/A</v>
      </c>
      <c r="I289" s="138" t="e">
        <f t="shared" si="18"/>
        <v>#N/A</v>
      </c>
      <c r="L289" s="32" t="e">
        <f>IF(xxYear=$D289,L$285,NA())</f>
        <v>#N/A</v>
      </c>
    </row>
    <row r="290" spans="4:14">
      <c r="D290" s="604">
        <v>3</v>
      </c>
      <c r="E290" s="138" t="e">
        <f t="shared" si="18"/>
        <v>#N/A</v>
      </c>
      <c r="F290" s="138" t="e">
        <f t="shared" si="18"/>
        <v>#N/A</v>
      </c>
      <c r="G290" s="138" t="e">
        <f t="shared" si="18"/>
        <v>#N/A</v>
      </c>
      <c r="H290" s="138" t="e">
        <f t="shared" si="18"/>
        <v>#N/A</v>
      </c>
      <c r="I290" s="138" t="e">
        <f t="shared" si="18"/>
        <v>#N/A</v>
      </c>
      <c r="L290" s="32" t="e">
        <f>IF(xxYear=$D290,L$285,NA())</f>
        <v>#N/A</v>
      </c>
    </row>
    <row r="291" spans="4:14">
      <c r="D291" s="604">
        <v>4</v>
      </c>
      <c r="E291" s="138" t="e">
        <f t="shared" si="18"/>
        <v>#N/A</v>
      </c>
      <c r="F291" s="138" t="e">
        <f t="shared" si="18"/>
        <v>#N/A</v>
      </c>
      <c r="G291" s="138" t="e">
        <f t="shared" si="18"/>
        <v>#N/A</v>
      </c>
      <c r="H291" s="138" t="e">
        <f t="shared" si="18"/>
        <v>#N/A</v>
      </c>
      <c r="I291" s="138" t="e">
        <f t="shared" si="18"/>
        <v>#N/A</v>
      </c>
      <c r="L291" s="32" t="e">
        <f>IF(xxYear=$D291,L$285,NA())</f>
        <v>#N/A</v>
      </c>
    </row>
    <row r="292" spans="4:14">
      <c r="D292" s="2"/>
      <c r="L292" s="32"/>
    </row>
    <row r="293" spans="4:14">
      <c r="D293" s="77" t="s">
        <v>3054</v>
      </c>
      <c r="E293" s="395">
        <f>finPNLReg1NetRev</f>
        <v>16104523699.5</v>
      </c>
      <c r="F293" s="395">
        <f>finPNLReg1NetRev</f>
        <v>16104523699.5</v>
      </c>
      <c r="G293" s="395">
        <f>finPNLReg1NetRev</f>
        <v>16104523699.5</v>
      </c>
      <c r="H293" s="395">
        <f>finPNLReg1NetRev</f>
        <v>16104523699.5</v>
      </c>
      <c r="I293" s="395">
        <f>finPNLReg1NetRev</f>
        <v>16104523699.5</v>
      </c>
      <c r="L293" s="32" t="e">
        <f>finPNLReg1NetRev</f>
        <v>#VALUE!</v>
      </c>
      <c r="N293" s="395"/>
    </row>
    <row r="294" spans="4:14">
      <c r="E294" t="str">
        <f>decTeamName</f>
        <v>Vivia</v>
      </c>
      <c r="F294" t="str">
        <f>decTeamName</f>
        <v>Vivia</v>
      </c>
      <c r="G294" t="str">
        <f>decTeamName</f>
        <v>Vivia</v>
      </c>
      <c r="H294" t="str">
        <f>decTeamName</f>
        <v>Vivia</v>
      </c>
      <c r="I294" t="str">
        <f>decTeamName</f>
        <v>Vivia</v>
      </c>
      <c r="L294" s="32" t="e">
        <f>decTeamName</f>
        <v>#VALUE!</v>
      </c>
    </row>
    <row r="295" spans="4:14">
      <c r="D295">
        <v>0</v>
      </c>
      <c r="E295" s="395">
        <v>16162318184</v>
      </c>
      <c r="F295" s="395">
        <v>16162318184</v>
      </c>
      <c r="G295" s="395">
        <v>16162318184</v>
      </c>
      <c r="H295" s="395">
        <v>16162318184</v>
      </c>
      <c r="I295" s="395">
        <v>16162318184</v>
      </c>
      <c r="J295" t="s">
        <v>237</v>
      </c>
      <c r="L295" s="32" t="e">
        <f>IF(xxYear=$D295,L$293,NA())</f>
        <v>#N/A</v>
      </c>
    </row>
    <row r="296" spans="4:14">
      <c r="D296">
        <v>1</v>
      </c>
      <c r="E296" s="395">
        <f t="shared" ref="E296:I299" si="19">IF(xxYear=$D296,E$293,NA())</f>
        <v>16104523699.5</v>
      </c>
      <c r="F296" s="395">
        <f t="shared" si="19"/>
        <v>16104523699.5</v>
      </c>
      <c r="G296" s="395">
        <f t="shared" si="19"/>
        <v>16104523699.5</v>
      </c>
      <c r="H296" s="395">
        <f t="shared" si="19"/>
        <v>16104523699.5</v>
      </c>
      <c r="I296" s="395">
        <f t="shared" si="19"/>
        <v>16104523699.5</v>
      </c>
      <c r="L296" s="32" t="e">
        <f>IF(xxYear=$D296,L$293,NA())</f>
        <v>#VALUE!</v>
      </c>
    </row>
    <row r="297" spans="4:14">
      <c r="D297">
        <v>2</v>
      </c>
      <c r="E297" s="395" t="e">
        <f t="shared" si="19"/>
        <v>#N/A</v>
      </c>
      <c r="F297" s="395" t="e">
        <f t="shared" si="19"/>
        <v>#N/A</v>
      </c>
      <c r="G297" s="395" t="e">
        <f t="shared" si="19"/>
        <v>#N/A</v>
      </c>
      <c r="H297" s="395" t="e">
        <f t="shared" si="19"/>
        <v>#N/A</v>
      </c>
      <c r="I297" s="395" t="e">
        <f t="shared" si="19"/>
        <v>#N/A</v>
      </c>
      <c r="L297" s="32" t="e">
        <f>IF(xxYear=$D297,L$293,NA())</f>
        <v>#N/A</v>
      </c>
    </row>
    <row r="298" spans="4:14">
      <c r="D298">
        <v>3</v>
      </c>
      <c r="E298" s="395" t="e">
        <f t="shared" si="19"/>
        <v>#N/A</v>
      </c>
      <c r="F298" s="395" t="e">
        <f t="shared" si="19"/>
        <v>#N/A</v>
      </c>
      <c r="G298" s="395" t="e">
        <f t="shared" si="19"/>
        <v>#N/A</v>
      </c>
      <c r="H298" s="395" t="e">
        <f t="shared" si="19"/>
        <v>#N/A</v>
      </c>
      <c r="I298" s="395" t="e">
        <f t="shared" si="19"/>
        <v>#N/A</v>
      </c>
      <c r="L298" s="32" t="e">
        <f>IF(xxYear=$D298,L$293,NA())</f>
        <v>#N/A</v>
      </c>
    </row>
    <row r="299" spans="4:14">
      <c r="D299">
        <v>4</v>
      </c>
      <c r="E299" s="395" t="e">
        <f t="shared" si="19"/>
        <v>#N/A</v>
      </c>
      <c r="F299" s="395" t="e">
        <f t="shared" si="19"/>
        <v>#N/A</v>
      </c>
      <c r="G299" s="395" t="e">
        <f t="shared" si="19"/>
        <v>#N/A</v>
      </c>
      <c r="H299" s="395" t="e">
        <f t="shared" si="19"/>
        <v>#N/A</v>
      </c>
      <c r="I299" s="395" t="e">
        <f t="shared" si="19"/>
        <v>#N/A</v>
      </c>
      <c r="L299" s="32" t="e">
        <f>IF(xxYear=$D299,L$293,NA())</f>
        <v>#N/A</v>
      </c>
    </row>
    <row r="300" spans="4:14">
      <c r="D300" s="2"/>
      <c r="L300" s="32"/>
    </row>
    <row r="301" spans="4:14">
      <c r="D301" s="77" t="s">
        <v>3055</v>
      </c>
      <c r="E301" s="395">
        <f>finPNLReg2NetRev</f>
        <v>6517600000</v>
      </c>
      <c r="F301" s="395">
        <f>finPNLReg2NetRev</f>
        <v>6517600000</v>
      </c>
      <c r="G301" s="395">
        <f>finPNLReg2NetRev</f>
        <v>6517600000</v>
      </c>
      <c r="H301" s="395">
        <f>finPNLReg2NetRev</f>
        <v>6517600000</v>
      </c>
      <c r="I301" s="395">
        <f>finPNLReg2NetRev</f>
        <v>6517600000</v>
      </c>
      <c r="L301" s="32" t="e">
        <f>finPNLReg2NetRev</f>
        <v>#VALUE!</v>
      </c>
    </row>
    <row r="302" spans="4:14">
      <c r="E302" t="str">
        <f>decTeamName</f>
        <v>Vivia</v>
      </c>
      <c r="F302" t="str">
        <f>decTeamName</f>
        <v>Vivia</v>
      </c>
      <c r="G302" t="str">
        <f>decTeamName</f>
        <v>Vivia</v>
      </c>
      <c r="H302" t="str">
        <f>decTeamName</f>
        <v>Vivia</v>
      </c>
      <c r="I302" t="str">
        <f>decTeamName</f>
        <v>Vivia</v>
      </c>
      <c r="L302" s="32" t="e">
        <f>decTeamName</f>
        <v>#VALUE!</v>
      </c>
    </row>
    <row r="303" spans="4:14">
      <c r="D303">
        <v>0</v>
      </c>
      <c r="E303" s="395">
        <v>6383253760</v>
      </c>
      <c r="F303" s="395">
        <v>6383253760</v>
      </c>
      <c r="G303" s="395">
        <v>6383253760</v>
      </c>
      <c r="H303" s="395">
        <v>6383253760</v>
      </c>
      <c r="I303" s="395">
        <v>6383253760</v>
      </c>
      <c r="J303" t="s">
        <v>238</v>
      </c>
      <c r="L303" s="32" t="e">
        <f>IF(xxYear=$D303,L$301,NA())</f>
        <v>#N/A</v>
      </c>
    </row>
    <row r="304" spans="4:14">
      <c r="D304">
        <v>1</v>
      </c>
      <c r="E304" s="395">
        <f t="shared" ref="E304:I307" si="20">IF(xxYear=$D304,E$301,NA())</f>
        <v>6517600000</v>
      </c>
      <c r="F304" s="395">
        <f t="shared" si="20"/>
        <v>6517600000</v>
      </c>
      <c r="G304" s="395">
        <f t="shared" si="20"/>
        <v>6517600000</v>
      </c>
      <c r="H304" s="395">
        <f t="shared" si="20"/>
        <v>6517600000</v>
      </c>
      <c r="I304" s="395">
        <f t="shared" si="20"/>
        <v>6517600000</v>
      </c>
      <c r="L304" s="32" t="e">
        <f>IF(xxYear=$D304,L$301,NA())</f>
        <v>#VALUE!</v>
      </c>
    </row>
    <row r="305" spans="2:12">
      <c r="D305">
        <v>2</v>
      </c>
      <c r="E305" s="395" t="e">
        <f t="shared" si="20"/>
        <v>#N/A</v>
      </c>
      <c r="F305" s="395" t="e">
        <f t="shared" si="20"/>
        <v>#N/A</v>
      </c>
      <c r="G305" s="395" t="e">
        <f t="shared" si="20"/>
        <v>#N/A</v>
      </c>
      <c r="H305" s="395" t="e">
        <f t="shared" si="20"/>
        <v>#N/A</v>
      </c>
      <c r="I305" s="395" t="e">
        <f t="shared" si="20"/>
        <v>#N/A</v>
      </c>
      <c r="L305" s="32" t="e">
        <f>IF(xxYear=$D305,L$301,NA())</f>
        <v>#N/A</v>
      </c>
    </row>
    <row r="306" spans="2:12">
      <c r="D306">
        <v>3</v>
      </c>
      <c r="E306" s="395" t="e">
        <f t="shared" si="20"/>
        <v>#N/A</v>
      </c>
      <c r="F306" s="395" t="e">
        <f t="shared" si="20"/>
        <v>#N/A</v>
      </c>
      <c r="G306" s="395" t="e">
        <f t="shared" si="20"/>
        <v>#N/A</v>
      </c>
      <c r="H306" s="395" t="e">
        <f t="shared" si="20"/>
        <v>#N/A</v>
      </c>
      <c r="I306" s="395" t="e">
        <f t="shared" si="20"/>
        <v>#N/A</v>
      </c>
      <c r="L306" s="32" t="e">
        <f>IF(xxYear=$D306,L$301,NA())</f>
        <v>#N/A</v>
      </c>
    </row>
    <row r="307" spans="2:12">
      <c r="D307">
        <v>4</v>
      </c>
      <c r="E307" s="395" t="e">
        <f t="shared" si="20"/>
        <v>#N/A</v>
      </c>
      <c r="F307" s="395" t="e">
        <f t="shared" si="20"/>
        <v>#N/A</v>
      </c>
      <c r="G307" s="395" t="e">
        <f t="shared" si="20"/>
        <v>#N/A</v>
      </c>
      <c r="H307" s="395" t="e">
        <f t="shared" si="20"/>
        <v>#N/A</v>
      </c>
      <c r="I307" s="395" t="e">
        <f t="shared" si="20"/>
        <v>#N/A</v>
      </c>
      <c r="L307" s="32" t="e">
        <f>IF(xxYear=$D307,L$301,NA())</f>
        <v>#N/A</v>
      </c>
    </row>
    <row r="308" spans="2:12">
      <c r="D308" s="2"/>
      <c r="L308" s="32"/>
    </row>
    <row r="309" spans="2:12">
      <c r="B309" s="2"/>
      <c r="D309" s="77" t="s">
        <v>1475</v>
      </c>
      <c r="E309" s="395">
        <f>finPNLNetRev</f>
        <v>22622123699.5</v>
      </c>
      <c r="F309" s="395">
        <f>finPNLNetRev</f>
        <v>22622123699.5</v>
      </c>
      <c r="G309" s="395">
        <f>finPNLNetRev</f>
        <v>22622123699.5</v>
      </c>
      <c r="H309" s="395">
        <f>finPNLNetRev</f>
        <v>22622123699.5</v>
      </c>
      <c r="I309" s="395">
        <f>finPNLNetRev</f>
        <v>22622123699.5</v>
      </c>
      <c r="L309" s="32" t="e">
        <f>finPNLNetRev</f>
        <v>#VALUE!</v>
      </c>
    </row>
    <row r="310" spans="2:12">
      <c r="E310" t="str">
        <f>decTeamName</f>
        <v>Vivia</v>
      </c>
      <c r="F310" t="str">
        <f>decTeamName</f>
        <v>Vivia</v>
      </c>
      <c r="G310" t="str">
        <f>decTeamName</f>
        <v>Vivia</v>
      </c>
      <c r="H310" t="str">
        <f>decTeamName</f>
        <v>Vivia</v>
      </c>
      <c r="I310" t="str">
        <f>decTeamName</f>
        <v>Vivia</v>
      </c>
      <c r="L310" s="32" t="e">
        <f>decTeamName</f>
        <v>#VALUE!</v>
      </c>
    </row>
    <row r="311" spans="2:12">
      <c r="D311">
        <v>0</v>
      </c>
      <c r="E311" s="395">
        <v>22545571944</v>
      </c>
      <c r="F311" s="395">
        <v>22545571944</v>
      </c>
      <c r="G311" s="395">
        <v>22545571944</v>
      </c>
      <c r="H311" s="395">
        <v>22545571944</v>
      </c>
      <c r="I311" s="395">
        <v>22545571944</v>
      </c>
      <c r="J311" t="s">
        <v>404</v>
      </c>
      <c r="L311" s="32" t="e">
        <f>IF(xxYear=$D311,L$309,NA())</f>
        <v>#N/A</v>
      </c>
    </row>
    <row r="312" spans="2:12">
      <c r="D312">
        <v>1</v>
      </c>
      <c r="E312" s="395">
        <f t="shared" ref="E312:I315" si="21">IF(xxYear=$D312,E$309,NA())</f>
        <v>22622123699.5</v>
      </c>
      <c r="F312" s="395">
        <f t="shared" si="21"/>
        <v>22622123699.5</v>
      </c>
      <c r="G312" s="395">
        <f t="shared" si="21"/>
        <v>22622123699.5</v>
      </c>
      <c r="H312" s="395">
        <f t="shared" si="21"/>
        <v>22622123699.5</v>
      </c>
      <c r="I312" s="395">
        <f t="shared" si="21"/>
        <v>22622123699.5</v>
      </c>
      <c r="L312" s="32" t="e">
        <f>IF(xxYear=$D312,L$309,NA())</f>
        <v>#VALUE!</v>
      </c>
    </row>
    <row r="313" spans="2:12">
      <c r="D313">
        <v>2</v>
      </c>
      <c r="E313" s="395" t="e">
        <f t="shared" si="21"/>
        <v>#N/A</v>
      </c>
      <c r="F313" s="395" t="e">
        <f t="shared" si="21"/>
        <v>#N/A</v>
      </c>
      <c r="G313" s="395" t="e">
        <f t="shared" si="21"/>
        <v>#N/A</v>
      </c>
      <c r="H313" s="395" t="e">
        <f t="shared" si="21"/>
        <v>#N/A</v>
      </c>
      <c r="I313" s="395" t="e">
        <f t="shared" si="21"/>
        <v>#N/A</v>
      </c>
      <c r="L313" s="32" t="e">
        <f>IF(xxYear=$D313,L$309,NA())</f>
        <v>#N/A</v>
      </c>
    </row>
    <row r="314" spans="2:12">
      <c r="D314">
        <v>3</v>
      </c>
      <c r="E314" s="395" t="e">
        <f t="shared" si="21"/>
        <v>#N/A</v>
      </c>
      <c r="F314" s="395" t="e">
        <f t="shared" si="21"/>
        <v>#N/A</v>
      </c>
      <c r="G314" s="395" t="e">
        <f t="shared" si="21"/>
        <v>#N/A</v>
      </c>
      <c r="H314" s="395" t="e">
        <f t="shared" si="21"/>
        <v>#N/A</v>
      </c>
      <c r="I314" s="395" t="e">
        <f t="shared" si="21"/>
        <v>#N/A</v>
      </c>
      <c r="L314" s="32" t="e">
        <f>IF(xxYear=$D314,L$309,NA())</f>
        <v>#N/A</v>
      </c>
    </row>
    <row r="315" spans="2:12">
      <c r="D315">
        <v>4</v>
      </c>
      <c r="E315" s="395" t="e">
        <f t="shared" si="21"/>
        <v>#N/A</v>
      </c>
      <c r="F315" s="395" t="e">
        <f t="shared" si="21"/>
        <v>#N/A</v>
      </c>
      <c r="G315" s="395" t="e">
        <f t="shared" si="21"/>
        <v>#N/A</v>
      </c>
      <c r="H315" s="395" t="e">
        <f t="shared" si="21"/>
        <v>#N/A</v>
      </c>
      <c r="I315" s="395" t="e">
        <f t="shared" si="21"/>
        <v>#N/A</v>
      </c>
      <c r="L315" s="32" t="e">
        <f>IF(xxYear=$D315,L$309,NA())</f>
        <v>#N/A</v>
      </c>
    </row>
    <row r="316" spans="2:12">
      <c r="E316" s="395"/>
      <c r="F316" s="395"/>
      <c r="G316" s="395"/>
      <c r="H316" s="395"/>
      <c r="I316" s="395"/>
      <c r="L316" s="32"/>
    </row>
    <row r="317" spans="2:12">
      <c r="D317" s="77" t="str">
        <f>DataNameProd1&amp;" Net Revenues"</f>
        <v>CSD Net Revenues</v>
      </c>
      <c r="E317" s="395">
        <f>finPNLReg1Prod1NetRev+finPNLReg2Prod1NetRev</f>
        <v>7898873699.5</v>
      </c>
      <c r="F317" s="395">
        <f>finPNLReg1Prod1NetRev+finPNLReg2Prod1NetRev</f>
        <v>7898873699.5</v>
      </c>
      <c r="G317" s="395">
        <f>finPNLReg1Prod1NetRev+finPNLReg2Prod1NetRev</f>
        <v>7898873699.5</v>
      </c>
      <c r="H317" s="395">
        <f>finPNLReg1Prod1NetRev+finPNLReg2Prod1NetRev</f>
        <v>7898873699.5</v>
      </c>
      <c r="I317" s="395">
        <f>finPNLReg1Prod1NetRev+finPNLReg2Prod1NetRev</f>
        <v>7898873699.5</v>
      </c>
      <c r="L317" s="32" t="e">
        <f>finPNLReg1Prod1NetRev+finPNLReg2Prod1NetRev</f>
        <v>#VALUE!</v>
      </c>
    </row>
    <row r="318" spans="2:12">
      <c r="E318" t="str">
        <f>decTeamName</f>
        <v>Vivia</v>
      </c>
      <c r="F318" t="str">
        <f>decTeamName</f>
        <v>Vivia</v>
      </c>
      <c r="G318" t="str">
        <f>decTeamName</f>
        <v>Vivia</v>
      </c>
      <c r="H318" t="str">
        <f>decTeamName</f>
        <v>Vivia</v>
      </c>
      <c r="I318" t="str">
        <f>decTeamName</f>
        <v>Vivia</v>
      </c>
      <c r="L318" s="32" t="e">
        <f>decTeamName</f>
        <v>#VALUE!</v>
      </c>
    </row>
    <row r="319" spans="2:12">
      <c r="D319">
        <v>0</v>
      </c>
      <c r="E319" s="395">
        <v>7914101944</v>
      </c>
      <c r="F319" s="395">
        <v>7914101944</v>
      </c>
      <c r="G319" s="395">
        <v>7914101944</v>
      </c>
      <c r="H319" s="395">
        <v>7914101944</v>
      </c>
      <c r="I319" s="395">
        <v>7914101944</v>
      </c>
      <c r="J319" t="s">
        <v>800</v>
      </c>
      <c r="L319" s="32" t="e">
        <f>IF(xxYear=$D319,L$317,NA())</f>
        <v>#N/A</v>
      </c>
    </row>
    <row r="320" spans="2:12">
      <c r="D320">
        <v>1</v>
      </c>
      <c r="E320" s="395">
        <f t="shared" ref="E320:I323" si="22">IF(xxYear=$D320,E$317,NA())</f>
        <v>7898873699.5</v>
      </c>
      <c r="F320" s="395">
        <f t="shared" si="22"/>
        <v>7898873699.5</v>
      </c>
      <c r="G320" s="395">
        <f t="shared" si="22"/>
        <v>7898873699.5</v>
      </c>
      <c r="H320" s="395">
        <f t="shared" si="22"/>
        <v>7898873699.5</v>
      </c>
      <c r="I320" s="395">
        <f t="shared" si="22"/>
        <v>7898873699.5</v>
      </c>
      <c r="L320" s="32" t="e">
        <f>IF(xxYear=$D320,L$317,NA())</f>
        <v>#VALUE!</v>
      </c>
    </row>
    <row r="321" spans="4:12">
      <c r="D321">
        <v>2</v>
      </c>
      <c r="E321" s="395" t="e">
        <f t="shared" si="22"/>
        <v>#N/A</v>
      </c>
      <c r="F321" s="395" t="e">
        <f t="shared" si="22"/>
        <v>#N/A</v>
      </c>
      <c r="G321" s="395" t="e">
        <f t="shared" si="22"/>
        <v>#N/A</v>
      </c>
      <c r="H321" s="395" t="e">
        <f t="shared" si="22"/>
        <v>#N/A</v>
      </c>
      <c r="I321" s="395" t="e">
        <f t="shared" si="22"/>
        <v>#N/A</v>
      </c>
      <c r="L321" s="32" t="e">
        <f>IF(xxYear=$D321,L$317,NA())</f>
        <v>#N/A</v>
      </c>
    </row>
    <row r="322" spans="4:12">
      <c r="D322">
        <v>3</v>
      </c>
      <c r="E322" s="395" t="e">
        <f t="shared" si="22"/>
        <v>#N/A</v>
      </c>
      <c r="F322" s="395" t="e">
        <f t="shared" si="22"/>
        <v>#N/A</v>
      </c>
      <c r="G322" s="395" t="e">
        <f t="shared" si="22"/>
        <v>#N/A</v>
      </c>
      <c r="H322" s="395" t="e">
        <f t="shared" si="22"/>
        <v>#N/A</v>
      </c>
      <c r="I322" s="395" t="e">
        <f t="shared" si="22"/>
        <v>#N/A</v>
      </c>
      <c r="L322" s="32" t="e">
        <f>IF(xxYear=$D322,L$317,NA())</f>
        <v>#N/A</v>
      </c>
    </row>
    <row r="323" spans="4:12">
      <c r="D323">
        <v>4</v>
      </c>
      <c r="E323" s="395" t="e">
        <f t="shared" si="22"/>
        <v>#N/A</v>
      </c>
      <c r="F323" s="395" t="e">
        <f t="shared" si="22"/>
        <v>#N/A</v>
      </c>
      <c r="G323" s="395" t="e">
        <f t="shared" si="22"/>
        <v>#N/A</v>
      </c>
      <c r="H323" s="395" t="e">
        <f t="shared" si="22"/>
        <v>#N/A</v>
      </c>
      <c r="I323" s="395" t="e">
        <f t="shared" si="22"/>
        <v>#N/A</v>
      </c>
      <c r="L323" s="32" t="e">
        <f>IF(xxYear=$D323,L$317,NA())</f>
        <v>#N/A</v>
      </c>
    </row>
    <row r="324" spans="4:12">
      <c r="E324" s="395"/>
      <c r="F324" s="395"/>
      <c r="G324" s="395"/>
      <c r="H324" s="395"/>
      <c r="I324" s="395"/>
      <c r="L324" s="32"/>
    </row>
    <row r="325" spans="4:12">
      <c r="D325" s="77" t="str">
        <f>DataNameProd3&amp;" Net Revenues"</f>
        <v>NCB Net Revenues</v>
      </c>
      <c r="E325" s="395">
        <f>finPNLReg1Prod3NetRev+finPNLReg2Prod3NetRev</f>
        <v>6782000000</v>
      </c>
      <c r="F325" s="395">
        <f>finPNLReg1Prod3NetRev+finPNLReg2Prod3NetRev</f>
        <v>6782000000</v>
      </c>
      <c r="G325" s="395">
        <f>finPNLReg1Prod3NetRev+finPNLReg2Prod3NetRev</f>
        <v>6782000000</v>
      </c>
      <c r="H325" s="395">
        <f>finPNLReg1Prod3NetRev+finPNLReg2Prod3NetRev</f>
        <v>6782000000</v>
      </c>
      <c r="I325" s="395">
        <f>finPNLReg1Prod3NetRev+finPNLReg2Prod3NetRev</f>
        <v>6782000000</v>
      </c>
      <c r="L325" s="32" t="e">
        <f>finPNLReg1Prod3NetRev+finPNLReg2Prod3NetRev</f>
        <v>#VALUE!</v>
      </c>
    </row>
    <row r="326" spans="4:12">
      <c r="E326" t="str">
        <f>decTeamName</f>
        <v>Vivia</v>
      </c>
      <c r="F326" t="str">
        <f>decTeamName</f>
        <v>Vivia</v>
      </c>
      <c r="G326" t="str">
        <f>decTeamName</f>
        <v>Vivia</v>
      </c>
      <c r="H326" t="str">
        <f>decTeamName</f>
        <v>Vivia</v>
      </c>
      <c r="I326" t="str">
        <f>decTeamName</f>
        <v>Vivia</v>
      </c>
      <c r="L326" s="32" t="e">
        <f>decTeamName</f>
        <v>#VALUE!</v>
      </c>
    </row>
    <row r="327" spans="4:12">
      <c r="D327">
        <v>0</v>
      </c>
      <c r="E327" s="395">
        <v>6690220000</v>
      </c>
      <c r="F327" s="395">
        <v>6690220000</v>
      </c>
      <c r="G327" s="395">
        <v>6690220000</v>
      </c>
      <c r="H327" s="395">
        <v>6690220000</v>
      </c>
      <c r="I327" s="395">
        <v>6690220000</v>
      </c>
      <c r="J327" t="s">
        <v>801</v>
      </c>
      <c r="L327" s="32" t="e">
        <f>IF(xxYear=$D327,L$325,NA())</f>
        <v>#N/A</v>
      </c>
    </row>
    <row r="328" spans="4:12">
      <c r="D328">
        <v>1</v>
      </c>
      <c r="E328" s="395">
        <f t="shared" ref="E328:I331" si="23">IF(xxYear=$D328,E$325,NA())</f>
        <v>6782000000</v>
      </c>
      <c r="F328" s="395">
        <f t="shared" si="23"/>
        <v>6782000000</v>
      </c>
      <c r="G328" s="395">
        <f t="shared" si="23"/>
        <v>6782000000</v>
      </c>
      <c r="H328" s="395">
        <f t="shared" si="23"/>
        <v>6782000000</v>
      </c>
      <c r="I328" s="395">
        <f t="shared" si="23"/>
        <v>6782000000</v>
      </c>
      <c r="L328" s="32" t="e">
        <f>IF(xxYear=$D328,L$325,NA())</f>
        <v>#VALUE!</v>
      </c>
    </row>
    <row r="329" spans="4:12">
      <c r="D329">
        <v>2</v>
      </c>
      <c r="E329" s="395" t="e">
        <f t="shared" si="23"/>
        <v>#N/A</v>
      </c>
      <c r="F329" s="395" t="e">
        <f t="shared" si="23"/>
        <v>#N/A</v>
      </c>
      <c r="G329" s="395" t="e">
        <f t="shared" si="23"/>
        <v>#N/A</v>
      </c>
      <c r="H329" s="395" t="e">
        <f t="shared" si="23"/>
        <v>#N/A</v>
      </c>
      <c r="I329" s="395" t="e">
        <f t="shared" si="23"/>
        <v>#N/A</v>
      </c>
      <c r="L329" s="32" t="e">
        <f>IF(xxYear=$D329,L$325,NA())</f>
        <v>#N/A</v>
      </c>
    </row>
    <row r="330" spans="4:12">
      <c r="D330">
        <v>3</v>
      </c>
      <c r="E330" s="395" t="e">
        <f t="shared" si="23"/>
        <v>#N/A</v>
      </c>
      <c r="F330" s="395" t="e">
        <f t="shared" si="23"/>
        <v>#N/A</v>
      </c>
      <c r="G330" s="395" t="e">
        <f t="shared" si="23"/>
        <v>#N/A</v>
      </c>
      <c r="H330" s="395" t="e">
        <f t="shared" si="23"/>
        <v>#N/A</v>
      </c>
      <c r="I330" s="395" t="e">
        <f t="shared" si="23"/>
        <v>#N/A</v>
      </c>
      <c r="L330" s="32" t="e">
        <f>IF(xxYear=$D330,L$325,NA())</f>
        <v>#N/A</v>
      </c>
    </row>
    <row r="331" spans="4:12">
      <c r="D331">
        <v>4</v>
      </c>
      <c r="E331" s="395" t="e">
        <f t="shared" si="23"/>
        <v>#N/A</v>
      </c>
      <c r="F331" s="395" t="e">
        <f t="shared" si="23"/>
        <v>#N/A</v>
      </c>
      <c r="G331" s="395" t="e">
        <f t="shared" si="23"/>
        <v>#N/A</v>
      </c>
      <c r="H331" s="395" t="e">
        <f t="shared" si="23"/>
        <v>#N/A</v>
      </c>
      <c r="I331" s="395" t="e">
        <f t="shared" si="23"/>
        <v>#N/A</v>
      </c>
      <c r="L331" s="32" t="e">
        <f>IF(xxYear=$D331,L$325,NA())</f>
        <v>#N/A</v>
      </c>
    </row>
    <row r="332" spans="4:12">
      <c r="E332" s="395"/>
      <c r="F332" s="395"/>
      <c r="G332" s="395"/>
      <c r="H332" s="395"/>
      <c r="I332" s="395"/>
      <c r="L332" s="32"/>
    </row>
    <row r="333" spans="4:12">
      <c r="D333" s="77" t="str">
        <f>DataNameProd4&amp;" Net Revenues"</f>
        <v>F&amp;S Net Revenues</v>
      </c>
      <c r="E333" s="395">
        <f>finPNLReg1Prod4NetRev+finPNLReg2Prod4NetRev</f>
        <v>7941250000</v>
      </c>
      <c r="F333" s="395">
        <f>finPNLReg1Prod4NetRev+finPNLReg2Prod4NetRev</f>
        <v>7941250000</v>
      </c>
      <c r="G333" s="395">
        <f>finPNLReg1Prod4NetRev+finPNLReg2Prod4NetRev</f>
        <v>7941250000</v>
      </c>
      <c r="H333" s="395">
        <f>finPNLReg1Prod4NetRev+finPNLReg2Prod4NetRev</f>
        <v>7941250000</v>
      </c>
      <c r="I333" s="395">
        <f>finPNLReg1Prod4NetRev+finPNLReg2Prod4NetRev</f>
        <v>7941250000</v>
      </c>
      <c r="L333" s="32" t="e">
        <f>finPNLReg1Prod4NetRev+finPNLReg2Prod4NetRev</f>
        <v>#VALUE!</v>
      </c>
    </row>
    <row r="334" spans="4:12">
      <c r="E334" t="str">
        <f>decTeamName</f>
        <v>Vivia</v>
      </c>
      <c r="F334" t="str">
        <f>decTeamName</f>
        <v>Vivia</v>
      </c>
      <c r="G334" t="str">
        <f>decTeamName</f>
        <v>Vivia</v>
      </c>
      <c r="H334" t="str">
        <f>decTeamName</f>
        <v>Vivia</v>
      </c>
      <c r="I334" t="str">
        <f>decTeamName</f>
        <v>Vivia</v>
      </c>
      <c r="L334" s="32" t="e">
        <f>decTeamName</f>
        <v>#VALUE!</v>
      </c>
    </row>
    <row r="335" spans="4:12">
      <c r="D335">
        <v>0</v>
      </c>
      <c r="E335" s="395">
        <v>7941250000</v>
      </c>
      <c r="F335" s="395">
        <v>7941250000</v>
      </c>
      <c r="G335" s="395">
        <v>7941250000</v>
      </c>
      <c r="H335" s="395">
        <v>7941250000</v>
      </c>
      <c r="I335" s="395">
        <v>7941250000</v>
      </c>
      <c r="J335" t="s">
        <v>1107</v>
      </c>
      <c r="L335" s="32" t="e">
        <f>IF(xxYear=$D335,L$333,NA())</f>
        <v>#N/A</v>
      </c>
    </row>
    <row r="336" spans="4:12">
      <c r="D336">
        <v>1</v>
      </c>
      <c r="E336" s="395">
        <f t="shared" ref="E336:I339" si="24">IF(xxYear=$D336,E$333,NA())</f>
        <v>7941250000</v>
      </c>
      <c r="F336" s="395">
        <f t="shared" si="24"/>
        <v>7941250000</v>
      </c>
      <c r="G336" s="395">
        <f t="shared" si="24"/>
        <v>7941250000</v>
      </c>
      <c r="H336" s="395">
        <f t="shared" si="24"/>
        <v>7941250000</v>
      </c>
      <c r="I336" s="395">
        <f t="shared" si="24"/>
        <v>7941250000</v>
      </c>
      <c r="L336" s="32" t="e">
        <f>IF(xxYear=$D336,L$333,NA())</f>
        <v>#VALUE!</v>
      </c>
    </row>
    <row r="337" spans="4:12">
      <c r="D337">
        <v>2</v>
      </c>
      <c r="E337" s="395" t="e">
        <f t="shared" si="24"/>
        <v>#N/A</v>
      </c>
      <c r="F337" s="395" t="e">
        <f t="shared" si="24"/>
        <v>#N/A</v>
      </c>
      <c r="G337" s="395" t="e">
        <f t="shared" si="24"/>
        <v>#N/A</v>
      </c>
      <c r="H337" s="395" t="e">
        <f t="shared" si="24"/>
        <v>#N/A</v>
      </c>
      <c r="I337" s="395" t="e">
        <f t="shared" si="24"/>
        <v>#N/A</v>
      </c>
      <c r="L337" s="32" t="e">
        <f>IF(xxYear=$D337,L$333,NA())</f>
        <v>#N/A</v>
      </c>
    </row>
    <row r="338" spans="4:12">
      <c r="D338">
        <v>3</v>
      </c>
      <c r="E338" s="395" t="e">
        <f t="shared" si="24"/>
        <v>#N/A</v>
      </c>
      <c r="F338" s="395" t="e">
        <f t="shared" si="24"/>
        <v>#N/A</v>
      </c>
      <c r="G338" s="395" t="e">
        <f t="shared" si="24"/>
        <v>#N/A</v>
      </c>
      <c r="H338" s="395" t="e">
        <f t="shared" si="24"/>
        <v>#N/A</v>
      </c>
      <c r="I338" s="395" t="e">
        <f t="shared" si="24"/>
        <v>#N/A</v>
      </c>
      <c r="L338" s="32" t="e">
        <f>IF(xxYear=$D338,L$333,NA())</f>
        <v>#N/A</v>
      </c>
    </row>
    <row r="339" spans="4:12">
      <c r="D339">
        <v>4</v>
      </c>
      <c r="E339" s="395" t="e">
        <f t="shared" si="24"/>
        <v>#N/A</v>
      </c>
      <c r="F339" s="395" t="e">
        <f t="shared" si="24"/>
        <v>#N/A</v>
      </c>
      <c r="G339" s="395" t="e">
        <f t="shared" si="24"/>
        <v>#N/A</v>
      </c>
      <c r="H339" s="395" t="e">
        <f t="shared" si="24"/>
        <v>#N/A</v>
      </c>
      <c r="I339" s="395" t="e">
        <f t="shared" si="24"/>
        <v>#N/A</v>
      </c>
      <c r="L339" s="32" t="e">
        <f>IF(xxYear=$D339,L$333,NA())</f>
        <v>#N/A</v>
      </c>
    </row>
    <row r="340" spans="4:12">
      <c r="L340" s="32"/>
    </row>
    <row r="341" spans="4:12">
      <c r="D341" s="77" t="str">
        <f>DataNameProd1&amp;" Cost/ case"</f>
        <v>CSD Cost/ case</v>
      </c>
      <c r="E341" s="10" t="e">
        <f ca="1">capProd1COGSPUnitMat+capProd1COGSPUnitPlant1+capProd1CostPUnitEmp3+((paramReg1Prod1DistCostPUnit+paramReg2Prod1DistCostPUnit)/2)+((finPNLReg1Prod1COGSRoyExp+finPNLReg2Prod1COGSRoyExp)/(capReg1Prod1UnitsProduction+capReg2Prod1UnitsProduction))</f>
        <v>#NAME?</v>
      </c>
      <c r="F341" s="10" t="e">
        <f ca="1">capProd1COGSPUnitMat+capProd1COGSPUnitPlant1+capProd1CostPUnitEmp3+((paramReg1Prod1DistCostPUnit+paramReg2Prod1DistCostPUnit)/2)+((finPNLReg1Prod1COGSRoyExp+finPNLReg2Prod1COGSRoyExp)/(capReg1Prod1UnitsProduction+capReg2Prod1UnitsProduction))</f>
        <v>#NAME?</v>
      </c>
      <c r="G341" s="10" t="e">
        <f ca="1">capProd1COGSPUnitMat+capProd1COGSPUnitPlant1+capProd1CostPUnitEmp3+((paramReg1Prod1DistCostPUnit+paramReg2Prod1DistCostPUnit)/2)+((finPNLReg1Prod1COGSRoyExp+finPNLReg2Prod1COGSRoyExp)/(capReg1Prod1UnitsProduction+capReg2Prod1UnitsProduction))</f>
        <v>#NAME?</v>
      </c>
      <c r="H341" s="10" t="e">
        <f ca="1">capProd1COGSPUnitMat+capProd1COGSPUnitPlant1+capProd1CostPUnitEmp3+((paramReg1Prod1DistCostPUnit+paramReg2Prod1DistCostPUnit)/2)+((finPNLReg1Prod1COGSRoyExp+finPNLReg2Prod1COGSRoyExp)/(capReg1Prod1UnitsProduction+capReg2Prod1UnitsProduction))</f>
        <v>#NAME?</v>
      </c>
      <c r="I341" s="10" t="e">
        <f ca="1">capProd1COGSPUnitMat+capProd1COGSPUnitPlant1+capProd1CostPUnitEmp3+((paramReg1Prod1DistCostPUnit+paramReg2Prod1DistCostPUnit)/2)+((finPNLReg1Prod1COGSRoyExp+finPNLReg2Prod1COGSRoyExp)/(capReg1Prod1UnitsProduction+capReg2Prod1UnitsProduction))</f>
        <v>#NAME?</v>
      </c>
      <c r="L341" s="32" t="e">
        <f>capProd1COGSPUnitMat+capProd1COGSPUnitPlant1+capProd1CostPUnitEmp3+((paramReg1Prod1DistCostPUnit+paramReg2Prod1DistCostPUnit)/2)+((finPNLReg1Prod1COGSRoyExp+finPNLReg2Prod1COGSRoyExp)/(capReg1Prod1UnitsProduction+capReg2Prod1UnitsProduction))</f>
        <v>#VALUE!</v>
      </c>
    </row>
    <row r="342" spans="4:12">
      <c r="E342" t="str">
        <f>decTeamName</f>
        <v>Vivia</v>
      </c>
      <c r="F342" t="str">
        <f>decTeamName</f>
        <v>Vivia</v>
      </c>
      <c r="G342" t="str">
        <f>decTeamName</f>
        <v>Vivia</v>
      </c>
      <c r="H342" t="str">
        <f>decTeamName</f>
        <v>Vivia</v>
      </c>
      <c r="I342" t="str">
        <f>decTeamName</f>
        <v>Vivia</v>
      </c>
      <c r="L342" s="32" t="e">
        <f>decTeamName</f>
        <v>#VALUE!</v>
      </c>
    </row>
    <row r="343" spans="4:12">
      <c r="D343">
        <v>0</v>
      </c>
      <c r="E343" s="461" t="e">
        <v>#NAME?</v>
      </c>
      <c r="F343" s="461" t="e">
        <v>#NAME?</v>
      </c>
      <c r="G343" s="461" t="e">
        <v>#NAME?</v>
      </c>
      <c r="H343" s="461" t="e">
        <v>#NAME?</v>
      </c>
      <c r="I343" s="461" t="e">
        <v>#NAME?</v>
      </c>
      <c r="J343" t="s">
        <v>231</v>
      </c>
      <c r="L343" s="32" t="e">
        <f>IF(xxYear=$D343,L$341,NA())</f>
        <v>#N/A</v>
      </c>
    </row>
    <row r="344" spans="4:12">
      <c r="D344">
        <v>1</v>
      </c>
      <c r="E344" s="461" t="e">
        <f t="shared" ref="E344:I347" ca="1" si="25">IF(xxYear=$D344,E$341,NA())</f>
        <v>#NAME?</v>
      </c>
      <c r="F344" s="461" t="e">
        <f t="shared" ca="1" si="25"/>
        <v>#NAME?</v>
      </c>
      <c r="G344" s="461" t="e">
        <f t="shared" ca="1" si="25"/>
        <v>#NAME?</v>
      </c>
      <c r="H344" s="461" t="e">
        <f t="shared" ca="1" si="25"/>
        <v>#NAME?</v>
      </c>
      <c r="I344" s="461" t="e">
        <f t="shared" ca="1" si="25"/>
        <v>#NAME?</v>
      </c>
      <c r="L344" s="32" t="e">
        <f>IF(xxYear=$D344,L$341,NA())</f>
        <v>#VALUE!</v>
      </c>
    </row>
    <row r="345" spans="4:12">
      <c r="D345">
        <v>2</v>
      </c>
      <c r="E345" s="461" t="e">
        <f t="shared" si="25"/>
        <v>#N/A</v>
      </c>
      <c r="F345" s="461" t="e">
        <f t="shared" si="25"/>
        <v>#N/A</v>
      </c>
      <c r="G345" s="461" t="e">
        <f t="shared" si="25"/>
        <v>#N/A</v>
      </c>
      <c r="H345" s="461" t="e">
        <f t="shared" si="25"/>
        <v>#N/A</v>
      </c>
      <c r="I345" s="461" t="e">
        <f t="shared" si="25"/>
        <v>#N/A</v>
      </c>
      <c r="L345" s="32" t="e">
        <f>IF(xxYear=$D345,L$341,NA())</f>
        <v>#N/A</v>
      </c>
    </row>
    <row r="346" spans="4:12">
      <c r="D346">
        <v>3</v>
      </c>
      <c r="E346" s="461" t="e">
        <f t="shared" si="25"/>
        <v>#N/A</v>
      </c>
      <c r="F346" s="461" t="e">
        <f t="shared" si="25"/>
        <v>#N/A</v>
      </c>
      <c r="G346" s="461" t="e">
        <f t="shared" si="25"/>
        <v>#N/A</v>
      </c>
      <c r="H346" s="461" t="e">
        <f t="shared" si="25"/>
        <v>#N/A</v>
      </c>
      <c r="I346" s="461" t="e">
        <f t="shared" si="25"/>
        <v>#N/A</v>
      </c>
      <c r="L346" s="32" t="e">
        <f>IF(xxYear=$D346,L$341,NA())</f>
        <v>#N/A</v>
      </c>
    </row>
    <row r="347" spans="4:12">
      <c r="D347">
        <v>4</v>
      </c>
      <c r="E347" s="461" t="e">
        <f t="shared" si="25"/>
        <v>#N/A</v>
      </c>
      <c r="F347" s="461" t="e">
        <f t="shared" si="25"/>
        <v>#N/A</v>
      </c>
      <c r="G347" s="461" t="e">
        <f t="shared" si="25"/>
        <v>#N/A</v>
      </c>
      <c r="H347" s="461" t="e">
        <f t="shared" si="25"/>
        <v>#N/A</v>
      </c>
      <c r="I347" s="461" t="e">
        <f t="shared" si="25"/>
        <v>#N/A</v>
      </c>
      <c r="L347" s="32" t="e">
        <f>IF(xxYear=$D347,L$341,NA())</f>
        <v>#N/A</v>
      </c>
    </row>
    <row r="348" spans="4:12">
      <c r="L348" s="32"/>
    </row>
    <row r="349" spans="4:12">
      <c r="D349" s="77" t="str">
        <f>DataNameProd3&amp;" Cost/ case"</f>
        <v>NCB Cost/ case</v>
      </c>
      <c r="E349" s="10" t="e">
        <f ca="1">capProd3COGSPUnitMat+capProd3COGSPUnitPlant1+capProd3CostPUnitEmp3+((paramReg1Prod3DistCostPUnit+paramReg2Prod3DistCostPUnit)/2)+((finPNLReg1Prod3COGSRoyExp+finPNLReg2Prod3COGSRoyExp)/(capReg1Prod3UnitsProduction+capReg2Prod3UnitsProduction))</f>
        <v>#NAME?</v>
      </c>
      <c r="F349" s="10" t="e">
        <f ca="1">capProd3COGSPUnitMat+capProd3COGSPUnitPlant1+capProd3CostPUnitEmp3+((paramReg1Prod3DistCostPUnit+paramReg2Prod3DistCostPUnit)/2)+((finPNLReg1Prod3COGSRoyExp+finPNLReg2Prod3COGSRoyExp)/(capReg1Prod3UnitsProduction+capReg2Prod3UnitsProduction))</f>
        <v>#NAME?</v>
      </c>
      <c r="G349" s="10" t="e">
        <f ca="1">capProd3COGSPUnitMat+capProd3COGSPUnitPlant1+capProd3CostPUnitEmp3+((paramReg1Prod3DistCostPUnit+paramReg2Prod3DistCostPUnit)/2)+((finPNLReg1Prod3COGSRoyExp+finPNLReg2Prod3COGSRoyExp)/(capReg1Prod3UnitsProduction+capReg2Prod3UnitsProduction))</f>
        <v>#NAME?</v>
      </c>
      <c r="H349" s="10" t="e">
        <f ca="1">capProd3COGSPUnitMat+capProd3COGSPUnitPlant1+capProd3CostPUnitEmp3+((paramReg1Prod3DistCostPUnit+paramReg2Prod3DistCostPUnit)/2)+((finPNLReg1Prod3COGSRoyExp+finPNLReg2Prod3COGSRoyExp)/(capReg1Prod3UnitsProduction+capReg2Prod3UnitsProduction))</f>
        <v>#NAME?</v>
      </c>
      <c r="I349" s="10" t="e">
        <f ca="1">capProd3COGSPUnitMat+capProd3COGSPUnitPlant1+capProd3CostPUnitEmp3+((paramReg1Prod3DistCostPUnit+paramReg2Prod3DistCostPUnit)/2)+((finPNLReg1Prod3COGSRoyExp+finPNLReg2Prod3COGSRoyExp)/(capReg1Prod3UnitsProduction+capReg2Prod3UnitsProduction))</f>
        <v>#NAME?</v>
      </c>
      <c r="L349" s="32" t="e">
        <f>capProd3COGSPUnitMat+capProd3COGSPUnitPlant1+capProd3CostPUnitEmp3+((paramReg1Prod3DistCostPUnit+paramReg2Prod3DistCostPUnit)/2)+((finPNLReg1Prod3COGSRoyExp+finPNLReg2Prod3COGSRoyExp)/(capReg1Prod3UnitsProduction+capReg2Prod3UnitsProduction))</f>
        <v>#VALUE!</v>
      </c>
    </row>
    <row r="350" spans="4:12">
      <c r="E350" t="str">
        <f>decTeamName</f>
        <v>Vivia</v>
      </c>
      <c r="F350" t="str">
        <f>decTeamName</f>
        <v>Vivia</v>
      </c>
      <c r="G350" t="str">
        <f>decTeamName</f>
        <v>Vivia</v>
      </c>
      <c r="H350" t="str">
        <f>decTeamName</f>
        <v>Vivia</v>
      </c>
      <c r="I350" t="str">
        <f>decTeamName</f>
        <v>Vivia</v>
      </c>
      <c r="L350" s="32" t="e">
        <f>decTeamName</f>
        <v>#VALUE!</v>
      </c>
    </row>
    <row r="351" spans="4:12">
      <c r="D351">
        <v>0</v>
      </c>
      <c r="E351" s="461" t="e">
        <v>#NAME?</v>
      </c>
      <c r="F351" s="461" t="e">
        <v>#NAME?</v>
      </c>
      <c r="G351" s="461" t="e">
        <v>#NAME?</v>
      </c>
      <c r="H351" s="461" t="e">
        <v>#NAME?</v>
      </c>
      <c r="I351" s="461" t="e">
        <v>#NAME?</v>
      </c>
      <c r="J351" t="s">
        <v>232</v>
      </c>
      <c r="L351" s="32" t="e">
        <f>IF(xxYear=$D351,L$349,NA())</f>
        <v>#N/A</v>
      </c>
    </row>
    <row r="352" spans="4:12">
      <c r="D352">
        <v>1</v>
      </c>
      <c r="E352" s="461" t="e">
        <f t="shared" ref="E352:I355" ca="1" si="26">IF(xxYear=$D352,E$349,NA())</f>
        <v>#NAME?</v>
      </c>
      <c r="F352" s="461" t="e">
        <f t="shared" ca="1" si="26"/>
        <v>#NAME?</v>
      </c>
      <c r="G352" s="461" t="e">
        <f t="shared" ca="1" si="26"/>
        <v>#NAME?</v>
      </c>
      <c r="H352" s="461" t="e">
        <f t="shared" ca="1" si="26"/>
        <v>#NAME?</v>
      </c>
      <c r="I352" s="461" t="e">
        <f t="shared" ca="1" si="26"/>
        <v>#NAME?</v>
      </c>
      <c r="L352" s="32" t="e">
        <f>IF(xxYear=$D352,L$349,NA())</f>
        <v>#VALUE!</v>
      </c>
    </row>
    <row r="353" spans="4:12">
      <c r="D353">
        <v>2</v>
      </c>
      <c r="E353" s="461" t="e">
        <f t="shared" si="26"/>
        <v>#N/A</v>
      </c>
      <c r="F353" s="461" t="e">
        <f t="shared" si="26"/>
        <v>#N/A</v>
      </c>
      <c r="G353" s="461" t="e">
        <f t="shared" si="26"/>
        <v>#N/A</v>
      </c>
      <c r="H353" s="461" t="e">
        <f t="shared" si="26"/>
        <v>#N/A</v>
      </c>
      <c r="I353" s="461" t="e">
        <f t="shared" si="26"/>
        <v>#N/A</v>
      </c>
      <c r="L353" s="32" t="e">
        <f>IF(xxYear=$D353,L$349,NA())</f>
        <v>#N/A</v>
      </c>
    </row>
    <row r="354" spans="4:12">
      <c r="D354">
        <v>3</v>
      </c>
      <c r="E354" s="461" t="e">
        <f t="shared" si="26"/>
        <v>#N/A</v>
      </c>
      <c r="F354" s="461" t="e">
        <f t="shared" si="26"/>
        <v>#N/A</v>
      </c>
      <c r="G354" s="461" t="e">
        <f t="shared" si="26"/>
        <v>#N/A</v>
      </c>
      <c r="H354" s="461" t="e">
        <f t="shared" si="26"/>
        <v>#N/A</v>
      </c>
      <c r="I354" s="461" t="e">
        <f t="shared" si="26"/>
        <v>#N/A</v>
      </c>
      <c r="L354" s="32" t="e">
        <f>IF(xxYear=$D354,L$349,NA())</f>
        <v>#N/A</v>
      </c>
    </row>
    <row r="355" spans="4:12">
      <c r="D355">
        <v>4</v>
      </c>
      <c r="E355" s="461" t="e">
        <f t="shared" si="26"/>
        <v>#N/A</v>
      </c>
      <c r="F355" s="461" t="e">
        <f t="shared" si="26"/>
        <v>#N/A</v>
      </c>
      <c r="G355" s="461" t="e">
        <f t="shared" si="26"/>
        <v>#N/A</v>
      </c>
      <c r="H355" s="461" t="e">
        <f t="shared" si="26"/>
        <v>#N/A</v>
      </c>
      <c r="I355" s="461" t="e">
        <f t="shared" si="26"/>
        <v>#N/A</v>
      </c>
      <c r="L355" s="32" t="e">
        <f>IF(xxYear=$D355,L$349,NA())</f>
        <v>#N/A</v>
      </c>
    </row>
    <row r="356" spans="4:12">
      <c r="L356" s="32"/>
    </row>
    <row r="357" spans="4:12">
      <c r="D357" s="77" t="str">
        <f>DataNameProd4&amp;" Cost/ case"</f>
        <v>F&amp;S Cost/ case</v>
      </c>
      <c r="E357" s="10" t="e">
        <f ca="1">capProd4COGSPUnitMat+capProd4COGSPUnitPlant1+capProd4CostPUnitEmp3+((paramReg1Prod4DistCostPUnit+paramReg2Prod4DistCostPUnit)/2)+((finPNLReg1Prod4COGSRoyExp+finPNLReg2Prod4COGSRoyExp)/(capReg1Prod4UnitsProduction+capReg2Prod4UnitsProduction))</f>
        <v>#NAME?</v>
      </c>
      <c r="F357" s="10" t="e">
        <f ca="1">capProd4COGSPUnitMat+capProd4COGSPUnitPlant1+capProd4CostPUnitEmp3+((paramReg1Prod4DistCostPUnit+paramReg2Prod4DistCostPUnit)/2)+((finPNLReg1Prod4COGSRoyExp+finPNLReg2Prod4COGSRoyExp)/(capReg1Prod4UnitsProduction+capReg2Prod4UnitsProduction))</f>
        <v>#NAME?</v>
      </c>
      <c r="G357" s="10" t="e">
        <f ca="1">capProd4COGSPUnitMat+capProd4COGSPUnitPlant1+capProd4CostPUnitEmp3+((paramReg1Prod4DistCostPUnit+paramReg2Prod4DistCostPUnit)/2)+((finPNLReg1Prod4COGSRoyExp+finPNLReg2Prod4COGSRoyExp)/(capReg1Prod4UnitsProduction+capReg2Prod4UnitsProduction))</f>
        <v>#NAME?</v>
      </c>
      <c r="H357" s="10" t="e">
        <f ca="1">capProd4COGSPUnitMat+capProd4COGSPUnitPlant1+capProd4CostPUnitEmp3+((paramReg1Prod4DistCostPUnit+paramReg2Prod4DistCostPUnit)/2)+((finPNLReg1Prod4COGSRoyExp+finPNLReg2Prod4COGSRoyExp)/(capReg1Prod4UnitsProduction+capReg2Prod4UnitsProduction))</f>
        <v>#NAME?</v>
      </c>
      <c r="I357" s="10" t="e">
        <f ca="1">capProd4COGSPUnitMat+capProd4COGSPUnitPlant1+capProd4CostPUnitEmp3+((paramReg1Prod4DistCostPUnit+paramReg2Prod4DistCostPUnit)/2)+((finPNLReg1Prod4COGSRoyExp+finPNLReg2Prod4COGSRoyExp)/(capReg1Prod4UnitsProduction+capReg2Prod4UnitsProduction))</f>
        <v>#NAME?</v>
      </c>
      <c r="L357" s="32" t="e">
        <f>capProd4COGSPUnitMat+capProd4COGSPUnitPlant1+capProd4CostPUnitEmp3+((paramReg1Prod4DistCostPUnit+paramReg2Prod4DistCostPUnit)/2)+((finPNLReg1Prod4COGSRoyExp+finPNLReg2Prod4COGSRoyExp)/(capReg1Prod4UnitsProduction+capReg2Prod4UnitsProduction))</f>
        <v>#VALUE!</v>
      </c>
    </row>
    <row r="358" spans="4:12">
      <c r="E358" t="str">
        <f>decTeamName</f>
        <v>Vivia</v>
      </c>
      <c r="F358" t="str">
        <f>decTeamName</f>
        <v>Vivia</v>
      </c>
      <c r="G358" t="str">
        <f>decTeamName</f>
        <v>Vivia</v>
      </c>
      <c r="H358" t="str">
        <f>decTeamName</f>
        <v>Vivia</v>
      </c>
      <c r="I358" t="str">
        <f>decTeamName</f>
        <v>Vivia</v>
      </c>
      <c r="L358" s="32" t="e">
        <f>decTeamName</f>
        <v>#VALUE!</v>
      </c>
    </row>
    <row r="359" spans="4:12">
      <c r="D359">
        <v>0</v>
      </c>
      <c r="E359" s="461" t="e">
        <v>#NAME?</v>
      </c>
      <c r="F359" s="461" t="e">
        <v>#NAME?</v>
      </c>
      <c r="G359" s="461" t="e">
        <v>#NAME?</v>
      </c>
      <c r="H359" s="461" t="e">
        <v>#NAME?</v>
      </c>
      <c r="I359" s="461" t="e">
        <v>#NAME?</v>
      </c>
      <c r="J359" t="s">
        <v>233</v>
      </c>
      <c r="L359" s="32" t="e">
        <f>IF(xxYear=$D359,L$357,NA())</f>
        <v>#N/A</v>
      </c>
    </row>
    <row r="360" spans="4:12">
      <c r="D360">
        <v>1</v>
      </c>
      <c r="E360" s="461" t="e">
        <f t="shared" ref="E360:I363" ca="1" si="27">IF(xxYear=$D360,E$357,NA())</f>
        <v>#NAME?</v>
      </c>
      <c r="F360" s="461" t="e">
        <f t="shared" ca="1" si="27"/>
        <v>#NAME?</v>
      </c>
      <c r="G360" s="461" t="e">
        <f t="shared" ca="1" si="27"/>
        <v>#NAME?</v>
      </c>
      <c r="H360" s="461" t="e">
        <f t="shared" ca="1" si="27"/>
        <v>#NAME?</v>
      </c>
      <c r="I360" s="461" t="e">
        <f t="shared" ca="1" si="27"/>
        <v>#NAME?</v>
      </c>
      <c r="L360" s="32" t="e">
        <f>IF(xxYear=$D360,L$357,NA())</f>
        <v>#VALUE!</v>
      </c>
    </row>
    <row r="361" spans="4:12">
      <c r="D361">
        <v>2</v>
      </c>
      <c r="E361" s="461" t="e">
        <f t="shared" si="27"/>
        <v>#N/A</v>
      </c>
      <c r="F361" s="461" t="e">
        <f t="shared" si="27"/>
        <v>#N/A</v>
      </c>
      <c r="G361" s="461" t="e">
        <f t="shared" si="27"/>
        <v>#N/A</v>
      </c>
      <c r="H361" s="461" t="e">
        <f t="shared" si="27"/>
        <v>#N/A</v>
      </c>
      <c r="I361" s="461" t="e">
        <f t="shared" si="27"/>
        <v>#N/A</v>
      </c>
      <c r="L361" s="32" t="e">
        <f>IF(xxYear=$D361,L$357,NA())</f>
        <v>#N/A</v>
      </c>
    </row>
    <row r="362" spans="4:12">
      <c r="D362">
        <v>3</v>
      </c>
      <c r="E362" s="461" t="e">
        <f t="shared" si="27"/>
        <v>#N/A</v>
      </c>
      <c r="F362" s="461" t="e">
        <f t="shared" si="27"/>
        <v>#N/A</v>
      </c>
      <c r="G362" s="461" t="e">
        <f t="shared" si="27"/>
        <v>#N/A</v>
      </c>
      <c r="H362" s="461" t="e">
        <f t="shared" si="27"/>
        <v>#N/A</v>
      </c>
      <c r="I362" s="461" t="e">
        <f t="shared" si="27"/>
        <v>#N/A</v>
      </c>
      <c r="L362" s="32" t="e">
        <f>IF(xxYear=$D362,L$357,NA())</f>
        <v>#N/A</v>
      </c>
    </row>
    <row r="363" spans="4:12">
      <c r="D363">
        <v>4</v>
      </c>
      <c r="E363" s="461" t="e">
        <f t="shared" si="27"/>
        <v>#N/A</v>
      </c>
      <c r="F363" s="461" t="e">
        <f t="shared" si="27"/>
        <v>#N/A</v>
      </c>
      <c r="G363" s="461" t="e">
        <f t="shared" si="27"/>
        <v>#N/A</v>
      </c>
      <c r="H363" s="461" t="e">
        <f t="shared" si="27"/>
        <v>#N/A</v>
      </c>
      <c r="I363" s="461" t="e">
        <f t="shared" si="27"/>
        <v>#N/A</v>
      </c>
      <c r="L363" s="32" t="e">
        <f>IF(xxYear=$D363,L$357,NA())</f>
        <v>#N/A</v>
      </c>
    </row>
    <row r="364" spans="4:12">
      <c r="E364" s="461"/>
      <c r="F364" s="461"/>
      <c r="G364" s="461"/>
      <c r="H364" s="461"/>
      <c r="I364" s="461"/>
      <c r="L364" s="32"/>
    </row>
    <row r="365" spans="4:12">
      <c r="D365" s="77" t="s">
        <v>1916</v>
      </c>
      <c r="E365" s="398">
        <f ca="1">finPNLSGAExp</f>
        <v>5590474655.6612024</v>
      </c>
      <c r="F365" s="398">
        <f ca="1">finPNLSGAExp</f>
        <v>5590474655.6612024</v>
      </c>
      <c r="G365" s="398">
        <f ca="1">finPNLSGAExp</f>
        <v>5590474655.6612024</v>
      </c>
      <c r="H365" s="398">
        <f ca="1">finPNLSGAExp</f>
        <v>5590474655.6612024</v>
      </c>
      <c r="I365" s="398">
        <f ca="1">finPNLSGAExp</f>
        <v>5590474655.6612024</v>
      </c>
      <c r="L365" s="32" t="e">
        <f>finPNLSGAExp</f>
        <v>#VALUE!</v>
      </c>
    </row>
    <row r="366" spans="4:12">
      <c r="E366" t="str">
        <f>decTeamName</f>
        <v>Vivia</v>
      </c>
      <c r="F366" t="str">
        <f>decTeamName</f>
        <v>Vivia</v>
      </c>
      <c r="G366" t="str">
        <f>decTeamName</f>
        <v>Vivia</v>
      </c>
      <c r="H366" t="str">
        <f>decTeamName</f>
        <v>Vivia</v>
      </c>
      <c r="I366" t="str">
        <f>decTeamName</f>
        <v>Vivia</v>
      </c>
      <c r="L366" s="32" t="e">
        <f>decTeamName</f>
        <v>#VALUE!</v>
      </c>
    </row>
    <row r="367" spans="4:12">
      <c r="D367">
        <v>0</v>
      </c>
      <c r="E367" s="398">
        <v>5641771550.1301708</v>
      </c>
      <c r="F367" s="398">
        <v>5641771550.1301708</v>
      </c>
      <c r="G367" s="398">
        <v>5641771550.1301708</v>
      </c>
      <c r="H367" s="398">
        <v>5641771550.1301708</v>
      </c>
      <c r="I367" s="398">
        <v>5641771550.1301708</v>
      </c>
      <c r="J367" t="s">
        <v>1851</v>
      </c>
      <c r="L367" s="32" t="e">
        <f>IF(xxYear=$D367,L$365,NA())</f>
        <v>#N/A</v>
      </c>
    </row>
    <row r="368" spans="4:12">
      <c r="D368">
        <v>1</v>
      </c>
      <c r="E368" s="398">
        <f t="shared" ref="E368:I371" ca="1" si="28">IF(xxYear=$D368,E$365,NA())</f>
        <v>5590474655.6612024</v>
      </c>
      <c r="F368" s="398">
        <f t="shared" ca="1" si="28"/>
        <v>5590474655.6612024</v>
      </c>
      <c r="G368" s="398">
        <f t="shared" ca="1" si="28"/>
        <v>5590474655.6612024</v>
      </c>
      <c r="H368" s="398">
        <f t="shared" ca="1" si="28"/>
        <v>5590474655.6612024</v>
      </c>
      <c r="I368" s="398">
        <f t="shared" ca="1" si="28"/>
        <v>5590474655.6612024</v>
      </c>
      <c r="L368" s="32" t="e">
        <f>IF(xxYear=$D368,L$365,NA())</f>
        <v>#VALUE!</v>
      </c>
    </row>
    <row r="369" spans="4:12">
      <c r="D369">
        <v>2</v>
      </c>
      <c r="E369" s="398" t="e">
        <f t="shared" si="28"/>
        <v>#N/A</v>
      </c>
      <c r="F369" s="398" t="e">
        <f t="shared" si="28"/>
        <v>#N/A</v>
      </c>
      <c r="G369" s="398" t="e">
        <f t="shared" si="28"/>
        <v>#N/A</v>
      </c>
      <c r="H369" s="398" t="e">
        <f t="shared" si="28"/>
        <v>#N/A</v>
      </c>
      <c r="I369" s="398" t="e">
        <f t="shared" si="28"/>
        <v>#N/A</v>
      </c>
      <c r="L369" s="32" t="e">
        <f>IF(xxYear=$D369,L$365,NA())</f>
        <v>#N/A</v>
      </c>
    </row>
    <row r="370" spans="4:12">
      <c r="D370">
        <v>3</v>
      </c>
      <c r="E370" s="398" t="e">
        <f t="shared" si="28"/>
        <v>#N/A</v>
      </c>
      <c r="F370" s="398" t="e">
        <f t="shared" si="28"/>
        <v>#N/A</v>
      </c>
      <c r="G370" s="398" t="e">
        <f t="shared" si="28"/>
        <v>#N/A</v>
      </c>
      <c r="H370" s="398" t="e">
        <f t="shared" si="28"/>
        <v>#N/A</v>
      </c>
      <c r="I370" s="398" t="e">
        <f t="shared" si="28"/>
        <v>#N/A</v>
      </c>
      <c r="L370" s="32" t="e">
        <f>IF(xxYear=$D370,L$365,NA())</f>
        <v>#N/A</v>
      </c>
    </row>
    <row r="371" spans="4:12">
      <c r="D371">
        <v>4</v>
      </c>
      <c r="E371" s="398" t="e">
        <f t="shared" si="28"/>
        <v>#N/A</v>
      </c>
      <c r="F371" s="398" t="e">
        <f t="shared" si="28"/>
        <v>#N/A</v>
      </c>
      <c r="G371" s="398" t="e">
        <f t="shared" si="28"/>
        <v>#N/A</v>
      </c>
      <c r="H371" s="398" t="e">
        <f t="shared" si="28"/>
        <v>#N/A</v>
      </c>
      <c r="I371" s="398" t="e">
        <f t="shared" si="28"/>
        <v>#N/A</v>
      </c>
      <c r="L371" s="32" t="e">
        <f>IF(xxYear=$D371,L$365,NA())</f>
        <v>#N/A</v>
      </c>
    </row>
    <row r="372" spans="4:12">
      <c r="L372" s="32"/>
    </row>
    <row r="373" spans="4:12">
      <c r="D373" s="77" t="s">
        <v>3734</v>
      </c>
      <c r="E373" s="398">
        <f>mmProd1Reg1UnitsSold+mmProd3Reg1UnitsSold+mmProd4Reg1UnitsSold</f>
        <v>1640213021</v>
      </c>
      <c r="F373" s="398">
        <f>mmProd1Reg1UnitsSold+mmProd3Reg1UnitsSold+mmProd4Reg1UnitsSold</f>
        <v>1640213021</v>
      </c>
      <c r="G373" s="398">
        <f>mmProd1Reg1UnitsSold+mmProd3Reg1UnitsSold+mmProd4Reg1UnitsSold</f>
        <v>1640213021</v>
      </c>
      <c r="H373" s="398">
        <f>mmProd1Reg1UnitsSold+mmProd3Reg1UnitsSold+mmProd4Reg1UnitsSold</f>
        <v>1640213021</v>
      </c>
      <c r="I373" s="398">
        <f>mmProd1Reg1UnitsSold+mmProd3Reg1UnitsSold+mmProd4Reg1UnitsSold</f>
        <v>1640213021</v>
      </c>
      <c r="L373" s="32" t="e">
        <f>mmProd1Reg1UnitsSold+mmProd3Reg1UnitsSold+mmProd4Reg1UnitsSold</f>
        <v>#VALUE!</v>
      </c>
    </row>
    <row r="374" spans="4:12">
      <c r="E374" t="str">
        <f>decTeamName</f>
        <v>Vivia</v>
      </c>
      <c r="F374" t="str">
        <f>decTeamName</f>
        <v>Vivia</v>
      </c>
      <c r="G374" t="str">
        <f>decTeamName</f>
        <v>Vivia</v>
      </c>
      <c r="H374" t="str">
        <f>decTeamName</f>
        <v>Vivia</v>
      </c>
      <c r="I374" t="str">
        <f>decTeamName</f>
        <v>Vivia</v>
      </c>
      <c r="L374" s="32" t="e">
        <f>decTeamName</f>
        <v>#VALUE!</v>
      </c>
    </row>
    <row r="375" spans="4:12">
      <c r="D375">
        <v>0</v>
      </c>
      <c r="E375" s="398">
        <v>1646813072</v>
      </c>
      <c r="F375" s="398">
        <v>1646813072</v>
      </c>
      <c r="G375" s="398">
        <v>1646813072</v>
      </c>
      <c r="H375" s="398">
        <v>1646813072</v>
      </c>
      <c r="I375" s="398">
        <v>1646813072</v>
      </c>
      <c r="J375" t="s">
        <v>1853</v>
      </c>
      <c r="L375" s="32" t="e">
        <f>IF(xxYear=$D375,L$373,NA())</f>
        <v>#N/A</v>
      </c>
    </row>
    <row r="376" spans="4:12">
      <c r="D376">
        <v>1</v>
      </c>
      <c r="E376" s="398">
        <f t="shared" ref="E376:I379" si="29">IF(xxYear=$D376,E$373,NA())</f>
        <v>1640213021</v>
      </c>
      <c r="F376" s="398">
        <f t="shared" si="29"/>
        <v>1640213021</v>
      </c>
      <c r="G376" s="398">
        <f t="shared" si="29"/>
        <v>1640213021</v>
      </c>
      <c r="H376" s="398">
        <f t="shared" si="29"/>
        <v>1640213021</v>
      </c>
      <c r="I376" s="398">
        <f t="shared" si="29"/>
        <v>1640213021</v>
      </c>
      <c r="L376" s="32" t="e">
        <f>IF(xxYear=$D376,L$373,NA())</f>
        <v>#VALUE!</v>
      </c>
    </row>
    <row r="377" spans="4:12">
      <c r="D377">
        <v>2</v>
      </c>
      <c r="E377" s="398" t="e">
        <f t="shared" si="29"/>
        <v>#N/A</v>
      </c>
      <c r="F377" s="398" t="e">
        <f t="shared" si="29"/>
        <v>#N/A</v>
      </c>
      <c r="G377" s="398" t="e">
        <f t="shared" si="29"/>
        <v>#N/A</v>
      </c>
      <c r="H377" s="398" t="e">
        <f t="shared" si="29"/>
        <v>#N/A</v>
      </c>
      <c r="I377" s="398" t="e">
        <f t="shared" si="29"/>
        <v>#N/A</v>
      </c>
      <c r="L377" s="32" t="e">
        <f>IF(xxYear=$D377,L$373,NA())</f>
        <v>#N/A</v>
      </c>
    </row>
    <row r="378" spans="4:12">
      <c r="D378">
        <v>3</v>
      </c>
      <c r="E378" s="398" t="e">
        <f t="shared" si="29"/>
        <v>#N/A</v>
      </c>
      <c r="F378" s="398" t="e">
        <f t="shared" si="29"/>
        <v>#N/A</v>
      </c>
      <c r="G378" s="398" t="e">
        <f t="shared" si="29"/>
        <v>#N/A</v>
      </c>
      <c r="H378" s="398" t="e">
        <f t="shared" si="29"/>
        <v>#N/A</v>
      </c>
      <c r="I378" s="398" t="e">
        <f t="shared" si="29"/>
        <v>#N/A</v>
      </c>
      <c r="L378" s="32" t="e">
        <f>IF(xxYear=$D378,L$373,NA())</f>
        <v>#N/A</v>
      </c>
    </row>
    <row r="379" spans="4:12">
      <c r="D379">
        <v>4</v>
      </c>
      <c r="E379" s="398" t="e">
        <f t="shared" si="29"/>
        <v>#N/A</v>
      </c>
      <c r="F379" s="398" t="e">
        <f t="shared" si="29"/>
        <v>#N/A</v>
      </c>
      <c r="G379" s="398" t="e">
        <f t="shared" si="29"/>
        <v>#N/A</v>
      </c>
      <c r="H379" s="398" t="e">
        <f t="shared" si="29"/>
        <v>#N/A</v>
      </c>
      <c r="I379" s="398" t="e">
        <f t="shared" si="29"/>
        <v>#N/A</v>
      </c>
      <c r="L379" s="32" t="e">
        <f>IF(xxYear=$D379,L$373,NA())</f>
        <v>#N/A</v>
      </c>
    </row>
    <row r="380" spans="4:12">
      <c r="L380" s="32"/>
    </row>
    <row r="381" spans="4:12">
      <c r="D381" s="77" t="s">
        <v>3735</v>
      </c>
      <c r="E381" s="398">
        <f>mmProd1Reg2UnitsSold+mmProd3Reg2UnitsSold+mmProd4Reg2UnitsSold</f>
        <v>826800000</v>
      </c>
      <c r="F381" s="398">
        <f>mmProd1Reg2UnitsSold+mmProd3Reg2UnitsSold+mmProd4Reg2UnitsSold</f>
        <v>826800000</v>
      </c>
      <c r="G381" s="398">
        <f>mmProd1Reg2UnitsSold+mmProd3Reg2UnitsSold+mmProd4Reg2UnitsSold</f>
        <v>826800000</v>
      </c>
      <c r="H381" s="398">
        <f>mmProd1Reg2UnitsSold+mmProd3Reg2UnitsSold+mmProd4Reg2UnitsSold</f>
        <v>826800000</v>
      </c>
      <c r="I381" s="398">
        <f>mmProd1Reg2UnitsSold+mmProd3Reg2UnitsSold+mmProd4Reg2UnitsSold</f>
        <v>826800000</v>
      </c>
      <c r="L381" s="32" t="e">
        <f>mmProd1Reg2UnitsSold+mmProd3Reg2UnitsSold+mmProd4Reg2UnitsSold</f>
        <v>#VALUE!</v>
      </c>
    </row>
    <row r="382" spans="4:12">
      <c r="E382" t="str">
        <f>decTeamName</f>
        <v>Vivia</v>
      </c>
      <c r="F382" t="str">
        <f>decTeamName</f>
        <v>Vivia</v>
      </c>
      <c r="G382" t="str">
        <f>decTeamName</f>
        <v>Vivia</v>
      </c>
      <c r="H382" t="str">
        <f>decTeamName</f>
        <v>Vivia</v>
      </c>
      <c r="I382" t="str">
        <f>decTeamName</f>
        <v>Vivia</v>
      </c>
      <c r="L382" s="32" t="e">
        <f>decTeamName</f>
        <v>#VALUE!</v>
      </c>
    </row>
    <row r="383" spans="4:12">
      <c r="D383">
        <v>0</v>
      </c>
      <c r="E383" s="398">
        <v>810967680</v>
      </c>
      <c r="F383" s="398">
        <v>810967680</v>
      </c>
      <c r="G383" s="398">
        <v>810967680</v>
      </c>
      <c r="H383" s="398">
        <v>810967680</v>
      </c>
      <c r="I383" s="398">
        <v>810967680</v>
      </c>
      <c r="J383" t="s">
        <v>1852</v>
      </c>
      <c r="L383" s="32" t="e">
        <f>IF(xxYear=$D383,L$381,NA())</f>
        <v>#N/A</v>
      </c>
    </row>
    <row r="384" spans="4:12">
      <c r="D384">
        <v>1</v>
      </c>
      <c r="E384" s="398">
        <f t="shared" ref="E384:I387" si="30">IF(xxYear=$D384,E$381,NA())</f>
        <v>826800000</v>
      </c>
      <c r="F384" s="398">
        <f t="shared" si="30"/>
        <v>826800000</v>
      </c>
      <c r="G384" s="398">
        <f t="shared" si="30"/>
        <v>826800000</v>
      </c>
      <c r="H384" s="398">
        <f t="shared" si="30"/>
        <v>826800000</v>
      </c>
      <c r="I384" s="398">
        <f t="shared" si="30"/>
        <v>826800000</v>
      </c>
      <c r="L384" s="32" t="e">
        <f>IF(xxYear=$D384,L$381,NA())</f>
        <v>#VALUE!</v>
      </c>
    </row>
    <row r="385" spans="4:12">
      <c r="D385">
        <v>2</v>
      </c>
      <c r="E385" s="398" t="e">
        <f t="shared" si="30"/>
        <v>#N/A</v>
      </c>
      <c r="F385" s="398" t="e">
        <f t="shared" si="30"/>
        <v>#N/A</v>
      </c>
      <c r="G385" s="398" t="e">
        <f t="shared" si="30"/>
        <v>#N/A</v>
      </c>
      <c r="H385" s="398" t="e">
        <f t="shared" si="30"/>
        <v>#N/A</v>
      </c>
      <c r="I385" s="398" t="e">
        <f t="shared" si="30"/>
        <v>#N/A</v>
      </c>
      <c r="L385" s="32" t="e">
        <f>IF(xxYear=$D385,L$381,NA())</f>
        <v>#N/A</v>
      </c>
    </row>
    <row r="386" spans="4:12">
      <c r="D386">
        <v>3</v>
      </c>
      <c r="E386" s="398" t="e">
        <f t="shared" si="30"/>
        <v>#N/A</v>
      </c>
      <c r="F386" s="398" t="e">
        <f t="shared" si="30"/>
        <v>#N/A</v>
      </c>
      <c r="G386" s="398" t="e">
        <f t="shared" si="30"/>
        <v>#N/A</v>
      </c>
      <c r="H386" s="398" t="e">
        <f t="shared" si="30"/>
        <v>#N/A</v>
      </c>
      <c r="I386" s="398" t="e">
        <f t="shared" si="30"/>
        <v>#N/A</v>
      </c>
      <c r="L386" s="32" t="e">
        <f>IF(xxYear=$D386,L$381,NA())</f>
        <v>#N/A</v>
      </c>
    </row>
    <row r="387" spans="4:12">
      <c r="D387">
        <v>4</v>
      </c>
      <c r="E387" s="398" t="e">
        <f t="shared" si="30"/>
        <v>#N/A</v>
      </c>
      <c r="F387" s="398" t="e">
        <f t="shared" si="30"/>
        <v>#N/A</v>
      </c>
      <c r="G387" s="398" t="e">
        <f t="shared" si="30"/>
        <v>#N/A</v>
      </c>
      <c r="H387" s="398" t="e">
        <f t="shared" si="30"/>
        <v>#N/A</v>
      </c>
      <c r="I387" s="398" t="e">
        <f t="shared" si="30"/>
        <v>#N/A</v>
      </c>
      <c r="L387" s="32" t="e">
        <f>IF(xxYear=$D387,L$381,NA())</f>
        <v>#N/A</v>
      </c>
    </row>
    <row r="388" spans="4:12">
      <c r="E388" s="398"/>
      <c r="F388" s="398"/>
      <c r="G388" s="398"/>
      <c r="H388" s="398"/>
      <c r="I388" s="398"/>
      <c r="L388" s="32"/>
    </row>
    <row r="389" spans="4:12">
      <c r="D389" s="77" t="s">
        <v>66</v>
      </c>
      <c r="E389" s="138">
        <f>(paramReg1Prod1CommSpendEffect+paramReg2Prod1CommSpendEffect)/2</f>
        <v>1</v>
      </c>
      <c r="F389" s="138">
        <f>(paramReg1Prod1CommSpendEffect+paramReg2Prod1CommSpendEffect)/2</f>
        <v>1</v>
      </c>
      <c r="G389" s="138">
        <f>(paramReg1Prod1CommSpendEffect+paramReg2Prod1CommSpendEffect)/2</f>
        <v>1</v>
      </c>
      <c r="H389" s="138">
        <f>(paramReg1Prod1CommSpendEffect+paramReg2Prod1CommSpendEffect)/2</f>
        <v>1</v>
      </c>
      <c r="I389" s="138">
        <f>(paramReg1Prod1CommSpendEffect+paramReg2Prod1CommSpendEffect)/2</f>
        <v>1</v>
      </c>
      <c r="L389" s="32" t="e">
        <f>(paramReg1Prod1CommSpendEffect+paramReg2Prod1CommSpendEffect)/2</f>
        <v>#VALUE!</v>
      </c>
    </row>
    <row r="390" spans="4:12">
      <c r="E390" t="str">
        <f>decTeamName</f>
        <v>Vivia</v>
      </c>
      <c r="F390" t="str">
        <f>decTeamName</f>
        <v>Vivia</v>
      </c>
      <c r="G390" t="str">
        <f>decTeamName</f>
        <v>Vivia</v>
      </c>
      <c r="H390" t="str">
        <f>decTeamName</f>
        <v>Vivia</v>
      </c>
      <c r="I390" t="str">
        <f>decTeamName</f>
        <v>Vivia</v>
      </c>
      <c r="L390" s="32" t="e">
        <f>decTeamName</f>
        <v>#VALUE!</v>
      </c>
    </row>
    <row r="391" spans="4:12">
      <c r="D391">
        <v>0</v>
      </c>
      <c r="E391" s="138">
        <v>1</v>
      </c>
      <c r="F391" s="138">
        <v>1</v>
      </c>
      <c r="G391" s="138">
        <v>1</v>
      </c>
      <c r="H391" s="138">
        <v>1</v>
      </c>
      <c r="I391" s="138">
        <v>1</v>
      </c>
      <c r="J391" t="s">
        <v>3421</v>
      </c>
      <c r="L391" s="32" t="e">
        <f>IF(xxYear=$D391,L$389,NA())</f>
        <v>#N/A</v>
      </c>
    </row>
    <row r="392" spans="4:12">
      <c r="D392">
        <v>1</v>
      </c>
      <c r="E392" s="138">
        <f t="shared" ref="E392:I395" si="31">IF(xxYear=$D392,E$389,NA())</f>
        <v>1</v>
      </c>
      <c r="F392" s="138">
        <f t="shared" si="31"/>
        <v>1</v>
      </c>
      <c r="G392" s="138">
        <f t="shared" si="31"/>
        <v>1</v>
      </c>
      <c r="H392" s="138">
        <f t="shared" si="31"/>
        <v>1</v>
      </c>
      <c r="I392" s="138">
        <f t="shared" si="31"/>
        <v>1</v>
      </c>
      <c r="L392" s="32" t="e">
        <f>IF(xxYear=$D392,L$389,NA())</f>
        <v>#VALUE!</v>
      </c>
    </row>
    <row r="393" spans="4:12">
      <c r="D393">
        <v>2</v>
      </c>
      <c r="E393" s="138" t="e">
        <f t="shared" si="31"/>
        <v>#N/A</v>
      </c>
      <c r="F393" s="138" t="e">
        <f t="shared" si="31"/>
        <v>#N/A</v>
      </c>
      <c r="G393" s="138" t="e">
        <f t="shared" si="31"/>
        <v>#N/A</v>
      </c>
      <c r="H393" s="138" t="e">
        <f t="shared" si="31"/>
        <v>#N/A</v>
      </c>
      <c r="I393" s="138" t="e">
        <f t="shared" si="31"/>
        <v>#N/A</v>
      </c>
      <c r="L393" s="32" t="e">
        <f>IF(xxYear=$D393,L$389,NA())</f>
        <v>#N/A</v>
      </c>
    </row>
    <row r="394" spans="4:12">
      <c r="D394">
        <v>3</v>
      </c>
      <c r="E394" s="138" t="e">
        <f t="shared" si="31"/>
        <v>#N/A</v>
      </c>
      <c r="F394" s="138" t="e">
        <f t="shared" si="31"/>
        <v>#N/A</v>
      </c>
      <c r="G394" s="138" t="e">
        <f t="shared" si="31"/>
        <v>#N/A</v>
      </c>
      <c r="H394" s="138" t="e">
        <f t="shared" si="31"/>
        <v>#N/A</v>
      </c>
      <c r="I394" s="138" t="e">
        <f t="shared" si="31"/>
        <v>#N/A</v>
      </c>
      <c r="L394" s="32" t="e">
        <f>IF(xxYear=$D394,L$389,NA())</f>
        <v>#N/A</v>
      </c>
    </row>
    <row r="395" spans="4:12">
      <c r="D395">
        <v>4</v>
      </c>
      <c r="E395" s="138" t="e">
        <f t="shared" si="31"/>
        <v>#N/A</v>
      </c>
      <c r="F395" s="138" t="e">
        <f t="shared" si="31"/>
        <v>#N/A</v>
      </c>
      <c r="G395" s="138" t="e">
        <f t="shared" si="31"/>
        <v>#N/A</v>
      </c>
      <c r="H395" s="138" t="e">
        <f t="shared" si="31"/>
        <v>#N/A</v>
      </c>
      <c r="I395" s="138" t="e">
        <f t="shared" si="31"/>
        <v>#N/A</v>
      </c>
      <c r="L395" s="32" t="e">
        <f>IF(xxYear=$D395,L$389,NA())</f>
        <v>#N/A</v>
      </c>
    </row>
    <row r="396" spans="4:12">
      <c r="E396" s="398"/>
      <c r="F396" s="398"/>
      <c r="G396" s="398"/>
      <c r="H396" s="398"/>
      <c r="I396" s="398"/>
      <c r="L396" s="32"/>
    </row>
    <row r="397" spans="4:12">
      <c r="D397" s="77" t="s">
        <v>3137</v>
      </c>
      <c r="E397" s="516">
        <f>(paramReg1Prod3CommSpendEffect+paramReg2Prod3CommSpendEffect)/2</f>
        <v>1</v>
      </c>
      <c r="F397" s="516">
        <f>(paramReg1Prod3CommSpendEffect+paramReg2Prod3CommSpendEffect)/2</f>
        <v>1</v>
      </c>
      <c r="G397" s="516">
        <f>(paramReg1Prod3CommSpendEffect+paramReg2Prod3CommSpendEffect)/2</f>
        <v>1</v>
      </c>
      <c r="H397" s="516">
        <f>(paramReg1Prod3CommSpendEffect+paramReg2Prod3CommSpendEffect)/2</f>
        <v>1</v>
      </c>
      <c r="I397" s="516">
        <f>(paramReg1Prod3CommSpendEffect+paramReg2Prod3CommSpendEffect)/2</f>
        <v>1</v>
      </c>
      <c r="L397" s="32" t="e">
        <f>(paramReg1Prod3CommSpendEffect+paramReg2Prod3CommSpendEffect)/2</f>
        <v>#VALUE!</v>
      </c>
    </row>
    <row r="398" spans="4:12">
      <c r="E398" t="str">
        <f>decTeamName</f>
        <v>Vivia</v>
      </c>
      <c r="F398" t="str">
        <f>decTeamName</f>
        <v>Vivia</v>
      </c>
      <c r="G398" t="str">
        <f>decTeamName</f>
        <v>Vivia</v>
      </c>
      <c r="H398" t="str">
        <f>decTeamName</f>
        <v>Vivia</v>
      </c>
      <c r="I398" t="str">
        <f>decTeamName</f>
        <v>Vivia</v>
      </c>
      <c r="L398" s="32" t="e">
        <f>decTeamName</f>
        <v>#VALUE!</v>
      </c>
    </row>
    <row r="399" spans="4:12">
      <c r="D399">
        <v>0</v>
      </c>
      <c r="E399" s="516">
        <v>1</v>
      </c>
      <c r="F399" s="516">
        <v>1</v>
      </c>
      <c r="G399" s="516">
        <v>1</v>
      </c>
      <c r="H399" s="516">
        <v>1</v>
      </c>
      <c r="I399" s="516">
        <v>1</v>
      </c>
      <c r="J399" t="s">
        <v>3423</v>
      </c>
      <c r="L399" s="32" t="e">
        <f>IF(xxYear=$D399,L$397,NA())</f>
        <v>#N/A</v>
      </c>
    </row>
    <row r="400" spans="4:12">
      <c r="D400">
        <v>1</v>
      </c>
      <c r="E400" s="516">
        <f t="shared" ref="E400:I403" si="32">IF(xxYear=$D400,E$397,NA())</f>
        <v>1</v>
      </c>
      <c r="F400" s="516">
        <f t="shared" si="32"/>
        <v>1</v>
      </c>
      <c r="G400" s="516">
        <f t="shared" si="32"/>
        <v>1</v>
      </c>
      <c r="H400" s="516">
        <f t="shared" si="32"/>
        <v>1</v>
      </c>
      <c r="I400" s="516">
        <f t="shared" si="32"/>
        <v>1</v>
      </c>
      <c r="L400" s="32" t="e">
        <f>IF(xxYear=$D400,L$397,NA())</f>
        <v>#VALUE!</v>
      </c>
    </row>
    <row r="401" spans="4:12">
      <c r="D401">
        <v>2</v>
      </c>
      <c r="E401" s="516" t="e">
        <f t="shared" si="32"/>
        <v>#N/A</v>
      </c>
      <c r="F401" s="516" t="e">
        <f t="shared" si="32"/>
        <v>#N/A</v>
      </c>
      <c r="G401" s="516" t="e">
        <f t="shared" si="32"/>
        <v>#N/A</v>
      </c>
      <c r="H401" s="516" t="e">
        <f t="shared" si="32"/>
        <v>#N/A</v>
      </c>
      <c r="I401" s="516" t="e">
        <f t="shared" si="32"/>
        <v>#N/A</v>
      </c>
      <c r="L401" s="32" t="e">
        <f>IF(xxYear=$D401,L$397,NA())</f>
        <v>#N/A</v>
      </c>
    </row>
    <row r="402" spans="4:12">
      <c r="D402">
        <v>3</v>
      </c>
      <c r="E402" s="516" t="e">
        <f t="shared" si="32"/>
        <v>#N/A</v>
      </c>
      <c r="F402" s="516" t="e">
        <f t="shared" si="32"/>
        <v>#N/A</v>
      </c>
      <c r="G402" s="516" t="e">
        <f t="shared" si="32"/>
        <v>#N/A</v>
      </c>
      <c r="H402" s="516" t="e">
        <f t="shared" si="32"/>
        <v>#N/A</v>
      </c>
      <c r="I402" s="516" t="e">
        <f t="shared" si="32"/>
        <v>#N/A</v>
      </c>
      <c r="L402" s="32" t="e">
        <f>IF(xxYear=$D402,L$397,NA())</f>
        <v>#N/A</v>
      </c>
    </row>
    <row r="403" spans="4:12">
      <c r="D403">
        <v>4</v>
      </c>
      <c r="E403" s="516" t="e">
        <f t="shared" si="32"/>
        <v>#N/A</v>
      </c>
      <c r="F403" s="516" t="e">
        <f t="shared" si="32"/>
        <v>#N/A</v>
      </c>
      <c r="G403" s="516" t="e">
        <f t="shared" si="32"/>
        <v>#N/A</v>
      </c>
      <c r="H403" s="516" t="e">
        <f t="shared" si="32"/>
        <v>#N/A</v>
      </c>
      <c r="I403" s="516" t="e">
        <f t="shared" si="32"/>
        <v>#N/A</v>
      </c>
      <c r="L403" s="32" t="e">
        <f>IF(xxYear=$D403,L$397,NA())</f>
        <v>#N/A</v>
      </c>
    </row>
    <row r="404" spans="4:12">
      <c r="E404" s="398"/>
      <c r="F404" s="398"/>
      <c r="G404" s="398"/>
      <c r="H404" s="398"/>
      <c r="I404" s="398"/>
      <c r="L404" s="32"/>
    </row>
    <row r="405" spans="4:12">
      <c r="D405" s="77" t="s">
        <v>3136</v>
      </c>
      <c r="E405" s="138">
        <f>(paramReg1Prod4CommSpendEffect+paramReg2Prod4CommSpendEffect)/2</f>
        <v>1</v>
      </c>
      <c r="F405" s="138">
        <f>(paramReg1Prod4CommSpendEffect+paramReg2Prod4CommSpendEffect)/2</f>
        <v>1</v>
      </c>
      <c r="G405" s="138">
        <f>(paramReg1Prod4CommSpendEffect+paramReg2Prod4CommSpendEffect)/2</f>
        <v>1</v>
      </c>
      <c r="H405" s="138">
        <f>(paramReg1Prod4CommSpendEffect+paramReg2Prod4CommSpendEffect)/2</f>
        <v>1</v>
      </c>
      <c r="I405" s="138">
        <f>(paramReg1Prod4CommSpendEffect+paramReg2Prod4CommSpendEffect)/2</f>
        <v>1</v>
      </c>
      <c r="L405" s="32" t="e">
        <f>(paramReg1Prod4CommSpendEffect+paramReg2Prod4CommSpendEffect)/2</f>
        <v>#VALUE!</v>
      </c>
    </row>
    <row r="406" spans="4:12">
      <c r="E406" t="str">
        <f>decTeamName</f>
        <v>Vivia</v>
      </c>
      <c r="F406" t="str">
        <f>decTeamName</f>
        <v>Vivia</v>
      </c>
      <c r="G406" t="str">
        <f>decTeamName</f>
        <v>Vivia</v>
      </c>
      <c r="H406" t="str">
        <f>decTeamName</f>
        <v>Vivia</v>
      </c>
      <c r="I406" t="str">
        <f>decTeamName</f>
        <v>Vivia</v>
      </c>
      <c r="L406" s="32" t="e">
        <f>decTeamName</f>
        <v>#VALUE!</v>
      </c>
    </row>
    <row r="407" spans="4:12">
      <c r="D407">
        <v>0</v>
      </c>
      <c r="E407" s="138">
        <v>1</v>
      </c>
      <c r="F407" s="138">
        <v>1</v>
      </c>
      <c r="G407" s="138">
        <v>1</v>
      </c>
      <c r="H407" s="138">
        <v>1</v>
      </c>
      <c r="I407" s="138">
        <v>1</v>
      </c>
      <c r="J407" t="s">
        <v>3422</v>
      </c>
      <c r="L407" s="32" t="e">
        <f>IF(xxYear=$D407,L$405,NA())</f>
        <v>#N/A</v>
      </c>
    </row>
    <row r="408" spans="4:12">
      <c r="D408">
        <v>1</v>
      </c>
      <c r="E408" s="138">
        <f t="shared" ref="E408:I411" si="33">IF(xxYear=$D408,E$405,NA())</f>
        <v>1</v>
      </c>
      <c r="F408" s="138">
        <f t="shared" si="33"/>
        <v>1</v>
      </c>
      <c r="G408" s="138">
        <f t="shared" si="33"/>
        <v>1</v>
      </c>
      <c r="H408" s="138">
        <f t="shared" si="33"/>
        <v>1</v>
      </c>
      <c r="I408" s="138">
        <f t="shared" si="33"/>
        <v>1</v>
      </c>
      <c r="L408" s="32" t="e">
        <f>IF(xxYear=$D408,L$405,NA())</f>
        <v>#VALUE!</v>
      </c>
    </row>
    <row r="409" spans="4:12">
      <c r="D409">
        <v>2</v>
      </c>
      <c r="E409" s="138" t="e">
        <f t="shared" si="33"/>
        <v>#N/A</v>
      </c>
      <c r="F409" s="138" t="e">
        <f t="shared" si="33"/>
        <v>#N/A</v>
      </c>
      <c r="G409" s="138" t="e">
        <f t="shared" si="33"/>
        <v>#N/A</v>
      </c>
      <c r="H409" s="138" t="e">
        <f t="shared" si="33"/>
        <v>#N/A</v>
      </c>
      <c r="I409" s="138" t="e">
        <f t="shared" si="33"/>
        <v>#N/A</v>
      </c>
      <c r="L409" s="32" t="e">
        <f>IF(xxYear=$D409,L$405,NA())</f>
        <v>#N/A</v>
      </c>
    </row>
    <row r="410" spans="4:12">
      <c r="D410">
        <v>3</v>
      </c>
      <c r="E410" s="138" t="e">
        <f t="shared" si="33"/>
        <v>#N/A</v>
      </c>
      <c r="F410" s="138" t="e">
        <f t="shared" si="33"/>
        <v>#N/A</v>
      </c>
      <c r="G410" s="138" t="e">
        <f t="shared" si="33"/>
        <v>#N/A</v>
      </c>
      <c r="H410" s="138" t="e">
        <f t="shared" si="33"/>
        <v>#N/A</v>
      </c>
      <c r="I410" s="138" t="e">
        <f t="shared" si="33"/>
        <v>#N/A</v>
      </c>
      <c r="L410" s="32" t="e">
        <f>IF(xxYear=$D410,L$405,NA())</f>
        <v>#N/A</v>
      </c>
    </row>
    <row r="411" spans="4:12">
      <c r="D411">
        <v>4</v>
      </c>
      <c r="E411" s="138" t="e">
        <f t="shared" si="33"/>
        <v>#N/A</v>
      </c>
      <c r="F411" s="138" t="e">
        <f t="shared" si="33"/>
        <v>#N/A</v>
      </c>
      <c r="G411" s="138" t="e">
        <f t="shared" si="33"/>
        <v>#N/A</v>
      </c>
      <c r="H411" s="138" t="e">
        <f t="shared" si="33"/>
        <v>#N/A</v>
      </c>
      <c r="I411" s="138" t="e">
        <f t="shared" si="33"/>
        <v>#N/A</v>
      </c>
      <c r="L411" s="32" t="e">
        <f>IF(xxYear=$D411,L$405,NA())</f>
        <v>#N/A</v>
      </c>
    </row>
    <row r="412" spans="4:12">
      <c r="E412" s="398"/>
      <c r="F412" s="398"/>
      <c r="G412" s="398"/>
      <c r="H412" s="398"/>
      <c r="I412" s="398"/>
      <c r="L412" s="32"/>
    </row>
    <row r="413" spans="4:12">
      <c r="D413" s="77" t="s">
        <v>2369</v>
      </c>
      <c r="E413" s="398">
        <f ca="1">finCashClosingValue</f>
        <v>6695625983.2060633</v>
      </c>
      <c r="F413" s="398">
        <f ca="1">finCashClosingValue</f>
        <v>6695625983.2060633</v>
      </c>
      <c r="G413" s="398">
        <f ca="1">finCashClosingValue</f>
        <v>6695625983.2060633</v>
      </c>
      <c r="H413" s="398">
        <f ca="1">finCashClosingValue</f>
        <v>6695625983.2060633</v>
      </c>
      <c r="I413" s="398">
        <f ca="1">finCashClosingValue</f>
        <v>6695625983.2060633</v>
      </c>
      <c r="L413" s="32" t="e">
        <f>finCashClosingValue</f>
        <v>#VALUE!</v>
      </c>
    </row>
    <row r="414" spans="4:12">
      <c r="E414" t="str">
        <f>decTeamName</f>
        <v>Vivia</v>
      </c>
      <c r="F414" t="str">
        <f>decTeamName</f>
        <v>Vivia</v>
      </c>
      <c r="G414" t="str">
        <f>decTeamName</f>
        <v>Vivia</v>
      </c>
      <c r="H414" t="str">
        <f>decTeamName</f>
        <v>Vivia</v>
      </c>
      <c r="I414" t="str">
        <f>decTeamName</f>
        <v>Vivia</v>
      </c>
      <c r="L414" s="32" t="e">
        <f>decTeamName</f>
        <v>#VALUE!</v>
      </c>
    </row>
    <row r="415" spans="4:12">
      <c r="D415">
        <v>0</v>
      </c>
      <c r="E415" s="398">
        <v>4959719052.5716419</v>
      </c>
      <c r="F415" s="398">
        <v>4959719052.5716419</v>
      </c>
      <c r="G415" s="398">
        <v>4959719052.5716419</v>
      </c>
      <c r="H415" s="398">
        <v>4959719052.5716419</v>
      </c>
      <c r="I415" s="398">
        <v>4959719052.5716419</v>
      </c>
      <c r="J415" t="s">
        <v>1854</v>
      </c>
      <c r="L415" s="32" t="e">
        <f>IF(xxYear=$D415,L$413,NA())</f>
        <v>#N/A</v>
      </c>
    </row>
    <row r="416" spans="4:12">
      <c r="D416">
        <v>1</v>
      </c>
      <c r="E416" s="398">
        <f t="shared" ref="E416:I419" ca="1" si="34">IF(xxYear=$D416,E$413,NA())</f>
        <v>6695625983.2060633</v>
      </c>
      <c r="F416" s="398">
        <f t="shared" ca="1" si="34"/>
        <v>6695625983.2060633</v>
      </c>
      <c r="G416" s="398">
        <f t="shared" ca="1" si="34"/>
        <v>6695625983.2060633</v>
      </c>
      <c r="H416" s="398">
        <f t="shared" ca="1" si="34"/>
        <v>6695625983.2060633</v>
      </c>
      <c r="I416" s="398">
        <f t="shared" ca="1" si="34"/>
        <v>6695625983.2060633</v>
      </c>
      <c r="L416" s="32" t="e">
        <f>IF(xxYear=$D416,L$413,NA())</f>
        <v>#VALUE!</v>
      </c>
    </row>
    <row r="417" spans="4:12">
      <c r="D417">
        <v>2</v>
      </c>
      <c r="E417" s="398" t="e">
        <f t="shared" si="34"/>
        <v>#N/A</v>
      </c>
      <c r="F417" s="398" t="e">
        <f t="shared" si="34"/>
        <v>#N/A</v>
      </c>
      <c r="G417" s="398" t="e">
        <f t="shared" si="34"/>
        <v>#N/A</v>
      </c>
      <c r="H417" s="398" t="e">
        <f t="shared" si="34"/>
        <v>#N/A</v>
      </c>
      <c r="I417" s="398" t="e">
        <f t="shared" si="34"/>
        <v>#N/A</v>
      </c>
      <c r="L417" s="32" t="e">
        <f>IF(xxYear=$D417,L$413,NA())</f>
        <v>#N/A</v>
      </c>
    </row>
    <row r="418" spans="4:12">
      <c r="D418">
        <v>3</v>
      </c>
      <c r="E418" s="398" t="e">
        <f t="shared" si="34"/>
        <v>#N/A</v>
      </c>
      <c r="F418" s="398" t="e">
        <f t="shared" si="34"/>
        <v>#N/A</v>
      </c>
      <c r="G418" s="398" t="e">
        <f t="shared" si="34"/>
        <v>#N/A</v>
      </c>
      <c r="H418" s="398" t="e">
        <f t="shared" si="34"/>
        <v>#N/A</v>
      </c>
      <c r="I418" s="398" t="e">
        <f t="shared" si="34"/>
        <v>#N/A</v>
      </c>
      <c r="L418" s="32" t="e">
        <f>IF(xxYear=$D418,L$413,NA())</f>
        <v>#N/A</v>
      </c>
    </row>
    <row r="419" spans="4:12">
      <c r="D419">
        <v>4</v>
      </c>
      <c r="E419" s="398" t="e">
        <f t="shared" si="34"/>
        <v>#N/A</v>
      </c>
      <c r="F419" s="398" t="e">
        <f t="shared" si="34"/>
        <v>#N/A</v>
      </c>
      <c r="G419" s="398" t="e">
        <f t="shared" si="34"/>
        <v>#N/A</v>
      </c>
      <c r="H419" s="398" t="e">
        <f t="shared" si="34"/>
        <v>#N/A</v>
      </c>
      <c r="I419" s="398" t="e">
        <f t="shared" si="34"/>
        <v>#N/A</v>
      </c>
      <c r="L419" s="32" t="e">
        <f>IF(xxYear=$D419,L$413,NA())</f>
        <v>#N/A</v>
      </c>
    </row>
    <row r="420" spans="4:12">
      <c r="L420" s="32"/>
    </row>
    <row r="421" spans="4:12">
      <c r="D421" s="77" t="s">
        <v>717</v>
      </c>
      <c r="E421" s="516">
        <f>finPNLRandDExp-finPNLLongTermRDExp</f>
        <v>8497326.7867337763</v>
      </c>
      <c r="F421" s="516">
        <f>finPNLRandDExp-finPNLLongTermRDExp</f>
        <v>8497326.7867337763</v>
      </c>
      <c r="G421" s="516">
        <f>finPNLRandDExp-finPNLLongTermRDExp</f>
        <v>8497326.7867337763</v>
      </c>
      <c r="H421" s="516">
        <f>finPNLRandDExp-finPNLLongTermRDExp</f>
        <v>8497326.7867337763</v>
      </c>
      <c r="I421" s="516">
        <f>finPNLRandDExp-finPNLLongTermRDExp</f>
        <v>8497326.7867337763</v>
      </c>
      <c r="L421" s="32" t="e">
        <f>finPNLRandDExp-finPNLLongTermRDExp</f>
        <v>#VALUE!</v>
      </c>
    </row>
    <row r="422" spans="4:12">
      <c r="E422" t="str">
        <f>decTeamName</f>
        <v>Vivia</v>
      </c>
      <c r="F422" t="str">
        <f>decTeamName</f>
        <v>Vivia</v>
      </c>
      <c r="G422" t="str">
        <f>decTeamName</f>
        <v>Vivia</v>
      </c>
      <c r="H422" t="str">
        <f>decTeamName</f>
        <v>Vivia</v>
      </c>
      <c r="I422" t="str">
        <f>decTeamName</f>
        <v>Vivia</v>
      </c>
      <c r="L422" s="32" t="e">
        <f>decTeamName</f>
        <v>#VALUE!</v>
      </c>
    </row>
    <row r="423" spans="4:12">
      <c r="D423">
        <v>0</v>
      </c>
      <c r="E423" s="516">
        <v>8584602.6885979772</v>
      </c>
      <c r="F423" s="516">
        <v>8584602.6885979772</v>
      </c>
      <c r="G423" s="516">
        <v>8584602.6885979772</v>
      </c>
      <c r="H423" s="516">
        <v>8584602.6885979772</v>
      </c>
      <c r="I423" s="516">
        <v>8584602.6885979772</v>
      </c>
      <c r="J423" s="516" t="s">
        <v>718</v>
      </c>
      <c r="L423" s="32" t="e">
        <f>IF(xxYear=$D423,L$421,NA())</f>
        <v>#N/A</v>
      </c>
    </row>
    <row r="424" spans="4:12">
      <c r="D424">
        <v>1</v>
      </c>
      <c r="E424" s="516">
        <f t="shared" ref="E424:I427" si="35">IF(xxYear=$D424,E$421,NA())</f>
        <v>8497326.7867337763</v>
      </c>
      <c r="F424" s="516">
        <f t="shared" si="35"/>
        <v>8497326.7867337763</v>
      </c>
      <c r="G424" s="516">
        <f t="shared" si="35"/>
        <v>8497326.7867337763</v>
      </c>
      <c r="H424" s="516">
        <f t="shared" si="35"/>
        <v>8497326.7867337763</v>
      </c>
      <c r="I424" s="516">
        <f t="shared" si="35"/>
        <v>8497326.7867337763</v>
      </c>
      <c r="J424" s="516"/>
      <c r="L424" s="32" t="e">
        <f>IF(xxYear=$D424,L$421,NA())</f>
        <v>#VALUE!</v>
      </c>
    </row>
    <row r="425" spans="4:12">
      <c r="D425">
        <v>2</v>
      </c>
      <c r="E425" s="516" t="e">
        <f t="shared" si="35"/>
        <v>#N/A</v>
      </c>
      <c r="F425" s="516" t="e">
        <f t="shared" si="35"/>
        <v>#N/A</v>
      </c>
      <c r="G425" s="516" t="e">
        <f t="shared" si="35"/>
        <v>#N/A</v>
      </c>
      <c r="H425" s="516" t="e">
        <f t="shared" si="35"/>
        <v>#N/A</v>
      </c>
      <c r="I425" s="516" t="e">
        <f t="shared" si="35"/>
        <v>#N/A</v>
      </c>
      <c r="J425" s="516"/>
      <c r="L425" s="32" t="e">
        <f>IF(xxYear=$D425,L$421,NA())</f>
        <v>#N/A</v>
      </c>
    </row>
    <row r="426" spans="4:12">
      <c r="D426">
        <v>3</v>
      </c>
      <c r="E426" s="516" t="e">
        <f t="shared" si="35"/>
        <v>#N/A</v>
      </c>
      <c r="F426" s="516" t="e">
        <f t="shared" si="35"/>
        <v>#N/A</v>
      </c>
      <c r="G426" s="516" t="e">
        <f t="shared" si="35"/>
        <v>#N/A</v>
      </c>
      <c r="H426" s="516" t="e">
        <f t="shared" si="35"/>
        <v>#N/A</v>
      </c>
      <c r="I426" s="516" t="e">
        <f t="shared" si="35"/>
        <v>#N/A</v>
      </c>
      <c r="J426" s="516"/>
      <c r="L426" s="32" t="e">
        <f>IF(xxYear=$D426,L$421,NA())</f>
        <v>#N/A</v>
      </c>
    </row>
    <row r="427" spans="4:12">
      <c r="D427">
        <v>4</v>
      </c>
      <c r="E427" s="516" t="e">
        <f t="shared" si="35"/>
        <v>#N/A</v>
      </c>
      <c r="F427" s="516" t="e">
        <f t="shared" si="35"/>
        <v>#N/A</v>
      </c>
      <c r="G427" s="516" t="e">
        <f t="shared" si="35"/>
        <v>#N/A</v>
      </c>
      <c r="H427" s="516" t="e">
        <f t="shared" si="35"/>
        <v>#N/A</v>
      </c>
      <c r="I427" s="516" t="e">
        <f t="shared" si="35"/>
        <v>#N/A</v>
      </c>
      <c r="J427" s="516"/>
      <c r="L427" s="32" t="e">
        <f>IF(xxYear=$D427,L$421,NA())</f>
        <v>#N/A</v>
      </c>
    </row>
    <row r="428" spans="4:12">
      <c r="L428" s="32"/>
    </row>
    <row r="429" spans="4:12">
      <c r="D429" s="77" t="s">
        <v>1767</v>
      </c>
      <c r="E429" s="516">
        <f ca="1">capSustainability</f>
        <v>100.46404932205822</v>
      </c>
      <c r="F429" s="516">
        <f ca="1">capSustainability</f>
        <v>100.46404932205822</v>
      </c>
      <c r="G429" s="516">
        <f ca="1">capSustainability</f>
        <v>100.46404932205822</v>
      </c>
      <c r="H429" s="516">
        <f ca="1">capSustainability</f>
        <v>100.46404932205822</v>
      </c>
      <c r="I429" s="516">
        <f ca="1">capSustainability</f>
        <v>100.46404932205822</v>
      </c>
      <c r="L429" s="32" t="e">
        <f>capSustainability</f>
        <v>#VALUE!</v>
      </c>
    </row>
    <row r="430" spans="4:12">
      <c r="E430" t="str">
        <f>decTeamName</f>
        <v>Vivia</v>
      </c>
      <c r="F430" t="str">
        <f>decTeamName</f>
        <v>Vivia</v>
      </c>
      <c r="G430" t="str">
        <f>decTeamName</f>
        <v>Vivia</v>
      </c>
      <c r="H430" t="str">
        <f>decTeamName</f>
        <v>Vivia</v>
      </c>
      <c r="I430" t="str">
        <f>decTeamName</f>
        <v>Vivia</v>
      </c>
      <c r="L430" s="32" t="e">
        <f>decTeamName</f>
        <v>#VALUE!</v>
      </c>
    </row>
    <row r="431" spans="4:12">
      <c r="D431">
        <v>0</v>
      </c>
      <c r="E431" s="516">
        <v>100.78923575849268</v>
      </c>
      <c r="F431" s="516">
        <v>100.78923575849268</v>
      </c>
      <c r="G431" s="516">
        <v>100.78923575849268</v>
      </c>
      <c r="H431" s="516">
        <v>100.78923575849268</v>
      </c>
      <c r="I431" s="516">
        <v>100.78923575849268</v>
      </c>
      <c r="J431" s="516" t="s">
        <v>1778</v>
      </c>
      <c r="L431" s="32" t="e">
        <f>IF(xxYear=$D431,L$429,NA())</f>
        <v>#N/A</v>
      </c>
    </row>
    <row r="432" spans="4:12">
      <c r="D432">
        <v>1</v>
      </c>
      <c r="E432" s="516">
        <f t="shared" ref="E432:I435" ca="1" si="36">IF(xxYear=$D432,E$429,NA())</f>
        <v>100.46404932205822</v>
      </c>
      <c r="F432" s="516">
        <f t="shared" ca="1" si="36"/>
        <v>100.46404932205822</v>
      </c>
      <c r="G432" s="516">
        <f t="shared" ca="1" si="36"/>
        <v>100.46404932205822</v>
      </c>
      <c r="H432" s="516">
        <f t="shared" ca="1" si="36"/>
        <v>100.46404932205822</v>
      </c>
      <c r="I432" s="516">
        <f t="shared" ca="1" si="36"/>
        <v>100.46404932205822</v>
      </c>
      <c r="J432" s="516"/>
      <c r="L432" s="32" t="e">
        <f>IF(xxYear=$D432,L$429,NA())</f>
        <v>#VALUE!</v>
      </c>
    </row>
    <row r="433" spans="4:12">
      <c r="D433">
        <v>2</v>
      </c>
      <c r="E433" s="516" t="e">
        <f t="shared" si="36"/>
        <v>#N/A</v>
      </c>
      <c r="F433" s="516" t="e">
        <f t="shared" si="36"/>
        <v>#N/A</v>
      </c>
      <c r="G433" s="516" t="e">
        <f t="shared" si="36"/>
        <v>#N/A</v>
      </c>
      <c r="H433" s="516" t="e">
        <f t="shared" si="36"/>
        <v>#N/A</v>
      </c>
      <c r="I433" s="516" t="e">
        <f t="shared" si="36"/>
        <v>#N/A</v>
      </c>
      <c r="J433" s="516"/>
      <c r="L433" s="32" t="e">
        <f>IF(xxYear=$D433,L$429,NA())</f>
        <v>#N/A</v>
      </c>
    </row>
    <row r="434" spans="4:12">
      <c r="D434">
        <v>3</v>
      </c>
      <c r="E434" s="516" t="e">
        <f t="shared" si="36"/>
        <v>#N/A</v>
      </c>
      <c r="F434" s="516" t="e">
        <f t="shared" si="36"/>
        <v>#N/A</v>
      </c>
      <c r="G434" s="516" t="e">
        <f t="shared" si="36"/>
        <v>#N/A</v>
      </c>
      <c r="H434" s="516" t="e">
        <f t="shared" si="36"/>
        <v>#N/A</v>
      </c>
      <c r="I434" s="516" t="e">
        <f t="shared" si="36"/>
        <v>#N/A</v>
      </c>
      <c r="J434" s="516"/>
      <c r="L434" s="32" t="e">
        <f>IF(xxYear=$D434,L$429,NA())</f>
        <v>#N/A</v>
      </c>
    </row>
    <row r="435" spans="4:12">
      <c r="D435">
        <v>4</v>
      </c>
      <c r="E435" s="516" t="e">
        <f t="shared" si="36"/>
        <v>#N/A</v>
      </c>
      <c r="F435" s="516" t="e">
        <f t="shared" si="36"/>
        <v>#N/A</v>
      </c>
      <c r="G435" s="516" t="e">
        <f t="shared" si="36"/>
        <v>#N/A</v>
      </c>
      <c r="H435" s="516" t="e">
        <f t="shared" si="36"/>
        <v>#N/A</v>
      </c>
      <c r="I435" s="516" t="e">
        <f t="shared" si="36"/>
        <v>#N/A</v>
      </c>
      <c r="J435" s="516"/>
      <c r="L435" s="32" t="e">
        <f>IF(xxYear=$D435,L$429,NA())</f>
        <v>#N/A</v>
      </c>
    </row>
    <row r="436" spans="4:12">
      <c r="E436" s="398"/>
      <c r="F436" s="398"/>
      <c r="G436" s="398"/>
      <c r="H436" s="398"/>
      <c r="I436" s="398"/>
      <c r="L436" s="32"/>
    </row>
    <row r="437" spans="4:12">
      <c r="D437" s="77" t="s">
        <v>1779</v>
      </c>
      <c r="E437" s="714">
        <f ca="1">finInvestedCapital/finPNLNetRev</f>
        <v>0.64044448365366424</v>
      </c>
      <c r="F437" s="714">
        <f ca="1">finInvestedCapital/finPNLNetRev</f>
        <v>0.64044448365366424</v>
      </c>
      <c r="G437" s="714">
        <f ca="1">finInvestedCapital/finPNLNetRev</f>
        <v>0.64044448365366424</v>
      </c>
      <c r="H437" s="714">
        <f ca="1">finInvestedCapital/finPNLNetRev</f>
        <v>0.64044448365366424</v>
      </c>
      <c r="I437" s="714">
        <f ca="1">finInvestedCapital/finPNLNetRev</f>
        <v>0.64044448365366424</v>
      </c>
      <c r="L437" s="32" t="e">
        <f>finInvestedCapital/finPNLNetRev</f>
        <v>#VALUE!</v>
      </c>
    </row>
    <row r="438" spans="4:12">
      <c r="E438" t="str">
        <f>decTeamName</f>
        <v>Vivia</v>
      </c>
      <c r="F438" t="str">
        <f>decTeamName</f>
        <v>Vivia</v>
      </c>
      <c r="G438" t="str">
        <f>decTeamName</f>
        <v>Vivia</v>
      </c>
      <c r="H438" t="str">
        <f>decTeamName</f>
        <v>Vivia</v>
      </c>
      <c r="I438" t="str">
        <f>decTeamName</f>
        <v>Vivia</v>
      </c>
      <c r="L438" s="32" t="e">
        <f>decTeamName</f>
        <v>#VALUE!</v>
      </c>
    </row>
    <row r="439" spans="4:12">
      <c r="D439">
        <v>0</v>
      </c>
      <c r="E439" s="714">
        <v>0.57889438548779293</v>
      </c>
      <c r="F439" s="714">
        <v>0.57889438548779293</v>
      </c>
      <c r="G439" s="714">
        <v>0.57889438548779293</v>
      </c>
      <c r="H439" s="714">
        <v>0.57889438548779293</v>
      </c>
      <c r="I439" s="714">
        <v>0.57889438548779293</v>
      </c>
      <c r="J439" t="s">
        <v>1780</v>
      </c>
      <c r="L439" s="32" t="e">
        <f>IF(xxYear=$D439,L$437,NA())</f>
        <v>#N/A</v>
      </c>
    </row>
    <row r="440" spans="4:12">
      <c r="D440">
        <v>1</v>
      </c>
      <c r="E440" s="714">
        <f t="shared" ref="E440:I443" ca="1" si="37">IF(xxYear=$D440,E$437,NA())</f>
        <v>0.64044448365366424</v>
      </c>
      <c r="F440" s="714">
        <f t="shared" ca="1" si="37"/>
        <v>0.64044448365366424</v>
      </c>
      <c r="G440" s="714">
        <f t="shared" ca="1" si="37"/>
        <v>0.64044448365366424</v>
      </c>
      <c r="H440" s="714">
        <f t="shared" ca="1" si="37"/>
        <v>0.64044448365366424</v>
      </c>
      <c r="I440" s="714">
        <f t="shared" ca="1" si="37"/>
        <v>0.64044448365366424</v>
      </c>
      <c r="L440" s="32" t="e">
        <f>IF(xxYear=$D440,L$437,NA())</f>
        <v>#VALUE!</v>
      </c>
    </row>
    <row r="441" spans="4:12">
      <c r="D441">
        <v>2</v>
      </c>
      <c r="E441" s="714" t="e">
        <f t="shared" si="37"/>
        <v>#N/A</v>
      </c>
      <c r="F441" s="714" t="e">
        <f t="shared" si="37"/>
        <v>#N/A</v>
      </c>
      <c r="G441" s="714" t="e">
        <f t="shared" si="37"/>
        <v>#N/A</v>
      </c>
      <c r="H441" s="714" t="e">
        <f t="shared" si="37"/>
        <v>#N/A</v>
      </c>
      <c r="I441" s="714" t="e">
        <f t="shared" si="37"/>
        <v>#N/A</v>
      </c>
      <c r="L441" s="32" t="e">
        <f>IF(xxYear=$D441,L$437,NA())</f>
        <v>#N/A</v>
      </c>
    </row>
    <row r="442" spans="4:12">
      <c r="D442">
        <v>3</v>
      </c>
      <c r="E442" s="714" t="e">
        <f t="shared" si="37"/>
        <v>#N/A</v>
      </c>
      <c r="F442" s="714" t="e">
        <f t="shared" si="37"/>
        <v>#N/A</v>
      </c>
      <c r="G442" s="714" t="e">
        <f t="shared" si="37"/>
        <v>#N/A</v>
      </c>
      <c r="H442" s="714" t="e">
        <f t="shared" si="37"/>
        <v>#N/A</v>
      </c>
      <c r="I442" s="714" t="e">
        <f t="shared" si="37"/>
        <v>#N/A</v>
      </c>
      <c r="L442" s="32" t="e">
        <f>IF(xxYear=$D442,L$437,NA())</f>
        <v>#N/A</v>
      </c>
    </row>
    <row r="443" spans="4:12">
      <c r="D443">
        <v>4</v>
      </c>
      <c r="E443" s="714" t="e">
        <f t="shared" si="37"/>
        <v>#N/A</v>
      </c>
      <c r="F443" s="714" t="e">
        <f t="shared" si="37"/>
        <v>#N/A</v>
      </c>
      <c r="G443" s="714" t="e">
        <f t="shared" si="37"/>
        <v>#N/A</v>
      </c>
      <c r="H443" s="714" t="e">
        <f t="shared" si="37"/>
        <v>#N/A</v>
      </c>
      <c r="I443" s="714" t="e">
        <f t="shared" si="37"/>
        <v>#N/A</v>
      </c>
      <c r="L443" s="32" t="e">
        <f>IF(xxYear=$D443,L$437,NA())</f>
        <v>#N/A</v>
      </c>
    </row>
    <row r="444" spans="4:12">
      <c r="E444" s="398"/>
      <c r="F444" s="398"/>
      <c r="G444" s="398"/>
      <c r="H444" s="398"/>
      <c r="I444" s="398"/>
      <c r="L444" s="32"/>
    </row>
    <row r="445" spans="4:12">
      <c r="D445" s="77" t="s">
        <v>1782</v>
      </c>
      <c r="E445" s="15">
        <f ca="1">fin!E766</f>
        <v>3322645506.3844571</v>
      </c>
      <c r="F445" s="15">
        <f ca="1">fin!F766</f>
        <v>3322645506.3844571</v>
      </c>
      <c r="G445" s="15">
        <f ca="1">fin!G766</f>
        <v>3322645506.3844571</v>
      </c>
      <c r="H445" s="15">
        <f ca="1">fin!H766</f>
        <v>3322645506.3844571</v>
      </c>
      <c r="I445" s="15">
        <f ca="1">fin!I766</f>
        <v>3322645506.3844571</v>
      </c>
      <c r="L445" s="32">
        <f>fin!L766</f>
        <v>0</v>
      </c>
    </row>
    <row r="446" spans="4:12">
      <c r="E446" t="str">
        <f>decTeamName</f>
        <v>Vivia</v>
      </c>
      <c r="F446" t="str">
        <f>decTeamName</f>
        <v>Vivia</v>
      </c>
      <c r="G446" t="str">
        <f>decTeamName</f>
        <v>Vivia</v>
      </c>
      <c r="H446" t="str">
        <f>decTeamName</f>
        <v>Vivia</v>
      </c>
      <c r="I446" t="str">
        <f>decTeamName</f>
        <v>Vivia</v>
      </c>
      <c r="L446" s="32" t="e">
        <f>decTeamName</f>
        <v>#VALUE!</v>
      </c>
    </row>
    <row r="447" spans="4:12">
      <c r="D447">
        <v>0</v>
      </c>
      <c r="E447" s="15">
        <v>3290012325.0693178</v>
      </c>
      <c r="F447" s="15">
        <v>3290012325.0693178</v>
      </c>
      <c r="G447" s="15">
        <v>3290012325.0693178</v>
      </c>
      <c r="H447" s="15">
        <v>3290012325.0693178</v>
      </c>
      <c r="I447" s="15">
        <v>3290012325.0693178</v>
      </c>
      <c r="J447" t="s">
        <v>1781</v>
      </c>
      <c r="L447" s="32" t="e">
        <f>IF(xxYear=$D447,L$445,NA())</f>
        <v>#N/A</v>
      </c>
    </row>
    <row r="448" spans="4:12">
      <c r="D448">
        <v>1</v>
      </c>
      <c r="E448" s="15">
        <f t="shared" ref="E448:I451" ca="1" si="38">IF(xxYear=$D448,E$445,NA())</f>
        <v>3322645506.3844571</v>
      </c>
      <c r="F448" s="15">
        <f t="shared" ca="1" si="38"/>
        <v>3322645506.3844571</v>
      </c>
      <c r="G448" s="15">
        <f t="shared" ca="1" si="38"/>
        <v>3322645506.3844571</v>
      </c>
      <c r="H448" s="15">
        <f t="shared" ca="1" si="38"/>
        <v>3322645506.3844571</v>
      </c>
      <c r="I448" s="15">
        <f t="shared" ca="1" si="38"/>
        <v>3322645506.3844571</v>
      </c>
      <c r="L448" s="32">
        <f>IF(xxYear=$D448,L$445,NA())</f>
        <v>0</v>
      </c>
    </row>
    <row r="449" spans="3:12">
      <c r="D449">
        <v>2</v>
      </c>
      <c r="E449" s="15" t="e">
        <f t="shared" si="38"/>
        <v>#N/A</v>
      </c>
      <c r="F449" s="15" t="e">
        <f t="shared" si="38"/>
        <v>#N/A</v>
      </c>
      <c r="G449" s="15" t="e">
        <f t="shared" si="38"/>
        <v>#N/A</v>
      </c>
      <c r="H449" s="15" t="e">
        <f t="shared" si="38"/>
        <v>#N/A</v>
      </c>
      <c r="I449" s="15" t="e">
        <f t="shared" si="38"/>
        <v>#N/A</v>
      </c>
      <c r="L449" s="32" t="e">
        <f>IF(xxYear=$D449,L$445,NA())</f>
        <v>#N/A</v>
      </c>
    </row>
    <row r="450" spans="3:12">
      <c r="D450">
        <v>3</v>
      </c>
      <c r="E450" s="15" t="e">
        <f t="shared" si="38"/>
        <v>#N/A</v>
      </c>
      <c r="F450" s="15" t="e">
        <f t="shared" si="38"/>
        <v>#N/A</v>
      </c>
      <c r="G450" s="15" t="e">
        <f t="shared" si="38"/>
        <v>#N/A</v>
      </c>
      <c r="H450" s="15" t="e">
        <f t="shared" si="38"/>
        <v>#N/A</v>
      </c>
      <c r="I450" s="15" t="e">
        <f t="shared" si="38"/>
        <v>#N/A</v>
      </c>
      <c r="L450" s="32" t="e">
        <f>IF(xxYear=$D450,L$445,NA())</f>
        <v>#N/A</v>
      </c>
    </row>
    <row r="451" spans="3:12">
      <c r="D451">
        <v>4</v>
      </c>
      <c r="E451" s="15" t="e">
        <f t="shared" si="38"/>
        <v>#N/A</v>
      </c>
      <c r="F451" s="15" t="e">
        <f t="shared" si="38"/>
        <v>#N/A</v>
      </c>
      <c r="G451" s="15" t="e">
        <f t="shared" si="38"/>
        <v>#N/A</v>
      </c>
      <c r="H451" s="15" t="e">
        <f t="shared" si="38"/>
        <v>#N/A</v>
      </c>
      <c r="I451" s="15" t="e">
        <f t="shared" si="38"/>
        <v>#N/A</v>
      </c>
      <c r="L451" s="32" t="e">
        <f>IF(xxYear=$D451,L$445,NA())</f>
        <v>#N/A</v>
      </c>
    </row>
    <row r="452" spans="3:12">
      <c r="E452" s="398"/>
      <c r="F452" s="398"/>
      <c r="G452" s="398"/>
      <c r="H452" s="398"/>
      <c r="I452" s="398"/>
      <c r="L452" s="32"/>
    </row>
    <row r="453" spans="3:12">
      <c r="D453" s="77" t="s">
        <v>3164</v>
      </c>
      <c r="E453" s="15">
        <f ca="1">finROIC</f>
        <v>0.22933437001096038</v>
      </c>
      <c r="F453" s="15">
        <f ca="1">finROIC</f>
        <v>0.22933437001096038</v>
      </c>
      <c r="G453" s="15">
        <f ca="1">finROIC</f>
        <v>0.22933437001096038</v>
      </c>
      <c r="H453" s="15">
        <f ca="1">finROIC</f>
        <v>0.22933437001096038</v>
      </c>
      <c r="I453" s="15">
        <f ca="1">finROIC</f>
        <v>0.22933437001096038</v>
      </c>
      <c r="L453" s="32" t="e">
        <f>finROIC</f>
        <v>#VALUE!</v>
      </c>
    </row>
    <row r="454" spans="3:12">
      <c r="E454" t="str">
        <f>decTeamName</f>
        <v>Vivia</v>
      </c>
      <c r="F454" t="str">
        <f>decTeamName</f>
        <v>Vivia</v>
      </c>
      <c r="G454" t="str">
        <f>decTeamName</f>
        <v>Vivia</v>
      </c>
      <c r="H454" t="str">
        <f>decTeamName</f>
        <v>Vivia</v>
      </c>
      <c r="I454" t="str">
        <f>decTeamName</f>
        <v>Vivia</v>
      </c>
      <c r="L454" s="32" t="e">
        <f>decTeamName</f>
        <v>#VALUE!</v>
      </c>
    </row>
    <row r="455" spans="3:12">
      <c r="D455">
        <v>0</v>
      </c>
      <c r="E455" s="15">
        <v>0.25207915263702463</v>
      </c>
      <c r="F455" s="15">
        <v>0.25207915263702463</v>
      </c>
      <c r="G455" s="15">
        <v>0.25207915263702463</v>
      </c>
      <c r="H455" s="15">
        <v>0.25207915263702463</v>
      </c>
      <c r="I455" s="15">
        <v>0.25207915263702463</v>
      </c>
      <c r="J455" t="s">
        <v>1783</v>
      </c>
      <c r="L455" s="32" t="e">
        <f>IF(xxYear=$D455,L$453,NA())</f>
        <v>#N/A</v>
      </c>
    </row>
    <row r="456" spans="3:12">
      <c r="C456" s="12"/>
      <c r="D456">
        <v>1</v>
      </c>
      <c r="E456" s="15">
        <f t="shared" ref="E456:I459" ca="1" si="39">IF(xxYear=$D456,E$453,NA())</f>
        <v>0.22933437001096038</v>
      </c>
      <c r="F456" s="15">
        <f t="shared" ca="1" si="39"/>
        <v>0.22933437001096038</v>
      </c>
      <c r="G456" s="15">
        <f t="shared" ca="1" si="39"/>
        <v>0.22933437001096038</v>
      </c>
      <c r="H456" s="15">
        <f t="shared" ca="1" si="39"/>
        <v>0.22933437001096038</v>
      </c>
      <c r="I456" s="15">
        <f t="shared" ca="1" si="39"/>
        <v>0.22933437001096038</v>
      </c>
      <c r="L456" s="32" t="e">
        <f>IF(xxYear=$D456,L$453,NA())</f>
        <v>#VALUE!</v>
      </c>
    </row>
    <row r="457" spans="3:12">
      <c r="D457">
        <v>2</v>
      </c>
      <c r="E457" s="15" t="e">
        <f t="shared" si="39"/>
        <v>#N/A</v>
      </c>
      <c r="F457" s="15" t="e">
        <f t="shared" si="39"/>
        <v>#N/A</v>
      </c>
      <c r="G457" s="15" t="e">
        <f t="shared" si="39"/>
        <v>#N/A</v>
      </c>
      <c r="H457" s="15" t="e">
        <f t="shared" si="39"/>
        <v>#N/A</v>
      </c>
      <c r="I457" s="15" t="e">
        <f t="shared" si="39"/>
        <v>#N/A</v>
      </c>
      <c r="L457" s="32" t="e">
        <f>IF(xxYear=$D457,L$453,NA())</f>
        <v>#N/A</v>
      </c>
    </row>
    <row r="458" spans="3:12">
      <c r="D458">
        <v>3</v>
      </c>
      <c r="E458" s="15" t="e">
        <f t="shared" si="39"/>
        <v>#N/A</v>
      </c>
      <c r="F458" s="15" t="e">
        <f t="shared" si="39"/>
        <v>#N/A</v>
      </c>
      <c r="G458" s="15" t="e">
        <f t="shared" si="39"/>
        <v>#N/A</v>
      </c>
      <c r="H458" s="15" t="e">
        <f t="shared" si="39"/>
        <v>#N/A</v>
      </c>
      <c r="I458" s="15" t="e">
        <f t="shared" si="39"/>
        <v>#N/A</v>
      </c>
      <c r="L458" s="32" t="e">
        <f>IF(xxYear=$D458,L$453,NA())</f>
        <v>#N/A</v>
      </c>
    </row>
    <row r="459" spans="3:12">
      <c r="D459">
        <v>4</v>
      </c>
      <c r="E459" s="15" t="e">
        <f t="shared" si="39"/>
        <v>#N/A</v>
      </c>
      <c r="F459" s="15" t="e">
        <f t="shared" si="39"/>
        <v>#N/A</v>
      </c>
      <c r="G459" s="15" t="e">
        <f t="shared" si="39"/>
        <v>#N/A</v>
      </c>
      <c r="H459" s="15" t="e">
        <f t="shared" si="39"/>
        <v>#N/A</v>
      </c>
      <c r="I459" s="15" t="e">
        <f t="shared" si="39"/>
        <v>#N/A</v>
      </c>
      <c r="L459" s="32" t="e">
        <f>IF(xxYear=$D459,L$453,NA())</f>
        <v>#N/A</v>
      </c>
    </row>
    <row r="460" spans="3:12">
      <c r="E460" s="398"/>
      <c r="F460" s="398"/>
      <c r="G460" s="398"/>
      <c r="H460" s="398"/>
      <c r="I460" s="398"/>
      <c r="L460" s="32"/>
    </row>
    <row r="461" spans="3:12">
      <c r="D461" s="77" t="s">
        <v>285</v>
      </c>
      <c r="E461" s="1131" t="e">
        <f ca="1">ScoreCard</f>
        <v>#NUM!</v>
      </c>
      <c r="F461" s="1131" t="e">
        <f ca="1">ScoreCard</f>
        <v>#NUM!</v>
      </c>
      <c r="G461" s="1131" t="e">
        <f ca="1">ScoreCard</f>
        <v>#NUM!</v>
      </c>
      <c r="H461" s="1131" t="e">
        <f ca="1">ScoreCard</f>
        <v>#NUM!</v>
      </c>
      <c r="I461" s="1131" t="e">
        <f ca="1">ScoreCard</f>
        <v>#NUM!</v>
      </c>
      <c r="L461" s="32" t="e">
        <f>ScoreCard</f>
        <v>#VALUE!</v>
      </c>
    </row>
    <row r="462" spans="3:12">
      <c r="E462" s="395" t="str">
        <f>decTeamName</f>
        <v>Vivia</v>
      </c>
      <c r="F462" s="395" t="str">
        <f>decTeamName</f>
        <v>Vivia</v>
      </c>
      <c r="G462" s="395" t="str">
        <f>decTeamName</f>
        <v>Vivia</v>
      </c>
      <c r="H462" s="395" t="str">
        <f>decTeamName</f>
        <v>Vivia</v>
      </c>
      <c r="I462" s="395" t="str">
        <f>decTeamName</f>
        <v>Vivia</v>
      </c>
      <c r="L462" s="32" t="e">
        <f>decTeamName</f>
        <v>#VALUE!</v>
      </c>
    </row>
    <row r="463" spans="3:12">
      <c r="D463">
        <v>0</v>
      </c>
      <c r="E463" s="1131">
        <v>0</v>
      </c>
      <c r="F463" s="1131">
        <v>0</v>
      </c>
      <c r="G463" s="1131">
        <v>0</v>
      </c>
      <c r="H463" s="1131">
        <v>0</v>
      </c>
      <c r="I463" s="1131">
        <v>0</v>
      </c>
      <c r="J463" t="s">
        <v>798</v>
      </c>
      <c r="K463" t="s">
        <v>601</v>
      </c>
      <c r="L463" s="32">
        <v>0</v>
      </c>
    </row>
    <row r="464" spans="3:12">
      <c r="D464">
        <v>1</v>
      </c>
      <c r="E464" s="1131" t="e">
        <f t="shared" ref="E464:I467" ca="1" si="40">IF(xxYear=$D464,E$461,NA())</f>
        <v>#NUM!</v>
      </c>
      <c r="F464" s="1131" t="e">
        <f t="shared" ca="1" si="40"/>
        <v>#NUM!</v>
      </c>
      <c r="G464" s="1131" t="e">
        <f t="shared" ca="1" si="40"/>
        <v>#NUM!</v>
      </c>
      <c r="H464" s="1131" t="e">
        <f t="shared" ca="1" si="40"/>
        <v>#NUM!</v>
      </c>
      <c r="I464" s="1131" t="e">
        <f t="shared" ca="1" si="40"/>
        <v>#NUM!</v>
      </c>
      <c r="L464" s="32" t="e">
        <f>IF(xxYear=$D464,L$461,NA())</f>
        <v>#VALUE!</v>
      </c>
    </row>
    <row r="465" spans="4:12">
      <c r="D465">
        <v>2</v>
      </c>
      <c r="E465" s="1131" t="e">
        <f t="shared" si="40"/>
        <v>#N/A</v>
      </c>
      <c r="F465" s="1131" t="e">
        <f t="shared" si="40"/>
        <v>#N/A</v>
      </c>
      <c r="G465" s="1131" t="e">
        <f t="shared" si="40"/>
        <v>#N/A</v>
      </c>
      <c r="H465" s="1131" t="e">
        <f t="shared" si="40"/>
        <v>#N/A</v>
      </c>
      <c r="I465" s="1131" t="e">
        <f t="shared" si="40"/>
        <v>#N/A</v>
      </c>
      <c r="L465" s="32" t="e">
        <f>IF(xxYear=$D465,L$461,NA())</f>
        <v>#N/A</v>
      </c>
    </row>
    <row r="466" spans="4:12">
      <c r="D466">
        <v>3</v>
      </c>
      <c r="E466" s="1131" t="e">
        <f t="shared" si="40"/>
        <v>#N/A</v>
      </c>
      <c r="F466" s="1131" t="e">
        <f t="shared" si="40"/>
        <v>#N/A</v>
      </c>
      <c r="G466" s="1131" t="e">
        <f t="shared" si="40"/>
        <v>#N/A</v>
      </c>
      <c r="H466" s="1131" t="e">
        <f t="shared" si="40"/>
        <v>#N/A</v>
      </c>
      <c r="I466" s="1131" t="e">
        <f t="shared" si="40"/>
        <v>#N/A</v>
      </c>
      <c r="L466" s="32" t="e">
        <f>IF(xxYear=$D466,L$461,NA())</f>
        <v>#N/A</v>
      </c>
    </row>
    <row r="467" spans="4:12">
      <c r="D467">
        <v>4</v>
      </c>
      <c r="E467" s="1131" t="e">
        <f t="shared" si="40"/>
        <v>#N/A</v>
      </c>
      <c r="F467" s="1131" t="e">
        <f t="shared" si="40"/>
        <v>#N/A</v>
      </c>
      <c r="G467" s="1131" t="e">
        <f t="shared" si="40"/>
        <v>#N/A</v>
      </c>
      <c r="H467" s="1131" t="e">
        <f t="shared" si="40"/>
        <v>#N/A</v>
      </c>
      <c r="I467" s="1131" t="e">
        <f t="shared" si="40"/>
        <v>#N/A</v>
      </c>
      <c r="L467" s="32" t="e">
        <f>IF(xxYear=$D467,L$461,NA())</f>
        <v>#N/A</v>
      </c>
    </row>
    <row r="468" spans="4:12">
      <c r="L468" s="32"/>
    </row>
    <row r="469" spans="4:12">
      <c r="D469" s="77" t="s">
        <v>659</v>
      </c>
      <c r="E469" s="398" t="e">
        <f ca="1">RANK(INDEX(E$472:E$474,xxYear),INDIRECT("E"&amp;ROW(E471)+xxYear&amp;":I"&amp;ROW(E471)+xxYear))</f>
        <v>#NUM!</v>
      </c>
      <c r="F469" s="398" t="e">
        <f ca="1">RANK(INDEX(F$472:F$474,xxYear),INDIRECT("E"&amp;ROW(F471)+xxYear&amp;":I"&amp;ROW(F471)+xxYear))</f>
        <v>#NUM!</v>
      </c>
      <c r="G469" s="398" t="e">
        <f ca="1">RANK(INDEX(G$472:G$474,xxYear),INDIRECT("E"&amp;ROW(G471)+xxYear&amp;":I"&amp;ROW(G471)+xxYear))</f>
        <v>#NUM!</v>
      </c>
      <c r="H469" s="398" t="e">
        <f ca="1">RANK(INDEX(H$472:H$474,xxYear),INDIRECT("E"&amp;ROW(H471)+xxYear&amp;":I"&amp;ROW(H471)+xxYear))</f>
        <v>#NUM!</v>
      </c>
      <c r="I469" s="398" t="e">
        <f ca="1">RANK(INDEX(I$472:I$474,xxYear),INDIRECT("E"&amp;ROW(I471)+xxYear&amp;":I"&amp;ROW(I471)+xxYear))</f>
        <v>#NUM!</v>
      </c>
      <c r="L469" s="32" t="e">
        <f ca="1">RANK(INDEX(L$472:L$474,xxYear),INDIRECT("E"&amp;ROW(L471)+xxYear&amp;":I"&amp;ROW(L471)+xxYear))</f>
        <v>#VALUE!</v>
      </c>
    </row>
    <row r="470" spans="4:12">
      <c r="E470" t="str">
        <f>decTeamName</f>
        <v>Vivia</v>
      </c>
      <c r="F470" t="str">
        <f>decTeamName</f>
        <v>Vivia</v>
      </c>
      <c r="G470" t="str">
        <f>decTeamName</f>
        <v>Vivia</v>
      </c>
      <c r="H470" t="str">
        <f>decTeamName</f>
        <v>Vivia</v>
      </c>
      <c r="I470" t="str">
        <f>decTeamName</f>
        <v>Vivia</v>
      </c>
      <c r="L470" s="32" t="e">
        <f>decTeamName</f>
        <v>#VALUE!</v>
      </c>
    </row>
    <row r="471" spans="4:12">
      <c r="D471">
        <v>0</v>
      </c>
      <c r="E471" s="395">
        <v>0</v>
      </c>
      <c r="F471" s="395">
        <v>0</v>
      </c>
      <c r="G471" s="395">
        <v>0</v>
      </c>
      <c r="H471" s="395">
        <v>0</v>
      </c>
      <c r="I471" s="395">
        <v>0</v>
      </c>
      <c r="J471" t="s">
        <v>601</v>
      </c>
      <c r="L471" s="32">
        <v>0</v>
      </c>
    </row>
    <row r="472" spans="4:12">
      <c r="D472">
        <v>1</v>
      </c>
      <c r="E472" s="1131" t="e">
        <f t="shared" ref="E472:I472" ca="1" si="41">E464</f>
        <v>#NUM!</v>
      </c>
      <c r="F472" s="1131" t="e">
        <f t="shared" ca="1" si="41"/>
        <v>#NUM!</v>
      </c>
      <c r="G472" s="1131" t="e">
        <f t="shared" ca="1" si="41"/>
        <v>#NUM!</v>
      </c>
      <c r="H472" s="1131" t="e">
        <f t="shared" ca="1" si="41"/>
        <v>#NUM!</v>
      </c>
      <c r="I472" s="1131" t="e">
        <f t="shared" ca="1" si="41"/>
        <v>#NUM!</v>
      </c>
      <c r="J472" t="s">
        <v>602</v>
      </c>
      <c r="L472" s="32" t="e">
        <f>L464</f>
        <v>#VALUE!</v>
      </c>
    </row>
    <row r="473" spans="4:12">
      <c r="D473">
        <v>2</v>
      </c>
      <c r="E473" s="1131" t="e">
        <f t="shared" ref="E473:I473" ca="1" si="42">AVERAGE(E464:E465)</f>
        <v>#NUM!</v>
      </c>
      <c r="F473" s="1131" t="e">
        <f t="shared" ca="1" si="42"/>
        <v>#NUM!</v>
      </c>
      <c r="G473" s="1131" t="e">
        <f t="shared" ca="1" si="42"/>
        <v>#NUM!</v>
      </c>
      <c r="H473" s="1131" t="e">
        <f t="shared" ca="1" si="42"/>
        <v>#NUM!</v>
      </c>
      <c r="I473" s="1131" t="e">
        <f t="shared" ca="1" si="42"/>
        <v>#NUM!</v>
      </c>
      <c r="J473" t="s">
        <v>603</v>
      </c>
      <c r="L473" s="395" t="e">
        <f>AVERAGE(L464:L465)</f>
        <v>#VALUE!</v>
      </c>
    </row>
    <row r="474" spans="4:12">
      <c r="D474">
        <v>3</v>
      </c>
      <c r="E474" s="1131" t="e">
        <f t="shared" ref="E474:I474" ca="1" si="43">AVERAGE(E464:E466,E466)</f>
        <v>#NUM!</v>
      </c>
      <c r="F474" s="1131" t="e">
        <f t="shared" ca="1" si="43"/>
        <v>#NUM!</v>
      </c>
      <c r="G474" s="1131" t="e">
        <f t="shared" ca="1" si="43"/>
        <v>#NUM!</v>
      </c>
      <c r="H474" s="1131" t="e">
        <f t="shared" ca="1" si="43"/>
        <v>#NUM!</v>
      </c>
      <c r="I474" s="1131" t="e">
        <f t="shared" ca="1" si="43"/>
        <v>#NUM!</v>
      </c>
      <c r="J474" t="s">
        <v>604</v>
      </c>
      <c r="L474" s="395" t="e">
        <f>AVERAGE(L464:L466,L466)</f>
        <v>#VALUE!</v>
      </c>
    </row>
    <row r="475" spans="4:12">
      <c r="D475">
        <v>4</v>
      </c>
      <c r="E475" s="1131" t="e">
        <f>IF(xxYear=$D475,E$461,NA())</f>
        <v>#N/A</v>
      </c>
      <c r="F475" s="1131" t="e">
        <f>IF(xxYear=$D475,F$461,NA())</f>
        <v>#N/A</v>
      </c>
      <c r="G475" s="1131" t="e">
        <f>IF(xxYear=$D475,G$461,NA())</f>
        <v>#N/A</v>
      </c>
      <c r="H475" s="1131" t="e">
        <f>IF(xxYear=$D475,H$461,NA())</f>
        <v>#N/A</v>
      </c>
      <c r="I475" s="1131" t="e">
        <f>IF(xxYear=$D475,I$461,NA())</f>
        <v>#N/A</v>
      </c>
      <c r="J475" t="s">
        <v>2464</v>
      </c>
      <c r="L475" s="32" t="e">
        <f>IF(xxYear=$D475,L$461,NA())</f>
        <v>#N/A</v>
      </c>
    </row>
    <row r="476" spans="4:12">
      <c r="L476" s="32"/>
    </row>
    <row r="477" spans="4:12">
      <c r="D477" s="77" t="s">
        <v>974</v>
      </c>
      <c r="E477" t="e">
        <f ca="1">analyrank</f>
        <v>#NUM!</v>
      </c>
      <c r="F477" t="e">
        <f ca="1">analyrank</f>
        <v>#NUM!</v>
      </c>
      <c r="G477" t="e">
        <f ca="1">analyrank</f>
        <v>#NUM!</v>
      </c>
      <c r="H477" t="e">
        <f ca="1">analyrank</f>
        <v>#NUM!</v>
      </c>
      <c r="I477" t="e">
        <f ca="1">analyrank</f>
        <v>#NUM!</v>
      </c>
      <c r="L477" s="32" t="e">
        <f>analyrank</f>
        <v>#VALUE!</v>
      </c>
    </row>
    <row r="478" spans="4:12">
      <c r="E478" t="str">
        <f>decTeamName</f>
        <v>Vivia</v>
      </c>
      <c r="F478" t="str">
        <f>decTeamName</f>
        <v>Vivia</v>
      </c>
      <c r="G478" t="str">
        <f>decTeamName</f>
        <v>Vivia</v>
      </c>
      <c r="H478" t="str">
        <f>decTeamName</f>
        <v>Vivia</v>
      </c>
      <c r="I478" t="str">
        <f>decTeamName</f>
        <v>Vivia</v>
      </c>
      <c r="L478" s="32" t="e">
        <f>decTeamName</f>
        <v>#VALUE!</v>
      </c>
    </row>
    <row r="479" spans="4:12">
      <c r="D479">
        <v>0</v>
      </c>
      <c r="E479">
        <f t="shared" ref="E479:I479" si="44">RANK(E463,$E463:$I463)</f>
        <v>1</v>
      </c>
      <c r="F479">
        <f t="shared" si="44"/>
        <v>1</v>
      </c>
      <c r="G479">
        <f t="shared" si="44"/>
        <v>1</v>
      </c>
      <c r="H479">
        <f t="shared" si="44"/>
        <v>1</v>
      </c>
      <c r="I479">
        <f t="shared" si="44"/>
        <v>1</v>
      </c>
      <c r="J479" t="s">
        <v>1170</v>
      </c>
      <c r="L479" s="32">
        <f>RANK(L463,$E463:$I463)</f>
        <v>1</v>
      </c>
    </row>
    <row r="480" spans="4:12">
      <c r="D480">
        <v>1</v>
      </c>
      <c r="E480" t="e">
        <f t="shared" ref="E480:I480" ca="1" si="45">RANK(E464,$E464:$I464)</f>
        <v>#NUM!</v>
      </c>
      <c r="F480" t="e">
        <f t="shared" ca="1" si="45"/>
        <v>#NUM!</v>
      </c>
      <c r="G480" t="e">
        <f t="shared" ca="1" si="45"/>
        <v>#NUM!</v>
      </c>
      <c r="H480" t="e">
        <f t="shared" ca="1" si="45"/>
        <v>#NUM!</v>
      </c>
      <c r="I480" t="e">
        <f t="shared" ca="1" si="45"/>
        <v>#NUM!</v>
      </c>
      <c r="J480" t="s">
        <v>1170</v>
      </c>
      <c r="L480" s="32" t="e">
        <f>RANK(L464,$E464:$I464)</f>
        <v>#VALUE!</v>
      </c>
    </row>
    <row r="481" spans="4:12">
      <c r="D481">
        <v>2</v>
      </c>
      <c r="E481" t="e">
        <f t="shared" ref="E481:I481" si="46">RANK(E465,$E465:$I465)</f>
        <v>#N/A</v>
      </c>
      <c r="F481" t="e">
        <f t="shared" si="46"/>
        <v>#N/A</v>
      </c>
      <c r="G481" t="e">
        <f t="shared" si="46"/>
        <v>#N/A</v>
      </c>
      <c r="H481" t="e">
        <f t="shared" si="46"/>
        <v>#N/A</v>
      </c>
      <c r="I481" t="e">
        <f t="shared" si="46"/>
        <v>#N/A</v>
      </c>
      <c r="J481" t="s">
        <v>1171</v>
      </c>
      <c r="L481" s="32" t="e">
        <f>RANK(L465,$E465:$I465)</f>
        <v>#N/A</v>
      </c>
    </row>
    <row r="482" spans="4:12">
      <c r="D482">
        <v>3</v>
      </c>
      <c r="E482" t="e">
        <f t="shared" ref="E482:I482" si="47">RANK(E466,$E466:$I466)</f>
        <v>#N/A</v>
      </c>
      <c r="F482" t="e">
        <f t="shared" si="47"/>
        <v>#N/A</v>
      </c>
      <c r="G482" t="e">
        <f t="shared" si="47"/>
        <v>#N/A</v>
      </c>
      <c r="H482" t="e">
        <f t="shared" si="47"/>
        <v>#N/A</v>
      </c>
      <c r="I482" t="e">
        <f t="shared" si="47"/>
        <v>#N/A</v>
      </c>
      <c r="J482" t="s">
        <v>1172</v>
      </c>
      <c r="L482" s="32" t="e">
        <f>RANK(L466,$E466:$I466)</f>
        <v>#N/A</v>
      </c>
    </row>
    <row r="483" spans="4:12">
      <c r="D483">
        <v>4</v>
      </c>
      <c r="E483" t="e">
        <f t="shared" ref="E483:I483" si="48">RANK(E467,$E467:$I467)</f>
        <v>#N/A</v>
      </c>
      <c r="F483" t="e">
        <f t="shared" si="48"/>
        <v>#N/A</v>
      </c>
      <c r="G483" t="e">
        <f t="shared" si="48"/>
        <v>#N/A</v>
      </c>
      <c r="H483" t="e">
        <f t="shared" si="48"/>
        <v>#N/A</v>
      </c>
      <c r="I483" t="e">
        <f t="shared" si="48"/>
        <v>#N/A</v>
      </c>
      <c r="J483" t="s">
        <v>1173</v>
      </c>
      <c r="L483" s="32" t="e">
        <f>RANK(L467,$E467:$I467)</f>
        <v>#N/A</v>
      </c>
    </row>
    <row r="484" spans="4:12">
      <c r="L484" s="32"/>
    </row>
    <row r="485" spans="4:12">
      <c r="D485" s="77" t="s">
        <v>3683</v>
      </c>
      <c r="E485" t="str">
        <f>decTeamName</f>
        <v>Vivia</v>
      </c>
      <c r="F485" t="str">
        <f>decTeamName</f>
        <v>Vivia</v>
      </c>
      <c r="G485" t="str">
        <f>decTeamName</f>
        <v>Vivia</v>
      </c>
      <c r="H485" t="str">
        <f>decTeamName</f>
        <v>Vivia</v>
      </c>
      <c r="I485" t="str">
        <f>decTeamName</f>
        <v>Vivia</v>
      </c>
      <c r="J485" s="1544" t="s">
        <v>3684</v>
      </c>
      <c r="L485" s="32" t="e">
        <f>decTeamName</f>
        <v>#VALUE!</v>
      </c>
    </row>
    <row r="486" spans="4:12">
      <c r="D486">
        <v>0</v>
      </c>
      <c r="E486" s="12">
        <v>0</v>
      </c>
      <c r="F486" s="12">
        <v>0</v>
      </c>
      <c r="G486" s="12">
        <v>0</v>
      </c>
      <c r="H486" s="12">
        <v>0</v>
      </c>
      <c r="I486" s="12">
        <v>0</v>
      </c>
      <c r="J486" s="1544" t="s">
        <v>2056</v>
      </c>
      <c r="L486" s="32">
        <v>0</v>
      </c>
    </row>
    <row r="487" spans="4:12">
      <c r="D487">
        <v>1</v>
      </c>
      <c r="E487" s="12">
        <f t="shared" ref="E487:I487" si="49">IF(ISERROR(E312)=TRUE,0,E312/E311-1)</f>
        <v>3.3954230875199443E-3</v>
      </c>
      <c r="F487" s="12">
        <f t="shared" si="49"/>
        <v>3.3954230875199443E-3</v>
      </c>
      <c r="G487" s="12">
        <f t="shared" si="49"/>
        <v>3.3954230875199443E-3</v>
      </c>
      <c r="H487" s="12">
        <f t="shared" si="49"/>
        <v>3.3954230875199443E-3</v>
      </c>
      <c r="I487" s="12">
        <f t="shared" si="49"/>
        <v>3.3954230875199443E-3</v>
      </c>
      <c r="L487" s="32">
        <f>IF(ISERROR(L312)=TRUE,0,L312/L311-1)</f>
        <v>0</v>
      </c>
    </row>
    <row r="488" spans="4:12">
      <c r="D488">
        <v>2</v>
      </c>
      <c r="E488" s="12">
        <f t="shared" ref="E488:I488" si="50">IF(ISERROR(E313)=TRUE,0,E313/E312-1)</f>
        <v>0</v>
      </c>
      <c r="F488" s="12">
        <f t="shared" si="50"/>
        <v>0</v>
      </c>
      <c r="G488" s="12">
        <f t="shared" si="50"/>
        <v>0</v>
      </c>
      <c r="H488" s="12">
        <f t="shared" si="50"/>
        <v>0</v>
      </c>
      <c r="I488" s="12">
        <f t="shared" si="50"/>
        <v>0</v>
      </c>
      <c r="L488" s="32">
        <f>IF(ISERROR(L313)=TRUE,0,L313/L312-1)</f>
        <v>0</v>
      </c>
    </row>
    <row r="489" spans="4:12">
      <c r="D489">
        <v>3</v>
      </c>
      <c r="E489" s="12">
        <f t="shared" ref="E489:I489" si="51">IF(ISERROR(E314)=TRUE,0,E314/E313-1)</f>
        <v>0</v>
      </c>
      <c r="F489" s="12">
        <f t="shared" si="51"/>
        <v>0</v>
      </c>
      <c r="G489" s="12">
        <f t="shared" si="51"/>
        <v>0</v>
      </c>
      <c r="H489" s="12">
        <f t="shared" si="51"/>
        <v>0</v>
      </c>
      <c r="I489" s="12">
        <f t="shared" si="51"/>
        <v>0</v>
      </c>
      <c r="L489" s="32">
        <f>IF(ISERROR(L314)=TRUE,0,L314/L313-1)</f>
        <v>0</v>
      </c>
    </row>
    <row r="490" spans="4:12">
      <c r="L490" s="32"/>
    </row>
    <row r="491" spans="4:12">
      <c r="D491" s="77" t="s">
        <v>3685</v>
      </c>
      <c r="E491" t="str">
        <f>decTeamName</f>
        <v>Vivia</v>
      </c>
      <c r="F491" t="str">
        <f>decTeamName</f>
        <v>Vivia</v>
      </c>
      <c r="G491" t="str">
        <f>decTeamName</f>
        <v>Vivia</v>
      </c>
      <c r="H491" t="str">
        <f>decTeamName</f>
        <v>Vivia</v>
      </c>
      <c r="I491" t="str">
        <f>decTeamName</f>
        <v>Vivia</v>
      </c>
      <c r="J491" s="1544" t="s">
        <v>3684</v>
      </c>
      <c r="L491" s="32" t="e">
        <f>decTeamName</f>
        <v>#VALUE!</v>
      </c>
    </row>
    <row r="492" spans="4:12">
      <c r="D492">
        <v>0</v>
      </c>
      <c r="E492" s="12">
        <v>0</v>
      </c>
      <c r="F492" s="12">
        <v>0</v>
      </c>
      <c r="G492" s="12">
        <v>0</v>
      </c>
      <c r="H492" s="12">
        <v>0</v>
      </c>
      <c r="I492" s="12">
        <v>0</v>
      </c>
      <c r="J492" s="1544" t="s">
        <v>2056</v>
      </c>
      <c r="L492" s="32">
        <v>0</v>
      </c>
    </row>
    <row r="493" spans="4:12">
      <c r="D493">
        <v>1</v>
      </c>
      <c r="E493" s="12">
        <f>AVERAGE(E$487:E487)</f>
        <v>3.3954230875199443E-3</v>
      </c>
      <c r="F493" s="12">
        <f>AVERAGE(F$487:F487)</f>
        <v>3.3954230875199443E-3</v>
      </c>
      <c r="G493" s="12">
        <f>AVERAGE(G$487:G487)</f>
        <v>3.3954230875199443E-3</v>
      </c>
      <c r="H493" s="12">
        <f>AVERAGE(H$487:H487)</f>
        <v>3.3954230875199443E-3</v>
      </c>
      <c r="I493" s="12">
        <f>AVERAGE(I$487:I487)</f>
        <v>3.3954230875199443E-3</v>
      </c>
      <c r="L493" s="32">
        <f>AVERAGE(L$487:L487)</f>
        <v>0</v>
      </c>
    </row>
    <row r="494" spans="4:12">
      <c r="D494">
        <v>2</v>
      </c>
      <c r="E494" s="12">
        <f>AVERAGE(E$487:E488)</f>
        <v>1.6977115437599721E-3</v>
      </c>
      <c r="F494" s="12">
        <f>AVERAGE(F$487:F488)</f>
        <v>1.6977115437599721E-3</v>
      </c>
      <c r="G494" s="12">
        <f>AVERAGE(G$487:G488)</f>
        <v>1.6977115437599721E-3</v>
      </c>
      <c r="H494" s="12">
        <f>AVERAGE(H$487:H488)</f>
        <v>1.6977115437599721E-3</v>
      </c>
      <c r="I494" s="12">
        <f>AVERAGE(I$487:I488)</f>
        <v>1.6977115437599721E-3</v>
      </c>
      <c r="L494" s="32">
        <f>AVERAGE(L$487:L488)</f>
        <v>0</v>
      </c>
    </row>
    <row r="495" spans="4:12">
      <c r="D495">
        <v>3</v>
      </c>
      <c r="E495" s="12">
        <f>AVERAGE(E$487:E489)</f>
        <v>1.1318076958399814E-3</v>
      </c>
      <c r="F495" s="12">
        <f>AVERAGE(F$487:F489)</f>
        <v>1.1318076958399814E-3</v>
      </c>
      <c r="G495" s="12">
        <f>AVERAGE(G$487:G489)</f>
        <v>1.1318076958399814E-3</v>
      </c>
      <c r="H495" s="12">
        <f>AVERAGE(H$487:H489)</f>
        <v>1.1318076958399814E-3</v>
      </c>
      <c r="I495" s="12">
        <f>AVERAGE(I$487:I489)</f>
        <v>1.1318076958399814E-3</v>
      </c>
      <c r="L495" s="32">
        <f>AVERAGE(L$487:L489)</f>
        <v>0</v>
      </c>
    </row>
    <row r="496" spans="4:12">
      <c r="L496" s="32"/>
    </row>
    <row r="497" spans="1:12">
      <c r="D497" s="77" t="s">
        <v>345</v>
      </c>
      <c r="E497" t="str">
        <f>decTeamName</f>
        <v>Vivia</v>
      </c>
      <c r="F497" t="str">
        <f>decTeamName</f>
        <v>Vivia</v>
      </c>
      <c r="G497" t="str">
        <f>decTeamName</f>
        <v>Vivia</v>
      </c>
      <c r="H497" t="str">
        <f>decTeamName</f>
        <v>Vivia</v>
      </c>
      <c r="I497" t="str">
        <f>decTeamName</f>
        <v>Vivia</v>
      </c>
      <c r="J497" s="1544" t="s">
        <v>3684</v>
      </c>
      <c r="L497" s="32" t="e">
        <f>decTeamName</f>
        <v>#VALUE!</v>
      </c>
    </row>
    <row r="498" spans="1:12">
      <c r="D498">
        <v>0</v>
      </c>
      <c r="E498" s="12">
        <v>0</v>
      </c>
      <c r="F498" s="12">
        <v>0</v>
      </c>
      <c r="G498" s="12">
        <v>0</v>
      </c>
      <c r="H498" s="12">
        <v>0</v>
      </c>
      <c r="I498" s="12">
        <v>0</v>
      </c>
      <c r="J498" s="1544" t="s">
        <v>2056</v>
      </c>
      <c r="L498" s="32">
        <v>0</v>
      </c>
    </row>
    <row r="499" spans="1:12">
      <c r="D499">
        <v>1</v>
      </c>
      <c r="E499" s="12">
        <f ca="1">AVERAGE(E$456:E456)</f>
        <v>0.22933437001096038</v>
      </c>
      <c r="F499" s="12">
        <f ca="1">AVERAGE(F$456:F456)</f>
        <v>0.22933437001096038</v>
      </c>
      <c r="G499" s="12">
        <f ca="1">AVERAGE(G$456:G456)</f>
        <v>0.22933437001096038</v>
      </c>
      <c r="H499" s="12">
        <f ca="1">AVERAGE(H$456:H456)</f>
        <v>0.22933437001096038</v>
      </c>
      <c r="I499" s="12">
        <f ca="1">AVERAGE(I$456:I456)</f>
        <v>0.22933437001096038</v>
      </c>
      <c r="L499" s="32" t="e">
        <f>AVERAGE(L$456:L456)</f>
        <v>#VALUE!</v>
      </c>
    </row>
    <row r="500" spans="1:12">
      <c r="D500">
        <v>2</v>
      </c>
      <c r="E500" s="12" t="e">
        <f ca="1">AVERAGE(E$456:E457)</f>
        <v>#N/A</v>
      </c>
      <c r="F500" s="12" t="e">
        <f ca="1">AVERAGE(F$456:F457)</f>
        <v>#N/A</v>
      </c>
      <c r="G500" s="12" t="e">
        <f ca="1">AVERAGE(G$456:G457)</f>
        <v>#N/A</v>
      </c>
      <c r="H500" s="12" t="e">
        <f ca="1">AVERAGE(H$456:H457)</f>
        <v>#N/A</v>
      </c>
      <c r="I500" s="12" t="e">
        <f ca="1">AVERAGE(I$456:I457)</f>
        <v>#N/A</v>
      </c>
      <c r="L500" s="32" t="e">
        <f>AVERAGE(L$456:L457)</f>
        <v>#VALUE!</v>
      </c>
    </row>
    <row r="501" spans="1:12">
      <c r="D501">
        <v>3</v>
      </c>
      <c r="E501" s="12" t="e">
        <f ca="1">AVERAGE(E$456:E458)</f>
        <v>#N/A</v>
      </c>
      <c r="F501" s="12" t="e">
        <f ca="1">AVERAGE(F$456:F458)</f>
        <v>#N/A</v>
      </c>
      <c r="G501" s="12" t="e">
        <f ca="1">AVERAGE(G$456:G458)</f>
        <v>#N/A</v>
      </c>
      <c r="H501" s="12" t="e">
        <f ca="1">AVERAGE(H$456:H458)</f>
        <v>#N/A</v>
      </c>
      <c r="I501" s="12" t="e">
        <f ca="1">AVERAGE(I$456:I458)</f>
        <v>#N/A</v>
      </c>
      <c r="L501" s="32" t="e">
        <f>AVERAGE(L$456:L458)</f>
        <v>#VALUE!</v>
      </c>
    </row>
    <row r="502" spans="1:12">
      <c r="L502" s="32"/>
    </row>
    <row r="503" spans="1:12">
      <c r="D503" s="77" t="s">
        <v>346</v>
      </c>
      <c r="E503" t="str">
        <f>decTeamName</f>
        <v>Vivia</v>
      </c>
      <c r="F503" t="str">
        <f>decTeamName</f>
        <v>Vivia</v>
      </c>
      <c r="G503" t="str">
        <f>decTeamName</f>
        <v>Vivia</v>
      </c>
      <c r="H503" t="str">
        <f>decTeamName</f>
        <v>Vivia</v>
      </c>
      <c r="I503" t="str">
        <f>decTeamName</f>
        <v>Vivia</v>
      </c>
      <c r="J503" s="1544" t="s">
        <v>3684</v>
      </c>
      <c r="L503" s="32" t="e">
        <f>decTeamName</f>
        <v>#VALUE!</v>
      </c>
    </row>
    <row r="504" spans="1:12">
      <c r="D504">
        <v>0</v>
      </c>
      <c r="E504" s="1546">
        <v>0</v>
      </c>
      <c r="F504" s="1546">
        <v>0</v>
      </c>
      <c r="G504" s="1546">
        <v>0</v>
      </c>
      <c r="H504" s="1546">
        <v>0</v>
      </c>
      <c r="I504" s="1546">
        <v>0</v>
      </c>
      <c r="J504" s="1544" t="s">
        <v>2056</v>
      </c>
      <c r="L504" s="32">
        <v>0</v>
      </c>
    </row>
    <row r="505" spans="1:12">
      <c r="D505">
        <v>1</v>
      </c>
      <c r="E505" s="1546">
        <f ca="1">AVERAGE(E$431:E432)</f>
        <v>100.62664254027544</v>
      </c>
      <c r="F505" s="1546">
        <f ca="1">AVERAGE(F$431:F432)</f>
        <v>100.62664254027544</v>
      </c>
      <c r="G505" s="1546">
        <f ca="1">AVERAGE(G$431:G432)</f>
        <v>100.62664254027544</v>
      </c>
      <c r="H505" s="1546">
        <f ca="1">AVERAGE(H$431:H432)</f>
        <v>100.62664254027544</v>
      </c>
      <c r="I505" s="1546">
        <f ca="1">AVERAGE(I$431:I432)</f>
        <v>100.62664254027544</v>
      </c>
      <c r="L505" s="32" t="e">
        <f>AVERAGE(L$431:L432)</f>
        <v>#N/A</v>
      </c>
    </row>
    <row r="506" spans="1:12">
      <c r="D506">
        <v>2</v>
      </c>
      <c r="E506" s="1546" t="e">
        <f ca="1">AVERAGE(E$431:E433)</f>
        <v>#N/A</v>
      </c>
      <c r="F506" s="1546" t="e">
        <f ca="1">AVERAGE(F$431:F433)</f>
        <v>#N/A</v>
      </c>
      <c r="G506" s="1546" t="e">
        <f ca="1">AVERAGE(G$431:G433)</f>
        <v>#N/A</v>
      </c>
      <c r="H506" s="1546" t="e">
        <f ca="1">AVERAGE(H$431:H433)</f>
        <v>#N/A</v>
      </c>
      <c r="I506" s="1546" t="e">
        <f ca="1">AVERAGE(I$431:I433)</f>
        <v>#N/A</v>
      </c>
      <c r="L506" s="32" t="e">
        <f>AVERAGE(L$431:L433)</f>
        <v>#N/A</v>
      </c>
    </row>
    <row r="507" spans="1:12">
      <c r="D507">
        <v>3</v>
      </c>
      <c r="E507" s="1546" t="e">
        <f ca="1">AVERAGE(E$431:E434)</f>
        <v>#N/A</v>
      </c>
      <c r="F507" s="1546" t="e">
        <f ca="1">AVERAGE(F$431:F434)</f>
        <v>#N/A</v>
      </c>
      <c r="G507" s="1546" t="e">
        <f ca="1">AVERAGE(G$431:G434)</f>
        <v>#N/A</v>
      </c>
      <c r="H507" s="1546" t="e">
        <f ca="1">AVERAGE(H$431:H434)</f>
        <v>#N/A</v>
      </c>
      <c r="I507" s="1546" t="e">
        <f ca="1">AVERAGE(I$431:I434)</f>
        <v>#N/A</v>
      </c>
      <c r="L507" s="32" t="e">
        <f>AVERAGE(L$431:L434)</f>
        <v>#N/A</v>
      </c>
    </row>
    <row r="508" spans="1:12">
      <c r="L508" s="32"/>
    </row>
    <row r="509" spans="1:12">
      <c r="L509" s="32"/>
    </row>
    <row r="510" spans="1:12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</row>
  </sheetData>
  <phoneticPr fontId="0" type="noConversion"/>
  <pageMargins left="0.5" right="0.5" top="0.5" bottom="0.5" header="0.5" footer="0.5"/>
  <pageSetup orientation="portrait" r:id="rId1"/>
  <headerFooter alignWithMargins="0"/>
</worksheet>
</file>

<file path=customUI/customUI14.xml><?xml version="1.0" encoding="utf-8"?>
<customUI xmlns="http://schemas.microsoft.com/office/2009/07/customui" onLoad="RibbonOnLoad">
  <commands>
    <command idMso="FileSendAsAttachment" onAction="PopupQAT"/>
  </commands>
  <ribbon startFromScratch="true">
    <qat>
      <documentControls>
        <button idQ="FileSendAsAttachment" getVisible="GetVisible" imageMso="ResultsPaneStartFindAndReplace" screentip="Simulation Menu"/>
      </documentControls>
    </qat>
    <tabs>
      <tab idMso="TabInsert" getVisible="GetVisible"/>
      <tab idMso="TabPageLayoutExcel" getVisible="GetVisible"/>
      <tab idMso="TabFormulas" getVisible="GetVisible"/>
      <tab idMso="TabData" getVisible="GetVisible"/>
      <tab idMso="TabView" getVisible="GetVisible"/>
      <tab idMso="TabHome" getVisible="GetVisible">
        <group id="RedoUndo" label="-" insertAfterMso="GroupClipboard">
          <control idMso="Undo"/>
          <control idMso="Redo"/>
        </group>
      </tab>
      <tab idMso="TabDeveloper" getVisible="GetVisible"/>
      <tab idMso="TabReview" getVisible="GetVisible"/>
      <tab idMso="TabTeam" getVisible="GetVisible"/>
      <tab idMso="TabAddIns" getVisible="GetVisible" insertAfterMso="TabHome" label="Simulation Menu"/>
    </tabs>
  </ribbon>
  <backstage>
    <button id="DupFileSave" label="Save" visible="true" imageMso="FileSave" onAction="RIBFileSave" isDefinitive="true" keytip="S"/>
    <button id="DupFileSaveAs" label="SaveAs" getVisible="GetVisible" imageMso="FileSaveAs" onAction="RIBFileSaveAs" isDefinitive="true" keytip="A"/>
    <button id="DupFileOpen" label="Open" getVisible="GetVisible" imageMso="FileOpen" onAction="RIBFileOpen" isDefinitive="true" keytip="O"/>
    <button id="DupFileClose" label="Close" getVisible="GetVisible" imageMso="FileClose" onAction="RIBFileClose" isDefinitive="true" keytip="C"/>
    <button id="DupFileInfo" label="Info" getVisible="GetVisible" imageMso="GroupReportTools" onAction="RIBFileInfo" isDefinitive="true" keytip="I"/>
    <button id="DupFileNew" label="New" getVisible="GetVisible" imageMso="FileNew" onAction="RIBFileNew" isDefinitive="true" keytip="N"/>
    <button id="DupFilePrint" label="Print" getVisible="GetVisible" imageMso="FilePrint" onAction="RIBFilePrint" isDefinitive="true" keytip="P"/>
    <button id="DupFileSaveSend" label="Save and Send" getVisible="GetVisible" imageMso="GroupShareEmail" onAction="RIBFileSaveAndSend" isDefinitive="true" keytip="D"/>
    <button id="DupFileHelp" label="Help" getVisible="GetVisible" imageMso="HelpLaunch" onAction="RIBFileHelp" isDefinitive="true" keytip="H"/>
    <button id="DupFileOptions" label="Options" getVisible="GetVisible" imageMso="ApplicationOptionsDialog" onAction="RIBFileOptions" isDefinitive="true" keytip="T"/>
    <button id="DupFileExit" label="Exit" getVisible="GetVisible" imageMso="CancelEditing" onAction="RIBFileExit" isDefinitive="true" keytip="X"/>
    <button idMso="FileSave" visible="false"/>
    <button idMso="FileSaveAs" visible="false"/>
    <button idMso="FileOpen" visible="false"/>
    <button idMso="FileClose" visible="false"/>
    <button idMso="ApplicationOptionsDialog" visible="false"/>
    <button idMso="FileExit" visible="false"/>
    <tab idMso="TabInfo" visible="false"/>
    <tab idMso="TabRecent" visible="false"/>
    <tab idMso="TabNew" visible="false"/>
    <tab idMso="TabPrint" visible="false"/>
    <tab idMso="TabShare" visible="false"/>
    <tab idMso="TabHelp" visible="false"/>
    <tab id="SimMenu" insertBeforeMso="FileSave" label="BTS Menu" columnWidthPercent="50" getVisible="GetVisible">
      <firstColumn>
        <taskFormGroup id="DecTasksFormGroup">
          <category id="dectasks1" label="Processing" getVisible="GetVisD">
            <task id="dectasks2" description="Select a task:" imageMso="ActiveXCheckBox">
              <group id="dectasksgroup">
                <topItems>
                  <button id="Button121" getLabel="Process1" onAction="RIBProcess1" imageMso="ControlSpecialEffectRaised" isDefinitive="true" style="borderless" getVisible="GetVisP1" getEnabled="GetEnabledP1"/>
                  <button id="Button122" getLabel="Process2" onAction="RIBProcess2" imageMso="ControlSpecialEffectRaised" isDefinitive="true" style="borderless" getVisible="GetVisP2" getEnabled="GetEnabledP2"/>
                  <button id="Button123" getLabel="Process3" onAction="RIBProcess3" imageMso="ControlSpecialEffectRaised" isDefinitive="true" style="borderless" getVisible="GetVisP3" getEnabled="GetEnabledP3"/>
                  <button id="Button124" getLabel="Process4" onAction="RIBProcess4" imageMso="ControlSpecialEffectRaised" isDefinitive="true" style="borderless" getVisible="GetVisP4" getEnabled="GetEnabledP4"/>
                  <button id="Button125" getLabel="Process5" onAction="RIBProcess5" imageMso="ControlSpecialEffectRaised" isDefinitive="true" style="borderless" getVisible="GetVisP5" getEnabled="GetEnabledP5"/>
                  <button id="Button126" getLabel="Process6" onAction="RIBProcess6" imageMso="ControlSpecialEffectRaised" isDefinitive="true" style="borderless" getVisible="GetVisP6" getEnabled="GetEnabledP6"/>
                  <button id="Button127" getLabel="Process7" onAction="RIBProcess7" imageMso="ControlSpecialEffectRaised" isDefinitive="true" style="borderless" getVisible="GetVisP7" getEnabled="GetEnabledP7"/>
                  <button id="Button128" getLabel="Process8" onAction="RIBProcess8" imageMso="ControlSpecialEffectRaised" isDefinitive="true" style="borderless" getVisible="GetVisP8" getEnabled="GetEnabledP8"/>
                  <button id="Button129" getLabel="Process9" onAction="RIBProcess9" imageMso="ControlSpecialEffectRaised" isDefinitive="true" style="borderless" getVisible="GetVisP9" getEnabled="GetEnabledP9"/>
                  <button id="Button130" getLabel="Process10" onAction="RIBProcess10" imageMso="ControlSpecialEffectRaised" isDefinitive="true" style="borderless" getVisible="GetVisP10" getEnabled="GetEnabledP10"/>
                </topItems>
              </group>
            </task>
          </category>
          <category id="dectasks11" label="Setup" getVisible="GetVisD">
            <task id="dectasks12" description="Configure Simulation:" imageMso="AccessFormWizard">
              <group id="dectasksgroup2">
                <topItems>
                  <button id="Button131" getLabel="Configure1" onAction="RIBConfigure1" imageMso="ControlSpecialEffectRaised" isDefinitive="true" style="borderless" getVisible="GetVisCon1" getEnabled="GetEnabledCon1"/>
                  <button id="Button132" getLabel="Configure2" onAction="RIBConfigure2" imageMso="ControlSpecialEffectRaised" isDefinitive="true" style="borderless" getVisible="GetVisCon2" getEnabled="GetEnabledCon2"/>
                  <button id="Button133" getLabel="Configure3" onAction="RIBConfigure3" imageMso="ControlSpecialEffectRaised" isDefinitive="true" style="borderless" getVisible="GetVisCon3" getEnabled="GetEnabledCon3"/>
                  <button id="Button134" getLabel="Configure4" onAction="RIBConfigure4" imageMso="ControlSpecialEffectRaised" isDefinitive="true" style="borderless" getVisible="GetVisCon4" getEnabled="GetEnabledCon4"/>
                  <button id="Button135" getLabel="Configure5" onAction="RIBConfigure5" imageMso="ControlSpecialEffectRaised" isDefinitive="true" style="borderless" getVisible="GetVisCon5" getEnabled="GetEnabledCon5"/>
                  <button id="Button136" getLabel="Configure6" onAction="RIBConfigure6" imageMso="ControlSpecialEffectRaised" isDefinitive="true" style="borderless" getVisible="GetVisCon6" getEnabled="GetEnabledCon6"/>
                  <button id="Button137" getLabel="Configure7" onAction="RIBConfigure7" imageMso="ControlSpecialEffectRaised" isDefinitive="true" style="borderless" getVisible="GetVisCon7" getEnabled="GetEnabledCon7"/>
                  <button id="Button138" getLabel="Configure8" onAction="RIBConfigure8" imageMso="ControlSpecialEffectRaised" isDefinitive="true" style="borderless" getVisible="GetVisCon8" getEnabled="GetEnabledCon8"/>
                  <button id="Button139" getLabel="Configure9" onAction="RIBConfigure9" imageMso="ControlSpecialEffectRaised" isDefinitive="true" style="borderless" getVisible="GetVisCon9" getEnabled="GetEnabledCon9"/>
                  <button id="Button140" getLabel="Configure10" onAction="RIBConfigure10" imageMso="ControlSpecialEffectRaised" isDefinitive="true" style="borderless" getVisible="GetVisCon10" getEnabled="GetEnabledCon10"/>
                  <button id="Button142" getLabel="Configure11" onAction="RIBConfigure11" imageMso="ControlSpecialEffectRaised" isDefinitive="true" style="borderless" getVisible="GetVisCon11" getEnabled="GetEnabledCon11"/>
                </topItems>
              </group>
            </task>
          </category>
        </taskFormGroup>
      </firstColumn>
      <secondColumn>
        <group id="DecisionsGrp2" label="Developer Tools" getVisible="GetVisA">
          <topItems>
            <layoutContainer id="layout212" layoutChildren="vertical">
              <button id="Button151" getLabel="Tools1" onAction="RIBTools1" isDefinitive="true" imageMso="ControlSpecialEffectRaised" style="borderless" getVisible="GetVisTools1" getEnabled="GetEnabledTools1"/>
              <button id="Button152" getLabel="Tools2" onAction="RIBTools2" isDefinitive="true" imageMso="ControlSpecialEffectRaised" style="borderless" getVisible="GetVisTools2" getEnabled="GetEnabledTools2"/>
              <button id="Button153" getLabel="Tools3" onAction="RIBTools3" isDefinitive="true" imageMso="ControlSpecialEffectRaised" style="borderless" getVisible="GetVisTools3" getEnabled="GetEnabledTools3"/>
              <button id="Button154" getLabel="Tools4" onAction="RIBTools4" isDefinitive="true" imageMso="ControlSpecialEffectRaised" style="borderless" getVisible="GetVisTools4" getEnabled="GetEnabledTools4"/>
              <button id="Button155" getLabel="Tools5" onAction="RIBTools5" isDefinitive="true" imageMso="ControlSpecialEffectRaised" style="borderless" getVisible="GetVisTools5" getEnabled="GetEnabledTools5"/>
              <button id="Button156" getLabel="Tools6" onAction="RIBTools6" isDefinitive="true" imageMso="ControlSpecialEffectRaised" style="borderless" getVisible="GetVisTools6" getEnabled="GetEnabledTools6"/>
              <button id="Button157" getLabel="Tools7" onAction="RIBTools7" isDefinitive="true" imageMso="ControlSpecialEffectRaised" style="borderless" getVisible="GetVisTools7" getEnabled="GetEnabledTools7"/>
              <button id="Button158" getLabel="Tools8" onAction="RIBTools8" isDefinitive="true" imageMso="ControlSpecialEffectRaised" style="borderless" getVisible="GetVisTools8" getEnabled="GetEnabledTools8"/>
              <button id="Button159" getLabel="Tools9" onAction="RIBTools9" isDefinitive="true" imageMso="ControlSpecialEffectRaised" style="borderless" getVisible="GetVisTools9" getEnabled="GetEnabledTools9"/>
            </layoutContainer>
          </topItems>
        </group>
      </secondColumn>
    </tab>
    <tab id="FileMenuBar" insertBeforeMso="FileSave" label="Simulation Menu" columnWidthPercent="50" getVisible="GetVisible">
      <firstColumn>
        <taskFormGroup id="teamTaskFormGroup">
          <category id="engineeringTeamCategory" label="Decisions" getVisible="GetVisD">
            <task id="engineeringTeamTasks" description="Please select a decision screen:" imageMso="PropertySheet">
              <group id="engineeringTeamTasksGroup">
                <topItems>
                  <button id="Button1" getLabel="Decisions1" onAction="RIBDecisions1" imageMso="ControlSpecialEffectRaised" isDefinitive="true" style="borderless" getVisible="GetVisD1" getEnabled="GetEnabledD1"/>
                  <button id="Button2" getLabel="Decisions2" onAction="RIBDecisions2" imageMso="ControlSpecialEffectRaised" isDefinitive="true" style="borderless" getVisible="GetVisD2" getEnabled="GetEnabledD2"/>
                  <button id="Button3" getLabel="Decisions3" onAction="RIBDecisions3" imageMso="ControlSpecialEffectRaised" isDefinitive="true" style="borderless" getVisible="GetVisD3" getEnabled="GetEnabledD3"/>
                  <button id="Button4" getLabel="Decisions4" onAction="RIBDecisions4" imageMso="ControlSpecialEffectRaised" isDefinitive="true" style="borderless" getVisible="GetVisD4" getEnabled="GetEnabledD4"/>
                  <button id="Button5" getLabel="Decisions5" onAction="RIBDecisions5" imageMso="ControlSpecialEffectRaised" isDefinitive="true" style="borderless" getVisible="GetVisD5" getEnabled="GetEnabledD5"/>
                  <button id="Button6" getLabel="Decisions6" onAction="RIBDecisions6" imageMso="ControlSpecialEffectRaised" isDefinitive="true" style="borderless" getVisible="GetVisD6" getEnabled="GetEnabledD6"/>
                  <button id="Button7" getLabel="Decisions7" onAction="RIBDecisions7" imageMso="ControlSpecialEffectRaised" isDefinitive="true" style="borderless" getVisible="GetVisD7" getEnabled="GetEnabledD7"/>
                  <button id="Button8" getLabel="Decisions8" onAction="RIBDecisions8" imageMso="ControlSpecialEffectRaised" isDefinitive="true" style="borderless" getVisible="GetVisD8" getEnabled="GetEnabledD8"/>
                </topItems>
              </group>
            </task>
          </category>
          <category id="manufacturingTeamCategory" label="Reports" getVisible="GetVisR">
            <task id="manufacturingTeamTasks" description="Select a report to view:" imageMso="ReadingViewShowPrintedPage">
              <group id="manufacturingTeamTasksGroup" getStyle="GetReportsStyle" getHelperText="GetReportsHelperText">
                <topItems>
                  <button id="Button61" getLabel="Reports1" onAction="RIBReports1" imageMso="ControlSpecialEffectRaised" isDefinitive="true" style="borderless" getVisible="GetVisR1" getEnabled="GetEnabledR1"/>
                  <button id="Button62" getLabel="Reports2" onAction="RIBReports2" imageMso="ControlSpecialEffectRaised" isDefinitive="true" style="borderless" getVisible="GetVisR2" getEnabled="GetEnabledR2"/>
                  <button id="Button63" getLabel="Reports3" onAction="RIBReports3" imageMso="ControlSpecialEffectRaised" isDefinitive="true" style="borderless" getVisible="GetVisR3" getEnabled="GetEnabledR3"/>
                </topItems>
              </group>
            </task>
          </category>
          <category id="marketingTeamCategory" label="Trees" getVisible="GetVisT">
            <task id="marketingTeamTasks" description="Select a tree to view:" imageMso="AdpDiagramArrangeTables">
              <group id="marketingTeamTasksGroup">
                <topItems>
                  <button id="concepts" getLabel="Trees1" onAction="RIBTrees1" imageMso="ControlSpecialEffectRaised" isDefinitive="true" style="borderless"/>
                </topItems>
              </group>
            </task>
          </category>
        </taskFormGroup>
      </firstColumn>
      <secondColumn>
        <group id="DecisionsGrp" label="Actions" getVisible="GetVisA">
          <topItems>
            <layoutContainer id="layout1" layoutChildren="vertical">
              <button id="Button41" getLabel="Actions1" onAction="RIBActions1" isDefinitive="true" imageMso="ControlSpecialEffectRaised" style="borderless" getVisible="GetVisA1" getEnabled="GetEnabledA1"/>
              <button id="Button42" getLabel="Actions2" onAction="RIBActions2" isDefinitive="true" imageMso="ControlSpecialEffectRaised" style="borderless" getVisible="GetVisA2" getEnabled="GetEnabledA2"/>
              <button id="Button43" getLabel="Actions3" onAction="RIBActions3" isDefinitive="true" imageMso="ControlSpecialEffectRaised" style="borderless" getVisible="GetVisA3" getEnabled="GetEnabledA3"/>
              <button id="Button44" getLabel="Actions4" onAction="RIBActions4" isDefinitive="true" imageMso="ControlSpecialEffectRaised" style="borderless" getVisible="GetVisA4" getEnabled="GetEnabledA4"/>
              <button id="Button45" getLabel="Actions5" onAction="RIBActions5" isDefinitive="true" imageMso="ControlSpecialEffectRaised" style="borderless" getVisible="GetVisA5" getEnabled="GetEnabledA5"/>
              <button id="Button47" getLabel="Actions6" onAction="RIBActions6" isDefinitive="true" imageMso="ControlSpecialEffectRaised" style="borderless" getVisible="GetVisA6" getEnabled="GetEnabledA6"/>
            </layoutContainer>
          </topItems>
        </group>
        <group id="CommentsGrp" label="Comments" getVisible="GetVisC">
          <topItems>
            <layoutContainer id="layout11" layoutChildren="horizontal">
              <button id="Button111" getLabel="Comments1" onAction="RIBComments1" isDefinitive="true" imageMso="ControlSpecialEffectRaised" style="borderless" getVisible="GetVisC1" getEnabled="GetEnabledC1"/>
              <button id="Button112" getLabel="Comments2" onAction="RIBComments2" isDefinitive="true" imageMso="ControlSpecialEffectRaised" style="borderless" getVisible="GetVisC2" getEnabled="GetEnabledC2"/>
            </layoutContainer>
          </topItems>
        </group>
        <group id="ScenariosGrp" label="Scenarios" getVisible="GetVisS">
          <bottomItems>
            <layoutContainer id="layout7" layoutChildren="horizontal">
              <button id="Button71" getLabel="Scenarios1" onAction="RIBScenarios1" isDefinitive="true" imageMso="ControlSpecialEffectRaised" style="borderless" getVisible="GetVisS1" getEnabled="GetEnabledS1"/>
            </layoutContainer>
            <layoutContainer id="layout8" layoutChildren="horizontal">
              <button id="Button81" getLabel="Scenarios2" onAction="RIBScenarios2" isDefinitive="true" imageMso="ControlSpecialEffectRaised" style="borderless" getVisible="GetVisS2" getEnabled="GetEnabledS2"/>
              <button id="Button82" getLabel="Scenarios3" onAction="RIBScenarios3" isDefinitive="true" imageMso="ControlSpecialEffectRaised" style="borderless" getVisible="GetVisS3" getEnabled="GetEnabledS3"/>
            </layoutContainer>
            <layoutContainer id="layout9" layoutChildren="horizontal">
              <button id="Button91" getLabel="Scenarios4" onAction="RIBScenarios4" isDefinitive="true" imageMso="ControlSpecialEffectRaised" style="borderless" getVisible="GetVisS4" getEnabled="GetEnabledS4"/>
              <button id="Button92" getLabel="Scenarios5" onAction="RIBActions1" isDefinitive="true" imageMso="ControlSpecialEffectRaised" style="borderless" getVisible="GetVisS5" getEnabled="GetEnabledS5"/>
            </layoutContainer>
            <layoutContainer id="layout10" layoutChildren="horizontal">
              <button id="Button101" getLabel="Scenarios6" onAction="RIBScenariso6" isDefinitive="true" imageMso="ControlSpecialEffectRaised" style="borderless" getVisible="GetVisS6" getEnabled="GetEnabledS6"/>
              <button id="Button102" getLabel="Scenarios7" onAction="RIBScenarios7" isDefinitive="true" imageMso="ControlSpecialEffectRaised" style="borderless" getVisible="GetVisS7" getEnabled="GetEnabledS7"/>
            </layoutContainer>
          </bottom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5334</vt:i4>
      </vt:variant>
    </vt:vector>
  </HeadingPairs>
  <TitlesOfParts>
    <vt:vector size="5383" baseType="lpstr">
      <vt:lpstr>Notes</vt:lpstr>
      <vt:lpstr>InBevRemaining</vt:lpstr>
      <vt:lpstr>_tlOutputNamer</vt:lpstr>
      <vt:lpstr>ImportExportCSV</vt:lpstr>
      <vt:lpstr>obal_csv_export</vt:lpstr>
      <vt:lpstr>TestAuto</vt:lpstr>
      <vt:lpstr>Controls</vt:lpstr>
      <vt:lpstr>toolAnalyVision</vt:lpstr>
      <vt:lpstr>toolGoals</vt:lpstr>
      <vt:lpstr>toolStrategy</vt:lpstr>
      <vt:lpstr>toolIntro</vt:lpstr>
      <vt:lpstr>toolPNL</vt:lpstr>
      <vt:lpstr>toolPNLRegionA</vt:lpstr>
      <vt:lpstr>toolPNLRegionB</vt:lpstr>
      <vt:lpstr>toolBalSheet</vt:lpstr>
      <vt:lpstr>toolCashFlow</vt:lpstr>
      <vt:lpstr>toolROIC</vt:lpstr>
      <vt:lpstr>toolROIC_Two</vt:lpstr>
      <vt:lpstr>toolDecSummary</vt:lpstr>
      <vt:lpstr>DataValidation</vt:lpstr>
      <vt:lpstr>toolVetera</vt:lpstr>
      <vt:lpstr>toolEscendia</vt:lpstr>
      <vt:lpstr>toolRnD</vt:lpstr>
      <vt:lpstr>toolOps</vt:lpstr>
      <vt:lpstr>toolGSS</vt:lpstr>
      <vt:lpstr>toolPrograms</vt:lpstr>
      <vt:lpstr>toolTEMPLATE</vt:lpstr>
      <vt:lpstr>obal</vt:lpstr>
      <vt:lpstr>cbal</vt:lpstr>
      <vt:lpstr>fin</vt:lpstr>
      <vt:lpstr>dec</vt:lpstr>
      <vt:lpstr>cap</vt:lpstr>
      <vt:lpstr>adj</vt:lpstr>
      <vt:lpstr>param</vt:lpstr>
      <vt:lpstr>analysis</vt:lpstr>
      <vt:lpstr>ReportCompetitor</vt:lpstr>
      <vt:lpstr>Fix_List</vt:lpstr>
      <vt:lpstr>satIndex</vt:lpstr>
      <vt:lpstr>toolGraphData</vt:lpstr>
      <vt:lpstr>Iniative_Grid</vt:lpstr>
      <vt:lpstr>DataPage</vt:lpstr>
      <vt:lpstr>mmProd1</vt:lpstr>
      <vt:lpstr>mmProd2</vt:lpstr>
      <vt:lpstr>mmProd3</vt:lpstr>
      <vt:lpstr>mmProd4</vt:lpstr>
      <vt:lpstr>mmProd5</vt:lpstr>
      <vt:lpstr>mmProd6</vt:lpstr>
      <vt:lpstr>feedback</vt:lpstr>
      <vt:lpstr>feedbackTS</vt:lpstr>
      <vt:lpstr>_tlOutputNamer_Color</vt:lpstr>
      <vt:lpstr>_tlOutputNamer_ScreenName</vt:lpstr>
      <vt:lpstr>_tlOutputNamer_SheetPre</vt:lpstr>
      <vt:lpstr>analyAverageScore</vt:lpstr>
      <vt:lpstr>analyrank</vt:lpstr>
      <vt:lpstr>analyROIC</vt:lpstr>
      <vt:lpstr>ReportCompetitor!Analysis</vt:lpstr>
      <vt:lpstr>Analysis</vt:lpstr>
      <vt:lpstr>AnalysisDisruptAvgVol</vt:lpstr>
      <vt:lpstr>AnalysisDisruptivesBegin</vt:lpstr>
      <vt:lpstr>analysisRevRangeAdjust</vt:lpstr>
      <vt:lpstr>analysisROICadjust</vt:lpstr>
      <vt:lpstr>analysisSustAdjust</vt:lpstr>
      <vt:lpstr>AReporttoolBalSheet</vt:lpstr>
      <vt:lpstr>AReporttoolCashFlow</vt:lpstr>
      <vt:lpstr>AReporttoolCompetitor</vt:lpstr>
      <vt:lpstr>AReporttoolDecSummary</vt:lpstr>
      <vt:lpstr>AReporttoolEscendia</vt:lpstr>
      <vt:lpstr>AReporttoolGSS</vt:lpstr>
      <vt:lpstr>AReporttoolOps</vt:lpstr>
      <vt:lpstr>AReporttoolPNL</vt:lpstr>
      <vt:lpstr>AReporttoolPNLLower</vt:lpstr>
      <vt:lpstr>AReporttoolPNLUpper</vt:lpstr>
      <vt:lpstr>AReporttoolPrograms</vt:lpstr>
      <vt:lpstr>AReporttoolRnD</vt:lpstr>
      <vt:lpstr>AReporttoolVetera</vt:lpstr>
      <vt:lpstr>capACQrnd</vt:lpstr>
      <vt:lpstr>capBKTHrnd</vt:lpstr>
      <vt:lpstr>capChanCustMTUs</vt:lpstr>
      <vt:lpstr>capChanPenMTUs</vt:lpstr>
      <vt:lpstr>capCostPerHL</vt:lpstr>
      <vt:lpstr>capCSDRnD</vt:lpstr>
      <vt:lpstr>capDisrupt1</vt:lpstr>
      <vt:lpstr>capDisrupt2</vt:lpstr>
      <vt:lpstr>capDisruptRnD</vt:lpstr>
      <vt:lpstr>capDividendAmount</vt:lpstr>
      <vt:lpstr>capDSRPrnd</vt:lpstr>
      <vt:lpstr>capEBIT</vt:lpstr>
      <vt:lpstr>capEmp10Att</vt:lpstr>
      <vt:lpstr>capEmp10Begin</vt:lpstr>
      <vt:lpstr>capEmp10End</vt:lpstr>
      <vt:lpstr>capEmp10Expense</vt:lpstr>
      <vt:lpstr>capEmp10Recruit</vt:lpstr>
      <vt:lpstr>capEmp10req</vt:lpstr>
      <vt:lpstr>capEmp1AdminExp</vt:lpstr>
      <vt:lpstr>capEmp1AllocProd1</vt:lpstr>
      <vt:lpstr>capEmp1AllocProd2</vt:lpstr>
      <vt:lpstr>capEmp1AllocProd3</vt:lpstr>
      <vt:lpstr>capEmp1AllocProd4</vt:lpstr>
      <vt:lpstr>capEmp1Att</vt:lpstr>
      <vt:lpstr>capEmp1Change</vt:lpstr>
      <vt:lpstr>capEmp1End</vt:lpstr>
      <vt:lpstr>capEmp1ExCapCost</vt:lpstr>
      <vt:lpstr>capEmp1Exp</vt:lpstr>
      <vt:lpstr>capEmp1OTCost</vt:lpstr>
      <vt:lpstr>capEmp1RecDismExp</vt:lpstr>
      <vt:lpstr>capEmp1Req</vt:lpstr>
      <vt:lpstr>capEmp1Utiliz</vt:lpstr>
      <vt:lpstr>capEmp2AdminExp</vt:lpstr>
      <vt:lpstr>capEmp2AllocProd1</vt:lpstr>
      <vt:lpstr>capEmp2AllocProd2</vt:lpstr>
      <vt:lpstr>capEmp2AllocProd3</vt:lpstr>
      <vt:lpstr>capEmp2AllocProd4</vt:lpstr>
      <vt:lpstr>capEmp2Att</vt:lpstr>
      <vt:lpstr>capEmp2Change</vt:lpstr>
      <vt:lpstr>capEmp2End</vt:lpstr>
      <vt:lpstr>capEmp2ExCapCost</vt:lpstr>
      <vt:lpstr>capEmp2Exp</vt:lpstr>
      <vt:lpstr>capEmp2OTCost</vt:lpstr>
      <vt:lpstr>capEmp2RecDismExp</vt:lpstr>
      <vt:lpstr>capEmp2Utiliz</vt:lpstr>
      <vt:lpstr>capEmp3Att</vt:lpstr>
      <vt:lpstr>capEmp3Change</vt:lpstr>
      <vt:lpstr>capEmp3End</vt:lpstr>
      <vt:lpstr>capEmp3HoursAvail</vt:lpstr>
      <vt:lpstr>capEmp3Utiliz</vt:lpstr>
      <vt:lpstr>capEmpDevMTUs</vt:lpstr>
      <vt:lpstr>capInitsMTUs</vt:lpstr>
      <vt:lpstr>capInnov1</vt:lpstr>
      <vt:lpstr>capInnov1Cost</vt:lpstr>
      <vt:lpstr>capInnov2</vt:lpstr>
      <vt:lpstr>capInnov2Cost</vt:lpstr>
      <vt:lpstr>capInnov3</vt:lpstr>
      <vt:lpstr>capInnov3Cost</vt:lpstr>
      <vt:lpstr>capInnov4</vt:lpstr>
      <vt:lpstr>capInnov4Cost</vt:lpstr>
      <vt:lpstr>capITinvestMTUs</vt:lpstr>
      <vt:lpstr>capLTDebtChange</vt:lpstr>
      <vt:lpstr>capNCBRnD</vt:lpstr>
      <vt:lpstr>capPlant1AllocProd1</vt:lpstr>
      <vt:lpstr>capPlant1AllocProd21</vt:lpstr>
      <vt:lpstr>capPlant1AllocProd22</vt:lpstr>
      <vt:lpstr>capPlant1AllocProd3</vt:lpstr>
      <vt:lpstr>capPlant1AllocProd4</vt:lpstr>
      <vt:lpstr>capPlant1CapitalLoss</vt:lpstr>
      <vt:lpstr>capPlant1CapitalMaint</vt:lpstr>
      <vt:lpstr>capPlant1Depreciation</vt:lpstr>
      <vt:lpstr>capPlant1Divestment</vt:lpstr>
      <vt:lpstr>capPlant1DivestmentRevenue</vt:lpstr>
      <vt:lpstr>capPlant1DivestmentValue</vt:lpstr>
      <vt:lpstr>capPlant1ExCapDepreciation</vt:lpstr>
      <vt:lpstr>capPlant1HoursAvail</vt:lpstr>
      <vt:lpstr>capPlant1HoursReq</vt:lpstr>
      <vt:lpstr>capPlant1InEffDepreciation</vt:lpstr>
      <vt:lpstr>capPlant1Investment</vt:lpstr>
      <vt:lpstr>capPlant1InvestmentNew</vt:lpstr>
      <vt:lpstr>capPlant1Leasing</vt:lpstr>
      <vt:lpstr>capPlant1MachCost</vt:lpstr>
      <vt:lpstr>capPlant1MachExCapCost</vt:lpstr>
      <vt:lpstr>capPlant1MachInEffCost</vt:lpstr>
      <vt:lpstr>capPlant1Prod21HoursReq</vt:lpstr>
      <vt:lpstr>capPlant1Prod22HoursReq</vt:lpstr>
      <vt:lpstr>capPlant1Reg1Alloc</vt:lpstr>
      <vt:lpstr>capPlant1Reg1HoursReq</vt:lpstr>
      <vt:lpstr>capPlant1Reg2Alloc</vt:lpstr>
      <vt:lpstr>capPlant1Reg2HoursReq</vt:lpstr>
      <vt:lpstr>capPlant1UnitsAvail</vt:lpstr>
      <vt:lpstr>capPlant1UnitsChange</vt:lpstr>
      <vt:lpstr>capPlant1UnitsEnd</vt:lpstr>
      <vt:lpstr>capPlant1UpgradeCost</vt:lpstr>
      <vt:lpstr>capPlant1Utiliz</vt:lpstr>
      <vt:lpstr>capPlantCapMTUs</vt:lpstr>
      <vt:lpstr>capPlantFlexMTUs</vt:lpstr>
      <vt:lpstr>capProd1Adv</vt:lpstr>
      <vt:lpstr>capProd1AdvR2</vt:lpstr>
      <vt:lpstr>capProd1COGSPUnitDep</vt:lpstr>
      <vt:lpstr>capProd1COGSPUnitMat</vt:lpstr>
      <vt:lpstr>capProd1COGSPUnitPlant1</vt:lpstr>
      <vt:lpstr>capProd1CostPUnitEmp1</vt:lpstr>
      <vt:lpstr>capProd1CostPUnitEmp2</vt:lpstr>
      <vt:lpstr>capProd1Depreciation</vt:lpstr>
      <vt:lpstr>capProd1Emp1AdminExp</vt:lpstr>
      <vt:lpstr>capProd1Emp1ChanLevelRamp</vt:lpstr>
      <vt:lpstr>capProd1Emp1RecDismExp</vt:lpstr>
      <vt:lpstr>capProd1Emp1SalExp</vt:lpstr>
      <vt:lpstr>capProd1Emp2AdminExp</vt:lpstr>
      <vt:lpstr>capProd1Emp2RecDismExp</vt:lpstr>
      <vt:lpstr>capProd1Emp2SalExp</vt:lpstr>
      <vt:lpstr>capProd1Ftr4Level</vt:lpstr>
      <vt:lpstr>capProd1Promo</vt:lpstr>
      <vt:lpstr>capProd1PromoR2</vt:lpstr>
      <vt:lpstr>capProd1Reg1Price</vt:lpstr>
      <vt:lpstr>capProd1Reg1Units</vt:lpstr>
      <vt:lpstr>capProd1Reg2Price</vt:lpstr>
      <vt:lpstr>capProd1Reg2Units</vt:lpstr>
      <vt:lpstr>capProd1WhatIfUnits</vt:lpstr>
      <vt:lpstr>capProd21COGSPUnitDep</vt:lpstr>
      <vt:lpstr>capProd21COGSPUnitMat</vt:lpstr>
      <vt:lpstr>capProd21COGSPUnitPlant1</vt:lpstr>
      <vt:lpstr>capProd21Depreciation</vt:lpstr>
      <vt:lpstr>capProd22COGSPUnitDep</vt:lpstr>
      <vt:lpstr>capProd22COGSPUnitMat</vt:lpstr>
      <vt:lpstr>capProd22COGSPUnitPlant1</vt:lpstr>
      <vt:lpstr>capProd22Depreciation</vt:lpstr>
      <vt:lpstr>capProd2Adv</vt:lpstr>
      <vt:lpstr>capProd2Adv2</vt:lpstr>
      <vt:lpstr>capProd2Brand</vt:lpstr>
      <vt:lpstr>capProd2COGSPUnitMat</vt:lpstr>
      <vt:lpstr>capProd2CostPUnitEmp1</vt:lpstr>
      <vt:lpstr>capProd2CostPUnitEmp2</vt:lpstr>
      <vt:lpstr>capProd2Emp1AdminExp</vt:lpstr>
      <vt:lpstr>capProd2Emp1ChanLevelRamp</vt:lpstr>
      <vt:lpstr>capProd2Emp1RecDismExp</vt:lpstr>
      <vt:lpstr>capProd2Emp1SalExp</vt:lpstr>
      <vt:lpstr>capProd2Emp2AdminExp</vt:lpstr>
      <vt:lpstr>capProd2Emp2RecDismExp</vt:lpstr>
      <vt:lpstr>capProd2Emp2SalExp</vt:lpstr>
      <vt:lpstr>capProd2Ftr1Level</vt:lpstr>
      <vt:lpstr>capProd2Ftr2Level</vt:lpstr>
      <vt:lpstr>capProd2Ftr3Level</vt:lpstr>
      <vt:lpstr>capProd2Ftr4Level</vt:lpstr>
      <vt:lpstr>capProd2Ftr4Level1</vt:lpstr>
      <vt:lpstr>capProd2Ftr4Level2</vt:lpstr>
      <vt:lpstr>capProd2Promo1</vt:lpstr>
      <vt:lpstr>capProd2Promo2</vt:lpstr>
      <vt:lpstr>capProd2Reg1Price</vt:lpstr>
      <vt:lpstr>capProd2Reg1Units</vt:lpstr>
      <vt:lpstr>capProd2Reg2Price</vt:lpstr>
      <vt:lpstr>capProd2Reg2Units</vt:lpstr>
      <vt:lpstr>capProd2WhatIfUnits</vt:lpstr>
      <vt:lpstr>capProd3Adv</vt:lpstr>
      <vt:lpstr>capProd3AdvR2</vt:lpstr>
      <vt:lpstr>capProd3COGSPUnitDep</vt:lpstr>
      <vt:lpstr>capProd3COGSPUnitMat</vt:lpstr>
      <vt:lpstr>capProd3COGSPUnitPlant1</vt:lpstr>
      <vt:lpstr>capProd3CostPUnitEmp1</vt:lpstr>
      <vt:lpstr>capProd3CostPUnitEmp2</vt:lpstr>
      <vt:lpstr>capProd3Depreciation</vt:lpstr>
      <vt:lpstr>capProd3Emp1AdminExp</vt:lpstr>
      <vt:lpstr>capProd3Emp1ChanLevelRamp</vt:lpstr>
      <vt:lpstr>capProd3Emp1RecDismExp</vt:lpstr>
      <vt:lpstr>capProd3Emp1SalExp</vt:lpstr>
      <vt:lpstr>capProd3Emp2AdminExp</vt:lpstr>
      <vt:lpstr>capProd3Emp2RecDismExp</vt:lpstr>
      <vt:lpstr>capProd3Emp2SalExp</vt:lpstr>
      <vt:lpstr>capProd3Ftr3Level</vt:lpstr>
      <vt:lpstr>capProd3Ftr4Level</vt:lpstr>
      <vt:lpstr>capProd3Promo</vt:lpstr>
      <vt:lpstr>capProd3PromoR2</vt:lpstr>
      <vt:lpstr>capProd3Reg1Price</vt:lpstr>
      <vt:lpstr>capProd3Reg1Units</vt:lpstr>
      <vt:lpstr>capProd3Reg2Price</vt:lpstr>
      <vt:lpstr>capProd3Reg2Units</vt:lpstr>
      <vt:lpstr>capProd3WhatIfUnits</vt:lpstr>
      <vt:lpstr>capProd4Adv</vt:lpstr>
      <vt:lpstr>capProd4AdvR2</vt:lpstr>
      <vt:lpstr>capProd4COGSPUnitDep</vt:lpstr>
      <vt:lpstr>capProd4COGSPUnitMat</vt:lpstr>
      <vt:lpstr>capProd4COGSPUnitPlant1</vt:lpstr>
      <vt:lpstr>capProd4CostPUnitEmp1</vt:lpstr>
      <vt:lpstr>capProd4CostPUnitEmp2</vt:lpstr>
      <vt:lpstr>capProd4Depreciation</vt:lpstr>
      <vt:lpstr>capProd4Emp1AdminExp</vt:lpstr>
      <vt:lpstr>capProd4Emp1ChanLevelRamp</vt:lpstr>
      <vt:lpstr>capProd4Emp1RecDismExp</vt:lpstr>
      <vt:lpstr>capProd4Emp1SalExp</vt:lpstr>
      <vt:lpstr>capProd4Emp2AdminExp</vt:lpstr>
      <vt:lpstr>capProd4Emp2RecDismExp</vt:lpstr>
      <vt:lpstr>capProd4Emp2SalExp</vt:lpstr>
      <vt:lpstr>capProd4Ftr4Level</vt:lpstr>
      <vt:lpstr>capProd4Promo</vt:lpstr>
      <vt:lpstr>capProd4PromoR2</vt:lpstr>
      <vt:lpstr>capProd4Reg1Price</vt:lpstr>
      <vt:lpstr>capProd4Reg1Units</vt:lpstr>
      <vt:lpstr>capProd4Reg2Price</vt:lpstr>
      <vt:lpstr>capProd4Reg2Units</vt:lpstr>
      <vt:lpstr>capProd4WhatIfUnits</vt:lpstr>
      <vt:lpstr>capRecruitingMTUs</vt:lpstr>
      <vt:lpstr>capReg1ChanLevel</vt:lpstr>
      <vt:lpstr>capReg1Emp3AdminExp</vt:lpstr>
      <vt:lpstr>capReg1Emp3AllocProd1</vt:lpstr>
      <vt:lpstr>capReg1Emp3AllocProd21</vt:lpstr>
      <vt:lpstr>capReg1Emp3AllocProd22</vt:lpstr>
      <vt:lpstr>capReg1Emp3AllocProd3</vt:lpstr>
      <vt:lpstr>capReg1Emp3AllocProd4</vt:lpstr>
      <vt:lpstr>capReg1Emp3ExCapCost</vt:lpstr>
      <vt:lpstr>capReg1Emp3Exp</vt:lpstr>
      <vt:lpstr>capReg1Emp3OTCost</vt:lpstr>
      <vt:lpstr>capReg1Emp3RecDismExp</vt:lpstr>
      <vt:lpstr>capReg1Emp3Recruit</vt:lpstr>
      <vt:lpstr>capReg1Prod1COGSPUnit</vt:lpstr>
      <vt:lpstr>capReg1Prod1COGSPUnitUMC</vt:lpstr>
      <vt:lpstr>capReg1Prod1CostPUnitEmp3</vt:lpstr>
      <vt:lpstr>capReg1Prod1Emp3AdminExp</vt:lpstr>
      <vt:lpstr>capReg1Prod1Emp3Exp</vt:lpstr>
      <vt:lpstr>capReg1Prod1Emp3RecDismExp</vt:lpstr>
      <vt:lpstr>capReg1Prod1UnitsFGCbal</vt:lpstr>
      <vt:lpstr>capReg1Prod1UnitsFGEnd</vt:lpstr>
      <vt:lpstr>capReg1Prod1UnitsFGUsed</vt:lpstr>
      <vt:lpstr>capReg1Prod1UnitsProduction</vt:lpstr>
      <vt:lpstr>capReg1Prod1UnitsSold</vt:lpstr>
      <vt:lpstr>capReg1Prod1UnitsSoldFG</vt:lpstr>
      <vt:lpstr>capReg1Prod1UnitsSoldNewProd</vt:lpstr>
      <vt:lpstr>capReg1Prod1UnitsWiP</vt:lpstr>
      <vt:lpstr>capReg1Prod1UnitsWiPEnd</vt:lpstr>
      <vt:lpstr>capReg1Prod1UnitsWiPUsed</vt:lpstr>
      <vt:lpstr>capReg1Prod21COGSPUnit</vt:lpstr>
      <vt:lpstr>capReg1Prod21COGSPUnitUMC</vt:lpstr>
      <vt:lpstr>capReg1Prod21CostPUnitEmp3</vt:lpstr>
      <vt:lpstr>capReg1Prod21Emp3Exp</vt:lpstr>
      <vt:lpstr>capReg1Prod22COGSPUnit</vt:lpstr>
      <vt:lpstr>capReg1Prod22COGSPUnitUMC</vt:lpstr>
      <vt:lpstr>capReg1Prod22CostPUnitEmp3</vt:lpstr>
      <vt:lpstr>capReg1Prod22Emp3Exp</vt:lpstr>
      <vt:lpstr>capReg1Prod2UnitsFGCbal</vt:lpstr>
      <vt:lpstr>capReg1Prod2UnitsFGEnd</vt:lpstr>
      <vt:lpstr>capReg1Prod2UnitsFGUsed</vt:lpstr>
      <vt:lpstr>capReg1Prod2UnitsProduction</vt:lpstr>
      <vt:lpstr>capReg1Prod2UnitsSold</vt:lpstr>
      <vt:lpstr>capReg1Prod2UnitsSoldFG</vt:lpstr>
      <vt:lpstr>capReg1Prod2UnitsSoldNewProd</vt:lpstr>
      <vt:lpstr>capReg1Prod2UnitsWiPEnd</vt:lpstr>
      <vt:lpstr>capReg1Prod2UnitsWiPUsed</vt:lpstr>
      <vt:lpstr>capReg1Prod3COGSPUnit</vt:lpstr>
      <vt:lpstr>capReg1Prod3COGSPUnitUMC</vt:lpstr>
      <vt:lpstr>capReg1Prod3CostPUnitEmp3</vt:lpstr>
      <vt:lpstr>capReg1Prod3Emp3AdminExp</vt:lpstr>
      <vt:lpstr>capReg1Prod3Emp3Exp</vt:lpstr>
      <vt:lpstr>capReg1Prod3Emp3RecDismExp</vt:lpstr>
      <vt:lpstr>capReg1Prod3UnitsFGCbal</vt:lpstr>
      <vt:lpstr>capReg1Prod3UnitsFGEnd</vt:lpstr>
      <vt:lpstr>capReg1Prod3UnitsFGUsed</vt:lpstr>
      <vt:lpstr>capReg1Prod3UnitsProduction</vt:lpstr>
      <vt:lpstr>capReg1Prod3UnitsSold</vt:lpstr>
      <vt:lpstr>capReg1Prod3UnitsSoldFG</vt:lpstr>
      <vt:lpstr>capReg1Prod3UnitsSoldNewProd</vt:lpstr>
      <vt:lpstr>capReg1Prod3UnitsWiP</vt:lpstr>
      <vt:lpstr>capReg1Prod3UnitsWiPEnd</vt:lpstr>
      <vt:lpstr>capReg1Prod3UnitsWiPUsed</vt:lpstr>
      <vt:lpstr>capReg1Prod4COGSPUnit</vt:lpstr>
      <vt:lpstr>capReg1Prod4COGSPUnitUMC</vt:lpstr>
      <vt:lpstr>capReg1Prod4CostPUnitEmp3</vt:lpstr>
      <vt:lpstr>capReg1Prod4Emp3AdminExp</vt:lpstr>
      <vt:lpstr>capReg1Prod4Emp3Exp</vt:lpstr>
      <vt:lpstr>capReg1Prod4Emp3RecDismExp</vt:lpstr>
      <vt:lpstr>capReg1Prod4UnitsFGCbal</vt:lpstr>
      <vt:lpstr>capReg1Prod4UnitsFGEnd</vt:lpstr>
      <vt:lpstr>capReg1Prod4UnitsFGUsed</vt:lpstr>
      <vt:lpstr>capReg1Prod4UnitsProduction</vt:lpstr>
      <vt:lpstr>capReg1Prod4UnitsSold</vt:lpstr>
      <vt:lpstr>capReg1Prod4UnitsSoldFG</vt:lpstr>
      <vt:lpstr>capReg1Prod4UnitsSoldNewProd</vt:lpstr>
      <vt:lpstr>capReg1Prod4UnitsWiP</vt:lpstr>
      <vt:lpstr>capReg1Prod4UnitsWiPEnd</vt:lpstr>
      <vt:lpstr>capReg1Prod4UnitsWiPUsed</vt:lpstr>
      <vt:lpstr>capReg2ChanLevel</vt:lpstr>
      <vt:lpstr>capReg2Emp3AdminExp</vt:lpstr>
      <vt:lpstr>capReg2Emp3AllocProd1</vt:lpstr>
      <vt:lpstr>capReg2Emp3AllocProd21</vt:lpstr>
      <vt:lpstr>capReg2Emp3AllocProd22</vt:lpstr>
      <vt:lpstr>capReg2Emp3AllocProd3</vt:lpstr>
      <vt:lpstr>capReg2Emp3AllocProd4</vt:lpstr>
      <vt:lpstr>capReg2Emp3ExCapCost</vt:lpstr>
      <vt:lpstr>capReg2Emp3Exp</vt:lpstr>
      <vt:lpstr>capReg2Emp3OTCost</vt:lpstr>
      <vt:lpstr>capReg2Emp3RecDismExp</vt:lpstr>
      <vt:lpstr>capReg2Prod1COGSPUnit</vt:lpstr>
      <vt:lpstr>capReg2Prod1COGSPUnitUMC</vt:lpstr>
      <vt:lpstr>capReg2Prod1CostPUnitEmp3</vt:lpstr>
      <vt:lpstr>capReg2Prod1Emp3AdminExp</vt:lpstr>
      <vt:lpstr>capReg2Prod1Emp3Exp</vt:lpstr>
      <vt:lpstr>capReg2Prod1Emp3RecDismExp</vt:lpstr>
      <vt:lpstr>capReg2Prod1UnitsFGCbal</vt:lpstr>
      <vt:lpstr>capReg2Prod1UnitsFGEnd</vt:lpstr>
      <vt:lpstr>capReg2Prod1UnitsFGUsed</vt:lpstr>
      <vt:lpstr>capReg2Prod1UnitsProduction</vt:lpstr>
      <vt:lpstr>capReg2Prod1UnitsSold</vt:lpstr>
      <vt:lpstr>capReg2Prod1UnitsSoldFG</vt:lpstr>
      <vt:lpstr>capReg2Prod1UnitsSoldNewProd</vt:lpstr>
      <vt:lpstr>capReg2Prod1UnitsWiP</vt:lpstr>
      <vt:lpstr>capReg2Prod1UnitsWiPEnd</vt:lpstr>
      <vt:lpstr>capReg2Prod1UnitsWiPUsed</vt:lpstr>
      <vt:lpstr>capReg2Prod21COGSPUnit</vt:lpstr>
      <vt:lpstr>capReg2Prod21COGSPUnitUMC</vt:lpstr>
      <vt:lpstr>capReg2Prod21CostPUnitEmp3</vt:lpstr>
      <vt:lpstr>capReg2Prod21Emp3Exp</vt:lpstr>
      <vt:lpstr>capReg2Prod22COGSPUnit</vt:lpstr>
      <vt:lpstr>capReg2Prod22COGSPUnitUMC</vt:lpstr>
      <vt:lpstr>capReg2Prod22CostPUnitEmp3</vt:lpstr>
      <vt:lpstr>capReg2Prod22Emp3Exp</vt:lpstr>
      <vt:lpstr>capReg2Prod2UnitsFGCbal</vt:lpstr>
      <vt:lpstr>capReg2Prod2UnitsFGEnd</vt:lpstr>
      <vt:lpstr>capReg2Prod2UnitsFGUsed</vt:lpstr>
      <vt:lpstr>capReg2Prod2UnitsProduction</vt:lpstr>
      <vt:lpstr>capReg2Prod2UnitsSold</vt:lpstr>
      <vt:lpstr>capReg2Prod2UnitsSoldFG</vt:lpstr>
      <vt:lpstr>capReg2Prod2UnitsSoldNewProd</vt:lpstr>
      <vt:lpstr>capReg2Prod2UnitsWiPEnd</vt:lpstr>
      <vt:lpstr>capReg2Prod2UnitsWiPUsed</vt:lpstr>
      <vt:lpstr>capReg2Prod3COGSPUnit</vt:lpstr>
      <vt:lpstr>capReg2Prod3COGSPUnitUMC</vt:lpstr>
      <vt:lpstr>capReg2Prod3CostPUnitEmp3</vt:lpstr>
      <vt:lpstr>capReg2Prod3Emp3AdminExp</vt:lpstr>
      <vt:lpstr>capReg2Prod3Emp3Exp</vt:lpstr>
      <vt:lpstr>capReg2Prod3Emp3RecDismExp</vt:lpstr>
      <vt:lpstr>capReg2Prod3UnitsFGCbal</vt:lpstr>
      <vt:lpstr>capReg2Prod3UnitsFGEnd</vt:lpstr>
      <vt:lpstr>capReg2Prod3UnitsFGUsed</vt:lpstr>
      <vt:lpstr>capReg2Prod3UnitsProduction</vt:lpstr>
      <vt:lpstr>capReg2Prod3UnitsSold</vt:lpstr>
      <vt:lpstr>capReg2Prod3UnitsSoldFG</vt:lpstr>
      <vt:lpstr>capReg2Prod3UnitsSoldNewProd</vt:lpstr>
      <vt:lpstr>capReg2Prod3UnitsWiP</vt:lpstr>
      <vt:lpstr>capReg2Prod3UnitsWiPEnd</vt:lpstr>
      <vt:lpstr>capReg2Prod3UnitsWiPUsed</vt:lpstr>
      <vt:lpstr>capReg2Prod4COGSPUnit</vt:lpstr>
      <vt:lpstr>capReg2Prod4COGSPUnitUMC</vt:lpstr>
      <vt:lpstr>capReg2Prod4CostPUnitEmp3</vt:lpstr>
      <vt:lpstr>capReg2Prod4Emp3AdminExp</vt:lpstr>
      <vt:lpstr>capReg2Prod4Emp3Exp</vt:lpstr>
      <vt:lpstr>capReg2Prod4Emp3RecDismExp</vt:lpstr>
      <vt:lpstr>capReg2Prod4UnitsFGCbal</vt:lpstr>
      <vt:lpstr>capReg2Prod4UnitsFGEnd</vt:lpstr>
      <vt:lpstr>capReg2Prod4UnitsFGUsed</vt:lpstr>
      <vt:lpstr>capReg2Prod4UnitsProduction</vt:lpstr>
      <vt:lpstr>capReg2Prod4UnitsSold</vt:lpstr>
      <vt:lpstr>capReg2Prod4UnitsSoldFG</vt:lpstr>
      <vt:lpstr>capReg2Prod4UnitsSoldNewProd</vt:lpstr>
      <vt:lpstr>capReg2Prod4UnitsWiP</vt:lpstr>
      <vt:lpstr>capReg2Prod4UnitsWiPEnd</vt:lpstr>
      <vt:lpstr>capReg2Prod4UnitsWiPUsed</vt:lpstr>
      <vt:lpstr>capRFSHrnd</vt:lpstr>
      <vt:lpstr>capRnD1MTUs</vt:lpstr>
      <vt:lpstr>capRnD2MTUs</vt:lpstr>
      <vt:lpstr>capRnD3MTUs</vt:lpstr>
      <vt:lpstr>capRnD4MTUs</vt:lpstr>
      <vt:lpstr>capSnackRnD</vt:lpstr>
      <vt:lpstr>capStratCompanyRank</vt:lpstr>
      <vt:lpstr>capStratCompanyScore</vt:lpstr>
      <vt:lpstr>capStratCompanyTotal</vt:lpstr>
      <vt:lpstr>capStratConsumerRank</vt:lpstr>
      <vt:lpstr>capStratConsumerScore</vt:lpstr>
      <vt:lpstr>capStratConsumerTotal</vt:lpstr>
      <vt:lpstr>capStratCustomerRank</vt:lpstr>
      <vt:lpstr>capStratCustomerScore</vt:lpstr>
      <vt:lpstr>capStratCustomerTotal</vt:lpstr>
      <vt:lpstr>capStratInnovationRank</vt:lpstr>
      <vt:lpstr>capStratInnovationScore</vt:lpstr>
      <vt:lpstr>capStratInnovationTotal</vt:lpstr>
      <vt:lpstr>capStratProd1AvgRating</vt:lpstr>
      <vt:lpstr>capStratProd1TotalRating</vt:lpstr>
      <vt:lpstr>capStratProd3AvgRating</vt:lpstr>
      <vt:lpstr>capStratProd3TotalRating</vt:lpstr>
      <vt:lpstr>capStratProd4AvgRating</vt:lpstr>
      <vt:lpstr>capStratProd4TotalRating</vt:lpstr>
      <vt:lpstr>capStratReg1AvgRating</vt:lpstr>
      <vt:lpstr>capStratReg1CompanyRank</vt:lpstr>
      <vt:lpstr>capStratReg1CompanyScore</vt:lpstr>
      <vt:lpstr>capStratReg1ConsumerRank</vt:lpstr>
      <vt:lpstr>capStratReg1ConsumerScore</vt:lpstr>
      <vt:lpstr>capStratReg1CustomerRank</vt:lpstr>
      <vt:lpstr>capStratReg1CustomerScore</vt:lpstr>
      <vt:lpstr>capStratReg1InnovationRank</vt:lpstr>
      <vt:lpstr>capStratReg1InnovationScore</vt:lpstr>
      <vt:lpstr>capStratReg1InnovRank</vt:lpstr>
      <vt:lpstr>capStratReg1Prod1Rating</vt:lpstr>
      <vt:lpstr>capStratReg1Prod1RatingNorm</vt:lpstr>
      <vt:lpstr>capStratReg1Prod3Rating</vt:lpstr>
      <vt:lpstr>capStratReg1Prod3RatingNorm</vt:lpstr>
      <vt:lpstr>capStratReg1Prod4Rating</vt:lpstr>
      <vt:lpstr>capStratReg1Prod4RatingNorm</vt:lpstr>
      <vt:lpstr>capStratReg1TotalRating</vt:lpstr>
      <vt:lpstr>capStratReg2AvgRating</vt:lpstr>
      <vt:lpstr>capStratReg2CompanyRank</vt:lpstr>
      <vt:lpstr>capStratReg2CompanyScore</vt:lpstr>
      <vt:lpstr>capStratReg2ConsumerRank</vt:lpstr>
      <vt:lpstr>capStratReg2ConsumerScore</vt:lpstr>
      <vt:lpstr>capStratReg2CustomerRank</vt:lpstr>
      <vt:lpstr>capStratReg2CustomerScore</vt:lpstr>
      <vt:lpstr>capStratReg2InnovationRank</vt:lpstr>
      <vt:lpstr>capStratReg2InnovationScore</vt:lpstr>
      <vt:lpstr>capStratReg2Prod1Rating</vt:lpstr>
      <vt:lpstr>capStratReg2Prod1RatingNorm</vt:lpstr>
      <vt:lpstr>capStratReg2Prod3Rating</vt:lpstr>
      <vt:lpstr>capStratReg2Prod3RatingNorm</vt:lpstr>
      <vt:lpstr>capStratReg2Prod4Rating</vt:lpstr>
      <vt:lpstr>capStratReg2Prod4RatingNorm</vt:lpstr>
      <vt:lpstr>capStratReg2TotalRating</vt:lpstr>
      <vt:lpstr>capStratTotalRatingAllocation</vt:lpstr>
      <vt:lpstr>capSustainability</vt:lpstr>
      <vt:lpstr>capSustEnvironment</vt:lpstr>
      <vt:lpstr>capSustHuman</vt:lpstr>
      <vt:lpstr>capSustTalent</vt:lpstr>
      <vt:lpstr>capTotalRnDCost</vt:lpstr>
      <vt:lpstr>capTotalUnitsProduced</vt:lpstr>
      <vt:lpstr>capTotalUnitsProducts</vt:lpstr>
      <vt:lpstr>capTotalVolumeSold</vt:lpstr>
      <vt:lpstr>capTotRnDMTUs</vt:lpstr>
      <vt:lpstr>capWhatIfUnits</vt:lpstr>
      <vt:lpstr>cbalAPValue</vt:lpstr>
      <vt:lpstr>cbalARValue</vt:lpstr>
      <vt:lpstr>cbalAssetsValue</vt:lpstr>
      <vt:lpstr>cbalCashValue</vt:lpstr>
      <vt:lpstr>cbalCSAT</vt:lpstr>
      <vt:lpstr>cbalCStockPricePShare</vt:lpstr>
      <vt:lpstr>cbalCStockShares</vt:lpstr>
      <vt:lpstr>cbalCStockValue</vt:lpstr>
      <vt:lpstr>cbalDisrupt1</vt:lpstr>
      <vt:lpstr>cbalDisrupt2</vt:lpstr>
      <vt:lpstr>cbalDisruptives</vt:lpstr>
      <vt:lpstr>cbalEmp1</vt:lpstr>
      <vt:lpstr>cbalEmp10</vt:lpstr>
      <vt:lpstr>cbalEmp2</vt:lpstr>
      <vt:lpstr>cbalEmp3</vt:lpstr>
      <vt:lpstr>cbalEmp3Utiliz</vt:lpstr>
      <vt:lpstr>cbalEmpDevLevel</vt:lpstr>
      <vt:lpstr>cbalGoodwillValue</vt:lpstr>
      <vt:lpstr>cbalITcapLevel</vt:lpstr>
      <vt:lpstr>cbalLTDebtValue</vt:lpstr>
      <vt:lpstr>cbalNetEarnValue</vt:lpstr>
      <vt:lpstr>cbalNetRev</vt:lpstr>
      <vt:lpstr>cbalOtherCurrLiabValue</vt:lpstr>
      <vt:lpstr>cbalPlant1Flex</vt:lpstr>
      <vt:lpstr>cbalPlant1Units</vt:lpstr>
      <vt:lpstr>cbalPlant1Value</vt:lpstr>
      <vt:lpstr>cbalPlantValue</vt:lpstr>
      <vt:lpstr>cbalProd1Brand</vt:lpstr>
      <vt:lpstr>cbalProd1COGSPUnitDep</vt:lpstr>
      <vt:lpstr>cbalProd1COGSPUnitLabor</vt:lpstr>
      <vt:lpstr>cbalProd1COGSPUnitMat</vt:lpstr>
      <vt:lpstr>cbalProd1COGSPUnitPlant</vt:lpstr>
      <vt:lpstr>cbalProd1Ftr1Level</vt:lpstr>
      <vt:lpstr>cbalProd1Ftr2Level</vt:lpstr>
      <vt:lpstr>cbalProd1Ftr3Level</vt:lpstr>
      <vt:lpstr>cbalProd1Ftr4Level</vt:lpstr>
      <vt:lpstr>cbalProd1NetRevS1</vt:lpstr>
      <vt:lpstr>cbalProd1Reg1UnitsFG</vt:lpstr>
      <vt:lpstr>cbalProd1Reg1UnitsSold</vt:lpstr>
      <vt:lpstr>cbalProd1Reg1UnitsWIP</vt:lpstr>
      <vt:lpstr>cbalProd1Reg2UnitsFG</vt:lpstr>
      <vt:lpstr>cbalProd1Reg2UnitsSold</vt:lpstr>
      <vt:lpstr>cbalProd1Reg2UnitsWIP</vt:lpstr>
      <vt:lpstr>cbalProd21COGSPUnitMat</vt:lpstr>
      <vt:lpstr>cbalProd22COGSPUnitMat</vt:lpstr>
      <vt:lpstr>cbalProd2Brand</vt:lpstr>
      <vt:lpstr>cbalProd2COGSPUnitDep</vt:lpstr>
      <vt:lpstr>cbalProd2COGSPUnitLabor</vt:lpstr>
      <vt:lpstr>cbalProd2COGSPUnitPlant</vt:lpstr>
      <vt:lpstr>cbalProd2Ftr1Level</vt:lpstr>
      <vt:lpstr>cbalProd2Ftr2Level</vt:lpstr>
      <vt:lpstr>cbalProd2Ftr3Level</vt:lpstr>
      <vt:lpstr>cbalProd2Ftr4Level</vt:lpstr>
      <vt:lpstr>cbalProd2NetRevS1</vt:lpstr>
      <vt:lpstr>cbalProd2NetRevS2</vt:lpstr>
      <vt:lpstr>cbalProd2NetRevsS1</vt:lpstr>
      <vt:lpstr>cbalProd2NetRevsS2</vt:lpstr>
      <vt:lpstr>cbalProd2Reg1UnitsFG</vt:lpstr>
      <vt:lpstr>cbalProd2Reg1UnitsSold</vt:lpstr>
      <vt:lpstr>cbalProd2Reg1UnitsWIP</vt:lpstr>
      <vt:lpstr>cbalProd2Reg2UnitsFG</vt:lpstr>
      <vt:lpstr>cbalProd2Reg2UnitsSold</vt:lpstr>
      <vt:lpstr>cbalProd2Reg2UnitsWIP</vt:lpstr>
      <vt:lpstr>cbalProd2RevsS1</vt:lpstr>
      <vt:lpstr>cbalProd2RevsS2</vt:lpstr>
      <vt:lpstr>cbalProd2Unlock1</vt:lpstr>
      <vt:lpstr>cbalProd2Unlock2</vt:lpstr>
      <vt:lpstr>cbalProd3Brand</vt:lpstr>
      <vt:lpstr>cbalProd3COGSPUnitDep</vt:lpstr>
      <vt:lpstr>cbalProd3COGSPUnitLabor</vt:lpstr>
      <vt:lpstr>cbalProd3COGSPUnitMat</vt:lpstr>
      <vt:lpstr>cbalProd3COGSPUnitPlant</vt:lpstr>
      <vt:lpstr>cbalProd3Ftr1Level</vt:lpstr>
      <vt:lpstr>cbalProd3Ftr2Level</vt:lpstr>
      <vt:lpstr>cbalProd3Ftr3Level</vt:lpstr>
      <vt:lpstr>cbalProd3Ftr4Level</vt:lpstr>
      <vt:lpstr>cbalProd3Reg1UnitsFG</vt:lpstr>
      <vt:lpstr>cbalProd3Reg1UnitsSold</vt:lpstr>
      <vt:lpstr>cbalProd3Reg1UnitsWIP</vt:lpstr>
      <vt:lpstr>cbalProd3Reg2UnitsFG</vt:lpstr>
      <vt:lpstr>cbalProd3Reg2UnitsSold</vt:lpstr>
      <vt:lpstr>cbalProd3Reg2UnitsWIP</vt:lpstr>
      <vt:lpstr>cbalProd4Brand</vt:lpstr>
      <vt:lpstr>cbalProd4COGSPUnitDep</vt:lpstr>
      <vt:lpstr>cbalProd4COGSPUnitLabor</vt:lpstr>
      <vt:lpstr>cbalProd4COGSPUnitMat</vt:lpstr>
      <vt:lpstr>cbalProd4COGSPUnitPlant</vt:lpstr>
      <vt:lpstr>cbalProd4Ftr1Level</vt:lpstr>
      <vt:lpstr>cbalProd4Ftr2Level</vt:lpstr>
      <vt:lpstr>cbalProd4Ftr3Level</vt:lpstr>
      <vt:lpstr>cbalProd4Ftr4Level</vt:lpstr>
      <vt:lpstr>cbalProd4Reg1UnitsFG</vt:lpstr>
      <vt:lpstr>cbalProd4Reg1UnitsSold</vt:lpstr>
      <vt:lpstr>cbalProd4Reg1UnitsWIP</vt:lpstr>
      <vt:lpstr>cbalProd4Reg2UnitsFG</vt:lpstr>
      <vt:lpstr>cbalProd4Reg2UnitsSold</vt:lpstr>
      <vt:lpstr>cbalProd4Reg2UnitsWIP</vt:lpstr>
      <vt:lpstr>cbalProd5COGSPUnitDep</vt:lpstr>
      <vt:lpstr>cbalProd5COGSPUnitEmp2</vt:lpstr>
      <vt:lpstr>cbalProd5COGSPUnitMat</vt:lpstr>
      <vt:lpstr>cbalProd5COGSPUnitPlant1</vt:lpstr>
      <vt:lpstr>cbalProd6COGSPUnitDep</vt:lpstr>
      <vt:lpstr>cbalProd6COGSPUnitEmp2</vt:lpstr>
      <vt:lpstr>cbalProd6COGSPUnitMat</vt:lpstr>
      <vt:lpstr>cbalProd6COGSPUnitPlant1</vt:lpstr>
      <vt:lpstr>cbalRecruitLevel</vt:lpstr>
      <vt:lpstr>cbalReg1ARValue</vt:lpstr>
      <vt:lpstr>cbalReg1FGValue</vt:lpstr>
      <vt:lpstr>cbalReg1MatValue</vt:lpstr>
      <vt:lpstr>cbalReg1NetRev</vt:lpstr>
      <vt:lpstr>cbalReg1Prod1COGSPUnitLabor</vt:lpstr>
      <vt:lpstr>cbalReg1Prod1FGValue</vt:lpstr>
      <vt:lpstr>cbalReg1Prod1MatValue</vt:lpstr>
      <vt:lpstr>cbalReg1Prod1NetRev</vt:lpstr>
      <vt:lpstr>cbalReg1Prod1Price</vt:lpstr>
      <vt:lpstr>cbalReg1Prod1Rev</vt:lpstr>
      <vt:lpstr>cbalReg1Prod1WIPValue</vt:lpstr>
      <vt:lpstr>cbalReg1Prod2FGValue</vt:lpstr>
      <vt:lpstr>cbalReg1Prod2MatValue</vt:lpstr>
      <vt:lpstr>cbalReg1Prod2NetRev</vt:lpstr>
      <vt:lpstr>cbalReg1Prod2Price</vt:lpstr>
      <vt:lpstr>cbalReg1Prod2Rev</vt:lpstr>
      <vt:lpstr>cbalReg1Prod2WIPValue</vt:lpstr>
      <vt:lpstr>cbalReg1Prod3COGSPUnitLabor</vt:lpstr>
      <vt:lpstr>cbalReg1Prod3FGValue</vt:lpstr>
      <vt:lpstr>cbalReg1Prod3MatValue</vt:lpstr>
      <vt:lpstr>cbalReg1Prod3NetRev</vt:lpstr>
      <vt:lpstr>cbalReg1Prod3Price</vt:lpstr>
      <vt:lpstr>cbalReg1Prod3Rev</vt:lpstr>
      <vt:lpstr>cbalReg1Prod3WIPValue</vt:lpstr>
      <vt:lpstr>cbalReg1Prod4COGSPUnitLabor</vt:lpstr>
      <vt:lpstr>cbalReg1Prod4FGValue</vt:lpstr>
      <vt:lpstr>cbalReg1Prod4MatValue</vt:lpstr>
      <vt:lpstr>cbalReg1Prod4NetRev</vt:lpstr>
      <vt:lpstr>cbalReg1Prod4Price</vt:lpstr>
      <vt:lpstr>cbalReg1Prod4Rev</vt:lpstr>
      <vt:lpstr>cbalReg1Prod4WIPValue</vt:lpstr>
      <vt:lpstr>cbalReg1Prod5FGValue</vt:lpstr>
      <vt:lpstr>cbalReg1Prod5MatValue</vt:lpstr>
      <vt:lpstr>cbalReg1Prod5WIPValue</vt:lpstr>
      <vt:lpstr>cbalReg1Prod6FGValue</vt:lpstr>
      <vt:lpstr>cbalReg1Prod6MatValue</vt:lpstr>
      <vt:lpstr>cbalReg1Prod6WIPValue</vt:lpstr>
      <vt:lpstr>cbalReg1Rev</vt:lpstr>
      <vt:lpstr>cbalReg1WIPValue</vt:lpstr>
      <vt:lpstr>cbalReg2ARValue</vt:lpstr>
      <vt:lpstr>cbalReg2ChanLevel</vt:lpstr>
      <vt:lpstr>cbalReg2FGValue</vt:lpstr>
      <vt:lpstr>cbalReg2MatValue</vt:lpstr>
      <vt:lpstr>cbalReg2NetRev</vt:lpstr>
      <vt:lpstr>cbalReg2Prod1COGSPUnitLabor</vt:lpstr>
      <vt:lpstr>cbalReg2Prod1FGValue</vt:lpstr>
      <vt:lpstr>cbalReg2Prod1MatValue</vt:lpstr>
      <vt:lpstr>cbalReg2Prod1NetRev</vt:lpstr>
      <vt:lpstr>cbalReg2Prod1Price</vt:lpstr>
      <vt:lpstr>cbalReg2Prod1Rev</vt:lpstr>
      <vt:lpstr>cbalReg2Prod1WIPValue</vt:lpstr>
      <vt:lpstr>cbalReg2Prod2FGValue</vt:lpstr>
      <vt:lpstr>cbalReg2Prod2MatValue</vt:lpstr>
      <vt:lpstr>cbalReg2Prod2NetRev</vt:lpstr>
      <vt:lpstr>cbalReg2Prod2Price</vt:lpstr>
      <vt:lpstr>cbalReg2Prod2Rev</vt:lpstr>
      <vt:lpstr>cbalReg2Prod2WIPValue</vt:lpstr>
      <vt:lpstr>cbalReg2Prod3COGSPUnitLabor</vt:lpstr>
      <vt:lpstr>cbalReg2Prod3FGValue</vt:lpstr>
      <vt:lpstr>cbalReg2Prod3MatValue</vt:lpstr>
      <vt:lpstr>cbalReg2Prod3NetRev</vt:lpstr>
      <vt:lpstr>cbalReg2Prod3Price</vt:lpstr>
      <vt:lpstr>cbalReg2Prod3Rev</vt:lpstr>
      <vt:lpstr>cbalReg2Prod3WIPValue</vt:lpstr>
      <vt:lpstr>cbalReg2Prod4COGSPUnitLabor</vt:lpstr>
      <vt:lpstr>cbalReg2Prod4FGValue</vt:lpstr>
      <vt:lpstr>cbalReg2Prod4MatValue</vt:lpstr>
      <vt:lpstr>cbalReg2Prod4NetRev</vt:lpstr>
      <vt:lpstr>cbalReg2Prod4Price</vt:lpstr>
      <vt:lpstr>cbalReg2Prod4Rev</vt:lpstr>
      <vt:lpstr>cbalReg2Prod4WIPValue</vt:lpstr>
      <vt:lpstr>cbalReg2Prod5FGValue</vt:lpstr>
      <vt:lpstr>cbalReg2Prod5MatValue</vt:lpstr>
      <vt:lpstr>cbalReg2Prod5WIPValue</vt:lpstr>
      <vt:lpstr>cbalReg2Prod6FGValue</vt:lpstr>
      <vt:lpstr>cbalReg2Prod6MatValue</vt:lpstr>
      <vt:lpstr>cbalReg2Prod6WIPValue</vt:lpstr>
      <vt:lpstr>cbalReg2Rev</vt:lpstr>
      <vt:lpstr>cbalReg2WIPValue</vt:lpstr>
      <vt:lpstr>cbalRetEarnValue</vt:lpstr>
      <vt:lpstr>cbalRev</vt:lpstr>
      <vt:lpstr>cbalSpecLoansValue</vt:lpstr>
      <vt:lpstr>cbalStratEdaComp</vt:lpstr>
      <vt:lpstr>cbalStratEdaCons</vt:lpstr>
      <vt:lpstr>cbalStratEdaCSD</vt:lpstr>
      <vt:lpstr>cbalStratEdaCust</vt:lpstr>
      <vt:lpstr>cbalStratEdaFnS</vt:lpstr>
      <vt:lpstr>cbalStratEdaInnov</vt:lpstr>
      <vt:lpstr>cbalStratEdaNCB</vt:lpstr>
      <vt:lpstr>cbalStratVetComp</vt:lpstr>
      <vt:lpstr>cbalStratVetCons</vt:lpstr>
      <vt:lpstr>cbalStratVetCSD</vt:lpstr>
      <vt:lpstr>cbalStratVetCust</vt:lpstr>
      <vt:lpstr>cbalStratVetFnS</vt:lpstr>
      <vt:lpstr>cbalStratVetInnov</vt:lpstr>
      <vt:lpstr>cbalStratVetNCB</vt:lpstr>
      <vt:lpstr>cbalTotalEquity</vt:lpstr>
      <vt:lpstr>cbalYr1Innov1</vt:lpstr>
      <vt:lpstr>cbalYr1Innov2</vt:lpstr>
      <vt:lpstr>cbalYr1Innov3</vt:lpstr>
      <vt:lpstr>cbalYr1Innov4</vt:lpstr>
      <vt:lpstr>cbalYr1SpecProg1</vt:lpstr>
      <vt:lpstr>cbalYr1SpecProg2</vt:lpstr>
      <vt:lpstr>cbalYr1SpecProg3</vt:lpstr>
      <vt:lpstr>cbalYr1SpecProg4</vt:lpstr>
      <vt:lpstr>cbalYr1SpecProg5</vt:lpstr>
      <vt:lpstr>cbalYr1SpecProg6</vt:lpstr>
      <vt:lpstr>cbalYr2Innov1</vt:lpstr>
      <vt:lpstr>cbalYr2Innov2</vt:lpstr>
      <vt:lpstr>cbalYr2Innov3</vt:lpstr>
      <vt:lpstr>cbalYr2Innov4</vt:lpstr>
      <vt:lpstr>cbalYr2SpecProg1</vt:lpstr>
      <vt:lpstr>cbalYr2SpecProg2</vt:lpstr>
      <vt:lpstr>cbalYr2SpecProg3</vt:lpstr>
      <vt:lpstr>cbalYr2SpecProg4</vt:lpstr>
      <vt:lpstr>cbalYr2SpecProg5</vt:lpstr>
      <vt:lpstr>cbalYr2SpecProg6</vt:lpstr>
      <vt:lpstr>cbalYr3Innov1</vt:lpstr>
      <vt:lpstr>cbalYr3Innov2</vt:lpstr>
      <vt:lpstr>cbalYr3Innov3</vt:lpstr>
      <vt:lpstr>cbalYr3Innov4</vt:lpstr>
      <vt:lpstr>cbalYr3SpecProg1</vt:lpstr>
      <vt:lpstr>cbalYr3SpecProg2</vt:lpstr>
      <vt:lpstr>cbalYr3SpecProg3</vt:lpstr>
      <vt:lpstr>cbalYr3SpecProg4</vt:lpstr>
      <vt:lpstr>cbalYr3SpecProg5</vt:lpstr>
      <vt:lpstr>cbalYr3SpecProg6</vt:lpstr>
      <vt:lpstr>core_FilePrefix</vt:lpstr>
      <vt:lpstr>dataBrandRange</vt:lpstr>
      <vt:lpstr>dataBrandsImpactMatrix</vt:lpstr>
      <vt:lpstr>dataDInnovsList</vt:lpstr>
      <vt:lpstr>dataDisruptInnovsDets</vt:lpstr>
      <vt:lpstr>dataDisruptWeight</vt:lpstr>
      <vt:lpstr>dataInitiativesCostMatrix</vt:lpstr>
      <vt:lpstr>DataInitiativesGrid</vt:lpstr>
      <vt:lpstr>dataInnovsDets</vt:lpstr>
      <vt:lpstr>datalist_InitiativeCodes</vt:lpstr>
      <vt:lpstr>dataList0to4</vt:lpstr>
      <vt:lpstr>dataList0to5</vt:lpstr>
      <vt:lpstr>dataList1to10</vt:lpstr>
      <vt:lpstr>datalist1to4</vt:lpstr>
      <vt:lpstr>dataList1to5</vt:lpstr>
      <vt:lpstr>datalistdiffenablers</vt:lpstr>
      <vt:lpstr>dataListStrategy</vt:lpstr>
      <vt:lpstr>DataNameBev</vt:lpstr>
      <vt:lpstr>DataNameEmp1</vt:lpstr>
      <vt:lpstr>DataNameEmp10</vt:lpstr>
      <vt:lpstr>DataNameEmp2</vt:lpstr>
      <vt:lpstr>DataNameEmp3</vt:lpstr>
      <vt:lpstr>DataNameEmp4</vt:lpstr>
      <vt:lpstr>DataNameEmp5</vt:lpstr>
      <vt:lpstr>DataNameEmp6</vt:lpstr>
      <vt:lpstr>DataNameEmp7</vt:lpstr>
      <vt:lpstr>DataNameEmp8</vt:lpstr>
      <vt:lpstr>DataNameEmp9</vt:lpstr>
      <vt:lpstr>DataNamePlant1</vt:lpstr>
      <vt:lpstr>DataNamePlant2</vt:lpstr>
      <vt:lpstr>DataNamePlant3</vt:lpstr>
      <vt:lpstr>DataNameProd1</vt:lpstr>
      <vt:lpstr>DataNameProd1Seg1</vt:lpstr>
      <vt:lpstr>DataNameProd1Seg2</vt:lpstr>
      <vt:lpstr>DataNameProd1Seg3</vt:lpstr>
      <vt:lpstr>DataNameProd1Seg4</vt:lpstr>
      <vt:lpstr>DataNameProd1Seg5</vt:lpstr>
      <vt:lpstr>DataNameProd2</vt:lpstr>
      <vt:lpstr>DataNameProd21</vt:lpstr>
      <vt:lpstr>DataNameProd2Seg1</vt:lpstr>
      <vt:lpstr>DataNameProd2Seg2</vt:lpstr>
      <vt:lpstr>DataNameProd2Seg3</vt:lpstr>
      <vt:lpstr>DataNameProd2Seg4</vt:lpstr>
      <vt:lpstr>DataNameProd2Seg5</vt:lpstr>
      <vt:lpstr>DataNameProd3</vt:lpstr>
      <vt:lpstr>DataNameProd3Seg1</vt:lpstr>
      <vt:lpstr>DataNameProd3Seg2</vt:lpstr>
      <vt:lpstr>DataNameProd3Seg3</vt:lpstr>
      <vt:lpstr>DataNameProd3Seg4</vt:lpstr>
      <vt:lpstr>DataNameProd3Seg5</vt:lpstr>
      <vt:lpstr>DataNameProd4</vt:lpstr>
      <vt:lpstr>DataNameProd4Seg1</vt:lpstr>
      <vt:lpstr>DataNameProd4Seg2</vt:lpstr>
      <vt:lpstr>DataNameProd4Seg3</vt:lpstr>
      <vt:lpstr>DataNameProd4Seg4</vt:lpstr>
      <vt:lpstr>DataNameProd4Seg5</vt:lpstr>
      <vt:lpstr>DataNameProd5</vt:lpstr>
      <vt:lpstr>DataNameProd5Seg1</vt:lpstr>
      <vt:lpstr>DataNameProd5Seg2</vt:lpstr>
      <vt:lpstr>DataNameProd5Seg3</vt:lpstr>
      <vt:lpstr>DataNameProd5Seg4</vt:lpstr>
      <vt:lpstr>DataNameProd5Seg5</vt:lpstr>
      <vt:lpstr>DataNameProd6</vt:lpstr>
      <vt:lpstr>DataNameProd6Seg1</vt:lpstr>
      <vt:lpstr>DataNameProd6Seg2</vt:lpstr>
      <vt:lpstr>DataNameProd6Seg3</vt:lpstr>
      <vt:lpstr>DataNameProd6Seg4</vt:lpstr>
      <vt:lpstr>DataNameProd6Seg5</vt:lpstr>
      <vt:lpstr>DataNameRevByCat</vt:lpstr>
      <vt:lpstr>DataNameRevByReg</vt:lpstr>
      <vt:lpstr>dataPositioningLookUp</vt:lpstr>
      <vt:lpstr>dataStdInnovsCost</vt:lpstr>
      <vt:lpstr>dataStdInnovsList</vt:lpstr>
      <vt:lpstr>dataUnlockedList</vt:lpstr>
      <vt:lpstr>DataValidation_Names</vt:lpstr>
      <vt:lpstr>DataValidation_Pre</vt:lpstr>
      <vt:lpstr>DataValidation_Types</vt:lpstr>
      <vt:lpstr>decCEO</vt:lpstr>
      <vt:lpstr>decCorpDiffr1</vt:lpstr>
      <vt:lpstr>decCorpDiffr2</vt:lpstr>
      <vt:lpstr>decCorpDiffr3</vt:lpstr>
      <vt:lpstr>decCorpStrat1</vt:lpstr>
      <vt:lpstr>decCorpStrat2</vt:lpstr>
      <vt:lpstr>decDisrupt1</vt:lpstr>
      <vt:lpstr>decDisrupt2</vt:lpstr>
      <vt:lpstr>decDividendAmount</vt:lpstr>
      <vt:lpstr>decEdaDiffr1</vt:lpstr>
      <vt:lpstr>decEdaDiffr2</vt:lpstr>
      <vt:lpstr>decEdaDiffr3</vt:lpstr>
      <vt:lpstr>decEmp1Change</vt:lpstr>
      <vt:lpstr>decEmp2Change</vt:lpstr>
      <vt:lpstr>decEmp3Change</vt:lpstr>
      <vt:lpstr>decEmpDevLevel</vt:lpstr>
      <vt:lpstr>decExportType</vt:lpstr>
      <vt:lpstr>decGMesc</vt:lpstr>
      <vt:lpstr>decGMvet</vt:lpstr>
      <vt:lpstr>decGoals1</vt:lpstr>
      <vt:lpstr>decGoals10</vt:lpstr>
      <vt:lpstr>decGoals11</vt:lpstr>
      <vt:lpstr>decGoals12</vt:lpstr>
      <vt:lpstr>decGoals13</vt:lpstr>
      <vt:lpstr>decGoals3</vt:lpstr>
      <vt:lpstr>decGoals4</vt:lpstr>
      <vt:lpstr>decGoals5</vt:lpstr>
      <vt:lpstr>decGoals6</vt:lpstr>
      <vt:lpstr>decGoals7</vt:lpstr>
      <vt:lpstr>decGoals8</vt:lpstr>
      <vt:lpstr>decGoals9</vt:lpstr>
      <vt:lpstr>decInnov1</vt:lpstr>
      <vt:lpstr>decInnov1Cond</vt:lpstr>
      <vt:lpstr>decInnov2</vt:lpstr>
      <vt:lpstr>decInnov2Cond</vt:lpstr>
      <vt:lpstr>decInnov3</vt:lpstr>
      <vt:lpstr>decInnov3Cond</vt:lpstr>
      <vt:lpstr>decInnov4</vt:lpstr>
      <vt:lpstr>decInnov4Cond</vt:lpstr>
      <vt:lpstr>decITcapAdd</vt:lpstr>
      <vt:lpstr>decLTDebtChange</vt:lpstr>
      <vt:lpstr>decPlant1Flex</vt:lpstr>
      <vt:lpstr>decPlant1UnitsChange</vt:lpstr>
      <vt:lpstr>decProd1Adv</vt:lpstr>
      <vt:lpstr>decProd1AdvR2</vt:lpstr>
      <vt:lpstr>decProd1Brand</vt:lpstr>
      <vt:lpstr>decProd1Ftr1</vt:lpstr>
      <vt:lpstr>decProd1Ftr1Level</vt:lpstr>
      <vt:lpstr>decProd1Ftr2</vt:lpstr>
      <vt:lpstr>decProd1Ftr2Level</vt:lpstr>
      <vt:lpstr>decProd1Ftr4LevelDec</vt:lpstr>
      <vt:lpstr>decProd1Promo</vt:lpstr>
      <vt:lpstr>decProd1PromoR2</vt:lpstr>
      <vt:lpstr>decProd1Reg1Grth</vt:lpstr>
      <vt:lpstr>decProd1Reg1Price</vt:lpstr>
      <vt:lpstr>decProd1Reg2Grth</vt:lpstr>
      <vt:lpstr>decProd1Reg2Price</vt:lpstr>
      <vt:lpstr>decProd1WhatIfUnits</vt:lpstr>
      <vt:lpstr>decProd21Ftr4LevelDec</vt:lpstr>
      <vt:lpstr>decProd22Ftr4LevelDec</vt:lpstr>
      <vt:lpstr>decProd2Adv</vt:lpstr>
      <vt:lpstr>decProd2Adv2</vt:lpstr>
      <vt:lpstr>decProd2AdvR2</vt:lpstr>
      <vt:lpstr>decProd2Promo1</vt:lpstr>
      <vt:lpstr>decProd2Promo2</vt:lpstr>
      <vt:lpstr>decProd2PromoR2</vt:lpstr>
      <vt:lpstr>decProd2Reg1Price</vt:lpstr>
      <vt:lpstr>decProd2Reg1Units</vt:lpstr>
      <vt:lpstr>decProd2Reg2Price</vt:lpstr>
      <vt:lpstr>decProd2Reg2Units</vt:lpstr>
      <vt:lpstr>decProd2WhatIfUnits</vt:lpstr>
      <vt:lpstr>decProd3Adv</vt:lpstr>
      <vt:lpstr>decProd3AdvR2</vt:lpstr>
      <vt:lpstr>decProd3Brand</vt:lpstr>
      <vt:lpstr>decProd3Ftr1</vt:lpstr>
      <vt:lpstr>decProd3Ftr1Level</vt:lpstr>
      <vt:lpstr>decProd3Ftr2</vt:lpstr>
      <vt:lpstr>decProd3Ftr2Level</vt:lpstr>
      <vt:lpstr>decProd3Ftr4LevelDec</vt:lpstr>
      <vt:lpstr>decProd3Promo</vt:lpstr>
      <vt:lpstr>decProd3PromoR2</vt:lpstr>
      <vt:lpstr>decProd3Reg1Grth</vt:lpstr>
      <vt:lpstr>decProd3Reg1Price</vt:lpstr>
      <vt:lpstr>decProd3Reg2Grth</vt:lpstr>
      <vt:lpstr>decProd3Reg2Price</vt:lpstr>
      <vt:lpstr>decProd3WhatIfUnits</vt:lpstr>
      <vt:lpstr>decProd4Adv</vt:lpstr>
      <vt:lpstr>decProd4AdvR2</vt:lpstr>
      <vt:lpstr>decProd4Brand</vt:lpstr>
      <vt:lpstr>decProd4Ftr1</vt:lpstr>
      <vt:lpstr>decProd4Ftr1Level</vt:lpstr>
      <vt:lpstr>decProd4Ftr2</vt:lpstr>
      <vt:lpstr>decProd4Ftr2Level</vt:lpstr>
      <vt:lpstr>decProd4Ftr3</vt:lpstr>
      <vt:lpstr>decProd4Ftr3Level</vt:lpstr>
      <vt:lpstr>decProd4Ftr4LevelDec</vt:lpstr>
      <vt:lpstr>decProd4Promo</vt:lpstr>
      <vt:lpstr>decProd4PromoR2</vt:lpstr>
      <vt:lpstr>decProd4Reg1Grth</vt:lpstr>
      <vt:lpstr>decProd4Reg1Price</vt:lpstr>
      <vt:lpstr>decProd4Reg2Grth</vt:lpstr>
      <vt:lpstr>decProd4Reg2Price</vt:lpstr>
      <vt:lpstr>decProd4WhatIfUnits</vt:lpstr>
      <vt:lpstr>decRecruitLevel</vt:lpstr>
      <vt:lpstr>decReg1ChanLevel</vt:lpstr>
      <vt:lpstr>decReg1OnPremAdv</vt:lpstr>
      <vt:lpstr>decReg2ChanLevel</vt:lpstr>
      <vt:lpstr>decReg2OnPremAdv</vt:lpstr>
      <vt:lpstr>decSpecProg1</vt:lpstr>
      <vt:lpstr>decSpecProg2</vt:lpstr>
      <vt:lpstr>decSpecProg3</vt:lpstr>
      <vt:lpstr>decSpecProg4</vt:lpstr>
      <vt:lpstr>decSpecProg5</vt:lpstr>
      <vt:lpstr>decSpecProg6</vt:lpstr>
      <vt:lpstr>decStratEdaComp</vt:lpstr>
      <vt:lpstr>decStratEdaCons</vt:lpstr>
      <vt:lpstr>decStratEdaCSD</vt:lpstr>
      <vt:lpstr>decStratEdaCust</vt:lpstr>
      <vt:lpstr>decStratEdaFnS</vt:lpstr>
      <vt:lpstr>decStratEdaInnov</vt:lpstr>
      <vt:lpstr>decStratEdaNCB</vt:lpstr>
      <vt:lpstr>decStratEdaProd</vt:lpstr>
      <vt:lpstr>decStratName</vt:lpstr>
      <vt:lpstr>decStratVetComp</vt:lpstr>
      <vt:lpstr>decStratVetCons</vt:lpstr>
      <vt:lpstr>decStratVetCSD</vt:lpstr>
      <vt:lpstr>decStratVetCust</vt:lpstr>
      <vt:lpstr>decStratVetFnS</vt:lpstr>
      <vt:lpstr>decStratVetInnov</vt:lpstr>
      <vt:lpstr>decStratVetNCB</vt:lpstr>
      <vt:lpstr>decStratVetProd</vt:lpstr>
      <vt:lpstr>decSVPops</vt:lpstr>
      <vt:lpstr>decSVPrnd</vt:lpstr>
      <vt:lpstr>decSVPshared</vt:lpstr>
      <vt:lpstr>decSWOTo1</vt:lpstr>
      <vt:lpstr>decSWOTo2</vt:lpstr>
      <vt:lpstr>decSWOTo3</vt:lpstr>
      <vt:lpstr>decSWOTo4</vt:lpstr>
      <vt:lpstr>decSWOTo5</vt:lpstr>
      <vt:lpstr>decSWOTs1</vt:lpstr>
      <vt:lpstr>decSWOTs2</vt:lpstr>
      <vt:lpstr>decSWOTs3</vt:lpstr>
      <vt:lpstr>decSWOTs4</vt:lpstr>
      <vt:lpstr>decSWOTs5</vt:lpstr>
      <vt:lpstr>decSWOTt1</vt:lpstr>
      <vt:lpstr>decSWOTt2</vt:lpstr>
      <vt:lpstr>decSWOTt3</vt:lpstr>
      <vt:lpstr>decSWOTt4</vt:lpstr>
      <vt:lpstr>decSWOTt5</vt:lpstr>
      <vt:lpstr>decSWOTw1</vt:lpstr>
      <vt:lpstr>decSWOTw2</vt:lpstr>
      <vt:lpstr>decSWOTw3</vt:lpstr>
      <vt:lpstr>decSWOTw4</vt:lpstr>
      <vt:lpstr>decSWOTw5</vt:lpstr>
      <vt:lpstr>decTeamName</vt:lpstr>
      <vt:lpstr>decTeamNumber</vt:lpstr>
      <vt:lpstr>decTeamYear</vt:lpstr>
      <vt:lpstr>decVetDiffr1</vt:lpstr>
      <vt:lpstr>decVetDiffr2</vt:lpstr>
      <vt:lpstr>decVetDiffr3</vt:lpstr>
      <vt:lpstr>decVision</vt:lpstr>
      <vt:lpstr>decWhatIfActivate</vt:lpstr>
      <vt:lpstr>decWobbler1</vt:lpstr>
      <vt:lpstr>decWobbler2</vt:lpstr>
      <vt:lpstr>decWobbler3</vt:lpstr>
      <vt:lpstr>decWobbler4</vt:lpstr>
      <vt:lpstr>fbVOCAdjust</vt:lpstr>
      <vt:lpstr>ffbCopyCapVel</vt:lpstr>
      <vt:lpstr>ffbCopyCashInHand</vt:lpstr>
      <vt:lpstr>ffbCopyNOPAT</vt:lpstr>
      <vt:lpstr>ffbCopyOpsMargin</vt:lpstr>
      <vt:lpstr>ffbCopyProd1Commercial</vt:lpstr>
      <vt:lpstr>ffbCopyProd1CostPerHL</vt:lpstr>
      <vt:lpstr>ffbCopyProd1Rev</vt:lpstr>
      <vt:lpstr>ffbCopyProd3Commercial</vt:lpstr>
      <vt:lpstr>ffbCopyProd3CostPerHL</vt:lpstr>
      <vt:lpstr>ffbCopyProd3Rev</vt:lpstr>
      <vt:lpstr>ffbCopyProd4Commercial</vt:lpstr>
      <vt:lpstr>ffbCopyProd4CostPerHL</vt:lpstr>
      <vt:lpstr>ffbCopyProd4Rev</vt:lpstr>
      <vt:lpstr>ffbCopyReg1OpsMargin</vt:lpstr>
      <vt:lpstr>ffbCopyreg1Prod1Price</vt:lpstr>
      <vt:lpstr>ffbCopyreg1Prod1Vol</vt:lpstr>
      <vt:lpstr>ffbCopyreg1Prod1VolNonStockOut</vt:lpstr>
      <vt:lpstr>ffbCopyreg1Prod1VolStockOut</vt:lpstr>
      <vt:lpstr>ffbCopyReg1Prod2Price</vt:lpstr>
      <vt:lpstr>ffbCopyReg1Prod2Vol</vt:lpstr>
      <vt:lpstr>ffbCopyReg1Prod2VolNonStockOut</vt:lpstr>
      <vt:lpstr>ffbCopyReg1Prod2VolStockOut</vt:lpstr>
      <vt:lpstr>ffbCopyreg1Prod3Price</vt:lpstr>
      <vt:lpstr>ffbCopyreg1Prod3Vol</vt:lpstr>
      <vt:lpstr>ffbCopyreg1Prod3VolNonStockOut</vt:lpstr>
      <vt:lpstr>ffbCopyreg1Prod3VolStockOut</vt:lpstr>
      <vt:lpstr>ffbCopyreg1Prod4Price</vt:lpstr>
      <vt:lpstr>ffbCopyreg1Prod4Vol</vt:lpstr>
      <vt:lpstr>ffbCopyreg1Prod4VolNonStockOut</vt:lpstr>
      <vt:lpstr>ffbCopyreg1Prod4VolStockOut</vt:lpstr>
      <vt:lpstr>ffbCopyReg1Rev</vt:lpstr>
      <vt:lpstr>ffbCopyReg2OpsMargin</vt:lpstr>
      <vt:lpstr>ffbCopyreg2Prod1Price</vt:lpstr>
      <vt:lpstr>ffbCopyreg2Prod1Vol</vt:lpstr>
      <vt:lpstr>ffbCopyreg2Prod1VolNonStockOut</vt:lpstr>
      <vt:lpstr>ffbCopyreg2Prod1VolStockOut</vt:lpstr>
      <vt:lpstr>ffbCopyreg2Prod2Price</vt:lpstr>
      <vt:lpstr>ffbCopyreg2Prod2Vol</vt:lpstr>
      <vt:lpstr>ffbCopyreg2Prod2VolNonStockOut</vt:lpstr>
      <vt:lpstr>ffbCopyreg2Prod2VolStockOut</vt:lpstr>
      <vt:lpstr>ffbCopyreg2Prod3Price</vt:lpstr>
      <vt:lpstr>ffbCopyreg2Prod3Vol</vt:lpstr>
      <vt:lpstr>ffbCopyreg2Prod3VolNonStockOut</vt:lpstr>
      <vt:lpstr>ffbCopyreg2Prod3VolStockOut</vt:lpstr>
      <vt:lpstr>ffbCopyreg2Prod4Price</vt:lpstr>
      <vt:lpstr>ffbCopyreg2Prod4Vol</vt:lpstr>
      <vt:lpstr>ffbCopyreg2Prod4VolNonStockOut</vt:lpstr>
      <vt:lpstr>ffbCopyreg2Prod4VolStockOut</vt:lpstr>
      <vt:lpstr>ffbCopyReg2Rev</vt:lpstr>
      <vt:lpstr>ffbCopyRev</vt:lpstr>
      <vt:lpstr>ffbCopyRnDSpend</vt:lpstr>
      <vt:lpstr>ffbCopyROIC</vt:lpstr>
      <vt:lpstr>ffbCopySGAExp</vt:lpstr>
      <vt:lpstr>ffbCopySustainability</vt:lpstr>
      <vt:lpstr>ffbCopyVolumeRegionA</vt:lpstr>
      <vt:lpstr>ffbCopyVolumeRegionB</vt:lpstr>
      <vt:lpstr>ffbCopyYearPoints</vt:lpstr>
      <vt:lpstr>ffbROA</vt:lpstr>
      <vt:lpstr>finAssetTurnover</vt:lpstr>
      <vt:lpstr>finCashClosingValue</vt:lpstr>
      <vt:lpstr>finCashExpense</vt:lpstr>
      <vt:lpstr>finCashFlowAPChange</vt:lpstr>
      <vt:lpstr>finCashFlowARChange</vt:lpstr>
      <vt:lpstr>finCashFlowDep</vt:lpstr>
      <vt:lpstr>finCashFlowDividendPayOut</vt:lpstr>
      <vt:lpstr>finCashFlowFGChange</vt:lpstr>
      <vt:lpstr>finCashFlowFinance</vt:lpstr>
      <vt:lpstr>finCashFLowFromOps</vt:lpstr>
      <vt:lpstr>finCashFlowInvest</vt:lpstr>
      <vt:lpstr>finCashFlowMatChange</vt:lpstr>
      <vt:lpstr>finCashFlowOperations</vt:lpstr>
      <vt:lpstr>finCashFlowOtherCurrLiabChange</vt:lpstr>
      <vt:lpstr>finCashFlowSpecLoansChange</vt:lpstr>
      <vt:lpstr>finCashFlowWIPChange</vt:lpstr>
      <vt:lpstr>finCashFlowWorkCap</vt:lpstr>
      <vt:lpstr>finCommonStockChange</vt:lpstr>
      <vt:lpstr>finDebtChange</vt:lpstr>
      <vt:lpstr>finEquityChange</vt:lpstr>
      <vt:lpstr>finEVACapital</vt:lpstr>
      <vt:lpstr>finEVACostOfCap</vt:lpstr>
      <vt:lpstr>finEVACostOfEquity</vt:lpstr>
      <vt:lpstr>finEVACostOfLTDebt</vt:lpstr>
      <vt:lpstr>finEVACostOfSpeclLoans</vt:lpstr>
      <vt:lpstr>finEVACStock</vt:lpstr>
      <vt:lpstr>finEVAEcoProfit</vt:lpstr>
      <vt:lpstr>finEVALtDebt</vt:lpstr>
      <vt:lpstr>finEVANetEarn</vt:lpstr>
      <vt:lpstr>finEVANOPAT</vt:lpstr>
      <vt:lpstr>finEVARetEarn</vt:lpstr>
      <vt:lpstr>finEVASpecLoans</vt:lpstr>
      <vt:lpstr>finEVAWACCPct</vt:lpstr>
      <vt:lpstr>finFreeCashFlow</vt:lpstr>
      <vt:lpstr>finInvestedCapital</vt:lpstr>
      <vt:lpstr>finNOPAT</vt:lpstr>
      <vt:lpstr>finNOPATmargin</vt:lpstr>
      <vt:lpstr>finPNLAdminExp</vt:lpstr>
      <vt:lpstr>finPNLAdvExp</vt:lpstr>
      <vt:lpstr>finPNLAmorGoodwillExp</vt:lpstr>
      <vt:lpstr>finPNLCapLossExp</vt:lpstr>
      <vt:lpstr>finPNLCOGSDepExp</vt:lpstr>
      <vt:lpstr>finPNLCOGSEmp3Exp</vt:lpstr>
      <vt:lpstr>finPNLCOGSExp</vt:lpstr>
      <vt:lpstr>finPNLCOGSMatExp</vt:lpstr>
      <vt:lpstr>finPNLCOGSPlant1Exp</vt:lpstr>
      <vt:lpstr>finPNLCSDRnD</vt:lpstr>
      <vt:lpstr>finPNLDisruptiveRND</vt:lpstr>
      <vt:lpstr>finPNLEBIT</vt:lpstr>
      <vt:lpstr>finPNLempDevCosts</vt:lpstr>
      <vt:lpstr>finPNLExtraOrdExp</vt:lpstr>
      <vt:lpstr>finPNLGenExp</vt:lpstr>
      <vt:lpstr>finPNLGrossMargin</vt:lpstr>
      <vt:lpstr>finPNLIntExp</vt:lpstr>
      <vt:lpstr>finPNLIntInc</vt:lpstr>
      <vt:lpstr>finPNLLongTermRDExp</vt:lpstr>
      <vt:lpstr>finPNLNCBRnD</vt:lpstr>
      <vt:lpstr>finPNLNetEarn</vt:lpstr>
      <vt:lpstr>finPNLNetIntExp</vt:lpstr>
      <vt:lpstr>finPNLNetRev</vt:lpstr>
      <vt:lpstr>finPNLOperEarn</vt:lpstr>
      <vt:lpstr>finPNLoperEarnPct</vt:lpstr>
      <vt:lpstr>finPNLOtherOpExp</vt:lpstr>
      <vt:lpstr>finPNLPortfolioRND</vt:lpstr>
      <vt:lpstr>finPNLPromoExp</vt:lpstr>
      <vt:lpstr>finPNLRandDExp</vt:lpstr>
      <vt:lpstr>finPNLReg1AdvExp</vt:lpstr>
      <vt:lpstr>finPNLReg1COGSDepExp</vt:lpstr>
      <vt:lpstr>finPNLReg1COGSDistExp</vt:lpstr>
      <vt:lpstr>finPNLReg1COGSEmp3Exp</vt:lpstr>
      <vt:lpstr>finPNLReg1COGSExp</vt:lpstr>
      <vt:lpstr>finPNLReg1COGSManuExp</vt:lpstr>
      <vt:lpstr>finPNLReg1COGSMatExp</vt:lpstr>
      <vt:lpstr>finPNLReg1COGSPlant1Exp</vt:lpstr>
      <vt:lpstr>finPNLReg1COGSRoyExp</vt:lpstr>
      <vt:lpstr>finPNLReg1COGSSpecialityExp</vt:lpstr>
      <vt:lpstr>finPNLReg1DisposalExp</vt:lpstr>
      <vt:lpstr>finPNLReg1Emp1Exp</vt:lpstr>
      <vt:lpstr>finPNLReg1EmpAdminExp</vt:lpstr>
      <vt:lpstr>finPNLReg1EmpRecDismExp</vt:lpstr>
      <vt:lpstr>finPNLReg1ExcapExp</vt:lpstr>
      <vt:lpstr>finPNLReg1FixedAdminExp</vt:lpstr>
      <vt:lpstr>finPNLReg1GrossMargin</vt:lpstr>
      <vt:lpstr>finPNLReg1InEffExp</vt:lpstr>
      <vt:lpstr>finPNLReg1InventoryHndlgExp</vt:lpstr>
      <vt:lpstr>finPNLReg1LongTermRDExp</vt:lpstr>
      <vt:lpstr>finPNLReg1NetRev</vt:lpstr>
      <vt:lpstr>finPNLReg1OpsMargin</vt:lpstr>
      <vt:lpstr>finPNLReg1OpsMarginPct</vt:lpstr>
      <vt:lpstr>finPNLReg1OtherOpExp</vt:lpstr>
      <vt:lpstr>finPNLReg1Prod1AdvExp</vt:lpstr>
      <vt:lpstr>finPNLReg1Prod1COGSDepExp</vt:lpstr>
      <vt:lpstr>finPNLReg1Prod1COGSDistExp</vt:lpstr>
      <vt:lpstr>finPNLReg1Prod1COGSEmp3Exp</vt:lpstr>
      <vt:lpstr>finPNLReg1Prod1COGSExp</vt:lpstr>
      <vt:lpstr>finPNLReg1Prod1COGSManuExp</vt:lpstr>
      <vt:lpstr>finPNLReg1Prod1COGSMatExp</vt:lpstr>
      <vt:lpstr>finPNLReg1Prod1COGSPlant1Exp</vt:lpstr>
      <vt:lpstr>finPNLReg1Prod1COGSRoyExp</vt:lpstr>
      <vt:lpstr>finPNLReg1Prod1DisposalExp</vt:lpstr>
      <vt:lpstr>finPNLReg1Prod1Emp1Exp</vt:lpstr>
      <vt:lpstr>finPNLReg1Prod1EmpAdminExp</vt:lpstr>
      <vt:lpstr>finPNLReg1Prod1EmpRecDismExp</vt:lpstr>
      <vt:lpstr>finPNLReg1Prod1FixedAdminExp</vt:lpstr>
      <vt:lpstr>finPNLReg1Prod1GrossMargin</vt:lpstr>
      <vt:lpstr>finPNLReg1Prod1InventoryHndlgExp</vt:lpstr>
      <vt:lpstr>finPNLReg1Prod1NetRev</vt:lpstr>
      <vt:lpstr>finPNLReg1Prod1OpsMargin</vt:lpstr>
      <vt:lpstr>finPNLReg1Prod1OtherOpExp</vt:lpstr>
      <vt:lpstr>finPNLReg1Prod1PromoExp</vt:lpstr>
      <vt:lpstr>finPNLReg1Prod1RandDExp</vt:lpstr>
      <vt:lpstr>finPNLReg1Prod1RDFtr1Exp</vt:lpstr>
      <vt:lpstr>finPNLReg1Prod1RDFtr2Exp</vt:lpstr>
      <vt:lpstr>finPNLReg1Prod1RDFtr4Exp</vt:lpstr>
      <vt:lpstr>finPNLReg1Prod1RDlt</vt:lpstr>
      <vt:lpstr>finPNLReg1Prod1Rev</vt:lpstr>
      <vt:lpstr>finPNLReg1Prod1SGAExp</vt:lpstr>
      <vt:lpstr>finPNLReg1Prod1SpecProgExp</vt:lpstr>
      <vt:lpstr>finPNLReg1Prod2AdvExp</vt:lpstr>
      <vt:lpstr>finPNLReg1Prod2AdvExpS1</vt:lpstr>
      <vt:lpstr>finPNLReg1Prod2COGSDepExp</vt:lpstr>
      <vt:lpstr>finPNLReg1Prod2COGSDepExpS1</vt:lpstr>
      <vt:lpstr>finPNLReg1Prod2COGSDistExp</vt:lpstr>
      <vt:lpstr>finPNLReg1Prod2COGSDistExpS1</vt:lpstr>
      <vt:lpstr>finPNLReg1Prod2COGSEmp3Exp</vt:lpstr>
      <vt:lpstr>finPNLReg1Prod2COGSEmp3ExpS1</vt:lpstr>
      <vt:lpstr>finPNLReg1Prod2COGSExp</vt:lpstr>
      <vt:lpstr>finPNLReg1Prod2COGSExpS1</vt:lpstr>
      <vt:lpstr>finPNLReg1Prod2COGSManuExp</vt:lpstr>
      <vt:lpstr>finPNLReg1Prod2COGSManuExpS1</vt:lpstr>
      <vt:lpstr>finPNLReg1Prod2COGSMatExp</vt:lpstr>
      <vt:lpstr>finPNLReg1Prod2COGSMatExpS1</vt:lpstr>
      <vt:lpstr>finPNLReg1Prod2COGSPlant1Exp</vt:lpstr>
      <vt:lpstr>finPNLReg1Prod2COGSPlant1ExpS1</vt:lpstr>
      <vt:lpstr>finPNLReg1Prod2COGSRoyExp</vt:lpstr>
      <vt:lpstr>finPNLReg1Prod2COGSRoyExpS1</vt:lpstr>
      <vt:lpstr>finPNLReg1Prod2DisposalExp</vt:lpstr>
      <vt:lpstr>finPNLReg1Prod2DisposalExpS1</vt:lpstr>
      <vt:lpstr>finPNLReg1Prod2Emp1Exp</vt:lpstr>
      <vt:lpstr>finPNLReg1Prod2Emp1ExpS1</vt:lpstr>
      <vt:lpstr>finPNLReg1Prod2EmpAdminExp</vt:lpstr>
      <vt:lpstr>finPNLReg1Prod2EmpAdminExpS1</vt:lpstr>
      <vt:lpstr>finPNLReg1Prod2EmpRecDismExp</vt:lpstr>
      <vt:lpstr>finPNLReg1Prod2EmpRecDismExpS1</vt:lpstr>
      <vt:lpstr>finPNLReg1Prod2FixedAdminExp</vt:lpstr>
      <vt:lpstr>finPNLReg1Prod2FixedAdminExpS1</vt:lpstr>
      <vt:lpstr>finPNLReg1Prod2GrossMargin</vt:lpstr>
      <vt:lpstr>finPNLReg1Prod2GrossMarginS1</vt:lpstr>
      <vt:lpstr>finPNLReg1Prod2InventoryHndlgExp</vt:lpstr>
      <vt:lpstr>finPNLReg1Prod2InventoryHndlgExpS1</vt:lpstr>
      <vt:lpstr>finPNLReg1Prod2NetRev</vt:lpstr>
      <vt:lpstr>finPNLReg1Prod2NetRevS1</vt:lpstr>
      <vt:lpstr>finPNLReg1Prod2OpsMargin</vt:lpstr>
      <vt:lpstr>finPNLReg1Prod2OpsMarginS1</vt:lpstr>
      <vt:lpstr>finPNLReg1Prod2OtherOpExp</vt:lpstr>
      <vt:lpstr>finPNLReg1Prod2OtherOpExpS1</vt:lpstr>
      <vt:lpstr>finPNLReg1Prod2PromoExp</vt:lpstr>
      <vt:lpstr>finPNLReg1Prod2PromoExpS1</vt:lpstr>
      <vt:lpstr>finPNLReg1Prod2RandDExp</vt:lpstr>
      <vt:lpstr>finPNLReg1Prod2RandDExpS1</vt:lpstr>
      <vt:lpstr>finPNLReg1Prod2RDFtr1Exp</vt:lpstr>
      <vt:lpstr>finPNLReg1Prod2RDFtr1ExpS1</vt:lpstr>
      <vt:lpstr>finPNLReg1Prod2RDFtr2Exp</vt:lpstr>
      <vt:lpstr>finPNLReg1Prod2RDFtr2ExpS1</vt:lpstr>
      <vt:lpstr>finPNLReg1Prod2RDFtr4Exp</vt:lpstr>
      <vt:lpstr>finPNLReg1Prod2RDFtr4ExpS1</vt:lpstr>
      <vt:lpstr>finPNLReg1Prod2RDlt</vt:lpstr>
      <vt:lpstr>finPNLReg1Prod2Rev</vt:lpstr>
      <vt:lpstr>finPNLReg1Prod2RevS1</vt:lpstr>
      <vt:lpstr>finPNLReg1Prod2SGAExp</vt:lpstr>
      <vt:lpstr>finPNLReg1Prod2SGAExpS1</vt:lpstr>
      <vt:lpstr>finPNLReg1Prod2SpecProgExp</vt:lpstr>
      <vt:lpstr>finPNLReg1Prod2SpecProgExpS1</vt:lpstr>
      <vt:lpstr>finPNLReg1Prod3AdvExp</vt:lpstr>
      <vt:lpstr>finPNLReg1Prod3COGSDepExp</vt:lpstr>
      <vt:lpstr>finPNLReg1Prod3COGSDistExp</vt:lpstr>
      <vt:lpstr>finPNLReg1Prod3COGSEmp3Exp</vt:lpstr>
      <vt:lpstr>finPNLReg1Prod3COGSExp</vt:lpstr>
      <vt:lpstr>finPNLReg1Prod3COGSManuExp</vt:lpstr>
      <vt:lpstr>finPNLReg1Prod3COGSMatExp</vt:lpstr>
      <vt:lpstr>finPNLReg1Prod3COGSPlant1Exp</vt:lpstr>
      <vt:lpstr>finPNLReg1Prod3COGSRoyExp</vt:lpstr>
      <vt:lpstr>finPNLReg1Prod3DisposalExp</vt:lpstr>
      <vt:lpstr>finPNLReg1Prod3Emp1Exp</vt:lpstr>
      <vt:lpstr>finPNLReg1Prod3EmpAdminExp</vt:lpstr>
      <vt:lpstr>finPNLReg1Prod3EmpRecDismExp</vt:lpstr>
      <vt:lpstr>finPNLReg1Prod3FixedAdminExp</vt:lpstr>
      <vt:lpstr>finPNLReg1Prod3GrossMargin</vt:lpstr>
      <vt:lpstr>finPNLReg1Prod3InventoryHndlgExp</vt:lpstr>
      <vt:lpstr>finPNLReg1Prod3NetRev</vt:lpstr>
      <vt:lpstr>finPNLReg1Prod3OpsMargin</vt:lpstr>
      <vt:lpstr>finPNLReg1Prod3OtherOpExp</vt:lpstr>
      <vt:lpstr>finPNLReg1Prod3PromoExp</vt:lpstr>
      <vt:lpstr>finPNLReg1Prod3RandDExp</vt:lpstr>
      <vt:lpstr>finPNLReg1Prod3RDFtr1Exp</vt:lpstr>
      <vt:lpstr>finPNLReg1Prod3RDFtr2Exp</vt:lpstr>
      <vt:lpstr>finPNLReg1Prod3RDFtr4Exp</vt:lpstr>
      <vt:lpstr>finPNLReg1Prod3RDlt</vt:lpstr>
      <vt:lpstr>finPNLReg1Prod3Rev</vt:lpstr>
      <vt:lpstr>finPNLReg1Prod3SGAExp</vt:lpstr>
      <vt:lpstr>finPNLReg1Prod3SpecProgExp</vt:lpstr>
      <vt:lpstr>finPNLReg1Prod4AdvExp</vt:lpstr>
      <vt:lpstr>finPNLReg1Prod4COGSDepExp</vt:lpstr>
      <vt:lpstr>finPNLReg1Prod4COGSDistExp</vt:lpstr>
      <vt:lpstr>finPNLReg1Prod4COGSEmp3Exp</vt:lpstr>
      <vt:lpstr>finPNLReg1Prod4COGSExp</vt:lpstr>
      <vt:lpstr>finPNLReg1Prod4COGSManuExp</vt:lpstr>
      <vt:lpstr>finPNLReg1Prod4COGSMatExp</vt:lpstr>
      <vt:lpstr>finPNLReg1Prod4COGSPlant1Exp</vt:lpstr>
      <vt:lpstr>finPNLReg1Prod4COGSRoyExp</vt:lpstr>
      <vt:lpstr>finPNLReg1Prod4COGSSpecialityExp</vt:lpstr>
      <vt:lpstr>finPNLReg1Prod4DisposalExp</vt:lpstr>
      <vt:lpstr>finPNLReg1Prod4Emp1Exp</vt:lpstr>
      <vt:lpstr>finPNLReg1Prod4EmpAdminExp</vt:lpstr>
      <vt:lpstr>finPNLReg1Prod4EmpRecDismExp</vt:lpstr>
      <vt:lpstr>finPNLReg1Prod4FixedAdminExp</vt:lpstr>
      <vt:lpstr>finPNLReg1Prod4GrossMargin</vt:lpstr>
      <vt:lpstr>finPNLReg1Prod4InventoryHndlgExp</vt:lpstr>
      <vt:lpstr>finPNLReg1Prod4NetRev</vt:lpstr>
      <vt:lpstr>finPNLReg1Prod4OpsMargin</vt:lpstr>
      <vt:lpstr>finPNLReg1Prod4OtherOpExp</vt:lpstr>
      <vt:lpstr>finPNLReg1Prod4PromoExp</vt:lpstr>
      <vt:lpstr>finPNLReg1Prod4RandDExp</vt:lpstr>
      <vt:lpstr>finPNLReg1Prod4RDFtr1Exp</vt:lpstr>
      <vt:lpstr>finPNLReg1Prod4RDFtr2Exp</vt:lpstr>
      <vt:lpstr>finPNLReg1Prod4RDFtr4Exp</vt:lpstr>
      <vt:lpstr>finPNLReg1Prod4RDlt</vt:lpstr>
      <vt:lpstr>finPNLReg1Prod4Rev</vt:lpstr>
      <vt:lpstr>finPNLReg1Prod4SGAExp</vt:lpstr>
      <vt:lpstr>finPNLReg1Prod4SpecProgExp</vt:lpstr>
      <vt:lpstr>finPNLReg1PromoExp</vt:lpstr>
      <vt:lpstr>finPNLReg1RandDExp</vt:lpstr>
      <vt:lpstr>finPNLReg1RDFtr1Exp</vt:lpstr>
      <vt:lpstr>finPNLReg1RDFtr2Exp</vt:lpstr>
      <vt:lpstr>finPNLReg1RDFtr4Exp</vt:lpstr>
      <vt:lpstr>finPNLReg1Rev</vt:lpstr>
      <vt:lpstr>finPNLReg1SGAExp</vt:lpstr>
      <vt:lpstr>finPNLReg1SpecProgExp</vt:lpstr>
      <vt:lpstr>finPNLReg2AdvExp</vt:lpstr>
      <vt:lpstr>finPNLReg2COGSDepExp</vt:lpstr>
      <vt:lpstr>finPNLReg2COGSDistExp</vt:lpstr>
      <vt:lpstr>finPNLReg2COGSEmp3Exp</vt:lpstr>
      <vt:lpstr>finPNLReg2COGSExp</vt:lpstr>
      <vt:lpstr>finPNLReg2COGSManuExp</vt:lpstr>
      <vt:lpstr>finPNLReg2COGSMatExp</vt:lpstr>
      <vt:lpstr>finPNLReg2COGSPlant1Exp</vt:lpstr>
      <vt:lpstr>finPNLReg2COGSRoyExp</vt:lpstr>
      <vt:lpstr>finPNLReg2COGSSpecialityExp</vt:lpstr>
      <vt:lpstr>finPNLReg2DisposalExp</vt:lpstr>
      <vt:lpstr>finPNLReg2Emp2Exp</vt:lpstr>
      <vt:lpstr>finPNLReg2EmpAdminExp</vt:lpstr>
      <vt:lpstr>finPNLReg2EmpRecDismExp</vt:lpstr>
      <vt:lpstr>finPNLReg2ExcapExp</vt:lpstr>
      <vt:lpstr>finPNLReg2FixedAdminExp</vt:lpstr>
      <vt:lpstr>finPNLReg2GrossMargin</vt:lpstr>
      <vt:lpstr>finPNLReg2InEffExp</vt:lpstr>
      <vt:lpstr>finPNLReg2InventoryHndlgExp</vt:lpstr>
      <vt:lpstr>finPNLReg2LongTermRDExp</vt:lpstr>
      <vt:lpstr>finPNLReg2NetRev</vt:lpstr>
      <vt:lpstr>finPNLReg2OpsMargin</vt:lpstr>
      <vt:lpstr>finPNLReg2OpsMarginPct</vt:lpstr>
      <vt:lpstr>finPNLReg2OtherOpExp</vt:lpstr>
      <vt:lpstr>finPNLReg2Prod1AdvExp</vt:lpstr>
      <vt:lpstr>finPNLReg2Prod1COGSDepExp</vt:lpstr>
      <vt:lpstr>finPNLReg2Prod1COGSDistExp</vt:lpstr>
      <vt:lpstr>finPNLReg2Prod1COGSEmp3Exp</vt:lpstr>
      <vt:lpstr>finPNLReg2Prod1COGSExp</vt:lpstr>
      <vt:lpstr>finPNLReg2Prod1COGSManuExp</vt:lpstr>
      <vt:lpstr>finPNLReg2Prod1COGSMatExp</vt:lpstr>
      <vt:lpstr>finPNLReg2Prod1COGSPlant1Exp</vt:lpstr>
      <vt:lpstr>finPNLReg2Prod1COGSRoyExp</vt:lpstr>
      <vt:lpstr>finPNLReg2Prod1DisposalExp</vt:lpstr>
      <vt:lpstr>finPNLReg2Prod1Emp1Exp</vt:lpstr>
      <vt:lpstr>finPNLReg2Prod1Emp2Exp</vt:lpstr>
      <vt:lpstr>finPNLReg2Prod1EmpAdminExp</vt:lpstr>
      <vt:lpstr>finPNLReg2Prod1EmpRecDismExp</vt:lpstr>
      <vt:lpstr>finPNLReg2Prod1FixedAdminExp</vt:lpstr>
      <vt:lpstr>finPNLReg2Prod1GrossMargin</vt:lpstr>
      <vt:lpstr>finPNLReg2Prod1InventoryHndlgExp</vt:lpstr>
      <vt:lpstr>finPNLReg2Prod1NetRev</vt:lpstr>
      <vt:lpstr>finPNLReg2Prod1OpsMargin</vt:lpstr>
      <vt:lpstr>finPNLReg2Prod1OtherOpExp</vt:lpstr>
      <vt:lpstr>finPNLReg2Prod1PromoExp</vt:lpstr>
      <vt:lpstr>finPNLReg2Prod1RandDExp</vt:lpstr>
      <vt:lpstr>finPNLReg2Prod1RDFtr1Exp</vt:lpstr>
      <vt:lpstr>finPNLReg2Prod1RDFtr2Exp</vt:lpstr>
      <vt:lpstr>finPNLReg2Prod1RDFtr4Exp</vt:lpstr>
      <vt:lpstr>finPNLReg2Prod1RDlt</vt:lpstr>
      <vt:lpstr>finPNLReg2Prod1Rev</vt:lpstr>
      <vt:lpstr>finPNLReg2Prod1SGAExp</vt:lpstr>
      <vt:lpstr>finPNLReg2Prod1SpecProgExp</vt:lpstr>
      <vt:lpstr>finPNLReg2Prod2AdvExp</vt:lpstr>
      <vt:lpstr>finPNLReg2Prod2AdvExpS2</vt:lpstr>
      <vt:lpstr>finPNLReg2Prod2COGSDepExp</vt:lpstr>
      <vt:lpstr>finPNLReg2Prod2COGSDepExpS2</vt:lpstr>
      <vt:lpstr>finPNLReg2Prod2COGSDistExp</vt:lpstr>
      <vt:lpstr>finPNLReg2Prod2COGSDistExpS2</vt:lpstr>
      <vt:lpstr>finPNLReg2Prod2COGSEmp3Exp</vt:lpstr>
      <vt:lpstr>finPNLReg2Prod2COGSEmp3ExpS2</vt:lpstr>
      <vt:lpstr>finPNLReg2Prod2COGSExp</vt:lpstr>
      <vt:lpstr>finPNLReg2Prod2COGSExpS2</vt:lpstr>
      <vt:lpstr>finPNLReg2Prod2COGSManuExp</vt:lpstr>
      <vt:lpstr>finPNLReg2Prod2COGSManuExpS2</vt:lpstr>
      <vt:lpstr>finPNLReg2Prod2COGSMatExp</vt:lpstr>
      <vt:lpstr>finPNLReg2Prod2COGSMatExpS2</vt:lpstr>
      <vt:lpstr>finPNLReg2Prod2COGSPlant1Exp</vt:lpstr>
      <vt:lpstr>finPNLReg2Prod2COGSPlant1ExpS2</vt:lpstr>
      <vt:lpstr>finPNLReg2Prod2COGSRoyExp</vt:lpstr>
      <vt:lpstr>finPNLReg2Prod2COGSRoyExpS2</vt:lpstr>
      <vt:lpstr>finPNLReg2Prod2DisposalExp</vt:lpstr>
      <vt:lpstr>finPNLReg2Prod2DisposalExpS2</vt:lpstr>
      <vt:lpstr>finPNLReg2Prod2Emp2Exp</vt:lpstr>
      <vt:lpstr>finPNLReg2Prod2Emp2ExpS2</vt:lpstr>
      <vt:lpstr>finPNLReg2Prod2EmpAdminExp</vt:lpstr>
      <vt:lpstr>finPNLReg2Prod2EmpAdminExpS2</vt:lpstr>
      <vt:lpstr>finPNLReg2Prod2EmpRecDismExp</vt:lpstr>
      <vt:lpstr>finPNLReg2Prod2EmpRecDismExpS2</vt:lpstr>
      <vt:lpstr>finPNLReg2Prod2FixedAdminExp</vt:lpstr>
      <vt:lpstr>finPNLReg2Prod2FixedAdminExpS2</vt:lpstr>
      <vt:lpstr>finPNLReg2Prod2GrossMargin</vt:lpstr>
      <vt:lpstr>finPNLReg2Prod2GrossMarginS2</vt:lpstr>
      <vt:lpstr>finPNLReg2Prod2InventoryHndlgExp</vt:lpstr>
      <vt:lpstr>finPNLReg2Prod2InventoryHndlgExpS2</vt:lpstr>
      <vt:lpstr>finPNLReg2Prod2NetRev</vt:lpstr>
      <vt:lpstr>finPNLReg2Prod2NetRevS2</vt:lpstr>
      <vt:lpstr>finPNLReg2Prod2OpsMargin</vt:lpstr>
      <vt:lpstr>finPNLReg2Prod2OpsMarginS2</vt:lpstr>
      <vt:lpstr>finPNLReg2Prod2OtherOpExp</vt:lpstr>
      <vt:lpstr>finPNLReg2Prod2OtherOpExpS2</vt:lpstr>
      <vt:lpstr>finPNLReg2Prod2PromoExp</vt:lpstr>
      <vt:lpstr>finPNLReg2Prod2PromoExpS2</vt:lpstr>
      <vt:lpstr>finPNLReg2Prod2RandDExp</vt:lpstr>
      <vt:lpstr>finPNLReg2Prod2RandDExpS2</vt:lpstr>
      <vt:lpstr>finPNLReg2Prod2RDFtr1Exp</vt:lpstr>
      <vt:lpstr>finPNLReg2Prod2RDFtr1ExpS2</vt:lpstr>
      <vt:lpstr>finPNLReg2Prod2RDFtr2Exp</vt:lpstr>
      <vt:lpstr>finPNLReg2Prod2RDFtr2ExpS2</vt:lpstr>
      <vt:lpstr>finPNLReg2Prod2RDFtr4Exp</vt:lpstr>
      <vt:lpstr>finPNLReg2Prod2RDFtr4ExpS2</vt:lpstr>
      <vt:lpstr>finPNLReg2Prod2RDlt</vt:lpstr>
      <vt:lpstr>finPNLReg2Prod2Rev</vt:lpstr>
      <vt:lpstr>finPNLReg2Prod2RevS2</vt:lpstr>
      <vt:lpstr>finPNLReg2Prod2SGAExp</vt:lpstr>
      <vt:lpstr>finPNLReg2Prod2SGAExpS2</vt:lpstr>
      <vt:lpstr>finPNLReg2Prod2SpecProgExp</vt:lpstr>
      <vt:lpstr>finPNLReg2Prod2SpecProgExpS2</vt:lpstr>
      <vt:lpstr>finPNLReg2Prod3AdvExp</vt:lpstr>
      <vt:lpstr>finPNLReg2Prod3COGSDepExp</vt:lpstr>
      <vt:lpstr>finPNLReg2Prod3COGSDistExp</vt:lpstr>
      <vt:lpstr>finPNLReg2Prod3COGSEmp3Exp</vt:lpstr>
      <vt:lpstr>finPNLReg2Prod3COGSExp</vt:lpstr>
      <vt:lpstr>finPNLReg2Prod3COGSManuExp</vt:lpstr>
      <vt:lpstr>finPNLReg2Prod3COGSMatExp</vt:lpstr>
      <vt:lpstr>finPNLReg2Prod3COGSPlant1Exp</vt:lpstr>
      <vt:lpstr>finPNLReg2Prod3COGSRoyExp</vt:lpstr>
      <vt:lpstr>finPNLReg2Prod3DisposalExp</vt:lpstr>
      <vt:lpstr>finPNLReg2Prod3Emp1Exp</vt:lpstr>
      <vt:lpstr>finPNLReg2Prod3Emp2Exp</vt:lpstr>
      <vt:lpstr>finPNLReg2Prod3EmpAdminExp</vt:lpstr>
      <vt:lpstr>finPNLReg2Prod3EmpRecDismExp</vt:lpstr>
      <vt:lpstr>finPNLReg2Prod3FixedAdminExp</vt:lpstr>
      <vt:lpstr>finPNLReg2Prod3GrossMargin</vt:lpstr>
      <vt:lpstr>finPNLReg2Prod3InventoryHndlgExp</vt:lpstr>
      <vt:lpstr>finPNLReg2Prod3NetRev</vt:lpstr>
      <vt:lpstr>finPNLReg2Prod3OpsMargin</vt:lpstr>
      <vt:lpstr>finPNLReg2Prod3OtherOpExp</vt:lpstr>
      <vt:lpstr>finPNLReg2Prod3PromoExp</vt:lpstr>
      <vt:lpstr>finPNLReg2Prod3RandDExp</vt:lpstr>
      <vt:lpstr>finPNLReg2Prod3RDFtr1Exp</vt:lpstr>
      <vt:lpstr>finPNLReg2Prod3RDFtr2Exp</vt:lpstr>
      <vt:lpstr>finPNLReg2Prod3RDFtr4Exp</vt:lpstr>
      <vt:lpstr>finPNLReg2Prod3RDlt</vt:lpstr>
      <vt:lpstr>finPNLReg2Prod3Rev</vt:lpstr>
      <vt:lpstr>finPNLReg2Prod3SGAExp</vt:lpstr>
      <vt:lpstr>finPNLReg2Prod3SpecProgExp</vt:lpstr>
      <vt:lpstr>finPNLReg2Prod4AdvExp</vt:lpstr>
      <vt:lpstr>finPNLReg2Prod4COGSDepExp</vt:lpstr>
      <vt:lpstr>finPNLReg2Prod4COGSDistExp</vt:lpstr>
      <vt:lpstr>finPNLReg2Prod4COGSEmp3Exp</vt:lpstr>
      <vt:lpstr>finPNLReg2Prod4COGSExp</vt:lpstr>
      <vt:lpstr>finPNLReg2Prod4COGSManuExp</vt:lpstr>
      <vt:lpstr>finPNLReg2Prod4COGSMatExp</vt:lpstr>
      <vt:lpstr>finPNLReg2Prod4COGSPlant1Exp</vt:lpstr>
      <vt:lpstr>finPNLReg2Prod4COGSRoyExp</vt:lpstr>
      <vt:lpstr>finPNLReg2Prod4COGSSpecialityExp</vt:lpstr>
      <vt:lpstr>finPNLReg2Prod4DisposalExp</vt:lpstr>
      <vt:lpstr>finPNLReg2Prod4Emp1Exp</vt:lpstr>
      <vt:lpstr>finPNLReg2Prod4Emp2Exp</vt:lpstr>
      <vt:lpstr>finPNLReg2Prod4EmpAdminExp</vt:lpstr>
      <vt:lpstr>finPNLReg2Prod4EmpRecDismExp</vt:lpstr>
      <vt:lpstr>finPNLReg2Prod4FixedAdminExp</vt:lpstr>
      <vt:lpstr>finPNLReg2Prod4GrossMargin</vt:lpstr>
      <vt:lpstr>finPNLReg2Prod4InventoryHndlgExp</vt:lpstr>
      <vt:lpstr>finPNLReg2Prod4NetRev</vt:lpstr>
      <vt:lpstr>finPNLReg2Prod4OpsMargin</vt:lpstr>
      <vt:lpstr>finPNLReg2Prod4OtherOpExp</vt:lpstr>
      <vt:lpstr>finPNLReg2Prod4PromoExp</vt:lpstr>
      <vt:lpstr>finPNLReg2Prod4RandDExp</vt:lpstr>
      <vt:lpstr>finPNLReg2Prod4RDFtr1Exp</vt:lpstr>
      <vt:lpstr>finPNLReg2Prod4RDFtr2Exp</vt:lpstr>
      <vt:lpstr>finPNLReg2Prod4RDFtr4Exp</vt:lpstr>
      <vt:lpstr>finPNLReg2Prod4RDlt</vt:lpstr>
      <vt:lpstr>finPNLReg2Prod4Rev</vt:lpstr>
      <vt:lpstr>finPNLReg2Prod4SGAExp</vt:lpstr>
      <vt:lpstr>finPNLReg2Prod4SpecProgExp</vt:lpstr>
      <vt:lpstr>finPNLReg2PromoExp</vt:lpstr>
      <vt:lpstr>finPNLReg2RandDExp</vt:lpstr>
      <vt:lpstr>finPNLReg2RDFtr1Exp</vt:lpstr>
      <vt:lpstr>finPNLReg2RDFtr2Exp</vt:lpstr>
      <vt:lpstr>finPNLReg2RDFtr4Exp</vt:lpstr>
      <vt:lpstr>finPNLReg2Rev</vt:lpstr>
      <vt:lpstr>finPNLReg2SGAExp</vt:lpstr>
      <vt:lpstr>finPNLReg2SpecProgExp</vt:lpstr>
      <vt:lpstr>finPNLRegionalSpecProgExp</vt:lpstr>
      <vt:lpstr>finPNLRev</vt:lpstr>
      <vt:lpstr>finPNLSalesForceExp</vt:lpstr>
      <vt:lpstr>finPNLSellExp</vt:lpstr>
      <vt:lpstr>finPNLSGAExp</vt:lpstr>
      <vt:lpstr>finPNLSnackRND</vt:lpstr>
      <vt:lpstr>finPNLSpecLoansExp</vt:lpstr>
      <vt:lpstr>finPNLSpecProgExp</vt:lpstr>
      <vt:lpstr>finPNLTaxExp</vt:lpstr>
      <vt:lpstr>finProfitMargin</vt:lpstr>
      <vt:lpstr>finRetEarnChange</vt:lpstr>
      <vt:lpstr>finROA</vt:lpstr>
      <vt:lpstr>finROIC</vt:lpstr>
      <vt:lpstr>finSimpleCashFlow</vt:lpstr>
      <vt:lpstr>finStockchange</vt:lpstr>
      <vt:lpstr>FMATBGround</vt:lpstr>
      <vt:lpstr>FMATDAReaBorder</vt:lpstr>
      <vt:lpstr>FMATDAreaBorderHeader</vt:lpstr>
      <vt:lpstr>FMATDAreaColor</vt:lpstr>
      <vt:lpstr>FMATDAreaColorHeader</vt:lpstr>
      <vt:lpstr>FMATDAreaFont</vt:lpstr>
      <vt:lpstr>FMATDAreaFontHeader</vt:lpstr>
      <vt:lpstr>FMATDBoardBorder</vt:lpstr>
      <vt:lpstr>FMATDBoardColor</vt:lpstr>
      <vt:lpstr>FMATDBoardFont</vt:lpstr>
      <vt:lpstr>FMATDCellBorder</vt:lpstr>
      <vt:lpstr>FMATDCellColor</vt:lpstr>
      <vt:lpstr>FMATDCellFont</vt:lpstr>
      <vt:lpstr>FMATRAreaBorder</vt:lpstr>
      <vt:lpstr>FMATRAreaBorderHeader</vt:lpstr>
      <vt:lpstr>FMATRAreaColor</vt:lpstr>
      <vt:lpstr>FMATRAreaColorHeader</vt:lpstr>
      <vt:lpstr>FMATRAreaFont</vt:lpstr>
      <vt:lpstr>FMATRAreaFontHeader</vt:lpstr>
      <vt:lpstr>graphCSDAllocation</vt:lpstr>
      <vt:lpstr>graphESallocation</vt:lpstr>
      <vt:lpstr>graphFnSAllocation</vt:lpstr>
      <vt:lpstr>graphINallocation</vt:lpstr>
      <vt:lpstr>graphNCBAllocation</vt:lpstr>
      <vt:lpstr>graphNSAllocation</vt:lpstr>
      <vt:lpstr>graphOEallocation</vt:lpstr>
      <vt:lpstr>graphOIallocation</vt:lpstr>
      <vt:lpstr>graphVallocation</vt:lpstr>
      <vt:lpstr>GROWminProd1Reg1</vt:lpstr>
      <vt:lpstr>GROWminProd1Reg2</vt:lpstr>
      <vt:lpstr>GROWminProd3Reg1</vt:lpstr>
      <vt:lpstr>GROWminProd3Reg2</vt:lpstr>
      <vt:lpstr>GROWminProd4Reg1</vt:lpstr>
      <vt:lpstr>GROWminProd4Reg2</vt:lpstr>
      <vt:lpstr>ReportCompetitor!HideAnalysisDisruptive</vt:lpstr>
      <vt:lpstr>HideAnalysisDisruptive</vt:lpstr>
      <vt:lpstr>HideAnalysisDisruptive1</vt:lpstr>
      <vt:lpstr>HideColToolPnL</vt:lpstr>
      <vt:lpstr>HideColtoolPnLR1</vt:lpstr>
      <vt:lpstr>HideColtoolPnLR2</vt:lpstr>
      <vt:lpstr>HideColtoolPrograms</vt:lpstr>
      <vt:lpstr>HideRowtoolDecSum</vt:lpstr>
      <vt:lpstr>HideRowtoolRND1</vt:lpstr>
      <vt:lpstr>HideRowtoolRND2</vt:lpstr>
      <vt:lpstr>HideRowtoolRND3</vt:lpstr>
      <vt:lpstr>ImportExportCSV_BalSheetClosing</vt:lpstr>
      <vt:lpstr>ImportExportCSV_BalSheetOnObal</vt:lpstr>
      <vt:lpstr>ImportExportCSV_BalSheetOpening</vt:lpstr>
      <vt:lpstr>ImportExportCSV_ExportInputs</vt:lpstr>
      <vt:lpstr>InitiavesChosen</vt:lpstr>
      <vt:lpstr>Innov1MTUs</vt:lpstr>
      <vt:lpstr>Innov2MTUs</vt:lpstr>
      <vt:lpstr>Innov3MTUs</vt:lpstr>
      <vt:lpstr>Innov4MTUs</vt:lpstr>
      <vt:lpstr>MENU1CBar</vt:lpstr>
      <vt:lpstr>MENU1MenuItems</vt:lpstr>
      <vt:lpstr>MENU1Menus</vt:lpstr>
      <vt:lpstr>MENU1SubMenuItems</vt:lpstr>
      <vt:lpstr>MENU2CBar</vt:lpstr>
      <vt:lpstr>MENU2MenuItems</vt:lpstr>
      <vt:lpstr>MENU2Menus</vt:lpstr>
      <vt:lpstr>MENU2SubMenuItems</vt:lpstr>
      <vt:lpstr>mmProd1!MMAdjustments</vt:lpstr>
      <vt:lpstr>mmProd2!MMAdjustments</vt:lpstr>
      <vt:lpstr>mmProd3!MMAdjustments</vt:lpstr>
      <vt:lpstr>mmProd4!MMAdjustments</vt:lpstr>
      <vt:lpstr>MMAdjustments</vt:lpstr>
      <vt:lpstr>mmProd2!MMExplainCopy</vt:lpstr>
      <vt:lpstr>mmProd3!MMExplainCopy</vt:lpstr>
      <vt:lpstr>mmProd4!MMExplainCopy</vt:lpstr>
      <vt:lpstr>mmProd5!MMExplainCopy</vt:lpstr>
      <vt:lpstr>mmProd6!MMExplainCopy</vt:lpstr>
      <vt:lpstr>MMExplainCopy</vt:lpstr>
      <vt:lpstr>mmProd2!MMExplainPasteSeg1</vt:lpstr>
      <vt:lpstr>mmProd3!MMExplainPasteSeg1</vt:lpstr>
      <vt:lpstr>mmProd4!MMExplainPasteSeg1</vt:lpstr>
      <vt:lpstr>mmProd5!MMExplainPasteSeg1</vt:lpstr>
      <vt:lpstr>mmProd6!MMExplainPasteSeg1</vt:lpstr>
      <vt:lpstr>MMExplainPasteSeg1</vt:lpstr>
      <vt:lpstr>mmProd2!MMExplainPasteSeg2</vt:lpstr>
      <vt:lpstr>mmProd3!MMExplainPasteSeg2</vt:lpstr>
      <vt:lpstr>mmProd4!MMExplainPasteSeg2</vt:lpstr>
      <vt:lpstr>mmProd6!MMExplainPasteSeg2</vt:lpstr>
      <vt:lpstr>MMExplainPasteSeg2</vt:lpstr>
      <vt:lpstr>mmProd2!MMExplainPasteSeg3</vt:lpstr>
      <vt:lpstr>mmProd3!MMExplainPasteSeg3</vt:lpstr>
      <vt:lpstr>mmProd4!MMExplainPasteSeg3</vt:lpstr>
      <vt:lpstr>mmProd6!MMExplainPasteSeg3</vt:lpstr>
      <vt:lpstr>MMExplainPasteSeg3</vt:lpstr>
      <vt:lpstr>mmProd2!MMExplainPasteSeg4</vt:lpstr>
      <vt:lpstr>mmProd3!MMExplainPasteSeg4</vt:lpstr>
      <vt:lpstr>mmProd4!MMExplainPasteSeg4</vt:lpstr>
      <vt:lpstr>mmProd6!MMExplainPasteSeg4</vt:lpstr>
      <vt:lpstr>MMExplainPasteSeg4</vt:lpstr>
      <vt:lpstr>mmProd2!MMExplainPasteSeg5</vt:lpstr>
      <vt:lpstr>mmProd3!MMExplainPasteSeg5</vt:lpstr>
      <vt:lpstr>mmProd4!MMExplainPasteSeg5</vt:lpstr>
      <vt:lpstr>mmProd6!MMExplainPasteSeg5</vt:lpstr>
      <vt:lpstr>MMExplainPasteSeg5</vt:lpstr>
      <vt:lpstr>mmProd2!MMInMarket</vt:lpstr>
      <vt:lpstr>mmProd3!MMInMarket</vt:lpstr>
      <vt:lpstr>mmProd4!MMInMarket</vt:lpstr>
      <vt:lpstr>mmProd5!MMInMarket</vt:lpstr>
      <vt:lpstr>mmProd6!MMInMarket</vt:lpstr>
      <vt:lpstr>MMInMarket</vt:lpstr>
      <vt:lpstr>mmProd1Reg1UnitsDemand</vt:lpstr>
      <vt:lpstr>mmProd1Reg1UnitsSold</vt:lpstr>
      <vt:lpstr>mmProd1Reg2UnitsDemand</vt:lpstr>
      <vt:lpstr>mmProd1Reg2UnitsSold</vt:lpstr>
      <vt:lpstr>mmProd1Seg1ActShare</vt:lpstr>
      <vt:lpstr>mmProd1Seg1InvMissed</vt:lpstr>
      <vt:lpstr>mmProd1Seg1PreSalesShare</vt:lpstr>
      <vt:lpstr>mmProd1Seg2ActShare</vt:lpstr>
      <vt:lpstr>mmProd1Seg2PreSalesShare</vt:lpstr>
      <vt:lpstr>mmProd21UnitsSold</vt:lpstr>
      <vt:lpstr>mmProd22UnitsSold</vt:lpstr>
      <vt:lpstr>mmProd3Reg1UnitsDemand</vt:lpstr>
      <vt:lpstr>mmProd3Reg1UnitsSold</vt:lpstr>
      <vt:lpstr>mmProd3Reg2UnitsDemand</vt:lpstr>
      <vt:lpstr>mmProd3Reg2UnitsSold</vt:lpstr>
      <vt:lpstr>mmProd3Seg1ActShare</vt:lpstr>
      <vt:lpstr>mmProd3Seg1PreSalesShare</vt:lpstr>
      <vt:lpstr>mmProd3Seg2ActShare</vt:lpstr>
      <vt:lpstr>mmProd3Seg2PreSalesShare</vt:lpstr>
      <vt:lpstr>mmProd4Reg1UnitsDemand</vt:lpstr>
      <vt:lpstr>mmProd4Reg1UnitsSold</vt:lpstr>
      <vt:lpstr>mmProd4Reg2UnitsDemand</vt:lpstr>
      <vt:lpstr>mmProd4Reg2UnitsSold</vt:lpstr>
      <vt:lpstr>mmProd4Seg1ActShare</vt:lpstr>
      <vt:lpstr>mmProd4Seg1PreSalesShare</vt:lpstr>
      <vt:lpstr>mmProd4Seg2ActShare</vt:lpstr>
      <vt:lpstr>mmProd4Seg2PreSalesShare</vt:lpstr>
      <vt:lpstr>mmProd2!MMSegCount</vt:lpstr>
      <vt:lpstr>mmProd3!MMSegCount</vt:lpstr>
      <vt:lpstr>mmProd4!MMSegCount</vt:lpstr>
      <vt:lpstr>mmProd5!MMSegCount</vt:lpstr>
      <vt:lpstr>mmProd6!MMSegCount</vt:lpstr>
      <vt:lpstr>MMSegCount</vt:lpstr>
      <vt:lpstr>mmProd2!MMSegCurrent</vt:lpstr>
      <vt:lpstr>mmProd3!MMSegCurrent</vt:lpstr>
      <vt:lpstr>mmProd4!MMSegCurrent</vt:lpstr>
      <vt:lpstr>mmProd5!MMSegCurrent</vt:lpstr>
      <vt:lpstr>mmProd6!MMSegCurrent</vt:lpstr>
      <vt:lpstr>MMSegCurrent</vt:lpstr>
      <vt:lpstr>mmProd2!MMSegName</vt:lpstr>
      <vt:lpstr>mmProd3!MMSegName</vt:lpstr>
      <vt:lpstr>mmProd4!MMSegName</vt:lpstr>
      <vt:lpstr>mmProd5!MMSegName</vt:lpstr>
      <vt:lpstr>mmProd6!MMSegName</vt:lpstr>
      <vt:lpstr>MMSegName</vt:lpstr>
      <vt:lpstr>mmProd2!MMSegSummary</vt:lpstr>
      <vt:lpstr>mmProd3!MMSegSummary</vt:lpstr>
      <vt:lpstr>mmProd4!MMSegSummary</vt:lpstr>
      <vt:lpstr>mmProd5!MMSegSummary</vt:lpstr>
      <vt:lpstr>mmProd6!MMSegSummary</vt:lpstr>
      <vt:lpstr>MMSegSummary</vt:lpstr>
      <vt:lpstr>mmProd2!MMShareCopy</vt:lpstr>
      <vt:lpstr>mmProd3!MMShareCopy</vt:lpstr>
      <vt:lpstr>mmProd4!MMShareCopy</vt:lpstr>
      <vt:lpstr>mmProd5!MMShareCopy</vt:lpstr>
      <vt:lpstr>mmProd6!MMShareCopy</vt:lpstr>
      <vt:lpstr>MMShareCopy</vt:lpstr>
      <vt:lpstr>mmProd2!MMSharePaste</vt:lpstr>
      <vt:lpstr>mmProd3!MMSharePaste</vt:lpstr>
      <vt:lpstr>mmProd4!MMSharePaste</vt:lpstr>
      <vt:lpstr>mmProd5!MMSharePaste</vt:lpstr>
      <vt:lpstr>mmProd6!MMSharePaste</vt:lpstr>
      <vt:lpstr>MMSharePaste</vt:lpstr>
      <vt:lpstr>mmProd2!MMTotalUnits</vt:lpstr>
      <vt:lpstr>mmProd5!MMTotalUnits</vt:lpstr>
      <vt:lpstr>mmProd6!MMTotalUnits</vt:lpstr>
      <vt:lpstr>obalAPValue</vt:lpstr>
      <vt:lpstr>obalARValue</vt:lpstr>
      <vt:lpstr>obalAssetsValue</vt:lpstr>
      <vt:lpstr>obalCashValue</vt:lpstr>
      <vt:lpstr>obalCSAT</vt:lpstr>
      <vt:lpstr>obalCStockPricePShare</vt:lpstr>
      <vt:lpstr>obalCStockShares</vt:lpstr>
      <vt:lpstr>obalCStockValue</vt:lpstr>
      <vt:lpstr>obalDisrupt1</vt:lpstr>
      <vt:lpstr>obalDisrupt2</vt:lpstr>
      <vt:lpstr>obalEmp1</vt:lpstr>
      <vt:lpstr>obalEmp10</vt:lpstr>
      <vt:lpstr>obalEmp2</vt:lpstr>
      <vt:lpstr>obalEmp3</vt:lpstr>
      <vt:lpstr>obalEmp3Utiliz</vt:lpstr>
      <vt:lpstr>obalEmpDevLevel</vt:lpstr>
      <vt:lpstr>obalGoodWillValue</vt:lpstr>
      <vt:lpstr>obalITcapLevel</vt:lpstr>
      <vt:lpstr>obalLTDebtValue</vt:lpstr>
      <vt:lpstr>obalNetEarnValue</vt:lpstr>
      <vt:lpstr>obalNetRev</vt:lpstr>
      <vt:lpstr>obalOtherCurrLiabValue</vt:lpstr>
      <vt:lpstr>obalPlant1Flex</vt:lpstr>
      <vt:lpstr>obalPlant1Units</vt:lpstr>
      <vt:lpstr>obalPlant1Value</vt:lpstr>
      <vt:lpstr>obalPlantValue</vt:lpstr>
      <vt:lpstr>obalProd1Brand</vt:lpstr>
      <vt:lpstr>obalProd1COGSPUnitDep</vt:lpstr>
      <vt:lpstr>obalProd1COGSPUnitMat</vt:lpstr>
      <vt:lpstr>obalProd1COGSPUnitPlant</vt:lpstr>
      <vt:lpstr>obalProd1Ftr1Level</vt:lpstr>
      <vt:lpstr>obalProd1Ftr2Level</vt:lpstr>
      <vt:lpstr>obalProd1Ftr3Level</vt:lpstr>
      <vt:lpstr>obalProd1Ftr4Level</vt:lpstr>
      <vt:lpstr>obalProd1Reg1UnitsFG</vt:lpstr>
      <vt:lpstr>obalProd1Reg1UnitsSold</vt:lpstr>
      <vt:lpstr>obalProd1Reg1UnitsWIP</vt:lpstr>
      <vt:lpstr>obalProd1Reg2UnitsFG</vt:lpstr>
      <vt:lpstr>obalProd1Reg2UnitsSold</vt:lpstr>
      <vt:lpstr>obalProd1Reg2UnitsWIP</vt:lpstr>
      <vt:lpstr>obalProd21COGSPUnitMat</vt:lpstr>
      <vt:lpstr>obalProd22COGSPUnitMat</vt:lpstr>
      <vt:lpstr>obalProd2Brand</vt:lpstr>
      <vt:lpstr>obalProd2COGSPUnitDep</vt:lpstr>
      <vt:lpstr>obalProd2COGSPUnitLabor</vt:lpstr>
      <vt:lpstr>obalProd2COGSPUnitPlant</vt:lpstr>
      <vt:lpstr>obalProd2Ftr1Level</vt:lpstr>
      <vt:lpstr>obalProd2Ftr2Level</vt:lpstr>
      <vt:lpstr>obalProd2Ftr3Level</vt:lpstr>
      <vt:lpstr>obalProd2Ftr4Level</vt:lpstr>
      <vt:lpstr>obalProd2NetRevsS1</vt:lpstr>
      <vt:lpstr>obalProd2NetRevsS2</vt:lpstr>
      <vt:lpstr>obalProd2Reg1UnitsFG</vt:lpstr>
      <vt:lpstr>obalProd2Reg1UnitsSold</vt:lpstr>
      <vt:lpstr>obalProd2Reg1UnitsWIP</vt:lpstr>
      <vt:lpstr>obalProd2Reg2UnitsFG</vt:lpstr>
      <vt:lpstr>obalProd2Reg2UnitsSold</vt:lpstr>
      <vt:lpstr>obalProd2Reg2UnitsWIP</vt:lpstr>
      <vt:lpstr>obalProd2RevsS1</vt:lpstr>
      <vt:lpstr>obalProd2RevsS2</vt:lpstr>
      <vt:lpstr>obalProd2Unlock1</vt:lpstr>
      <vt:lpstr>obalProd2Unlock2</vt:lpstr>
      <vt:lpstr>obalProd3Brand</vt:lpstr>
      <vt:lpstr>obalProd3COGSPUnitDep</vt:lpstr>
      <vt:lpstr>obalProd3COGSPUnitMat</vt:lpstr>
      <vt:lpstr>obalProd3COGSPUnitPlant</vt:lpstr>
      <vt:lpstr>obalProd3Ftr1Level</vt:lpstr>
      <vt:lpstr>obalProd3Ftr2Level</vt:lpstr>
      <vt:lpstr>obalProd3Ftr3Level</vt:lpstr>
      <vt:lpstr>obalProd3Ftr4Level</vt:lpstr>
      <vt:lpstr>obalProd3Reg1UnitsFG</vt:lpstr>
      <vt:lpstr>obalProd3Reg1UnitsSold</vt:lpstr>
      <vt:lpstr>obalProd3Reg1UnitsWIP</vt:lpstr>
      <vt:lpstr>obalProd3Reg2UnitsFG</vt:lpstr>
      <vt:lpstr>obalProd3Reg2UnitsSold</vt:lpstr>
      <vt:lpstr>obalProd3Reg2UnitsWIP</vt:lpstr>
      <vt:lpstr>obalProd4Brand</vt:lpstr>
      <vt:lpstr>obalProd4COGSPUnitDep</vt:lpstr>
      <vt:lpstr>obalProd4COGSPUnitMat</vt:lpstr>
      <vt:lpstr>obalProd4COGSPUnitPlant</vt:lpstr>
      <vt:lpstr>obalProd4Ftr1Level</vt:lpstr>
      <vt:lpstr>obalProd4Ftr2Level</vt:lpstr>
      <vt:lpstr>obalProd4Ftr3Level</vt:lpstr>
      <vt:lpstr>obalProd4Ftr4Level</vt:lpstr>
      <vt:lpstr>obalProd4Reg1UnitsFG</vt:lpstr>
      <vt:lpstr>obalProd4Reg1UnitsSold</vt:lpstr>
      <vt:lpstr>obalProd4Reg1UnitsWIP</vt:lpstr>
      <vt:lpstr>obalProd4Reg2UnitsFG</vt:lpstr>
      <vt:lpstr>obalProd4Reg2UnitsSold</vt:lpstr>
      <vt:lpstr>obalProd4Reg2UnitsWIP</vt:lpstr>
      <vt:lpstr>obalProd5COGSPUnitDep</vt:lpstr>
      <vt:lpstr>obalProd5COGSPUnitEmp2</vt:lpstr>
      <vt:lpstr>obalProd5COGSPUnitMat</vt:lpstr>
      <vt:lpstr>obalProd5COGSPUnitPlant1</vt:lpstr>
      <vt:lpstr>obalProd6COGSPUnitDep</vt:lpstr>
      <vt:lpstr>obalProd6COGSPUnitEmp2</vt:lpstr>
      <vt:lpstr>obalProd6COGSPUnitMat</vt:lpstr>
      <vt:lpstr>obalProd6COGSPUnitPlant1</vt:lpstr>
      <vt:lpstr>obalRecruitLevel</vt:lpstr>
      <vt:lpstr>obalReg1ARValue</vt:lpstr>
      <vt:lpstr>obalReg1FGValue</vt:lpstr>
      <vt:lpstr>obalReg1MatValue</vt:lpstr>
      <vt:lpstr>obalReg1NetRev</vt:lpstr>
      <vt:lpstr>obalReg1Prod1COGSPUnitLabor</vt:lpstr>
      <vt:lpstr>obalReg1Prod1FGValue</vt:lpstr>
      <vt:lpstr>obalReg1Prod1MatValue</vt:lpstr>
      <vt:lpstr>obalReg1Prod1NetRev</vt:lpstr>
      <vt:lpstr>obalReg1Prod1Price</vt:lpstr>
      <vt:lpstr>obalReg1Prod1Rev</vt:lpstr>
      <vt:lpstr>obalReg1Prod1WIPValue</vt:lpstr>
      <vt:lpstr>obalReg1Prod2FGValue</vt:lpstr>
      <vt:lpstr>obalReg1Prod2MatValue</vt:lpstr>
      <vt:lpstr>obalReg1Prod2NetRev</vt:lpstr>
      <vt:lpstr>obalReg1Prod2Price</vt:lpstr>
      <vt:lpstr>obalReg1Prod2Rev</vt:lpstr>
      <vt:lpstr>obalReg1Prod2WIPValue</vt:lpstr>
      <vt:lpstr>obalReg1Prod3COGSPUnitLabor</vt:lpstr>
      <vt:lpstr>obalReg1Prod3FGValue</vt:lpstr>
      <vt:lpstr>obalReg1Prod3MatValue</vt:lpstr>
      <vt:lpstr>obalReg1Prod3NetRev</vt:lpstr>
      <vt:lpstr>obalReg1Prod3Price</vt:lpstr>
      <vt:lpstr>obalReg1Prod3Rev</vt:lpstr>
      <vt:lpstr>obalReg1Prod3WIPValue</vt:lpstr>
      <vt:lpstr>obalReg1Prod4COGSPUnitLabor</vt:lpstr>
      <vt:lpstr>obalReg1Prod4FGValue</vt:lpstr>
      <vt:lpstr>obalReg1Prod4MatValue</vt:lpstr>
      <vt:lpstr>obalReg1Prod4NetRev</vt:lpstr>
      <vt:lpstr>obalReg1Prod4Price</vt:lpstr>
      <vt:lpstr>obalReg1Prod4Rev</vt:lpstr>
      <vt:lpstr>obalReg1Prod4WIPValue</vt:lpstr>
      <vt:lpstr>obalReg1Prod5FGValue</vt:lpstr>
      <vt:lpstr>obalReg1Prod5MatValue</vt:lpstr>
      <vt:lpstr>obalReg1Prod5WIPValue</vt:lpstr>
      <vt:lpstr>obalReg1Prod6FGValue</vt:lpstr>
      <vt:lpstr>obalReg1Prod6MatValue</vt:lpstr>
      <vt:lpstr>obalReg1Prod6WIPValue</vt:lpstr>
      <vt:lpstr>obalReg1Rev</vt:lpstr>
      <vt:lpstr>obalReg1WIPValue</vt:lpstr>
      <vt:lpstr>obalReg2ARValue</vt:lpstr>
      <vt:lpstr>obalReg2ChanLevel</vt:lpstr>
      <vt:lpstr>obalReg2FGValue</vt:lpstr>
      <vt:lpstr>obalReg2MatValue</vt:lpstr>
      <vt:lpstr>obalReg2NetRev</vt:lpstr>
      <vt:lpstr>obalReg2Prod1COGSPUnitLabor</vt:lpstr>
      <vt:lpstr>obalReg2Prod1FGValue</vt:lpstr>
      <vt:lpstr>obalReg2Prod1MatValue</vt:lpstr>
      <vt:lpstr>obalReg2Prod1NetRev</vt:lpstr>
      <vt:lpstr>obalReg2Prod1Price</vt:lpstr>
      <vt:lpstr>obalReg2Prod1Rev</vt:lpstr>
      <vt:lpstr>obalReg2Prod1WIPValue</vt:lpstr>
      <vt:lpstr>obalReg2Prod2FGValue</vt:lpstr>
      <vt:lpstr>obalReg2Prod2MatValue</vt:lpstr>
      <vt:lpstr>obalReg2Prod2NetRev</vt:lpstr>
      <vt:lpstr>obalReg2Prod2Price</vt:lpstr>
      <vt:lpstr>obalReg2Prod2Rev</vt:lpstr>
      <vt:lpstr>obalReg2Prod2WIPValue</vt:lpstr>
      <vt:lpstr>obalReg2Prod3COGSPUnitLabor</vt:lpstr>
      <vt:lpstr>obalReg2Prod3FGValue</vt:lpstr>
      <vt:lpstr>obalReg2Prod3MatValue</vt:lpstr>
      <vt:lpstr>obalReg2Prod3NetRev</vt:lpstr>
      <vt:lpstr>obalReg2Prod3Price</vt:lpstr>
      <vt:lpstr>obalReg2Prod3Rev</vt:lpstr>
      <vt:lpstr>obalReg2Prod3WIPValue</vt:lpstr>
      <vt:lpstr>obalReg2Prod4COGSPUnitLabor</vt:lpstr>
      <vt:lpstr>obalReg2Prod4FGValue</vt:lpstr>
      <vt:lpstr>obalReg2Prod4MatValue</vt:lpstr>
      <vt:lpstr>obalReg2Prod4NetRev</vt:lpstr>
      <vt:lpstr>obalReg2Prod4Price</vt:lpstr>
      <vt:lpstr>obalReg2Prod4Rev</vt:lpstr>
      <vt:lpstr>obalReg2Prod4WIPValue</vt:lpstr>
      <vt:lpstr>obalReg2Prod5FGValue</vt:lpstr>
      <vt:lpstr>obalReg2Prod5MatValue</vt:lpstr>
      <vt:lpstr>obalReg2Prod5WIPValue</vt:lpstr>
      <vt:lpstr>obalReg2Prod6FGValue</vt:lpstr>
      <vt:lpstr>obalReg2Prod6MatValue</vt:lpstr>
      <vt:lpstr>obalReg2Prod6WIPValue</vt:lpstr>
      <vt:lpstr>obalReg2Rev</vt:lpstr>
      <vt:lpstr>obalReg2WIPValue</vt:lpstr>
      <vt:lpstr>obalRetEarnValue</vt:lpstr>
      <vt:lpstr>obalRev</vt:lpstr>
      <vt:lpstr>obalSpecLoansValue</vt:lpstr>
      <vt:lpstr>obalStratEdaComp</vt:lpstr>
      <vt:lpstr>obalStratEdaCons</vt:lpstr>
      <vt:lpstr>obalStratEdaCSD</vt:lpstr>
      <vt:lpstr>obalStratEdaCust</vt:lpstr>
      <vt:lpstr>obalStratEdaFnS</vt:lpstr>
      <vt:lpstr>obalStratEdaInnov</vt:lpstr>
      <vt:lpstr>obalStratEdaNCB</vt:lpstr>
      <vt:lpstr>obalStratEdaProd</vt:lpstr>
      <vt:lpstr>obalStratVetComp</vt:lpstr>
      <vt:lpstr>obalStratVetCons</vt:lpstr>
      <vt:lpstr>obalStratVetCSD</vt:lpstr>
      <vt:lpstr>obalStratVetCust</vt:lpstr>
      <vt:lpstr>obalStratVetFnS</vt:lpstr>
      <vt:lpstr>obalStratVetInnov</vt:lpstr>
      <vt:lpstr>obalStratVetNCB</vt:lpstr>
      <vt:lpstr>obalStratVetProd</vt:lpstr>
      <vt:lpstr>obalTotalEquity</vt:lpstr>
      <vt:lpstr>obalYr1Innov1</vt:lpstr>
      <vt:lpstr>obalYr1Innov2</vt:lpstr>
      <vt:lpstr>obalYr1Innov3</vt:lpstr>
      <vt:lpstr>obalYr1Innov4</vt:lpstr>
      <vt:lpstr>obalYr1SpecProg1</vt:lpstr>
      <vt:lpstr>obalYr1SpecProg2</vt:lpstr>
      <vt:lpstr>obalYr1SpecProg3</vt:lpstr>
      <vt:lpstr>obalYr1SpecProg4</vt:lpstr>
      <vt:lpstr>obalYr1SpecProg5</vt:lpstr>
      <vt:lpstr>obalYr1SpecProg6</vt:lpstr>
      <vt:lpstr>obalYr2Innov1</vt:lpstr>
      <vt:lpstr>obalYr2Innov2</vt:lpstr>
      <vt:lpstr>obalYr2Innov3</vt:lpstr>
      <vt:lpstr>obalYr2Innov4</vt:lpstr>
      <vt:lpstr>obalYr2SpecProg1</vt:lpstr>
      <vt:lpstr>obalYr2SpecProg2</vt:lpstr>
      <vt:lpstr>obalYr2SpecProg3</vt:lpstr>
      <vt:lpstr>obalYr2SpecProg4</vt:lpstr>
      <vt:lpstr>obalYr2SpecProg5</vt:lpstr>
      <vt:lpstr>obalYr2SpecProg6</vt:lpstr>
      <vt:lpstr>obalYr3Innov1</vt:lpstr>
      <vt:lpstr>obalYr3Innov2</vt:lpstr>
      <vt:lpstr>obalYr3Innov3</vt:lpstr>
      <vt:lpstr>obalYr3Innov4</vt:lpstr>
      <vt:lpstr>obalYr3SpecProg1</vt:lpstr>
      <vt:lpstr>obalYr3SpecProg2</vt:lpstr>
      <vt:lpstr>obalYr3SpecProg3</vt:lpstr>
      <vt:lpstr>obalYr3SpecProg4</vt:lpstr>
      <vt:lpstr>obalYr3SpecProg5</vt:lpstr>
      <vt:lpstr>obalYr3SpecProg6</vt:lpstr>
      <vt:lpstr>paramAPDays</vt:lpstr>
      <vt:lpstr>paramBaseMTUattRate</vt:lpstr>
      <vt:lpstr>paramCashIntRate</vt:lpstr>
      <vt:lpstr>paramChanLevelRamp</vt:lpstr>
      <vt:lpstr>paramCompanyStrategy</vt:lpstr>
      <vt:lpstr>paramConsumerStrategy</vt:lpstr>
      <vt:lpstr>paramCStockParValue</vt:lpstr>
      <vt:lpstr>paramCustomerStrategy</vt:lpstr>
      <vt:lpstr>paramDaysPerYear</vt:lpstr>
      <vt:lpstr>paramEmp10AdminCostPct</vt:lpstr>
      <vt:lpstr>paramEmp10AttRate</vt:lpstr>
      <vt:lpstr>paramEmp10Coeff</vt:lpstr>
      <vt:lpstr>paramEmp10Exp</vt:lpstr>
      <vt:lpstr>paramEmp10Inits</vt:lpstr>
      <vt:lpstr>paramEmp10OTRate</vt:lpstr>
      <vt:lpstr>paramEmp10RecDismCost</vt:lpstr>
      <vt:lpstr>paramEmp10Reg1ChanLevel</vt:lpstr>
      <vt:lpstr>paramEmp10Reg2ChanLevel</vt:lpstr>
      <vt:lpstr>paramEmp1AdminCostPct</vt:lpstr>
      <vt:lpstr>paramEmp1AttRate</vt:lpstr>
      <vt:lpstr>paramEmp1Effect</vt:lpstr>
      <vt:lpstr>paramEmp1Exp</vt:lpstr>
      <vt:lpstr>paramEmp1HoursPYear</vt:lpstr>
      <vt:lpstr>paramEmp1OTRate</vt:lpstr>
      <vt:lpstr>paramEmp1RecDismCost</vt:lpstr>
      <vt:lpstr>paramEmp2AdminCostPct</vt:lpstr>
      <vt:lpstr>paramEmp2AttRate</vt:lpstr>
      <vt:lpstr>paramEmp2Effect</vt:lpstr>
      <vt:lpstr>paramEmp2Exp</vt:lpstr>
      <vt:lpstr>paramEmp2HoursPYear</vt:lpstr>
      <vt:lpstr>paramEmp2OTRate</vt:lpstr>
      <vt:lpstr>paramEmp2RecDismCost</vt:lpstr>
      <vt:lpstr>paramEmp3AdminCostPct</vt:lpstr>
      <vt:lpstr>paramEmp3AttRate</vt:lpstr>
      <vt:lpstr>paramEmp3HoursPYear</vt:lpstr>
      <vt:lpstr>paramEmp3OTRate</vt:lpstr>
      <vt:lpstr>paramEmp3RecDismCost</vt:lpstr>
      <vt:lpstr>paramEmpDevCost</vt:lpstr>
      <vt:lpstr>paramEmpDevRamp</vt:lpstr>
      <vt:lpstr>paramEquityIntRate</vt:lpstr>
      <vt:lpstr>paramGoodwillAmorRate</vt:lpstr>
      <vt:lpstr>paramGTMDigitalLevelCost</vt:lpstr>
      <vt:lpstr>paramInnovationStrategy</vt:lpstr>
      <vt:lpstr>paramITlevelCost</vt:lpstr>
      <vt:lpstr>paramLongTermRD</vt:lpstr>
      <vt:lpstr>paramLTDebtIntRate</vt:lpstr>
      <vt:lpstr>paramOtherCurrLiabGrowth</vt:lpstr>
      <vt:lpstr>paramPlant1DepRate</vt:lpstr>
      <vt:lpstr>paramPlant1DivRevenue</vt:lpstr>
      <vt:lpstr>paramPlant1Efficiency</vt:lpstr>
      <vt:lpstr>paramPlant1HoursReq</vt:lpstr>
      <vt:lpstr>paramPlant1InvCost</vt:lpstr>
      <vt:lpstr>paramPlant1LeasedLines</vt:lpstr>
      <vt:lpstr>paramPlant1LeasingCost</vt:lpstr>
      <vt:lpstr>paramPlant1MachCostPHr</vt:lpstr>
      <vt:lpstr>paramPlant1MachHrsPUnit</vt:lpstr>
      <vt:lpstr>paramPlant1RampUpPct</vt:lpstr>
      <vt:lpstr>paramPlantFlexRamp</vt:lpstr>
      <vt:lpstr>paramProd1CycTimeDays</vt:lpstr>
      <vt:lpstr>paramProd1DisposedUnits</vt:lpstr>
      <vt:lpstr>paramProd1Emp1EngReq</vt:lpstr>
      <vt:lpstr>paramProd1Emp1HrsReq</vt:lpstr>
      <vt:lpstr>paramProd1Emp2HrsReq</vt:lpstr>
      <vt:lpstr>paramProd1FixedAdmin</vt:lpstr>
      <vt:lpstr>paramProd1InnovReg1</vt:lpstr>
      <vt:lpstr>paramProd1InnovReg2</vt:lpstr>
      <vt:lpstr>paramProd1InventoryHndlgPct</vt:lpstr>
      <vt:lpstr>paramProd1LabHrsReqPUnit</vt:lpstr>
      <vt:lpstr>paramProd1MachHrsReqPUnit</vt:lpstr>
      <vt:lpstr>paramProd1MatCostPUnit</vt:lpstr>
      <vt:lpstr>paramProd1MatPctOfProduction</vt:lpstr>
      <vt:lpstr>paramProd1MinFamBrand</vt:lpstr>
      <vt:lpstr>paramProd1RDFtr1Cost</vt:lpstr>
      <vt:lpstr>paramProd1RDFtr2Cost</vt:lpstr>
      <vt:lpstr>paramProd1RDFtr4Cost</vt:lpstr>
      <vt:lpstr>paramProd1RoyaltyCostPUnit</vt:lpstr>
      <vt:lpstr>paramProd21MatCostPUnit</vt:lpstr>
      <vt:lpstr>paramProd22MatCostPUnit</vt:lpstr>
      <vt:lpstr>paramProd2CycTimeDays</vt:lpstr>
      <vt:lpstr>paramProd2DisposedUnits</vt:lpstr>
      <vt:lpstr>paramProd2Emp1HrsReq</vt:lpstr>
      <vt:lpstr>paramProd2Emp1Req</vt:lpstr>
      <vt:lpstr>paramProd2Emp2HrsReq</vt:lpstr>
      <vt:lpstr>paramProd2FixedAdmin</vt:lpstr>
      <vt:lpstr>paramProd2InventoryHndlgPct</vt:lpstr>
      <vt:lpstr>paramProd2LabHrsReqPUnit</vt:lpstr>
      <vt:lpstr>paramProd2MachHrsReqPUnit</vt:lpstr>
      <vt:lpstr>paramProd2MatPctOfProduction</vt:lpstr>
      <vt:lpstr>paramProd2MinFamBrand</vt:lpstr>
      <vt:lpstr>paramProd2RDFtr1Cost</vt:lpstr>
      <vt:lpstr>paramProd2RDFtr2Cost</vt:lpstr>
      <vt:lpstr>paramProd2RDFtr4Cost</vt:lpstr>
      <vt:lpstr>paramProd2RoyaltyCostPUnit</vt:lpstr>
      <vt:lpstr>paramProd3CycTimeDays</vt:lpstr>
      <vt:lpstr>paramProd3DisposedUnits</vt:lpstr>
      <vt:lpstr>paramProd3Emp1HrsReq</vt:lpstr>
      <vt:lpstr>paramProd3Emp1Req</vt:lpstr>
      <vt:lpstr>paramProd3Emp2HrsReq</vt:lpstr>
      <vt:lpstr>paramProd3FixedAdmin</vt:lpstr>
      <vt:lpstr>paramProd3InnovReg1</vt:lpstr>
      <vt:lpstr>paramProd3InnovReg2</vt:lpstr>
      <vt:lpstr>paramProd3InventoryHndlgPct</vt:lpstr>
      <vt:lpstr>paramProd3LabHrsReqPUnit</vt:lpstr>
      <vt:lpstr>paramProd3MachHrsReqPUnit</vt:lpstr>
      <vt:lpstr>paramProd3MatCostPUnit</vt:lpstr>
      <vt:lpstr>paramProd3MatPctOfProduction</vt:lpstr>
      <vt:lpstr>paramProd3MinFamBrand</vt:lpstr>
      <vt:lpstr>paramProd3RDFtr1Cost</vt:lpstr>
      <vt:lpstr>paramProd3RDFtr2Cost</vt:lpstr>
      <vt:lpstr>paramProd3RDFtr4Cost</vt:lpstr>
      <vt:lpstr>paramProd3RoyaltyCostPUnit</vt:lpstr>
      <vt:lpstr>paramProd4CycTimeDays</vt:lpstr>
      <vt:lpstr>paramProd4DisposedUnits</vt:lpstr>
      <vt:lpstr>paramProd4Emp1HrsReq</vt:lpstr>
      <vt:lpstr>paramProd4Emp1Req</vt:lpstr>
      <vt:lpstr>paramProd4Emp2HrsReq</vt:lpstr>
      <vt:lpstr>paramProd4FixedAdmin</vt:lpstr>
      <vt:lpstr>paramProd4InnovReg1</vt:lpstr>
      <vt:lpstr>paramProd4InnovReg2</vt:lpstr>
      <vt:lpstr>paramProd4InventoryHndlgPct</vt:lpstr>
      <vt:lpstr>paramProd4LabHrsReqPUnit</vt:lpstr>
      <vt:lpstr>paramProd4MachHrsReqPUnit</vt:lpstr>
      <vt:lpstr>paramProd4MatCostPUnit</vt:lpstr>
      <vt:lpstr>paramProd4MatCostPUnitPFtr3Level</vt:lpstr>
      <vt:lpstr>paramProd4MatPctOfProduction</vt:lpstr>
      <vt:lpstr>paramProd4MinFamBrand</vt:lpstr>
      <vt:lpstr>paramProd4RDFtr1Cost</vt:lpstr>
      <vt:lpstr>paramProd4RDFtr2Cost</vt:lpstr>
      <vt:lpstr>paramProd4RDFtr4Cost</vt:lpstr>
      <vt:lpstr>paramProd4RoyaltyCostPUnit</vt:lpstr>
      <vt:lpstr>paramProductivityStrategy</vt:lpstr>
      <vt:lpstr>paramRecruitLevelCost</vt:lpstr>
      <vt:lpstr>paramRecruitLevelRamp</vt:lpstr>
      <vt:lpstr>paramReg1ARCreditDays</vt:lpstr>
      <vt:lpstr>paramReg1Emp3Exp</vt:lpstr>
      <vt:lpstr>paramReg1Prod1CommSpendEffect</vt:lpstr>
      <vt:lpstr>paramReg1Prod1DispCostPct</vt:lpstr>
      <vt:lpstr>paramReg1Prod1DistCostPUnit</vt:lpstr>
      <vt:lpstr>paramReg1Prod2CommSpendEffect</vt:lpstr>
      <vt:lpstr>paramReg1Prod2DispCostPct</vt:lpstr>
      <vt:lpstr>paramReg1Prod2DistCostPUnit</vt:lpstr>
      <vt:lpstr>paramReg1Prod3CommSpendEffect</vt:lpstr>
      <vt:lpstr>paramReg1Prod3DispCostPct</vt:lpstr>
      <vt:lpstr>paramReg1Prod3DistCostPUnit</vt:lpstr>
      <vt:lpstr>paramReg1Prod4CommSpendEffect</vt:lpstr>
      <vt:lpstr>paramReg1Prod4DispCostPct</vt:lpstr>
      <vt:lpstr>paramReg1Prod4DistCostPUnit</vt:lpstr>
      <vt:lpstr>paramReg2ARCreditDays</vt:lpstr>
      <vt:lpstr>paramReg2Emp3Exp</vt:lpstr>
      <vt:lpstr>paramReg2Prod1CommSpendEffect</vt:lpstr>
      <vt:lpstr>paramReg2Prod1DispCostPct</vt:lpstr>
      <vt:lpstr>paramReg2Prod1DistCostPUnit</vt:lpstr>
      <vt:lpstr>paramReg2Prod2CommSpendEffect</vt:lpstr>
      <vt:lpstr>paramReg2Prod2DispCostPct</vt:lpstr>
      <vt:lpstr>paramReg2Prod2DistCostPUnit</vt:lpstr>
      <vt:lpstr>paramReg2Prod3CommSpendEffect</vt:lpstr>
      <vt:lpstr>paramReg2Prod3DispCostPct</vt:lpstr>
      <vt:lpstr>paramReg2Prod3DistCostPUnit</vt:lpstr>
      <vt:lpstr>paramReg2Prod4CommSpendEffect</vt:lpstr>
      <vt:lpstr>paramReg2Prod4DispCostPct</vt:lpstr>
      <vt:lpstr>paramReg2Prod4DistCostPUnit</vt:lpstr>
      <vt:lpstr>paramRnDttmCoeff</vt:lpstr>
      <vt:lpstr>paramSpecLoansIntRate</vt:lpstr>
      <vt:lpstr>paramSpecLoansRate</vt:lpstr>
      <vt:lpstr>paramSpecProgExp</vt:lpstr>
      <vt:lpstr>paramSpecProgProd2Sales</vt:lpstr>
      <vt:lpstr>paramSpecProgReg1Prod1Exp</vt:lpstr>
      <vt:lpstr>paramSpecProgReg1Prod1Sales</vt:lpstr>
      <vt:lpstr>paramSpecProgReg1Prod2Exp</vt:lpstr>
      <vt:lpstr>paramSpecProgReg1Prod2Sales</vt:lpstr>
      <vt:lpstr>paramSpecProgReg1Prod3Exp</vt:lpstr>
      <vt:lpstr>paramSpecProgReg1Prod3Sales</vt:lpstr>
      <vt:lpstr>paramSpecProgReg1Prod4Exp</vt:lpstr>
      <vt:lpstr>paramSpecProgReg1Prod4Sales</vt:lpstr>
      <vt:lpstr>paramSpecProgReg2Prod1Exp</vt:lpstr>
      <vt:lpstr>paramSpecProgReg2Prod1Sales</vt:lpstr>
      <vt:lpstr>paramSpecProgReg2Prod2Exp</vt:lpstr>
      <vt:lpstr>paramSpecProgReg2Prod3Exp</vt:lpstr>
      <vt:lpstr>paramSpecProgReg2Prod3Sales</vt:lpstr>
      <vt:lpstr>paramSpecProgReg2Prod4Exp</vt:lpstr>
      <vt:lpstr>paramSpecProgReg2Prod4Sales</vt:lpstr>
      <vt:lpstr>paramSustainability</vt:lpstr>
      <vt:lpstr>paramTaxRate</vt:lpstr>
      <vt:lpstr>analysis!Print_Area</vt:lpstr>
      <vt:lpstr>DataPage!Print_Area</vt:lpstr>
      <vt:lpstr>InBevRemaining!Print_Area</vt:lpstr>
      <vt:lpstr>mmProd1!Print_Area</vt:lpstr>
      <vt:lpstr>mmProd4!Print_Area</vt:lpstr>
      <vt:lpstr>ReportCompetitor!Print_Area</vt:lpstr>
      <vt:lpstr>toolBalSheet!Print_Area</vt:lpstr>
      <vt:lpstr>toolCashFlow!Print_Area</vt:lpstr>
      <vt:lpstr>toolDecSummary!Print_Area</vt:lpstr>
      <vt:lpstr>toolEscendia!Print_Area</vt:lpstr>
      <vt:lpstr>toolGoals!Print_Area</vt:lpstr>
      <vt:lpstr>toolGSS!Print_Area</vt:lpstr>
      <vt:lpstr>toolIntro!Print_Area</vt:lpstr>
      <vt:lpstr>toolOps!Print_Area</vt:lpstr>
      <vt:lpstr>toolPNL!Print_Area</vt:lpstr>
      <vt:lpstr>toolPNLRegionA!Print_Area</vt:lpstr>
      <vt:lpstr>toolPNLRegionB!Print_Area</vt:lpstr>
      <vt:lpstr>toolPrograms!Print_Area</vt:lpstr>
      <vt:lpstr>toolRnD!Print_Area</vt:lpstr>
      <vt:lpstr>toolROIC!Print_Area</vt:lpstr>
      <vt:lpstr>toolROIC_Two!Print_Area</vt:lpstr>
      <vt:lpstr>toolStrategy!Print_Area</vt:lpstr>
      <vt:lpstr>toolVetera!Print_Area</vt:lpstr>
      <vt:lpstr>prod1Reg1Focus</vt:lpstr>
      <vt:lpstr>prod1Reg2Focus</vt:lpstr>
      <vt:lpstr>prod3Reg1Focus</vt:lpstr>
      <vt:lpstr>prod3Reg2Focus</vt:lpstr>
      <vt:lpstr>prod4Reg1Focus</vt:lpstr>
      <vt:lpstr>prod4Reg2Focus</vt:lpstr>
      <vt:lpstr>RAreatoolBalSheet</vt:lpstr>
      <vt:lpstr>RAreatoolCashFlow</vt:lpstr>
      <vt:lpstr>ScoreCard</vt:lpstr>
      <vt:lpstr>toolAnalyVision!Screen</vt:lpstr>
      <vt:lpstr>toolBalSheet!Screen</vt:lpstr>
      <vt:lpstr>toolCashFlow!Screen</vt:lpstr>
      <vt:lpstr>toolDecSummary!Screen</vt:lpstr>
      <vt:lpstr>toolEscendia!Screen</vt:lpstr>
      <vt:lpstr>toolGoals!Screen</vt:lpstr>
      <vt:lpstr>toolGraphData!Screen</vt:lpstr>
      <vt:lpstr>toolGSS!Screen</vt:lpstr>
      <vt:lpstr>toolIntro!Screen</vt:lpstr>
      <vt:lpstr>toolOps!Screen</vt:lpstr>
      <vt:lpstr>toolPNL!Screen</vt:lpstr>
      <vt:lpstr>toolPNLRegionA!Screen</vt:lpstr>
      <vt:lpstr>toolPNLRegionB!Screen</vt:lpstr>
      <vt:lpstr>toolPrograms!Screen</vt:lpstr>
      <vt:lpstr>toolRnD!Screen</vt:lpstr>
      <vt:lpstr>toolROIC!Screen</vt:lpstr>
      <vt:lpstr>toolROIC_Two!Screen</vt:lpstr>
      <vt:lpstr>toolStrategy!Screen</vt:lpstr>
      <vt:lpstr>toolTEMPLATE!Screen</vt:lpstr>
      <vt:lpstr>toolVetera!Screen</vt:lpstr>
      <vt:lpstr>ScreentoolAnalyVision</vt:lpstr>
      <vt:lpstr>ScreentoolBalSheet</vt:lpstr>
      <vt:lpstr>ScreentoolCashFlow</vt:lpstr>
      <vt:lpstr>ScreentoolDecSummary</vt:lpstr>
      <vt:lpstr>ScreentoolEscendia</vt:lpstr>
      <vt:lpstr>ScreentoolGoals</vt:lpstr>
      <vt:lpstr>ScreentoolGSS</vt:lpstr>
      <vt:lpstr>ScreentoolIntro</vt:lpstr>
      <vt:lpstr>screentoolOps</vt:lpstr>
      <vt:lpstr>ScreentoolPNL</vt:lpstr>
      <vt:lpstr>ScreentoolPNLRegA</vt:lpstr>
      <vt:lpstr>ScreentoolPNLRegB</vt:lpstr>
      <vt:lpstr>ScreentoolPrograms</vt:lpstr>
      <vt:lpstr>ScreentoolPROGS</vt:lpstr>
      <vt:lpstr>ScreentoolRnD</vt:lpstr>
      <vt:lpstr>ScreentoolROIC</vt:lpstr>
      <vt:lpstr>ScreentoolROICTwo</vt:lpstr>
      <vt:lpstr>ScreentoolStrategy</vt:lpstr>
      <vt:lpstr>ScreentoolVetera</vt:lpstr>
      <vt:lpstr>SimName</vt:lpstr>
      <vt:lpstr>test</vt:lpstr>
      <vt:lpstr>TestAuto_Constraint_Max</vt:lpstr>
      <vt:lpstr>TestAuto_Constraint_Metric</vt:lpstr>
      <vt:lpstr>TestAuto_Constraint_Min</vt:lpstr>
      <vt:lpstr>TestAuto_Names</vt:lpstr>
      <vt:lpstr>TestAuto_OutputMetrics</vt:lpstr>
      <vt:lpstr>TestAuto_Types</vt:lpstr>
      <vt:lpstr>TestAuto_Values</vt:lpstr>
      <vt:lpstr>tlInputCEO</vt:lpstr>
      <vt:lpstr>tlInputCorpDiffr1</vt:lpstr>
      <vt:lpstr>tlInputCorpDiffr2</vt:lpstr>
      <vt:lpstr>tlInputCorpDiffr3</vt:lpstr>
      <vt:lpstr>tlInputCorpStrat1</vt:lpstr>
      <vt:lpstr>tlInputCorpStrat2</vt:lpstr>
      <vt:lpstr>tlInputDisrupt1</vt:lpstr>
      <vt:lpstr>tlInputDisrupt2</vt:lpstr>
      <vt:lpstr>tlInputDividendAmount</vt:lpstr>
      <vt:lpstr>tlInputEdaDiffr1</vt:lpstr>
      <vt:lpstr>tlInputEdaDiffr2</vt:lpstr>
      <vt:lpstr>tlInputEdaDiffr3</vt:lpstr>
      <vt:lpstr>tlInputEmp1Change</vt:lpstr>
      <vt:lpstr>tlInputEmp2Change</vt:lpstr>
      <vt:lpstr>tlInputEmp3Change</vt:lpstr>
      <vt:lpstr>tlInputEmpDevLevel</vt:lpstr>
      <vt:lpstr>tlInputGMesc</vt:lpstr>
      <vt:lpstr>tlInputGMvet</vt:lpstr>
      <vt:lpstr>tlInputGoals1</vt:lpstr>
      <vt:lpstr>tlInputGoals10</vt:lpstr>
      <vt:lpstr>tlInputGoals11</vt:lpstr>
      <vt:lpstr>tlInputGoals12</vt:lpstr>
      <vt:lpstr>tlInputGoals13</vt:lpstr>
      <vt:lpstr>tlInputGoals3</vt:lpstr>
      <vt:lpstr>tlInputGoals4</vt:lpstr>
      <vt:lpstr>tlInputGoals5</vt:lpstr>
      <vt:lpstr>tlInputGoals6</vt:lpstr>
      <vt:lpstr>tlInputGoals7</vt:lpstr>
      <vt:lpstr>tlInputGoals8</vt:lpstr>
      <vt:lpstr>tlInputGoals9</vt:lpstr>
      <vt:lpstr>tlInputInnov1</vt:lpstr>
      <vt:lpstr>tlInputInnov1Cond</vt:lpstr>
      <vt:lpstr>tlInputInnov2</vt:lpstr>
      <vt:lpstr>tlInputInnov2Cond</vt:lpstr>
      <vt:lpstr>tlInputInnov3</vt:lpstr>
      <vt:lpstr>tlInputInnov3Cond</vt:lpstr>
      <vt:lpstr>tlInputInnov4</vt:lpstr>
      <vt:lpstr>tlInputInnov4Cond</vt:lpstr>
      <vt:lpstr>tlInputITcapAdd</vt:lpstr>
      <vt:lpstr>tlInputLTDebtChange</vt:lpstr>
      <vt:lpstr>tlInputPlant1Flex</vt:lpstr>
      <vt:lpstr>tlInputPlant1UnitsChange</vt:lpstr>
      <vt:lpstr>tlInputProd1Adv</vt:lpstr>
      <vt:lpstr>tlInputProd1AdvR2</vt:lpstr>
      <vt:lpstr>tlInputProd1Brand</vt:lpstr>
      <vt:lpstr>tlInputProd1Ftr1</vt:lpstr>
      <vt:lpstr>tlInputProd1Ftr1Level</vt:lpstr>
      <vt:lpstr>tlInputProd1Ftr2</vt:lpstr>
      <vt:lpstr>tlInputProd1Ftr2Level</vt:lpstr>
      <vt:lpstr>tlInputProd1Ftr4LevelDec</vt:lpstr>
      <vt:lpstr>tlInputProd1Promo</vt:lpstr>
      <vt:lpstr>tlInputProd1PromoR2</vt:lpstr>
      <vt:lpstr>tlInputProd1Reg1Grth</vt:lpstr>
      <vt:lpstr>tlInputProd1Reg1Price</vt:lpstr>
      <vt:lpstr>tlInputProd1Reg2Grth</vt:lpstr>
      <vt:lpstr>tlInputProd1Reg2Price</vt:lpstr>
      <vt:lpstr>tlInputProd1WhatIfUnits</vt:lpstr>
      <vt:lpstr>tlInputProd21Ftr4LevelDec</vt:lpstr>
      <vt:lpstr>tlInputProd22Ftr4LevelDec</vt:lpstr>
      <vt:lpstr>tlInputProd2Adv</vt:lpstr>
      <vt:lpstr>tlInputProd2Adv2</vt:lpstr>
      <vt:lpstr>tlInputProd2Promo1</vt:lpstr>
      <vt:lpstr>tlInputProd2Promo2</vt:lpstr>
      <vt:lpstr>tlInputProd2Reg1Price</vt:lpstr>
      <vt:lpstr>tlInputProd2Reg1Units</vt:lpstr>
      <vt:lpstr>tlInputProd2Reg2Price</vt:lpstr>
      <vt:lpstr>tlInputProd2Reg2Units</vt:lpstr>
      <vt:lpstr>tlInputProd2WhatIfUnits</vt:lpstr>
      <vt:lpstr>tlInputProd3Adv</vt:lpstr>
      <vt:lpstr>tlInputProd3AdvR2</vt:lpstr>
      <vt:lpstr>tlInputProd3Brand</vt:lpstr>
      <vt:lpstr>tlInputProd3Ftr1</vt:lpstr>
      <vt:lpstr>tlInputProd3Ftr1Level</vt:lpstr>
      <vt:lpstr>tlInputProd3Ftr2</vt:lpstr>
      <vt:lpstr>tlInputProd3Ftr2Level</vt:lpstr>
      <vt:lpstr>tlInputProd3Ftr4LevelDec</vt:lpstr>
      <vt:lpstr>tlInputProd3Promo</vt:lpstr>
      <vt:lpstr>tlInputProd3PromoR2</vt:lpstr>
      <vt:lpstr>tlInputProd3Reg1Grth</vt:lpstr>
      <vt:lpstr>tlInputProd3Reg1Price</vt:lpstr>
      <vt:lpstr>tlInputProd3Reg2Grth</vt:lpstr>
      <vt:lpstr>tlInputProd3Reg2Price</vt:lpstr>
      <vt:lpstr>tlInputProd3WhatIfUnits</vt:lpstr>
      <vt:lpstr>tlInputProd4Adv</vt:lpstr>
      <vt:lpstr>tlInputProd4AdvR2</vt:lpstr>
      <vt:lpstr>tlInputProd4Brand</vt:lpstr>
      <vt:lpstr>tlInputProd4Ftr1</vt:lpstr>
      <vt:lpstr>tlInputProd4Ftr1Level</vt:lpstr>
      <vt:lpstr>tlInputProd4Ftr2</vt:lpstr>
      <vt:lpstr>tlInputProd4Ftr2Level</vt:lpstr>
      <vt:lpstr>tlInputProd4Ftr3</vt:lpstr>
      <vt:lpstr>tlInputProd4Ftr3Level</vt:lpstr>
      <vt:lpstr>tlInputProd4Ftr4LevelDec</vt:lpstr>
      <vt:lpstr>tlInputProd4Promo</vt:lpstr>
      <vt:lpstr>tlInputProd4PromoR2</vt:lpstr>
      <vt:lpstr>tlInputProd4Reg1Grth</vt:lpstr>
      <vt:lpstr>tlInputProd4Reg1Price</vt:lpstr>
      <vt:lpstr>tlInputProd4Reg2Grth</vt:lpstr>
      <vt:lpstr>tlInputProd4Reg2Price</vt:lpstr>
      <vt:lpstr>tlInputProd4WhatIfUnits</vt:lpstr>
      <vt:lpstr>tlInputRecruitLevel</vt:lpstr>
      <vt:lpstr>tlInputReg1ChanLevel</vt:lpstr>
      <vt:lpstr>tlInputReg1OnPremAdv</vt:lpstr>
      <vt:lpstr>tlInputReg2ChanLevel</vt:lpstr>
      <vt:lpstr>tlInputReg2OnPremAdv</vt:lpstr>
      <vt:lpstr>tlInputSpecProg1</vt:lpstr>
      <vt:lpstr>tlInputSpecProg1Check</vt:lpstr>
      <vt:lpstr>tlInputSpecProg2</vt:lpstr>
      <vt:lpstr>tlInputSpecProg2Check</vt:lpstr>
      <vt:lpstr>tlInputSpecProg3</vt:lpstr>
      <vt:lpstr>tlInputSpecProg3Check</vt:lpstr>
      <vt:lpstr>tlInputSpecProg4</vt:lpstr>
      <vt:lpstr>tlInputSpecProg4Check</vt:lpstr>
      <vt:lpstr>tlInputSpecProg5</vt:lpstr>
      <vt:lpstr>tlInputSpecProg5Check</vt:lpstr>
      <vt:lpstr>tlInputSpecProg6</vt:lpstr>
      <vt:lpstr>tlInputSpecProg6Check</vt:lpstr>
      <vt:lpstr>tlInputStratEdaComp</vt:lpstr>
      <vt:lpstr>tlInputStratEdaCons</vt:lpstr>
      <vt:lpstr>tlInputStratEdaCSD</vt:lpstr>
      <vt:lpstr>tlInputStratEdaCust</vt:lpstr>
      <vt:lpstr>tlInputStratEdaFnS</vt:lpstr>
      <vt:lpstr>tlInputStratEdaInnov</vt:lpstr>
      <vt:lpstr>tlInputStratEdaNCB</vt:lpstr>
      <vt:lpstr>tlInputStratEdaProd</vt:lpstr>
      <vt:lpstr>tlInputStratName</vt:lpstr>
      <vt:lpstr>tlInputStratVetComp</vt:lpstr>
      <vt:lpstr>tlInputStratVetCons</vt:lpstr>
      <vt:lpstr>tlInputStratVetCSD</vt:lpstr>
      <vt:lpstr>tlInputStratVetCust</vt:lpstr>
      <vt:lpstr>tlInputStratVetFnS</vt:lpstr>
      <vt:lpstr>tlInputStratVetInnov</vt:lpstr>
      <vt:lpstr>tlInputStratVetNCB</vt:lpstr>
      <vt:lpstr>tlInputStratVetProd</vt:lpstr>
      <vt:lpstr>tlInputSVPops</vt:lpstr>
      <vt:lpstr>tlInputSVPrnd</vt:lpstr>
      <vt:lpstr>tlInputSVPshared</vt:lpstr>
      <vt:lpstr>tlInputSWOTo1</vt:lpstr>
      <vt:lpstr>tlInputSWOTo2</vt:lpstr>
      <vt:lpstr>tlInputSWOTo3</vt:lpstr>
      <vt:lpstr>tlInputSWOTo4</vt:lpstr>
      <vt:lpstr>tlInputSWOTo5</vt:lpstr>
      <vt:lpstr>tlInputSWOTs1</vt:lpstr>
      <vt:lpstr>tlInputSWOTs2</vt:lpstr>
      <vt:lpstr>tlInputSWOTs3</vt:lpstr>
      <vt:lpstr>tlInputSWOTs4</vt:lpstr>
      <vt:lpstr>tlInputSWOTs5</vt:lpstr>
      <vt:lpstr>tlInputSWOTt1</vt:lpstr>
      <vt:lpstr>tlInputSWOTt2</vt:lpstr>
      <vt:lpstr>tlInputSWOTt3</vt:lpstr>
      <vt:lpstr>tlInputSWOTt4</vt:lpstr>
      <vt:lpstr>tlInputSWOTt5</vt:lpstr>
      <vt:lpstr>tlInputSWOTw1</vt:lpstr>
      <vt:lpstr>tlInputSWOTw2</vt:lpstr>
      <vt:lpstr>tlInputSWOTw3</vt:lpstr>
      <vt:lpstr>tlInputSWOTw4</vt:lpstr>
      <vt:lpstr>tlInputSWOTw5</vt:lpstr>
      <vt:lpstr>tlInputTeamName</vt:lpstr>
      <vt:lpstr>tlInputTeamNumber</vt:lpstr>
      <vt:lpstr>tlInputTeamYear</vt:lpstr>
      <vt:lpstr>tlInputVetDiffr1</vt:lpstr>
      <vt:lpstr>tlInputVetDiffr2</vt:lpstr>
      <vt:lpstr>tlInputVetDiffr3</vt:lpstr>
      <vt:lpstr>tlInputVision</vt:lpstr>
      <vt:lpstr>tlInputWhatIfActivate</vt:lpstr>
      <vt:lpstr>tlInputWobbler1</vt:lpstr>
      <vt:lpstr>tlInputWobbler2</vt:lpstr>
      <vt:lpstr>tlInputWobbler3</vt:lpstr>
      <vt:lpstr>tlInputWobbler4</vt:lpstr>
      <vt:lpstr>tlobalAPValue</vt:lpstr>
      <vt:lpstr>tlobalARValue</vt:lpstr>
      <vt:lpstr>tlobalAssetsValue</vt:lpstr>
      <vt:lpstr>tlobalCashValue</vt:lpstr>
      <vt:lpstr>tlobalCSAT</vt:lpstr>
      <vt:lpstr>tlobalCStockPricePShare</vt:lpstr>
      <vt:lpstr>tlobalCStockShares</vt:lpstr>
      <vt:lpstr>tlobalCStockValue</vt:lpstr>
      <vt:lpstr>tlobalDisrupt1</vt:lpstr>
      <vt:lpstr>tlobalDisrupt2</vt:lpstr>
      <vt:lpstr>tlobalEmp1</vt:lpstr>
      <vt:lpstr>tlobalEmp10</vt:lpstr>
      <vt:lpstr>tlobalEmp2</vt:lpstr>
      <vt:lpstr>tlobalEmp3</vt:lpstr>
      <vt:lpstr>tlobalEmp3Utiliz</vt:lpstr>
      <vt:lpstr>tlobalEmpDevLevel</vt:lpstr>
      <vt:lpstr>tlobalGoodWillValue</vt:lpstr>
      <vt:lpstr>tlobalITcapLevel</vt:lpstr>
      <vt:lpstr>tlobalLTDebtValue</vt:lpstr>
      <vt:lpstr>tlobalNetEarnValue</vt:lpstr>
      <vt:lpstr>tlobalNetRev</vt:lpstr>
      <vt:lpstr>tlobalOtherCurrLiabValue</vt:lpstr>
      <vt:lpstr>tlobalPlant1Flex</vt:lpstr>
      <vt:lpstr>tlobalPlant1Units</vt:lpstr>
      <vt:lpstr>tlobalPlant1Value</vt:lpstr>
      <vt:lpstr>tlobalPlantValue</vt:lpstr>
      <vt:lpstr>tlobalProd1Brand</vt:lpstr>
      <vt:lpstr>tlobalProd1COGSPUnitDep</vt:lpstr>
      <vt:lpstr>tlobalProd1COGSPUnitMat</vt:lpstr>
      <vt:lpstr>tlobalProd1COGSPUnitPlant</vt:lpstr>
      <vt:lpstr>tlobalProd1Ftr1Level</vt:lpstr>
      <vt:lpstr>tlobalProd1Ftr2Level</vt:lpstr>
      <vt:lpstr>tlobalProd1Ftr3Level</vt:lpstr>
      <vt:lpstr>tlobalProd1Ftr4Level</vt:lpstr>
      <vt:lpstr>tlobalProd1Reg1UnitsFG</vt:lpstr>
      <vt:lpstr>tlobalProd1Reg1UnitsSold</vt:lpstr>
      <vt:lpstr>tlobalProd1Reg1UnitsWIP</vt:lpstr>
      <vt:lpstr>tlobalProd1Reg2UnitsFG</vt:lpstr>
      <vt:lpstr>tlobalProd1Reg2UnitsSold</vt:lpstr>
      <vt:lpstr>tlobalProd1Reg2UnitsWIP</vt:lpstr>
      <vt:lpstr>tlobalProd21COGSPUnitMat</vt:lpstr>
      <vt:lpstr>tlobalProd22COGSPUnitMat</vt:lpstr>
      <vt:lpstr>tlobalProd2Brand</vt:lpstr>
      <vt:lpstr>tlobalProd2COGSPUnitDep</vt:lpstr>
      <vt:lpstr>tlobalProd2COGSPUnitLabor</vt:lpstr>
      <vt:lpstr>tlobalProd2COGSPUnitPlant</vt:lpstr>
      <vt:lpstr>tlobalProd2Ftr1Level</vt:lpstr>
      <vt:lpstr>tlobalProd2Ftr2Level</vt:lpstr>
      <vt:lpstr>tlobalProd2Ftr3Level</vt:lpstr>
      <vt:lpstr>tlobalProd2Ftr4Level</vt:lpstr>
      <vt:lpstr>tlobalProd2NetRevsS1</vt:lpstr>
      <vt:lpstr>tlobalProd2NetRevsS2</vt:lpstr>
      <vt:lpstr>tlobalProd2Reg1UnitsFG</vt:lpstr>
      <vt:lpstr>tlobalProd2Reg1UnitsSold</vt:lpstr>
      <vt:lpstr>tlobalProd2Reg1UnitsWIP</vt:lpstr>
      <vt:lpstr>tlobalProd2Reg2UnitsFG</vt:lpstr>
      <vt:lpstr>tlobalProd2Reg2UnitsSold</vt:lpstr>
      <vt:lpstr>tlobalProd2Reg2UnitsWIP</vt:lpstr>
      <vt:lpstr>tlobalProd2RevsS1</vt:lpstr>
      <vt:lpstr>tlobalProd2RevsS2</vt:lpstr>
      <vt:lpstr>tlobalProd2Unlock1</vt:lpstr>
      <vt:lpstr>tlobalProd2Unlock2</vt:lpstr>
      <vt:lpstr>tlobalProd3Brand</vt:lpstr>
      <vt:lpstr>tlobalProd3COGSPUnitDep</vt:lpstr>
      <vt:lpstr>tlobalProd3COGSPUnitMat</vt:lpstr>
      <vt:lpstr>tlobalProd3COGSPUnitPlant</vt:lpstr>
      <vt:lpstr>tlobalProd3Ftr1Level</vt:lpstr>
      <vt:lpstr>tlobalProd3Ftr2Level</vt:lpstr>
      <vt:lpstr>tlobalProd3Ftr3Level</vt:lpstr>
      <vt:lpstr>tlobalProd3Ftr4Level</vt:lpstr>
      <vt:lpstr>tlobalProd3Reg1UnitsFG</vt:lpstr>
      <vt:lpstr>tlobalProd3Reg1UnitsSold</vt:lpstr>
      <vt:lpstr>tlobalProd3Reg1UnitsWIP</vt:lpstr>
      <vt:lpstr>tlobalProd3Reg2UnitsFG</vt:lpstr>
      <vt:lpstr>tlobalProd3Reg2UnitsSold</vt:lpstr>
      <vt:lpstr>tlobalProd3Reg2UnitsWIP</vt:lpstr>
      <vt:lpstr>tlobalProd4Brand</vt:lpstr>
      <vt:lpstr>tlobalProd4COGSPUnitDep</vt:lpstr>
      <vt:lpstr>tlobalProd4COGSPUnitMat</vt:lpstr>
      <vt:lpstr>tlobalProd4COGSPUnitPlant</vt:lpstr>
      <vt:lpstr>tlobalProd4Ftr1Level</vt:lpstr>
      <vt:lpstr>tlobalProd4Ftr2Level</vt:lpstr>
      <vt:lpstr>tlobalProd4Ftr3Level</vt:lpstr>
      <vt:lpstr>tlobalProd4Ftr4Level</vt:lpstr>
      <vt:lpstr>tlobalProd4Reg1UnitsFG</vt:lpstr>
      <vt:lpstr>tlobalProd4Reg1UnitsSold</vt:lpstr>
      <vt:lpstr>tlobalProd4Reg1UnitsWIP</vt:lpstr>
      <vt:lpstr>tlobalProd4Reg2UnitsFG</vt:lpstr>
      <vt:lpstr>tlobalProd4Reg2UnitsSold</vt:lpstr>
      <vt:lpstr>tlobalProd4Reg2UnitsWIP</vt:lpstr>
      <vt:lpstr>tlobalProd5COGSPUnitDep</vt:lpstr>
      <vt:lpstr>tlobalProd5COGSPUnitEmp2</vt:lpstr>
      <vt:lpstr>tlobalProd5COGSPUnitMat</vt:lpstr>
      <vt:lpstr>tlobalProd5COGSPUnitPlant1</vt:lpstr>
      <vt:lpstr>tlobalProd6COGSPUnitDep</vt:lpstr>
      <vt:lpstr>tlobalProd6COGSPUnitEmp2</vt:lpstr>
      <vt:lpstr>tlobalProd6COGSPUnitMat</vt:lpstr>
      <vt:lpstr>tlobalProd6COGSPUnitPlant1</vt:lpstr>
      <vt:lpstr>tlobalRecruitLevel</vt:lpstr>
      <vt:lpstr>tlobalReg1ARValue</vt:lpstr>
      <vt:lpstr>tlobalReg1FGValue</vt:lpstr>
      <vt:lpstr>tlobalReg1MatValue</vt:lpstr>
      <vt:lpstr>tlobalReg1NetRev</vt:lpstr>
      <vt:lpstr>tlobalReg1Prod1COGSPUnitLabor</vt:lpstr>
      <vt:lpstr>tlobalReg1Prod1FGValue</vt:lpstr>
      <vt:lpstr>tlobalReg1Prod1MatValue</vt:lpstr>
      <vt:lpstr>tlobalReg1Prod1NetRev</vt:lpstr>
      <vt:lpstr>tlobalReg1Prod1Price</vt:lpstr>
      <vt:lpstr>tlobalReg1Prod1Rev</vt:lpstr>
      <vt:lpstr>tlobalReg1Prod1WIPValue</vt:lpstr>
      <vt:lpstr>tlobalReg1Prod2FGValue</vt:lpstr>
      <vt:lpstr>tlobalReg1Prod2MatValue</vt:lpstr>
      <vt:lpstr>tlobalReg1Prod2NetRev</vt:lpstr>
      <vt:lpstr>tlobalReg1Prod2Price</vt:lpstr>
      <vt:lpstr>tlobalReg1Prod2Rev</vt:lpstr>
      <vt:lpstr>tlobalReg1Prod2WIPValue</vt:lpstr>
      <vt:lpstr>tlobalReg1Prod3COGSPUnitLabor</vt:lpstr>
      <vt:lpstr>tlobalReg1Prod3FGValue</vt:lpstr>
      <vt:lpstr>tlobalReg1Prod3MatValue</vt:lpstr>
      <vt:lpstr>tlobalReg1Prod3NetRev</vt:lpstr>
      <vt:lpstr>tlobalReg1Prod3Price</vt:lpstr>
      <vt:lpstr>tlobalReg1Prod3Rev</vt:lpstr>
      <vt:lpstr>tlobalReg1Prod3WIPValue</vt:lpstr>
      <vt:lpstr>tlobalReg1Prod4COGSPUnitLabor</vt:lpstr>
      <vt:lpstr>tlobalReg1Prod4FGValue</vt:lpstr>
      <vt:lpstr>tlobalReg1Prod4MatValue</vt:lpstr>
      <vt:lpstr>tlobalReg1Prod4NetRev</vt:lpstr>
      <vt:lpstr>tlobalReg1Prod4Price</vt:lpstr>
      <vt:lpstr>tlobalReg1Prod4Rev</vt:lpstr>
      <vt:lpstr>tlobalReg1Prod4WIPValue</vt:lpstr>
      <vt:lpstr>tlobalReg1Prod5FGValue</vt:lpstr>
      <vt:lpstr>tlobalReg1Prod5MatValue</vt:lpstr>
      <vt:lpstr>tlobalReg1Prod5WIPValue</vt:lpstr>
      <vt:lpstr>tlobalReg1Prod6FGValue</vt:lpstr>
      <vt:lpstr>tlobalReg1Prod6MatValue</vt:lpstr>
      <vt:lpstr>tlobalReg1Prod6WIPValue</vt:lpstr>
      <vt:lpstr>tlobalReg1Rev</vt:lpstr>
      <vt:lpstr>tlobalReg1WIPValue</vt:lpstr>
      <vt:lpstr>tlobalReg2ARValue</vt:lpstr>
      <vt:lpstr>tlobalReg2ChanLevel</vt:lpstr>
      <vt:lpstr>tlobalReg2FGValue</vt:lpstr>
      <vt:lpstr>tlobalReg2MatValue</vt:lpstr>
      <vt:lpstr>tlobalReg2NetRev</vt:lpstr>
      <vt:lpstr>tlobalReg2Prod1COGSPUnitLabor</vt:lpstr>
      <vt:lpstr>tlobalReg2Prod1FGValue</vt:lpstr>
      <vt:lpstr>tlobalReg2Prod1MatValue</vt:lpstr>
      <vt:lpstr>tlobalReg2Prod1NetRev</vt:lpstr>
      <vt:lpstr>tlobalReg2Prod1Price</vt:lpstr>
      <vt:lpstr>tlobalReg2Prod1Rev</vt:lpstr>
      <vt:lpstr>tlobalReg2Prod1WIPValue</vt:lpstr>
      <vt:lpstr>tlobalReg2Prod2FGValue</vt:lpstr>
      <vt:lpstr>tlobalReg2Prod2MatValue</vt:lpstr>
      <vt:lpstr>tlobalReg2Prod2NetRev</vt:lpstr>
      <vt:lpstr>tlobalReg2Prod2Price</vt:lpstr>
      <vt:lpstr>tlobalReg2Prod2Rev</vt:lpstr>
      <vt:lpstr>tlobalReg2Prod2WIPValue</vt:lpstr>
      <vt:lpstr>tlobalReg2Prod3COGSPUnitLabor</vt:lpstr>
      <vt:lpstr>tlobalReg2Prod3FGValue</vt:lpstr>
      <vt:lpstr>tlobalReg2Prod3MatValue</vt:lpstr>
      <vt:lpstr>tlobalReg2Prod3NetRev</vt:lpstr>
      <vt:lpstr>tlobalReg2Prod3Price</vt:lpstr>
      <vt:lpstr>tlobalReg2Prod3Rev</vt:lpstr>
      <vt:lpstr>tlobalReg2Prod3WIPValue</vt:lpstr>
      <vt:lpstr>tlobalReg2Prod4COGSPUnitLabor</vt:lpstr>
      <vt:lpstr>tlobalReg2Prod4FGValue</vt:lpstr>
      <vt:lpstr>tlobalReg2Prod4MatValue</vt:lpstr>
      <vt:lpstr>tlobalReg2Prod4NetRev</vt:lpstr>
      <vt:lpstr>tlobalReg2Prod4Price</vt:lpstr>
      <vt:lpstr>tlobalReg2Prod4Rev</vt:lpstr>
      <vt:lpstr>tlobalReg2Prod4WIPValue</vt:lpstr>
      <vt:lpstr>tlobalReg2Prod5FGValue</vt:lpstr>
      <vt:lpstr>tlobalReg2Prod5MatValue</vt:lpstr>
      <vt:lpstr>tlobalReg2Prod5WIPValue</vt:lpstr>
      <vt:lpstr>tlobalReg2Prod6FGValue</vt:lpstr>
      <vt:lpstr>tlobalReg2Prod6MatValue</vt:lpstr>
      <vt:lpstr>tlobalReg2Prod6WIPValue</vt:lpstr>
      <vt:lpstr>tlobalReg2Rev</vt:lpstr>
      <vt:lpstr>tlobalReg2WIPValue</vt:lpstr>
      <vt:lpstr>tlobalRetEarnValue</vt:lpstr>
      <vt:lpstr>tlobalRev</vt:lpstr>
      <vt:lpstr>tlobalSpecLoansValue</vt:lpstr>
      <vt:lpstr>tlobalStratEdaComp</vt:lpstr>
      <vt:lpstr>tlobalStratEdaCons</vt:lpstr>
      <vt:lpstr>tlobalStratEdaCSD</vt:lpstr>
      <vt:lpstr>tlobalStratEdaCust</vt:lpstr>
      <vt:lpstr>tlobalStratEdaFnS</vt:lpstr>
      <vt:lpstr>tlobalStratEdaInnov</vt:lpstr>
      <vt:lpstr>tlobalStratEdaNCB</vt:lpstr>
      <vt:lpstr>tlobalStratVetComp</vt:lpstr>
      <vt:lpstr>tlobalStratVetCons</vt:lpstr>
      <vt:lpstr>tlobalStratVetCSD</vt:lpstr>
      <vt:lpstr>tlobalStratVetCust</vt:lpstr>
      <vt:lpstr>tlobalStratVetFnS</vt:lpstr>
      <vt:lpstr>tlobalStratVetInnov</vt:lpstr>
      <vt:lpstr>tlobalStratVetNCB</vt:lpstr>
      <vt:lpstr>tlobalTotalEquity</vt:lpstr>
      <vt:lpstr>tlobalYr1Innov1</vt:lpstr>
      <vt:lpstr>tlobalYr1Innov2</vt:lpstr>
      <vt:lpstr>tlobalYr1Innov3</vt:lpstr>
      <vt:lpstr>tlobalYr1Innov4</vt:lpstr>
      <vt:lpstr>tlobalYr1SpecProg1</vt:lpstr>
      <vt:lpstr>tlobalYr1SpecProg2</vt:lpstr>
      <vt:lpstr>tlobalYr1SpecProg3</vt:lpstr>
      <vt:lpstr>tlobalYr1SpecProg4</vt:lpstr>
      <vt:lpstr>tlobalYr1SpecProg5</vt:lpstr>
      <vt:lpstr>tlobalYr1SpecProg6</vt:lpstr>
      <vt:lpstr>tlobalYr2Innov1</vt:lpstr>
      <vt:lpstr>tlobalYr2Innov2</vt:lpstr>
      <vt:lpstr>tlobalYr2Innov3</vt:lpstr>
      <vt:lpstr>tlobalYr2Innov4</vt:lpstr>
      <vt:lpstr>tlobalYr2SpecProg1</vt:lpstr>
      <vt:lpstr>tlobalYr2SpecProg2</vt:lpstr>
      <vt:lpstr>tlobalYr2SpecProg3</vt:lpstr>
      <vt:lpstr>tlobalYr2SpecProg4</vt:lpstr>
      <vt:lpstr>tlobalYr2SpecProg5</vt:lpstr>
      <vt:lpstr>tlobalYr2SpecProg6</vt:lpstr>
      <vt:lpstr>tlobalYr3Innov1</vt:lpstr>
      <vt:lpstr>tlobalYr3Innov2</vt:lpstr>
      <vt:lpstr>tlobalYr3Innov3</vt:lpstr>
      <vt:lpstr>tlobalYr3Innov4</vt:lpstr>
      <vt:lpstr>tlobalYr3SpecProg1</vt:lpstr>
      <vt:lpstr>tlobalYr3SpecProg2</vt:lpstr>
      <vt:lpstr>tlobalYr3SpecProg3</vt:lpstr>
      <vt:lpstr>tlobalYr3SpecProg4</vt:lpstr>
      <vt:lpstr>tlobalYr3SpecProg5</vt:lpstr>
      <vt:lpstr>tlobalYr3SpecProg6</vt:lpstr>
      <vt:lpstr>tlOutput_Dashboard1</vt:lpstr>
      <vt:lpstr>tlOutput_Dashboard10</vt:lpstr>
      <vt:lpstr>tlOutput_Dashboard11</vt:lpstr>
      <vt:lpstr>tlOutput_Dashboard12</vt:lpstr>
      <vt:lpstr>tlOutput_Dashboard13</vt:lpstr>
      <vt:lpstr>tlOutput_Dashboard14</vt:lpstr>
      <vt:lpstr>tlOutput_Dashboard15</vt:lpstr>
      <vt:lpstr>tlOutput_Dashboard16</vt:lpstr>
      <vt:lpstr>tlOutput_Dashboard17</vt:lpstr>
      <vt:lpstr>tlOutput_Dashboard18</vt:lpstr>
      <vt:lpstr>tlOutput_Dashboard19</vt:lpstr>
      <vt:lpstr>tlOutput_Dashboard2</vt:lpstr>
      <vt:lpstr>tlOutput_Dashboard20</vt:lpstr>
      <vt:lpstr>tlOutput_Dashboard21</vt:lpstr>
      <vt:lpstr>tlOutput_Dashboard22</vt:lpstr>
      <vt:lpstr>tlOutput_Dashboard3</vt:lpstr>
      <vt:lpstr>tlOutput_Dashboard4</vt:lpstr>
      <vt:lpstr>tlOutput_Dashboard5</vt:lpstr>
      <vt:lpstr>tlOutput_Dashboard6</vt:lpstr>
      <vt:lpstr>tlOutput_Dashboard7</vt:lpstr>
      <vt:lpstr>tlOutput_Dashboard8</vt:lpstr>
      <vt:lpstr>tlOutput_Dashboard9</vt:lpstr>
      <vt:lpstr>tlOutput_toolAnalyVision_A2</vt:lpstr>
      <vt:lpstr>tlOutput_toolAnalyVision_B13</vt:lpstr>
      <vt:lpstr>tlOutput_toolAnalyVision_B20</vt:lpstr>
      <vt:lpstr>tlOutput_toolAnalyVision_B32</vt:lpstr>
      <vt:lpstr>tlOutput_toolAnalyVision_B5</vt:lpstr>
      <vt:lpstr>tlOutput_toolAnalyVision_B7</vt:lpstr>
      <vt:lpstr>tlOutput_toolAnalyVision_H13</vt:lpstr>
      <vt:lpstr>tlOutput_toolAnalyVision_H7</vt:lpstr>
      <vt:lpstr>tlOutput_toolAnalyVision_L1</vt:lpstr>
      <vt:lpstr>tlOutput_toolBalSheet_B2</vt:lpstr>
      <vt:lpstr>tlOutput_toolBalSheet_B3</vt:lpstr>
      <vt:lpstr>tlOutput_toolBalSheet_C24</vt:lpstr>
      <vt:lpstr>tlOutput_toolBalSheet_C5</vt:lpstr>
      <vt:lpstr>tlOutput_toolBalSheet_D12</vt:lpstr>
      <vt:lpstr>tlOutput_toolBalSheet_D14</vt:lpstr>
      <vt:lpstr>tlOutput_toolBalSheet_D18</vt:lpstr>
      <vt:lpstr>tlOutput_toolBalSheet_D20</vt:lpstr>
      <vt:lpstr>tlOutput_toolBalSheet_D22</vt:lpstr>
      <vt:lpstr>tlOutput_toolBalSheet_D7</vt:lpstr>
      <vt:lpstr>tlOutput_toolBalSheet_E10</vt:lpstr>
      <vt:lpstr>tlOutput_toolBalSheet_E11</vt:lpstr>
      <vt:lpstr>tlOutput_toolBalSheet_E15</vt:lpstr>
      <vt:lpstr>tlOutput_toolBalSheet_E16</vt:lpstr>
      <vt:lpstr>tlOutput_toolBalSheet_E17</vt:lpstr>
      <vt:lpstr>tlOutput_toolBalSheet_E8</vt:lpstr>
      <vt:lpstr>tlOutput_toolBalSheet_E9</vt:lpstr>
      <vt:lpstr>tlOutput_toolBalSheet_G10</vt:lpstr>
      <vt:lpstr>tlOutput_toolBalSheet_G11</vt:lpstr>
      <vt:lpstr>tlOutput_toolBalSheet_G12</vt:lpstr>
      <vt:lpstr>tlOutput_toolBalSheet_G15</vt:lpstr>
      <vt:lpstr>tlOutput_toolBalSheet_G16</vt:lpstr>
      <vt:lpstr>tlOutput_toolBalSheet_G17</vt:lpstr>
      <vt:lpstr>tlOutput_toolBalSheet_G18</vt:lpstr>
      <vt:lpstr>tlOutput_toolBalSheet_G20</vt:lpstr>
      <vt:lpstr>tlOutput_toolBalSheet_G22</vt:lpstr>
      <vt:lpstr>tlOutput_toolBalSheet_G24</vt:lpstr>
      <vt:lpstr>tlOutput_toolBalSheet_G5</vt:lpstr>
      <vt:lpstr>tlOutput_toolBalSheet_G8</vt:lpstr>
      <vt:lpstr>tlOutput_toolBalSheet_I10</vt:lpstr>
      <vt:lpstr>tlOutput_toolBalSheet_I11</vt:lpstr>
      <vt:lpstr>tlOutput_toolBalSheet_I12</vt:lpstr>
      <vt:lpstr>tlOutput_toolBalSheet_I15</vt:lpstr>
      <vt:lpstr>tlOutput_toolBalSheet_I16</vt:lpstr>
      <vt:lpstr>tlOutput_toolBalSheet_I17</vt:lpstr>
      <vt:lpstr>tlOutput_toolBalSheet_I18</vt:lpstr>
      <vt:lpstr>tlOutput_toolBalSheet_I20</vt:lpstr>
      <vt:lpstr>tlOutput_toolBalSheet_I22</vt:lpstr>
      <vt:lpstr>tlOutput_toolBalSheet_I24</vt:lpstr>
      <vt:lpstr>tlOutput_toolBalSheet_I5</vt:lpstr>
      <vt:lpstr>tlOutput_toolBalSheet_I8</vt:lpstr>
      <vt:lpstr>tlOutput_toolBalSheet_K24</vt:lpstr>
      <vt:lpstr>tlOutput_toolBalSheet_K5</vt:lpstr>
      <vt:lpstr>tlOutput_toolBalSheet_L16</vt:lpstr>
      <vt:lpstr>tlOutput_toolBalSheet_L18</vt:lpstr>
      <vt:lpstr>tlOutput_toolBalSheet_L22</vt:lpstr>
      <vt:lpstr>tlOutput_toolBalSheet_L7</vt:lpstr>
      <vt:lpstr>tlOutput_toolBalSheet_M12</vt:lpstr>
      <vt:lpstr>tlOutput_toolBalSheet_M14</vt:lpstr>
      <vt:lpstr>tlOutput_toolBalSheet_M19</vt:lpstr>
      <vt:lpstr>tlOutput_toolBalSheet_M20</vt:lpstr>
      <vt:lpstr>tlOutput_toolBalSheet_M21</vt:lpstr>
      <vt:lpstr>tlOutput_toolBalSheet_M8</vt:lpstr>
      <vt:lpstr>tlOutput_toolBalSheet_N10</vt:lpstr>
      <vt:lpstr>tlOutput_toolBalSheet_N11</vt:lpstr>
      <vt:lpstr>tlOutput_toolBalSheet_N9</vt:lpstr>
      <vt:lpstr>tlOutput_toolBalSheet_P10</vt:lpstr>
      <vt:lpstr>tlOutput_toolBalSheet_P11</vt:lpstr>
      <vt:lpstr>tlOutput_toolBalSheet_P12</vt:lpstr>
      <vt:lpstr>tlOutput_toolBalSheet_P14</vt:lpstr>
      <vt:lpstr>tlOutput_toolBalSheet_P16</vt:lpstr>
      <vt:lpstr>tlOutput_toolBalSheet_P19</vt:lpstr>
      <vt:lpstr>tlOutput_toolBalSheet_P20</vt:lpstr>
      <vt:lpstr>tlOutput_toolBalSheet_P21</vt:lpstr>
      <vt:lpstr>tlOutput_toolBalSheet_P22</vt:lpstr>
      <vt:lpstr>tlOutput_toolBalSheet_P24</vt:lpstr>
      <vt:lpstr>tlOutput_toolBalSheet_P5</vt:lpstr>
      <vt:lpstr>tlOutput_toolBalSheet_P9</vt:lpstr>
      <vt:lpstr>tlOutput_toolBalSheet_R10</vt:lpstr>
      <vt:lpstr>tlOutput_toolBalSheet_R11</vt:lpstr>
      <vt:lpstr>tlOutput_toolBalSheet_R12</vt:lpstr>
      <vt:lpstr>tlOutput_toolBalSheet_R14</vt:lpstr>
      <vt:lpstr>tlOutput_toolBalSheet_R16</vt:lpstr>
      <vt:lpstr>tlOutput_toolBalSheet_R19</vt:lpstr>
      <vt:lpstr>tlOutput_toolBalSheet_R20</vt:lpstr>
      <vt:lpstr>tlOutput_toolBalSheet_R21</vt:lpstr>
      <vt:lpstr>tlOutput_toolBalSheet_R22</vt:lpstr>
      <vt:lpstr>tlOutput_toolBalSheet_R24</vt:lpstr>
      <vt:lpstr>tlOutput_toolBalSheet_R5</vt:lpstr>
      <vt:lpstr>tlOutput_toolBalSheet_R9</vt:lpstr>
      <vt:lpstr>tlOutput_toolBalSheet_S2</vt:lpstr>
      <vt:lpstr>tlOutput_toolCashFlow_B2</vt:lpstr>
      <vt:lpstr>tlOutput_toolCashFlow_B3</vt:lpstr>
      <vt:lpstr>tlOutput_toolCashFlow_C21</vt:lpstr>
      <vt:lpstr>tlOutput_toolCashFlow_C23</vt:lpstr>
      <vt:lpstr>tlOutput_toolCashFlow_C28</vt:lpstr>
      <vt:lpstr>tlOutput_toolCashFlow_C30</vt:lpstr>
      <vt:lpstr>tlOutput_toolCashFlow_C32</vt:lpstr>
      <vt:lpstr>tlOutput_toolCashFlow_C40</vt:lpstr>
      <vt:lpstr>tlOutput_toolCashFlow_C42</vt:lpstr>
      <vt:lpstr>tlOutput_toolCashFlow_C44</vt:lpstr>
      <vt:lpstr>tlOutput_toolCashFlow_C5</vt:lpstr>
      <vt:lpstr>tlOutput_toolCashFlow_C7</vt:lpstr>
      <vt:lpstr>tlOutput_toolCashFlow_D10</vt:lpstr>
      <vt:lpstr>tlOutput_toolCashFlow_D11</vt:lpstr>
      <vt:lpstr>tlOutput_toolCashFlow_D12</vt:lpstr>
      <vt:lpstr>tlOutput_toolCashFlow_D19</vt:lpstr>
      <vt:lpstr>tlOutput_toolCashFlow_D25</vt:lpstr>
      <vt:lpstr>tlOutput_toolCashFlow_D34</vt:lpstr>
      <vt:lpstr>tlOutput_toolCashFlow_D35</vt:lpstr>
      <vt:lpstr>tlOutput_toolCashFlow_D36</vt:lpstr>
      <vt:lpstr>tlOutput_toolCashFlow_D37</vt:lpstr>
      <vt:lpstr>tlOutput_toolCashFlow_D9</vt:lpstr>
      <vt:lpstr>tlOutput_toolCashFlow_E13</vt:lpstr>
      <vt:lpstr>tlOutput_toolCashFlow_E14</vt:lpstr>
      <vt:lpstr>tlOutput_toolCashFlow_E15</vt:lpstr>
      <vt:lpstr>tlOutput_toolCashFlow_E16</vt:lpstr>
      <vt:lpstr>tlOutput_toolCashFlow_E17</vt:lpstr>
      <vt:lpstr>tlOutput_toolCashFlow_E18</vt:lpstr>
      <vt:lpstr>tlOutput_toolCashFlow_G13</vt:lpstr>
      <vt:lpstr>tlOutput_toolCashFlow_G14</vt:lpstr>
      <vt:lpstr>tlOutput_toolCashFlow_G15</vt:lpstr>
      <vt:lpstr>tlOutput_toolCashFlow_G16</vt:lpstr>
      <vt:lpstr>tlOutput_toolCashFlow_G17</vt:lpstr>
      <vt:lpstr>tlOutput_toolCashFlow_G18</vt:lpstr>
      <vt:lpstr>tlOutput_toolCashFlow_G25</vt:lpstr>
      <vt:lpstr>tlOutput_toolCashFlow_G34</vt:lpstr>
      <vt:lpstr>tlOutput_toolCashFlow_G35</vt:lpstr>
      <vt:lpstr>tlOutput_toolCashFlow_G36</vt:lpstr>
      <vt:lpstr>tlOutput_toolCashFlow_G37</vt:lpstr>
      <vt:lpstr>tlOutput_toolCashFlow_H10</vt:lpstr>
      <vt:lpstr>tlOutput_toolCashFlow_H11</vt:lpstr>
      <vt:lpstr>tlOutput_toolCashFlow_H19</vt:lpstr>
      <vt:lpstr>tlOutput_toolCashFlow_H21</vt:lpstr>
      <vt:lpstr>tlOutput_toolCashFlow_H26</vt:lpstr>
      <vt:lpstr>tlOutput_toolCashFlow_H28</vt:lpstr>
      <vt:lpstr>tlOutput_toolCashFlow_H30</vt:lpstr>
      <vt:lpstr>tlOutput_toolCashFlow_H38</vt:lpstr>
      <vt:lpstr>tlOutput_toolCashFlow_H40</vt:lpstr>
      <vt:lpstr>tlOutput_toolCashFlow_H42</vt:lpstr>
      <vt:lpstr>tlOutput_toolCashFlow_H44</vt:lpstr>
      <vt:lpstr>tlOutput_toolCashFlow_H5</vt:lpstr>
      <vt:lpstr>tlOutput_toolCashFlow_H9</vt:lpstr>
      <vt:lpstr>tlOutput_toolCashFlow_J2</vt:lpstr>
      <vt:lpstr>tlOutput_toolDecSummary_B2</vt:lpstr>
      <vt:lpstr>tlOutput_toolDecSummary_B28</vt:lpstr>
      <vt:lpstr>tlOutput_toolDecSummary_B3</vt:lpstr>
      <vt:lpstr>tlOutput_toolDecSummary_B49</vt:lpstr>
      <vt:lpstr>tlOutput_toolDecSummary_B64</vt:lpstr>
      <vt:lpstr>tlOutput_toolDecSummary_B7</vt:lpstr>
      <vt:lpstr>tlOutput_toolDecSummary_B70</vt:lpstr>
      <vt:lpstr>tlOutput_toolDecSummary_B86</vt:lpstr>
      <vt:lpstr>tlOutput_toolDecSummary_C10</vt:lpstr>
      <vt:lpstr>tlOutput_toolDecSummary_C12</vt:lpstr>
      <vt:lpstr>tlOutput_toolDecSummary_C14</vt:lpstr>
      <vt:lpstr>tlOutput_toolDecSummary_C16</vt:lpstr>
      <vt:lpstr>tlOutput_toolDecSummary_C18</vt:lpstr>
      <vt:lpstr>tlOutput_toolDecSummary_C20</vt:lpstr>
      <vt:lpstr>tlOutput_toolDecSummary_C22</vt:lpstr>
      <vt:lpstr>tlOutput_toolDecSummary_C24</vt:lpstr>
      <vt:lpstr>tlOutput_toolDecSummary_C26</vt:lpstr>
      <vt:lpstr>tlOutput_toolDecSummary_C31</vt:lpstr>
      <vt:lpstr>tlOutput_toolDecSummary_C33</vt:lpstr>
      <vt:lpstr>tlOutput_toolDecSummary_C35</vt:lpstr>
      <vt:lpstr>tlOutput_toolDecSummary_C37</vt:lpstr>
      <vt:lpstr>tlOutput_toolDecSummary_C39</vt:lpstr>
      <vt:lpstr>tlOutput_toolDecSummary_C41</vt:lpstr>
      <vt:lpstr>tlOutput_toolDecSummary_C43</vt:lpstr>
      <vt:lpstr>tlOutput_toolDecSummary_C45</vt:lpstr>
      <vt:lpstr>tlOutput_toolDecSummary_C47</vt:lpstr>
      <vt:lpstr>tlOutput_toolDecSummary_C5</vt:lpstr>
      <vt:lpstr>tlOutput_toolDecSummary_C51</vt:lpstr>
      <vt:lpstr>tlOutput_toolDecSummary_C53</vt:lpstr>
      <vt:lpstr>tlOutput_toolDecSummary_C56</vt:lpstr>
      <vt:lpstr>tlOutput_toolDecSummary_C58</vt:lpstr>
      <vt:lpstr>tlOutput_toolDecSummary_C60</vt:lpstr>
      <vt:lpstr>tlOutput_toolDecSummary_C62</vt:lpstr>
      <vt:lpstr>tlOutput_toolDecSummary_C67</vt:lpstr>
      <vt:lpstr>tlOutput_toolDecSummary_C72</vt:lpstr>
      <vt:lpstr>tlOutput_toolDecSummary_C75</vt:lpstr>
      <vt:lpstr>tlOutput_toolDecSummary_C77</vt:lpstr>
      <vt:lpstr>tlOutput_toolDecSummary_C79</vt:lpstr>
      <vt:lpstr>tlOutput_toolDecSummary_C81</vt:lpstr>
      <vt:lpstr>tlOutput_toolDecSummary_C83</vt:lpstr>
      <vt:lpstr>tlOutput_toolDecSummary_C89</vt:lpstr>
      <vt:lpstr>tlOutput_toolDecSummary_C91</vt:lpstr>
      <vt:lpstr>tlOutput_toolDecSummary_C93</vt:lpstr>
      <vt:lpstr>tlOutput_toolDecSummary_C95</vt:lpstr>
      <vt:lpstr>tlOutput_toolDecSummary_C97</vt:lpstr>
      <vt:lpstr>tlOutput_toolDecSummary_C99</vt:lpstr>
      <vt:lpstr>tlOutput_toolDecSummary_D5</vt:lpstr>
      <vt:lpstr>tlOutput_toolDecSummary_E53</vt:lpstr>
      <vt:lpstr>tlOutput_toolDecSummary_E58</vt:lpstr>
      <vt:lpstr>tlOutput_toolDecSummary_E60</vt:lpstr>
      <vt:lpstr>tlOutput_toolDecSummary_E62</vt:lpstr>
      <vt:lpstr>tlOutput_toolDecSummary_E67</vt:lpstr>
      <vt:lpstr>tlOutput_toolDecSummary_E88</vt:lpstr>
      <vt:lpstr>tlOutput_toolDecSummary_E89</vt:lpstr>
      <vt:lpstr>tlOutput_toolDecSummary_E91</vt:lpstr>
      <vt:lpstr>tlOutput_toolDecSummary_E93</vt:lpstr>
      <vt:lpstr>tlOutput_toolDecSummary_E95</vt:lpstr>
      <vt:lpstr>tlOutput_toolDecSummary_E97</vt:lpstr>
      <vt:lpstr>tlOutput_toolDecSummary_E99</vt:lpstr>
      <vt:lpstr>tlOutput_toolDecSummary_G12</vt:lpstr>
      <vt:lpstr>tlOutput_toolDecSummary_G16</vt:lpstr>
      <vt:lpstr>tlOutput_toolDecSummary_G20</vt:lpstr>
      <vt:lpstr>tlOutput_toolDecSummary_G22</vt:lpstr>
      <vt:lpstr>tlOutput_toolDecSummary_G24</vt:lpstr>
      <vt:lpstr>tlOutput_toolDecSummary_G26</vt:lpstr>
      <vt:lpstr>tlOutput_toolDecSummary_G30</vt:lpstr>
      <vt:lpstr>tlOutput_toolDecSummary_G33</vt:lpstr>
      <vt:lpstr>tlOutput_toolDecSummary_G37</vt:lpstr>
      <vt:lpstr>tlOutput_toolDecSummary_G41</vt:lpstr>
      <vt:lpstr>tlOutput_toolDecSummary_G43</vt:lpstr>
      <vt:lpstr>tlOutput_toolDecSummary_G45</vt:lpstr>
      <vt:lpstr>tlOutput_toolDecSummary_G47</vt:lpstr>
      <vt:lpstr>tlOutput_toolDecSummary_G58</vt:lpstr>
      <vt:lpstr>tlOutput_toolDecSummary_G60</vt:lpstr>
      <vt:lpstr>tlOutput_toolDecSummary_G62</vt:lpstr>
      <vt:lpstr>tlOutput_toolDecSummary_G67</vt:lpstr>
      <vt:lpstr>tlOutput_toolDecSummary_G72</vt:lpstr>
      <vt:lpstr>tlOutput_toolDecSummary_G75</vt:lpstr>
      <vt:lpstr>tlOutput_toolDecSummary_G79</vt:lpstr>
      <vt:lpstr>tlOutput_toolDecSummary_G83</vt:lpstr>
      <vt:lpstr>tlOutput_toolDecSummary_G88</vt:lpstr>
      <vt:lpstr>tlOutput_toolDecSummary_G89</vt:lpstr>
      <vt:lpstr>tlOutput_toolDecSummary_G9</vt:lpstr>
      <vt:lpstr>tlOutput_toolDecSummary_G91</vt:lpstr>
      <vt:lpstr>tlOutput_toolDecSummary_G93</vt:lpstr>
      <vt:lpstr>tlOutput_toolDecSummary_G95</vt:lpstr>
      <vt:lpstr>tlOutput_toolDecSummary_G97</vt:lpstr>
      <vt:lpstr>tlOutput_toolDecSummary_G99</vt:lpstr>
      <vt:lpstr>tlOutput_toolDecSummary_I12</vt:lpstr>
      <vt:lpstr>tlOutput_toolDecSummary_I16</vt:lpstr>
      <vt:lpstr>tlOutput_toolDecSummary_I20</vt:lpstr>
      <vt:lpstr>tlOutput_toolDecSummary_I22</vt:lpstr>
      <vt:lpstr>tlOutput_toolDecSummary_I30</vt:lpstr>
      <vt:lpstr>tlOutput_toolDecSummary_I33</vt:lpstr>
      <vt:lpstr>tlOutput_toolDecSummary_I37</vt:lpstr>
      <vt:lpstr>tlOutput_toolDecSummary_I41</vt:lpstr>
      <vt:lpstr>tlOutput_toolDecSummary_I43</vt:lpstr>
      <vt:lpstr>tlOutput_toolDecSummary_I53</vt:lpstr>
      <vt:lpstr>tlOutput_toolDecSummary_I55</vt:lpstr>
      <vt:lpstr>tlOutput_toolDecSummary_I58</vt:lpstr>
      <vt:lpstr>tlOutput_toolDecSummary_I60</vt:lpstr>
      <vt:lpstr>tlOutput_toolDecSummary_I62</vt:lpstr>
      <vt:lpstr>tlOutput_toolDecSummary_I67</vt:lpstr>
      <vt:lpstr>tlOutput_toolDecSummary_I72</vt:lpstr>
      <vt:lpstr>tlOutput_toolDecSummary_I75</vt:lpstr>
      <vt:lpstr>tlOutput_toolDecSummary_I79</vt:lpstr>
      <vt:lpstr>tlOutput_toolDecSummary_I81</vt:lpstr>
      <vt:lpstr>tlOutput_toolDecSummary_I83</vt:lpstr>
      <vt:lpstr>tlOutput_toolDecSummary_I9</vt:lpstr>
      <vt:lpstr>tlOutput_toolDecSummary_K12</vt:lpstr>
      <vt:lpstr>tlOutput_toolDecSummary_K16</vt:lpstr>
      <vt:lpstr>tlOutput_toolDecSummary_K20</vt:lpstr>
      <vt:lpstr>tlOutput_toolDecSummary_K22</vt:lpstr>
      <vt:lpstr>tlOutput_toolDecSummary_K30</vt:lpstr>
      <vt:lpstr>tlOutput_toolDecSummary_K33</vt:lpstr>
      <vt:lpstr>tlOutput_toolDecSummary_K37</vt:lpstr>
      <vt:lpstr>tlOutput_toolDecSummary_K41</vt:lpstr>
      <vt:lpstr>tlOutput_toolDecSummary_K43</vt:lpstr>
      <vt:lpstr>tlOutput_toolDecSummary_K5</vt:lpstr>
      <vt:lpstr>tlOutput_toolDecSummary_K53</vt:lpstr>
      <vt:lpstr>tlOutput_toolDecSummary_K55</vt:lpstr>
      <vt:lpstr>tlOutput_toolDecSummary_K58</vt:lpstr>
      <vt:lpstr>tlOutput_toolDecSummary_K60</vt:lpstr>
      <vt:lpstr>tlOutput_toolDecSummary_K62</vt:lpstr>
      <vt:lpstr>tlOutput_toolDecSummary_K67</vt:lpstr>
      <vt:lpstr>tlOutput_toolDecSummary_K72</vt:lpstr>
      <vt:lpstr>tlOutput_toolDecSummary_K75</vt:lpstr>
      <vt:lpstr>tlOutput_toolDecSummary_K9</vt:lpstr>
      <vt:lpstr>tlOutput_toolDecSummary_M5</vt:lpstr>
      <vt:lpstr>tlOutput_toolDecSummary_M58</vt:lpstr>
      <vt:lpstr>tlOutput_toolDecSummary_M60</vt:lpstr>
      <vt:lpstr>tlOutput_toolDecSummary_M62</vt:lpstr>
      <vt:lpstr>tlOutput_toolDecSummary_M67</vt:lpstr>
      <vt:lpstr>tlOutput_toolDecSummary_M79</vt:lpstr>
      <vt:lpstr>tlOutput_toolDecSummary_M83</vt:lpstr>
      <vt:lpstr>tlOutput_toolDecSummary_N2</vt:lpstr>
      <vt:lpstr>tlOutput_toolEscendia_B48</vt:lpstr>
      <vt:lpstr>tlOutput_toolEscendia_C10</vt:lpstr>
      <vt:lpstr>tlOutput_toolEscendia_C25</vt:lpstr>
      <vt:lpstr>tlOutput_toolEscendia_C45</vt:lpstr>
      <vt:lpstr>tlOutput_toolEscendia_C51</vt:lpstr>
      <vt:lpstr>tlOutput_toolEscendia_C61</vt:lpstr>
      <vt:lpstr>tlOutput_toolEscendia_C73</vt:lpstr>
      <vt:lpstr>tlOutput_toolEscendia_D15</vt:lpstr>
      <vt:lpstr>tlOutput_toolEscendia_D16</vt:lpstr>
      <vt:lpstr>tlOutput_toolEscendia_D17</vt:lpstr>
      <vt:lpstr>tlOutput_toolEscendia_D19</vt:lpstr>
      <vt:lpstr>tlOutput_toolEscendia_D20</vt:lpstr>
      <vt:lpstr>tlOutput_toolEscendia_D22</vt:lpstr>
      <vt:lpstr>tlOutput_toolEscendia_D23</vt:lpstr>
      <vt:lpstr>tlOutput_toolEscendia_D29</vt:lpstr>
      <vt:lpstr>tlOutput_toolEscendia_D30</vt:lpstr>
      <vt:lpstr>tlOutput_toolEscendia_D32</vt:lpstr>
      <vt:lpstr>tlOutput_toolEscendia_D33</vt:lpstr>
      <vt:lpstr>tlOutput_toolEscendia_D34</vt:lpstr>
      <vt:lpstr>tlOutput_toolEscendia_D36</vt:lpstr>
      <vt:lpstr>tlOutput_toolEscendia_D39</vt:lpstr>
      <vt:lpstr>tlOutput_toolEscendia_D40</vt:lpstr>
      <vt:lpstr>tlOutput_toolEscendia_D41</vt:lpstr>
      <vt:lpstr>tlOutput_toolEscendia_D42</vt:lpstr>
      <vt:lpstr>tlOutput_toolEscendia_D43</vt:lpstr>
      <vt:lpstr>tlOutput_toolEscendia_D53</vt:lpstr>
      <vt:lpstr>tlOutput_toolEscendia_D54</vt:lpstr>
      <vt:lpstr>tlOutput_toolEscendia_D55</vt:lpstr>
      <vt:lpstr>tlOutput_toolEscendia_D57</vt:lpstr>
      <vt:lpstr>tlOutput_toolEscendia_D59</vt:lpstr>
      <vt:lpstr>tlOutput_toolEscendia_D63</vt:lpstr>
      <vt:lpstr>tlOutput_toolEscendia_D64</vt:lpstr>
      <vt:lpstr>tlOutput_toolEscendia_D65</vt:lpstr>
      <vt:lpstr>tlOutput_toolEscendia_D67</vt:lpstr>
      <vt:lpstr>tlOutput_toolEscendia_D69</vt:lpstr>
      <vt:lpstr>tlOutput_toolEscendia_D71</vt:lpstr>
      <vt:lpstr>tlOutput_toolEscendia_D75</vt:lpstr>
      <vt:lpstr>tlOutput_toolEscendia_D76</vt:lpstr>
      <vt:lpstr>tlOutput_toolEscendia_D77</vt:lpstr>
      <vt:lpstr>tlOutput_toolEscendia_D78</vt:lpstr>
      <vt:lpstr>tlOutput_toolEscendia_D79</vt:lpstr>
      <vt:lpstr>tlOutput_toolEscendia_D80</vt:lpstr>
      <vt:lpstr>tlOutput_toolEscendia_D82</vt:lpstr>
      <vt:lpstr>tlOutput_toolEscendia_D84</vt:lpstr>
      <vt:lpstr>tlOutput_toolEscendia_G13</vt:lpstr>
      <vt:lpstr>tlOutput_toolEscendia_G16</vt:lpstr>
      <vt:lpstr>tlOutput_toolEscendia_G17</vt:lpstr>
      <vt:lpstr>tlOutput_toolEscendia_G20</vt:lpstr>
      <vt:lpstr>tlOutput_toolEscendia_G22</vt:lpstr>
      <vt:lpstr>tlOutput_toolEscendia_G23</vt:lpstr>
      <vt:lpstr>tlOutput_toolEscendia_G27</vt:lpstr>
      <vt:lpstr>tlOutput_toolEscendia_G30</vt:lpstr>
      <vt:lpstr>tlOutput_toolEscendia_G33</vt:lpstr>
      <vt:lpstr>tlOutput_toolEscendia_G34</vt:lpstr>
      <vt:lpstr>tlOutput_toolEscendia_G36</vt:lpstr>
      <vt:lpstr>tlOutput_toolEscendia_G40</vt:lpstr>
      <vt:lpstr>tlOutput_toolEscendia_G41</vt:lpstr>
      <vt:lpstr>tlOutput_toolEscendia_G42</vt:lpstr>
      <vt:lpstr>tlOutput_toolEscendia_G43</vt:lpstr>
      <vt:lpstr>tlOutput_toolEscendia_H50</vt:lpstr>
      <vt:lpstr>tlOutput_toolEscendia_H53</vt:lpstr>
      <vt:lpstr>tlOutput_toolEscendia_H54</vt:lpstr>
      <vt:lpstr>tlOutput_toolEscendia_H55</vt:lpstr>
      <vt:lpstr>tlOutput_toolEscendia_H57</vt:lpstr>
      <vt:lpstr>tlOutput_toolEscendia_H59</vt:lpstr>
      <vt:lpstr>tlOutput_toolEscendia_H63</vt:lpstr>
      <vt:lpstr>tlOutput_toolEscendia_H64</vt:lpstr>
      <vt:lpstr>tlOutput_toolEscendia_H65</vt:lpstr>
      <vt:lpstr>tlOutput_toolEscendia_H67</vt:lpstr>
      <vt:lpstr>tlOutput_toolEscendia_H69</vt:lpstr>
      <vt:lpstr>tlOutput_toolEscendia_H71</vt:lpstr>
      <vt:lpstr>tlOutput_toolEscendia_H75</vt:lpstr>
      <vt:lpstr>tlOutput_toolEscendia_H76</vt:lpstr>
      <vt:lpstr>tlOutput_toolEscendia_H77</vt:lpstr>
      <vt:lpstr>tlOutput_toolEscendia_H78</vt:lpstr>
      <vt:lpstr>tlOutput_toolEscendia_H79</vt:lpstr>
      <vt:lpstr>tlOutput_toolEscendia_H80</vt:lpstr>
      <vt:lpstr>tlOutput_toolEscendia_H82</vt:lpstr>
      <vt:lpstr>tlOutput_toolEscendia_H84</vt:lpstr>
      <vt:lpstr>tlOutput_toolEscendia_I13</vt:lpstr>
      <vt:lpstr>tlOutput_toolEscendia_I16</vt:lpstr>
      <vt:lpstr>tlOutput_toolEscendia_I17</vt:lpstr>
      <vt:lpstr>tlOutput_toolEscendia_I20</vt:lpstr>
      <vt:lpstr>tlOutput_toolEscendia_I22</vt:lpstr>
      <vt:lpstr>tlOutput_toolEscendia_I23</vt:lpstr>
      <vt:lpstr>tlOutput_toolEscendia_I27</vt:lpstr>
      <vt:lpstr>tlOutput_toolEscendia_I3</vt:lpstr>
      <vt:lpstr>tlOutput_toolEscendia_I30</vt:lpstr>
      <vt:lpstr>tlOutput_toolEscendia_I33</vt:lpstr>
      <vt:lpstr>tlOutput_toolEscendia_I34</vt:lpstr>
      <vt:lpstr>tlOutput_toolEscendia_I36</vt:lpstr>
      <vt:lpstr>tlOutput_toolEscendia_J38</vt:lpstr>
      <vt:lpstr>tlOutput_toolEscendia_K13</vt:lpstr>
      <vt:lpstr>tlOutput_toolEscendia_K16</vt:lpstr>
      <vt:lpstr>tlOutput_toolEscendia_K17</vt:lpstr>
      <vt:lpstr>tlOutput_toolEscendia_K20</vt:lpstr>
      <vt:lpstr>tlOutput_toolEscendia_K22</vt:lpstr>
      <vt:lpstr>tlOutput_toolEscendia_K23</vt:lpstr>
      <vt:lpstr>tlOutput_toolEscendia_K27</vt:lpstr>
      <vt:lpstr>tlOutput_toolEscendia_K30</vt:lpstr>
      <vt:lpstr>tlOutput_toolEscendia_K33</vt:lpstr>
      <vt:lpstr>tlOutput_toolEscendia_K34</vt:lpstr>
      <vt:lpstr>tlOutput_toolEscendia_K36</vt:lpstr>
      <vt:lpstr>tlOutput_toolEscendia_K50</vt:lpstr>
      <vt:lpstr>tlOutput_toolEscendia_K53</vt:lpstr>
      <vt:lpstr>tlOutput_toolEscendia_K54</vt:lpstr>
      <vt:lpstr>tlOutput_toolEscendia_K55</vt:lpstr>
      <vt:lpstr>tlOutput_toolEscendia_K57</vt:lpstr>
      <vt:lpstr>tlOutput_toolEscendia_K59</vt:lpstr>
      <vt:lpstr>tlOutput_toolEscendia_K63</vt:lpstr>
      <vt:lpstr>tlOutput_toolEscendia_K64</vt:lpstr>
      <vt:lpstr>tlOutput_toolEscendia_K65</vt:lpstr>
      <vt:lpstr>tlOutput_toolEscendia_K67</vt:lpstr>
      <vt:lpstr>tlOutput_toolEscendia_K69</vt:lpstr>
      <vt:lpstr>tlOutput_toolEscendia_K71</vt:lpstr>
      <vt:lpstr>tlOutput_toolEscendia_K75</vt:lpstr>
      <vt:lpstr>tlOutput_toolEscendia_K76</vt:lpstr>
      <vt:lpstr>tlOutput_toolEscendia_K77</vt:lpstr>
      <vt:lpstr>tlOutput_toolEscendia_K78</vt:lpstr>
      <vt:lpstr>tlOutput_toolEscendia_K79</vt:lpstr>
      <vt:lpstr>tlOutput_toolEscendia_K80</vt:lpstr>
      <vt:lpstr>tlOutput_toolEscendia_K82</vt:lpstr>
      <vt:lpstr>tlOutput_toolEscendia_K84</vt:lpstr>
      <vt:lpstr>tlOutput_toolEscendia_N27</vt:lpstr>
      <vt:lpstr>tlOutput_toolEscendia_N40</vt:lpstr>
      <vt:lpstr>tlOutput_toolEscendia_N41</vt:lpstr>
      <vt:lpstr>tlOutput_toolEscendia_N42</vt:lpstr>
      <vt:lpstr>tlOutput_toolEscendia_N50</vt:lpstr>
      <vt:lpstr>tlOutput_toolEscendia_N53</vt:lpstr>
      <vt:lpstr>tlOutput_toolEscendia_N54</vt:lpstr>
      <vt:lpstr>tlOutput_toolEscendia_N55</vt:lpstr>
      <vt:lpstr>tlOutput_toolEscendia_N57</vt:lpstr>
      <vt:lpstr>tlOutput_toolEscendia_N59</vt:lpstr>
      <vt:lpstr>tlOutput_toolEscendia_N63</vt:lpstr>
      <vt:lpstr>tlOutput_toolEscendia_N64</vt:lpstr>
      <vt:lpstr>tlOutput_toolEscendia_N65</vt:lpstr>
      <vt:lpstr>tlOutput_toolEscendia_N67</vt:lpstr>
      <vt:lpstr>tlOutput_toolEscendia_N69</vt:lpstr>
      <vt:lpstr>tlOutput_toolEscendia_N71</vt:lpstr>
      <vt:lpstr>tlOutput_toolEscendia_N75</vt:lpstr>
      <vt:lpstr>tlOutput_toolEscendia_N76</vt:lpstr>
      <vt:lpstr>tlOutput_toolEscendia_N77</vt:lpstr>
      <vt:lpstr>tlOutput_toolEscendia_N78</vt:lpstr>
      <vt:lpstr>tlOutput_toolEscendia_N79</vt:lpstr>
      <vt:lpstr>tlOutput_toolEscendia_N80</vt:lpstr>
      <vt:lpstr>tlOutput_toolEscendia_N82</vt:lpstr>
      <vt:lpstr>tlOutput_toolEscendia_N84</vt:lpstr>
      <vt:lpstr>tlOutput_toolEscendia_O12</vt:lpstr>
      <vt:lpstr>tlOutput_toolEscendia_O38</vt:lpstr>
      <vt:lpstr>tlOutput_toolEscendia_O40</vt:lpstr>
      <vt:lpstr>tlOutput_toolEscendia_O41</vt:lpstr>
      <vt:lpstr>tlOutput_toolEscendia_O42</vt:lpstr>
      <vt:lpstr>tlOutput_toolEscendia_P3</vt:lpstr>
      <vt:lpstr>tlOutput_toolEscendia_P5</vt:lpstr>
      <vt:lpstr>tlOutput_toolEscendia_P7</vt:lpstr>
      <vt:lpstr>tlOutput_toolEscendia_Q48</vt:lpstr>
      <vt:lpstr>tlOutput_toolEscendia_W2</vt:lpstr>
      <vt:lpstr>tlOutput_toolEscendia_W3</vt:lpstr>
      <vt:lpstr>tlOutput_toolEscendia_X2</vt:lpstr>
      <vt:lpstr>tlOutput_toolEscendia_X3</vt:lpstr>
      <vt:lpstr>tlOutput_toolGoals_A2</vt:lpstr>
      <vt:lpstr>tlOutput_toolGoals_B14</vt:lpstr>
      <vt:lpstr>tlOutput_toolGoals_B20</vt:lpstr>
      <vt:lpstr>tlOutput_toolGoals_B26</vt:lpstr>
      <vt:lpstr>tlOutput_toolGoals_B27</vt:lpstr>
      <vt:lpstr>tlOutput_toolGoals_B32</vt:lpstr>
      <vt:lpstr>tlOutput_toolGoals_B33</vt:lpstr>
      <vt:lpstr>tlOutput_toolGoals_B38</vt:lpstr>
      <vt:lpstr>tlOutput_toolGoals_B39</vt:lpstr>
      <vt:lpstr>tlOutput_toolGoals_B8</vt:lpstr>
      <vt:lpstr>tlOutput_toolGoals_D5</vt:lpstr>
      <vt:lpstr>tlOutput_toolGoals_F10</vt:lpstr>
      <vt:lpstr>tlOutput_toolGoals_F14</vt:lpstr>
      <vt:lpstr>tlOutput_toolGoals_F16</vt:lpstr>
      <vt:lpstr>tlOutput_toolGoals_F20</vt:lpstr>
      <vt:lpstr>tlOutput_toolGoals_F22</vt:lpstr>
      <vt:lpstr>tlOutput_toolGoals_F26</vt:lpstr>
      <vt:lpstr>tlOutput_toolGoals_F28</vt:lpstr>
      <vt:lpstr>tlOutput_toolGoals_F32</vt:lpstr>
      <vt:lpstr>tlOutput_toolGoals_F34</vt:lpstr>
      <vt:lpstr>tlOutput_toolGoals_F38</vt:lpstr>
      <vt:lpstr>tlOutput_toolGoals_F40</vt:lpstr>
      <vt:lpstr>tlOutput_toolGoals_F5</vt:lpstr>
      <vt:lpstr>tlOutput_toolGoals_F8</vt:lpstr>
      <vt:lpstr>tlOutput_toolGoals_G10</vt:lpstr>
      <vt:lpstr>tlOutput_toolGoals_G14</vt:lpstr>
      <vt:lpstr>tlOutput_toolGoals_G16</vt:lpstr>
      <vt:lpstr>tlOutput_toolGoals_G20</vt:lpstr>
      <vt:lpstr>tlOutput_toolGoals_G22</vt:lpstr>
      <vt:lpstr>tlOutput_toolGoals_G26</vt:lpstr>
      <vt:lpstr>tlOutput_toolGoals_G28</vt:lpstr>
      <vt:lpstr>tlOutput_toolGoals_G32</vt:lpstr>
      <vt:lpstr>tlOutput_toolGoals_G34</vt:lpstr>
      <vt:lpstr>tlOutput_toolGoals_G38</vt:lpstr>
      <vt:lpstr>tlOutput_toolGoals_G40</vt:lpstr>
      <vt:lpstr>tlOutput_toolGoals_G5</vt:lpstr>
      <vt:lpstr>tlOutput_toolGoals_G8</vt:lpstr>
      <vt:lpstr>tlOutput_toolGoals_H10</vt:lpstr>
      <vt:lpstr>tlOutput_toolGoals_H14</vt:lpstr>
      <vt:lpstr>tlOutput_toolGoals_H16</vt:lpstr>
      <vt:lpstr>tlOutput_toolGoals_H20</vt:lpstr>
      <vt:lpstr>tlOutput_toolGoals_H22</vt:lpstr>
      <vt:lpstr>tlOutput_toolGoals_H26</vt:lpstr>
      <vt:lpstr>tlOutput_toolGoals_H28</vt:lpstr>
      <vt:lpstr>tlOutput_toolGoals_H32</vt:lpstr>
      <vt:lpstr>tlOutput_toolGoals_H34</vt:lpstr>
      <vt:lpstr>tlOutput_toolGoals_H38</vt:lpstr>
      <vt:lpstr>tlOutput_toolGoals_H40</vt:lpstr>
      <vt:lpstr>tlOutput_toolGoals_H5</vt:lpstr>
      <vt:lpstr>tlOutput_toolGoals_H8</vt:lpstr>
      <vt:lpstr>tlOutput_toolGoals_I1</vt:lpstr>
      <vt:lpstr>tlOutput_toolGoals_I10</vt:lpstr>
      <vt:lpstr>tlOutput_toolGoals_I14</vt:lpstr>
      <vt:lpstr>tlOutput_toolGoals_I16</vt:lpstr>
      <vt:lpstr>tlOutput_toolGoals_I20</vt:lpstr>
      <vt:lpstr>tlOutput_toolGoals_I22</vt:lpstr>
      <vt:lpstr>tlOutput_toolGoals_I26</vt:lpstr>
      <vt:lpstr>tlOutput_toolGoals_I28</vt:lpstr>
      <vt:lpstr>tlOutput_toolGoals_I32</vt:lpstr>
      <vt:lpstr>tlOutput_toolGoals_I34</vt:lpstr>
      <vt:lpstr>tlOutput_toolGoals_I38</vt:lpstr>
      <vt:lpstr>tlOutput_toolGoals_I40</vt:lpstr>
      <vt:lpstr>tlOutput_toolGoals_I5</vt:lpstr>
      <vt:lpstr>tlOutput_toolGoals_I8</vt:lpstr>
      <vt:lpstr>tlOutput_toolGoals_J10</vt:lpstr>
      <vt:lpstr>tlOutput_toolGoals_J14</vt:lpstr>
      <vt:lpstr>tlOutput_toolGoals_J16</vt:lpstr>
      <vt:lpstr>tlOutput_toolGoals_J20</vt:lpstr>
      <vt:lpstr>tlOutput_toolGoals_J22</vt:lpstr>
      <vt:lpstr>tlOutput_toolGoals_J26</vt:lpstr>
      <vt:lpstr>tlOutput_toolGoals_J28</vt:lpstr>
      <vt:lpstr>tlOutput_toolGoals_J32</vt:lpstr>
      <vt:lpstr>tlOutput_toolGoals_J34</vt:lpstr>
      <vt:lpstr>tlOutput_toolGoals_J38</vt:lpstr>
      <vt:lpstr>tlOutput_toolGoals_J40</vt:lpstr>
      <vt:lpstr>tlOutput_toolGoals_J5</vt:lpstr>
      <vt:lpstr>tlOutput_toolGoals_J8</vt:lpstr>
      <vt:lpstr>tlOutput_toolGoals_O10</vt:lpstr>
      <vt:lpstr>tlOutput_toolGoals_O14</vt:lpstr>
      <vt:lpstr>tlOutput_toolGoals_O16</vt:lpstr>
      <vt:lpstr>tlOutput_toolGoals_O20</vt:lpstr>
      <vt:lpstr>tlOutput_toolGoals_O22</vt:lpstr>
      <vt:lpstr>tlOutput_toolGoals_O26</vt:lpstr>
      <vt:lpstr>tlOutput_toolGoals_O28</vt:lpstr>
      <vt:lpstr>tlOutput_toolGoals_O32</vt:lpstr>
      <vt:lpstr>tlOutput_toolGoals_O34</vt:lpstr>
      <vt:lpstr>tlOutput_toolGoals_O38</vt:lpstr>
      <vt:lpstr>tlOutput_toolGoals_O40</vt:lpstr>
      <vt:lpstr>tlOutput_toolGoals_O8</vt:lpstr>
      <vt:lpstr>tlOutput_toolGraphData_B100</vt:lpstr>
      <vt:lpstr>tlOutput_toolGraphData_B101</vt:lpstr>
      <vt:lpstr>tlOutput_toolGraphData_B12</vt:lpstr>
      <vt:lpstr>tlOutput_toolGraphData_B14</vt:lpstr>
      <vt:lpstr>tlOutput_toolGraphData_B16</vt:lpstr>
      <vt:lpstr>tlOutput_toolGraphData_B18</vt:lpstr>
      <vt:lpstr>tlOutput_toolGraphData_B20</vt:lpstr>
      <vt:lpstr>tlOutput_toolGraphData_B21</vt:lpstr>
      <vt:lpstr>tlOutput_toolGraphData_B26</vt:lpstr>
      <vt:lpstr>tlOutput_toolGraphData_B27</vt:lpstr>
      <vt:lpstr>tlOutput_toolGraphData_B28</vt:lpstr>
      <vt:lpstr>tlOutput_toolGraphData_B29</vt:lpstr>
      <vt:lpstr>tlOutput_toolGraphData_B3</vt:lpstr>
      <vt:lpstr>tlOutput_toolGraphData_B30</vt:lpstr>
      <vt:lpstr>tlOutput_toolGraphData_B31</vt:lpstr>
      <vt:lpstr>tlOutput_toolGraphData_B32</vt:lpstr>
      <vt:lpstr>tlOutput_toolGraphData_B33</vt:lpstr>
      <vt:lpstr>tlOutput_toolGraphData_B34</vt:lpstr>
      <vt:lpstr>tlOutput_toolGraphData_B35</vt:lpstr>
      <vt:lpstr>tlOutput_toolGraphData_B36</vt:lpstr>
      <vt:lpstr>tlOutput_toolGraphData_B37</vt:lpstr>
      <vt:lpstr>tlOutput_toolGraphData_B38</vt:lpstr>
      <vt:lpstr>tlOutput_toolGraphData_B39</vt:lpstr>
      <vt:lpstr>tlOutput_toolGraphData_B4</vt:lpstr>
      <vt:lpstr>tlOutput_toolGraphData_B40</vt:lpstr>
      <vt:lpstr>tlOutput_toolGraphData_B41</vt:lpstr>
      <vt:lpstr>tlOutput_toolGraphData_B42</vt:lpstr>
      <vt:lpstr>tlOutput_toolGraphData_B43</vt:lpstr>
      <vt:lpstr>tlOutput_toolGraphData_B44</vt:lpstr>
      <vt:lpstr>tlOutput_toolGraphData_B45</vt:lpstr>
      <vt:lpstr>tlOutput_toolGraphData_B46</vt:lpstr>
      <vt:lpstr>tlOutput_toolGraphData_B47</vt:lpstr>
      <vt:lpstr>tlOutput_toolGraphData_B48</vt:lpstr>
      <vt:lpstr>tlOutput_toolGraphData_B49</vt:lpstr>
      <vt:lpstr>tlOutput_toolGraphData_B5</vt:lpstr>
      <vt:lpstr>tlOutput_toolGraphData_B50</vt:lpstr>
      <vt:lpstr>tlOutput_toolGraphData_B51</vt:lpstr>
      <vt:lpstr>tlOutput_toolGraphData_B52</vt:lpstr>
      <vt:lpstr>tlOutput_toolGraphData_B53</vt:lpstr>
      <vt:lpstr>tlOutput_toolGraphData_B6</vt:lpstr>
      <vt:lpstr>tlOutput_toolGraphData_B68</vt:lpstr>
      <vt:lpstr>tlOutput_toolGraphData_B69</vt:lpstr>
      <vt:lpstr>tlOutput_toolGraphData_B7</vt:lpstr>
      <vt:lpstr>tlOutput_toolGraphData_B70</vt:lpstr>
      <vt:lpstr>tlOutput_toolGraphData_B71</vt:lpstr>
      <vt:lpstr>tlOutput_toolGraphData_B72</vt:lpstr>
      <vt:lpstr>tlOutput_toolGraphData_B73</vt:lpstr>
      <vt:lpstr>tlOutput_toolGraphData_B74</vt:lpstr>
      <vt:lpstr>tlOutput_toolGraphData_B75</vt:lpstr>
      <vt:lpstr>tlOutput_toolGraphData_B76</vt:lpstr>
      <vt:lpstr>tlOutput_toolGraphData_B77</vt:lpstr>
      <vt:lpstr>tlOutput_toolGraphData_B78</vt:lpstr>
      <vt:lpstr>tlOutput_toolGraphData_B79</vt:lpstr>
      <vt:lpstr>tlOutput_toolGraphData_B8</vt:lpstr>
      <vt:lpstr>tlOutput_toolGraphData_B80</vt:lpstr>
      <vt:lpstr>tlOutput_toolGraphData_B81</vt:lpstr>
      <vt:lpstr>tlOutput_toolGraphData_B82</vt:lpstr>
      <vt:lpstr>tlOutput_toolGraphData_B83</vt:lpstr>
      <vt:lpstr>tlOutput_toolGraphData_B84</vt:lpstr>
      <vt:lpstr>tlOutput_toolGraphData_B85</vt:lpstr>
      <vt:lpstr>tlOutput_toolGraphData_B86</vt:lpstr>
      <vt:lpstr>tlOutput_toolGraphData_B87</vt:lpstr>
      <vt:lpstr>tlOutput_toolGraphData_B88</vt:lpstr>
      <vt:lpstr>tlOutput_toolGraphData_B89</vt:lpstr>
      <vt:lpstr>tlOutput_toolGraphData_B9</vt:lpstr>
      <vt:lpstr>tlOutput_toolGraphData_B90</vt:lpstr>
      <vt:lpstr>tlOutput_toolGraphData_B91</vt:lpstr>
      <vt:lpstr>tlOutput_toolGraphData_B92</vt:lpstr>
      <vt:lpstr>tlOutput_toolGraphData_B93</vt:lpstr>
      <vt:lpstr>tlOutput_toolGraphData_B94</vt:lpstr>
      <vt:lpstr>tlOutput_toolGraphData_B95</vt:lpstr>
      <vt:lpstr>tlOutput_toolGraphData_B96</vt:lpstr>
      <vt:lpstr>tlOutput_toolGraphData_B97</vt:lpstr>
      <vt:lpstr>tlOutput_toolGraphData_B98</vt:lpstr>
      <vt:lpstr>tlOutput_toolGraphData_B99</vt:lpstr>
      <vt:lpstr>tlOutput_toolGraphData_C100</vt:lpstr>
      <vt:lpstr>tlOutput_toolGraphData_C102</vt:lpstr>
      <vt:lpstr>tlOutput_toolGraphData_C103</vt:lpstr>
      <vt:lpstr>tlOutput_toolGraphData_C104</vt:lpstr>
      <vt:lpstr>tlOutput_toolGraphData_C105</vt:lpstr>
      <vt:lpstr>tlOutput_toolGraphData_C106</vt:lpstr>
      <vt:lpstr>tlOutput_toolGraphData_C109</vt:lpstr>
      <vt:lpstr>tlOutput_toolGraphData_C110</vt:lpstr>
      <vt:lpstr>tlOutput_toolGraphData_C111</vt:lpstr>
      <vt:lpstr>tlOutput_toolGraphData_C112</vt:lpstr>
      <vt:lpstr>tlOutput_toolGraphData_C113</vt:lpstr>
      <vt:lpstr>tlOutput_toolGraphData_C13</vt:lpstr>
      <vt:lpstr>tlOutput_toolGraphData_C14</vt:lpstr>
      <vt:lpstr>tlOutput_toolGraphData_C15</vt:lpstr>
      <vt:lpstr>tlOutput_toolGraphData_C16</vt:lpstr>
      <vt:lpstr>tlOutput_toolGraphData_C19</vt:lpstr>
      <vt:lpstr>tlOutput_toolGraphData_C20</vt:lpstr>
      <vt:lpstr>tlOutput_toolGraphData_C21</vt:lpstr>
      <vt:lpstr>tlOutput_toolGraphData_C28</vt:lpstr>
      <vt:lpstr>tlOutput_toolGraphData_C29</vt:lpstr>
      <vt:lpstr>tlOutput_toolGraphData_C30</vt:lpstr>
      <vt:lpstr>tlOutput_toolGraphData_C31</vt:lpstr>
      <vt:lpstr>tlOutput_toolGraphData_C32</vt:lpstr>
      <vt:lpstr>tlOutput_toolGraphData_C33</vt:lpstr>
      <vt:lpstr>tlOutput_toolGraphData_C34</vt:lpstr>
      <vt:lpstr>tlOutput_toolGraphData_C35</vt:lpstr>
      <vt:lpstr>tlOutput_toolGraphData_C36</vt:lpstr>
      <vt:lpstr>tlOutput_toolGraphData_C37</vt:lpstr>
      <vt:lpstr>tlOutput_toolGraphData_C38</vt:lpstr>
      <vt:lpstr>tlOutput_toolGraphData_C39</vt:lpstr>
      <vt:lpstr>tlOutput_toolGraphData_C4</vt:lpstr>
      <vt:lpstr>tlOutput_toolGraphData_C41</vt:lpstr>
      <vt:lpstr>tlOutput_toolGraphData_C42</vt:lpstr>
      <vt:lpstr>tlOutput_toolGraphData_C43</vt:lpstr>
      <vt:lpstr>tlOutput_toolGraphData_C44</vt:lpstr>
      <vt:lpstr>tlOutput_toolGraphData_C45</vt:lpstr>
      <vt:lpstr>tlOutput_toolGraphData_C46</vt:lpstr>
      <vt:lpstr>tlOutput_toolGraphData_C47</vt:lpstr>
      <vt:lpstr>tlOutput_toolGraphData_C48</vt:lpstr>
      <vt:lpstr>tlOutput_toolGraphData_C49</vt:lpstr>
      <vt:lpstr>tlOutput_toolGraphData_C5</vt:lpstr>
      <vt:lpstr>tlOutput_toolGraphData_C50</vt:lpstr>
      <vt:lpstr>tlOutput_toolGraphData_C51</vt:lpstr>
      <vt:lpstr>tlOutput_toolGraphData_C52</vt:lpstr>
      <vt:lpstr>tlOutput_toolGraphData_C54</vt:lpstr>
      <vt:lpstr>tlOutput_toolGraphData_C55</vt:lpstr>
      <vt:lpstr>tlOutput_toolGraphData_C56</vt:lpstr>
      <vt:lpstr>tlOutput_toolGraphData_C57</vt:lpstr>
      <vt:lpstr>tlOutput_toolGraphData_C6</vt:lpstr>
      <vt:lpstr>tlOutput_toolGraphData_C60</vt:lpstr>
      <vt:lpstr>tlOutput_toolGraphData_C61</vt:lpstr>
      <vt:lpstr>tlOutput_toolGraphData_C62</vt:lpstr>
      <vt:lpstr>tlOutput_toolGraphData_C63</vt:lpstr>
      <vt:lpstr>tlOutput_toolGraphData_C7</vt:lpstr>
      <vt:lpstr>tlOutput_toolGraphData_C70</vt:lpstr>
      <vt:lpstr>tlOutput_toolGraphData_C71</vt:lpstr>
      <vt:lpstr>tlOutput_toolGraphData_C72</vt:lpstr>
      <vt:lpstr>tlOutput_toolGraphData_C73</vt:lpstr>
      <vt:lpstr>tlOutput_toolGraphData_C74</vt:lpstr>
      <vt:lpstr>tlOutput_toolGraphData_C75</vt:lpstr>
      <vt:lpstr>tlOutput_toolGraphData_C76</vt:lpstr>
      <vt:lpstr>tlOutput_toolGraphData_C77</vt:lpstr>
      <vt:lpstr>tlOutput_toolGraphData_C78</vt:lpstr>
      <vt:lpstr>tlOutput_toolGraphData_C79</vt:lpstr>
      <vt:lpstr>tlOutput_toolGraphData_C8</vt:lpstr>
      <vt:lpstr>tlOutput_toolGraphData_C80</vt:lpstr>
      <vt:lpstr>tlOutput_toolGraphData_C81</vt:lpstr>
      <vt:lpstr>tlOutput_toolGraphData_C82</vt:lpstr>
      <vt:lpstr>tlOutput_toolGraphData_C83</vt:lpstr>
      <vt:lpstr>tlOutput_toolGraphData_C84</vt:lpstr>
      <vt:lpstr>tlOutput_toolGraphData_C86</vt:lpstr>
      <vt:lpstr>tlOutput_toolGraphData_C87</vt:lpstr>
      <vt:lpstr>tlOutput_toolGraphData_C88</vt:lpstr>
      <vt:lpstr>tlOutput_toolGraphData_C89</vt:lpstr>
      <vt:lpstr>tlOutput_toolGraphData_C9</vt:lpstr>
      <vt:lpstr>tlOutput_toolGraphData_C90</vt:lpstr>
      <vt:lpstr>tlOutput_toolGraphData_C91</vt:lpstr>
      <vt:lpstr>tlOutput_toolGraphData_C92</vt:lpstr>
      <vt:lpstr>tlOutput_toolGraphData_C93</vt:lpstr>
      <vt:lpstr>tlOutput_toolGraphData_C94</vt:lpstr>
      <vt:lpstr>tlOutput_toolGraphData_C95</vt:lpstr>
      <vt:lpstr>tlOutput_toolGraphData_C96</vt:lpstr>
      <vt:lpstr>tlOutput_toolGraphData_C97</vt:lpstr>
      <vt:lpstr>tlOutput_toolGraphData_C98</vt:lpstr>
      <vt:lpstr>tlOutput_toolGraphData_C99</vt:lpstr>
      <vt:lpstr>tlOutput_toolGraphData_D109</vt:lpstr>
      <vt:lpstr>tlOutput_toolGraphData_D110</vt:lpstr>
      <vt:lpstr>tlOutput_toolGraphData_D111</vt:lpstr>
      <vt:lpstr>tlOutput_toolGraphData_D112</vt:lpstr>
      <vt:lpstr>tlOutput_toolGraphData_D113</vt:lpstr>
      <vt:lpstr>tlOutput_toolGraphData_D13</vt:lpstr>
      <vt:lpstr>tlOutput_toolGraphData_D14</vt:lpstr>
      <vt:lpstr>tlOutput_toolGraphData_D15</vt:lpstr>
      <vt:lpstr>tlOutput_toolGraphData_D16</vt:lpstr>
      <vt:lpstr>tlOutput_toolGraphData_D19</vt:lpstr>
      <vt:lpstr>tlOutput_toolGraphData_D20</vt:lpstr>
      <vt:lpstr>tlOutput_toolGraphData_D21</vt:lpstr>
      <vt:lpstr>tlOutput_toolGraphData_D4</vt:lpstr>
      <vt:lpstr>tlOutput_toolGraphData_D5</vt:lpstr>
      <vt:lpstr>tlOutput_toolGraphData_D6</vt:lpstr>
      <vt:lpstr>tlOutput_toolGraphData_D60</vt:lpstr>
      <vt:lpstr>tlOutput_toolGraphData_D61</vt:lpstr>
      <vt:lpstr>tlOutput_toolGraphData_D62</vt:lpstr>
      <vt:lpstr>tlOutput_toolGraphData_D63</vt:lpstr>
      <vt:lpstr>tlOutput_toolGraphData_D7</vt:lpstr>
      <vt:lpstr>tlOutput_toolGraphData_D8</vt:lpstr>
      <vt:lpstr>tlOutput_toolGraphData_D9</vt:lpstr>
      <vt:lpstr>tlOutput_toolGraphData_E100</vt:lpstr>
      <vt:lpstr>tlOutput_toolGraphData_E102</vt:lpstr>
      <vt:lpstr>tlOutput_toolGraphData_E103</vt:lpstr>
      <vt:lpstr>tlOutput_toolGraphData_E104</vt:lpstr>
      <vt:lpstr>tlOutput_toolGraphData_E105</vt:lpstr>
      <vt:lpstr>tlOutput_toolGraphData_E106</vt:lpstr>
      <vt:lpstr>tlOutput_toolGraphData_E109</vt:lpstr>
      <vt:lpstr>tlOutput_toolGraphData_E13</vt:lpstr>
      <vt:lpstr>tlOutput_toolGraphData_E14</vt:lpstr>
      <vt:lpstr>tlOutput_toolGraphData_E15</vt:lpstr>
      <vt:lpstr>tlOutput_toolGraphData_E16</vt:lpstr>
      <vt:lpstr>tlOutput_toolGraphData_E27</vt:lpstr>
      <vt:lpstr>tlOutput_toolGraphData_E28</vt:lpstr>
      <vt:lpstr>tlOutput_toolGraphData_E29</vt:lpstr>
      <vt:lpstr>tlOutput_toolGraphData_E30</vt:lpstr>
      <vt:lpstr>tlOutput_toolGraphData_E31</vt:lpstr>
      <vt:lpstr>tlOutput_toolGraphData_E32</vt:lpstr>
      <vt:lpstr>tlOutput_toolGraphData_E33</vt:lpstr>
      <vt:lpstr>tlOutput_toolGraphData_E34</vt:lpstr>
      <vt:lpstr>tlOutput_toolGraphData_E35</vt:lpstr>
      <vt:lpstr>tlOutput_toolGraphData_E36</vt:lpstr>
      <vt:lpstr>tlOutput_toolGraphData_E37</vt:lpstr>
      <vt:lpstr>tlOutput_toolGraphData_E38</vt:lpstr>
      <vt:lpstr>tlOutput_toolGraphData_E39</vt:lpstr>
      <vt:lpstr>tlOutput_toolGraphData_E4</vt:lpstr>
      <vt:lpstr>tlOutput_toolGraphData_E41</vt:lpstr>
      <vt:lpstr>tlOutput_toolGraphData_E42</vt:lpstr>
      <vt:lpstr>tlOutput_toolGraphData_E43</vt:lpstr>
      <vt:lpstr>tlOutput_toolGraphData_E44</vt:lpstr>
      <vt:lpstr>tlOutput_toolGraphData_E45</vt:lpstr>
      <vt:lpstr>tlOutput_toolGraphData_E46</vt:lpstr>
      <vt:lpstr>tlOutput_toolGraphData_E47</vt:lpstr>
      <vt:lpstr>tlOutput_toolGraphData_E48</vt:lpstr>
      <vt:lpstr>tlOutput_toolGraphData_E49</vt:lpstr>
      <vt:lpstr>tlOutput_toolGraphData_E5</vt:lpstr>
      <vt:lpstr>tlOutput_toolGraphData_E50</vt:lpstr>
      <vt:lpstr>tlOutput_toolGraphData_E51</vt:lpstr>
      <vt:lpstr>tlOutput_toolGraphData_E52</vt:lpstr>
      <vt:lpstr>tlOutput_toolGraphData_E54</vt:lpstr>
      <vt:lpstr>tlOutput_toolGraphData_E55</vt:lpstr>
      <vt:lpstr>tlOutput_toolGraphData_E56</vt:lpstr>
      <vt:lpstr>tlOutput_toolGraphData_E57</vt:lpstr>
      <vt:lpstr>tlOutput_toolGraphData_E6</vt:lpstr>
      <vt:lpstr>tlOutput_toolGraphData_E60</vt:lpstr>
      <vt:lpstr>tlOutput_toolGraphData_E69</vt:lpstr>
      <vt:lpstr>tlOutput_toolGraphData_E7</vt:lpstr>
      <vt:lpstr>tlOutput_toolGraphData_E70</vt:lpstr>
      <vt:lpstr>tlOutput_toolGraphData_E71</vt:lpstr>
      <vt:lpstr>tlOutput_toolGraphData_E72</vt:lpstr>
      <vt:lpstr>tlOutput_toolGraphData_E73</vt:lpstr>
      <vt:lpstr>tlOutput_toolGraphData_E74</vt:lpstr>
      <vt:lpstr>tlOutput_toolGraphData_E75</vt:lpstr>
      <vt:lpstr>tlOutput_toolGraphData_E76</vt:lpstr>
      <vt:lpstr>tlOutput_toolGraphData_E77</vt:lpstr>
      <vt:lpstr>tlOutput_toolGraphData_E78</vt:lpstr>
      <vt:lpstr>tlOutput_toolGraphData_E79</vt:lpstr>
      <vt:lpstr>tlOutput_toolGraphData_E8</vt:lpstr>
      <vt:lpstr>tlOutput_toolGraphData_E80</vt:lpstr>
      <vt:lpstr>tlOutput_toolGraphData_E81</vt:lpstr>
      <vt:lpstr>tlOutput_toolGraphData_E82</vt:lpstr>
      <vt:lpstr>tlOutput_toolGraphData_E83</vt:lpstr>
      <vt:lpstr>tlOutput_toolGraphData_E84</vt:lpstr>
      <vt:lpstr>tlOutput_toolGraphData_E86</vt:lpstr>
      <vt:lpstr>tlOutput_toolGraphData_E87</vt:lpstr>
      <vt:lpstr>tlOutput_toolGraphData_E88</vt:lpstr>
      <vt:lpstr>tlOutput_toolGraphData_E89</vt:lpstr>
      <vt:lpstr>tlOutput_toolGraphData_E9</vt:lpstr>
      <vt:lpstr>tlOutput_toolGraphData_E90</vt:lpstr>
      <vt:lpstr>tlOutput_toolGraphData_E91</vt:lpstr>
      <vt:lpstr>tlOutput_toolGraphData_E92</vt:lpstr>
      <vt:lpstr>tlOutput_toolGraphData_E93</vt:lpstr>
      <vt:lpstr>tlOutput_toolGraphData_E94</vt:lpstr>
      <vt:lpstr>tlOutput_toolGraphData_E95</vt:lpstr>
      <vt:lpstr>tlOutput_toolGraphData_E96</vt:lpstr>
      <vt:lpstr>tlOutput_toolGraphData_E97</vt:lpstr>
      <vt:lpstr>tlOutput_toolGraphData_E98</vt:lpstr>
      <vt:lpstr>tlOutput_toolGraphData_E99</vt:lpstr>
      <vt:lpstr>tlOutput_toolGraphData_F100</vt:lpstr>
      <vt:lpstr>tlOutput_toolGraphData_F102</vt:lpstr>
      <vt:lpstr>tlOutput_toolGraphData_F103</vt:lpstr>
      <vt:lpstr>tlOutput_toolGraphData_F104</vt:lpstr>
      <vt:lpstr>tlOutput_toolGraphData_F105</vt:lpstr>
      <vt:lpstr>tlOutput_toolGraphData_F106</vt:lpstr>
      <vt:lpstr>tlOutput_toolGraphData_F27</vt:lpstr>
      <vt:lpstr>tlOutput_toolGraphData_F28</vt:lpstr>
      <vt:lpstr>tlOutput_toolGraphData_F29</vt:lpstr>
      <vt:lpstr>tlOutput_toolGraphData_F30</vt:lpstr>
      <vt:lpstr>tlOutput_toolGraphData_F31</vt:lpstr>
      <vt:lpstr>tlOutput_toolGraphData_F32</vt:lpstr>
      <vt:lpstr>tlOutput_toolGraphData_F33</vt:lpstr>
      <vt:lpstr>tlOutput_toolGraphData_F34</vt:lpstr>
      <vt:lpstr>tlOutput_toolGraphData_F35</vt:lpstr>
      <vt:lpstr>tlOutput_toolGraphData_F36</vt:lpstr>
      <vt:lpstr>tlOutput_toolGraphData_F37</vt:lpstr>
      <vt:lpstr>tlOutput_toolGraphData_F38</vt:lpstr>
      <vt:lpstr>tlOutput_toolGraphData_F39</vt:lpstr>
      <vt:lpstr>tlOutput_toolGraphData_F4</vt:lpstr>
      <vt:lpstr>tlOutput_toolGraphData_F41</vt:lpstr>
      <vt:lpstr>tlOutput_toolGraphData_F42</vt:lpstr>
      <vt:lpstr>tlOutput_toolGraphData_F43</vt:lpstr>
      <vt:lpstr>tlOutput_toolGraphData_F44</vt:lpstr>
      <vt:lpstr>tlOutput_toolGraphData_F45</vt:lpstr>
      <vt:lpstr>tlOutput_toolGraphData_F46</vt:lpstr>
      <vt:lpstr>tlOutput_toolGraphData_F47</vt:lpstr>
      <vt:lpstr>tlOutput_toolGraphData_F48</vt:lpstr>
      <vt:lpstr>tlOutput_toolGraphData_F49</vt:lpstr>
      <vt:lpstr>tlOutput_toolGraphData_F5</vt:lpstr>
      <vt:lpstr>tlOutput_toolGraphData_F50</vt:lpstr>
      <vt:lpstr>tlOutput_toolGraphData_F51</vt:lpstr>
      <vt:lpstr>tlOutput_toolGraphData_F52</vt:lpstr>
      <vt:lpstr>tlOutput_toolGraphData_F54</vt:lpstr>
      <vt:lpstr>tlOutput_toolGraphData_F55</vt:lpstr>
      <vt:lpstr>tlOutput_toolGraphData_F56</vt:lpstr>
      <vt:lpstr>tlOutput_toolGraphData_F57</vt:lpstr>
      <vt:lpstr>tlOutput_toolGraphData_F6</vt:lpstr>
      <vt:lpstr>tlOutput_toolGraphData_F69</vt:lpstr>
      <vt:lpstr>tlOutput_toolGraphData_F7</vt:lpstr>
      <vt:lpstr>tlOutput_toolGraphData_F70</vt:lpstr>
      <vt:lpstr>tlOutput_toolGraphData_F71</vt:lpstr>
      <vt:lpstr>tlOutput_toolGraphData_F72</vt:lpstr>
      <vt:lpstr>tlOutput_toolGraphData_F73</vt:lpstr>
      <vt:lpstr>tlOutput_toolGraphData_F74</vt:lpstr>
      <vt:lpstr>tlOutput_toolGraphData_F75</vt:lpstr>
      <vt:lpstr>tlOutput_toolGraphData_F76</vt:lpstr>
      <vt:lpstr>tlOutput_toolGraphData_F77</vt:lpstr>
      <vt:lpstr>tlOutput_toolGraphData_F78</vt:lpstr>
      <vt:lpstr>tlOutput_toolGraphData_F79</vt:lpstr>
      <vt:lpstr>tlOutput_toolGraphData_F8</vt:lpstr>
      <vt:lpstr>tlOutput_toolGraphData_F80</vt:lpstr>
      <vt:lpstr>tlOutput_toolGraphData_F81</vt:lpstr>
      <vt:lpstr>tlOutput_toolGraphData_F82</vt:lpstr>
      <vt:lpstr>tlOutput_toolGraphData_F83</vt:lpstr>
      <vt:lpstr>tlOutput_toolGraphData_F84</vt:lpstr>
      <vt:lpstr>tlOutput_toolGraphData_F86</vt:lpstr>
      <vt:lpstr>tlOutput_toolGraphData_F87</vt:lpstr>
      <vt:lpstr>tlOutput_toolGraphData_F88</vt:lpstr>
      <vt:lpstr>tlOutput_toolGraphData_F89</vt:lpstr>
      <vt:lpstr>tlOutput_toolGraphData_F9</vt:lpstr>
      <vt:lpstr>tlOutput_toolGraphData_F90</vt:lpstr>
      <vt:lpstr>tlOutput_toolGraphData_F91</vt:lpstr>
      <vt:lpstr>tlOutput_toolGraphData_F92</vt:lpstr>
      <vt:lpstr>tlOutput_toolGraphData_F93</vt:lpstr>
      <vt:lpstr>tlOutput_toolGraphData_F94</vt:lpstr>
      <vt:lpstr>tlOutput_toolGraphData_F95</vt:lpstr>
      <vt:lpstr>tlOutput_toolGraphData_F96</vt:lpstr>
      <vt:lpstr>tlOutput_toolGraphData_F97</vt:lpstr>
      <vt:lpstr>tlOutput_toolGraphData_F98</vt:lpstr>
      <vt:lpstr>tlOutput_toolGraphData_F99</vt:lpstr>
      <vt:lpstr>tlOutput_toolGraphData_G100</vt:lpstr>
      <vt:lpstr>tlOutput_toolGraphData_G102</vt:lpstr>
      <vt:lpstr>tlOutput_toolGraphData_G103</vt:lpstr>
      <vt:lpstr>tlOutput_toolGraphData_G104</vt:lpstr>
      <vt:lpstr>tlOutput_toolGraphData_G105</vt:lpstr>
      <vt:lpstr>tlOutput_toolGraphData_G106</vt:lpstr>
      <vt:lpstr>tlOutput_toolGraphData_G27</vt:lpstr>
      <vt:lpstr>tlOutput_toolGraphData_G28</vt:lpstr>
      <vt:lpstr>tlOutput_toolGraphData_G29</vt:lpstr>
      <vt:lpstr>tlOutput_toolGraphData_G30</vt:lpstr>
      <vt:lpstr>tlOutput_toolGraphData_G31</vt:lpstr>
      <vt:lpstr>tlOutput_toolGraphData_G32</vt:lpstr>
      <vt:lpstr>tlOutput_toolGraphData_G33</vt:lpstr>
      <vt:lpstr>tlOutput_toolGraphData_G34</vt:lpstr>
      <vt:lpstr>tlOutput_toolGraphData_G35</vt:lpstr>
      <vt:lpstr>tlOutput_toolGraphData_G36</vt:lpstr>
      <vt:lpstr>tlOutput_toolGraphData_G37</vt:lpstr>
      <vt:lpstr>tlOutput_toolGraphData_G38</vt:lpstr>
      <vt:lpstr>tlOutput_toolGraphData_G39</vt:lpstr>
      <vt:lpstr>tlOutput_toolGraphData_G41</vt:lpstr>
      <vt:lpstr>tlOutput_toolGraphData_G42</vt:lpstr>
      <vt:lpstr>tlOutput_toolGraphData_G43</vt:lpstr>
      <vt:lpstr>tlOutput_toolGraphData_G44</vt:lpstr>
      <vt:lpstr>tlOutput_toolGraphData_G45</vt:lpstr>
      <vt:lpstr>tlOutput_toolGraphData_G46</vt:lpstr>
      <vt:lpstr>tlOutput_toolGraphData_G47</vt:lpstr>
      <vt:lpstr>tlOutput_toolGraphData_G48</vt:lpstr>
      <vt:lpstr>tlOutput_toolGraphData_G49</vt:lpstr>
      <vt:lpstr>tlOutput_toolGraphData_G50</vt:lpstr>
      <vt:lpstr>tlOutput_toolGraphData_G51</vt:lpstr>
      <vt:lpstr>tlOutput_toolGraphData_G52</vt:lpstr>
      <vt:lpstr>tlOutput_toolGraphData_G54</vt:lpstr>
      <vt:lpstr>tlOutput_toolGraphData_G55</vt:lpstr>
      <vt:lpstr>tlOutput_toolGraphData_G56</vt:lpstr>
      <vt:lpstr>tlOutput_toolGraphData_G57</vt:lpstr>
      <vt:lpstr>tlOutput_toolGraphData_G69</vt:lpstr>
      <vt:lpstr>tlOutput_toolGraphData_G70</vt:lpstr>
      <vt:lpstr>tlOutput_toolGraphData_G71</vt:lpstr>
      <vt:lpstr>tlOutput_toolGraphData_G72</vt:lpstr>
      <vt:lpstr>tlOutput_toolGraphData_G73</vt:lpstr>
      <vt:lpstr>tlOutput_toolGraphData_G74</vt:lpstr>
      <vt:lpstr>tlOutput_toolGraphData_G75</vt:lpstr>
      <vt:lpstr>tlOutput_toolGraphData_G76</vt:lpstr>
      <vt:lpstr>tlOutput_toolGraphData_G77</vt:lpstr>
      <vt:lpstr>tlOutput_toolGraphData_G78</vt:lpstr>
      <vt:lpstr>tlOutput_toolGraphData_G79</vt:lpstr>
      <vt:lpstr>tlOutput_toolGraphData_G80</vt:lpstr>
      <vt:lpstr>tlOutput_toolGraphData_G81</vt:lpstr>
      <vt:lpstr>tlOutput_toolGraphData_G82</vt:lpstr>
      <vt:lpstr>tlOutput_toolGraphData_G83</vt:lpstr>
      <vt:lpstr>tlOutput_toolGraphData_G84</vt:lpstr>
      <vt:lpstr>tlOutput_toolGraphData_G86</vt:lpstr>
      <vt:lpstr>tlOutput_toolGraphData_G87</vt:lpstr>
      <vt:lpstr>tlOutput_toolGraphData_G88</vt:lpstr>
      <vt:lpstr>tlOutput_toolGraphData_G89</vt:lpstr>
      <vt:lpstr>tlOutput_toolGraphData_G90</vt:lpstr>
      <vt:lpstr>tlOutput_toolGraphData_G91</vt:lpstr>
      <vt:lpstr>tlOutput_toolGraphData_G92</vt:lpstr>
      <vt:lpstr>tlOutput_toolGraphData_G93</vt:lpstr>
      <vt:lpstr>tlOutput_toolGraphData_G94</vt:lpstr>
      <vt:lpstr>tlOutput_toolGraphData_G95</vt:lpstr>
      <vt:lpstr>tlOutput_toolGraphData_G96</vt:lpstr>
      <vt:lpstr>tlOutput_toolGraphData_G97</vt:lpstr>
      <vt:lpstr>tlOutput_toolGraphData_G98</vt:lpstr>
      <vt:lpstr>tlOutput_toolGraphData_G99</vt:lpstr>
      <vt:lpstr>tlOutput_toolGraphData_H100</vt:lpstr>
      <vt:lpstr>tlOutput_toolGraphData_H102</vt:lpstr>
      <vt:lpstr>tlOutput_toolGraphData_H103</vt:lpstr>
      <vt:lpstr>tlOutput_toolGraphData_H104</vt:lpstr>
      <vt:lpstr>tlOutput_toolGraphData_H105</vt:lpstr>
      <vt:lpstr>tlOutput_toolGraphData_H106</vt:lpstr>
      <vt:lpstr>tlOutput_toolGraphData_H27</vt:lpstr>
      <vt:lpstr>tlOutput_toolGraphData_H28</vt:lpstr>
      <vt:lpstr>tlOutput_toolGraphData_H29</vt:lpstr>
      <vt:lpstr>tlOutput_toolGraphData_H30</vt:lpstr>
      <vt:lpstr>tlOutput_toolGraphData_H31</vt:lpstr>
      <vt:lpstr>tlOutput_toolGraphData_H32</vt:lpstr>
      <vt:lpstr>tlOutput_toolGraphData_H33</vt:lpstr>
      <vt:lpstr>tlOutput_toolGraphData_H34</vt:lpstr>
      <vt:lpstr>tlOutput_toolGraphData_H35</vt:lpstr>
      <vt:lpstr>tlOutput_toolGraphData_H36</vt:lpstr>
      <vt:lpstr>tlOutput_toolGraphData_H37</vt:lpstr>
      <vt:lpstr>tlOutput_toolGraphData_H38</vt:lpstr>
      <vt:lpstr>tlOutput_toolGraphData_H39</vt:lpstr>
      <vt:lpstr>tlOutput_toolGraphData_H41</vt:lpstr>
      <vt:lpstr>tlOutput_toolGraphData_H42</vt:lpstr>
      <vt:lpstr>tlOutput_toolGraphData_H43</vt:lpstr>
      <vt:lpstr>tlOutput_toolGraphData_H44</vt:lpstr>
      <vt:lpstr>tlOutput_toolGraphData_H45</vt:lpstr>
      <vt:lpstr>tlOutput_toolGraphData_H46</vt:lpstr>
      <vt:lpstr>tlOutput_toolGraphData_H47</vt:lpstr>
      <vt:lpstr>tlOutput_toolGraphData_H48</vt:lpstr>
      <vt:lpstr>tlOutput_toolGraphData_H49</vt:lpstr>
      <vt:lpstr>tlOutput_toolGraphData_H50</vt:lpstr>
      <vt:lpstr>tlOutput_toolGraphData_H51</vt:lpstr>
      <vt:lpstr>tlOutput_toolGraphData_H52</vt:lpstr>
      <vt:lpstr>tlOutput_toolGraphData_H54</vt:lpstr>
      <vt:lpstr>tlOutput_toolGraphData_H55</vt:lpstr>
      <vt:lpstr>tlOutput_toolGraphData_H56</vt:lpstr>
      <vt:lpstr>tlOutput_toolGraphData_H57</vt:lpstr>
      <vt:lpstr>tlOutput_toolGraphData_H69</vt:lpstr>
      <vt:lpstr>tlOutput_toolGraphData_H70</vt:lpstr>
      <vt:lpstr>tlOutput_toolGraphData_H71</vt:lpstr>
      <vt:lpstr>tlOutput_toolGraphData_H72</vt:lpstr>
      <vt:lpstr>tlOutput_toolGraphData_H73</vt:lpstr>
      <vt:lpstr>tlOutput_toolGraphData_H74</vt:lpstr>
      <vt:lpstr>tlOutput_toolGraphData_H75</vt:lpstr>
      <vt:lpstr>tlOutput_toolGraphData_H76</vt:lpstr>
      <vt:lpstr>tlOutput_toolGraphData_H77</vt:lpstr>
      <vt:lpstr>tlOutput_toolGraphData_H78</vt:lpstr>
      <vt:lpstr>tlOutput_toolGraphData_H79</vt:lpstr>
      <vt:lpstr>tlOutput_toolGraphData_H80</vt:lpstr>
      <vt:lpstr>tlOutput_toolGraphData_H81</vt:lpstr>
      <vt:lpstr>tlOutput_toolGraphData_H82</vt:lpstr>
      <vt:lpstr>tlOutput_toolGraphData_H83</vt:lpstr>
      <vt:lpstr>tlOutput_toolGraphData_H84</vt:lpstr>
      <vt:lpstr>tlOutput_toolGraphData_H86</vt:lpstr>
      <vt:lpstr>tlOutput_toolGraphData_H87</vt:lpstr>
      <vt:lpstr>tlOutput_toolGraphData_H88</vt:lpstr>
      <vt:lpstr>tlOutput_toolGraphData_H89</vt:lpstr>
      <vt:lpstr>tlOutput_toolGraphData_H90</vt:lpstr>
      <vt:lpstr>tlOutput_toolGraphData_H91</vt:lpstr>
      <vt:lpstr>tlOutput_toolGraphData_H92</vt:lpstr>
      <vt:lpstr>tlOutput_toolGraphData_H93</vt:lpstr>
      <vt:lpstr>tlOutput_toolGraphData_H94</vt:lpstr>
      <vt:lpstr>tlOutput_toolGraphData_H95</vt:lpstr>
      <vt:lpstr>tlOutput_toolGraphData_H96</vt:lpstr>
      <vt:lpstr>tlOutput_toolGraphData_H97</vt:lpstr>
      <vt:lpstr>tlOutput_toolGraphData_H98</vt:lpstr>
      <vt:lpstr>tlOutput_toolGraphData_H99</vt:lpstr>
      <vt:lpstr>tlOutput_toolGraphData_I100</vt:lpstr>
      <vt:lpstr>tlOutput_toolGraphData_I102</vt:lpstr>
      <vt:lpstr>tlOutput_toolGraphData_I103</vt:lpstr>
      <vt:lpstr>tlOutput_toolGraphData_I104</vt:lpstr>
      <vt:lpstr>tlOutput_toolGraphData_I105</vt:lpstr>
      <vt:lpstr>tlOutput_toolGraphData_I106</vt:lpstr>
      <vt:lpstr>tlOutput_toolGraphData_I27</vt:lpstr>
      <vt:lpstr>tlOutput_toolGraphData_I28</vt:lpstr>
      <vt:lpstr>tlOutput_toolGraphData_I29</vt:lpstr>
      <vt:lpstr>tlOutput_toolGraphData_I30</vt:lpstr>
      <vt:lpstr>tlOutput_toolGraphData_I31</vt:lpstr>
      <vt:lpstr>tlOutput_toolGraphData_I32</vt:lpstr>
      <vt:lpstr>tlOutput_toolGraphData_I33</vt:lpstr>
      <vt:lpstr>tlOutput_toolGraphData_I34</vt:lpstr>
      <vt:lpstr>tlOutput_toolGraphData_I35</vt:lpstr>
      <vt:lpstr>tlOutput_toolGraphData_I36</vt:lpstr>
      <vt:lpstr>tlOutput_toolGraphData_I37</vt:lpstr>
      <vt:lpstr>tlOutput_toolGraphData_I38</vt:lpstr>
      <vt:lpstr>tlOutput_toolGraphData_I39</vt:lpstr>
      <vt:lpstr>tlOutput_toolGraphData_I41</vt:lpstr>
      <vt:lpstr>tlOutput_toolGraphData_I42</vt:lpstr>
      <vt:lpstr>tlOutput_toolGraphData_I43</vt:lpstr>
      <vt:lpstr>tlOutput_toolGraphData_I44</vt:lpstr>
      <vt:lpstr>tlOutput_toolGraphData_I45</vt:lpstr>
      <vt:lpstr>tlOutput_toolGraphData_I46</vt:lpstr>
      <vt:lpstr>tlOutput_toolGraphData_I47</vt:lpstr>
      <vt:lpstr>tlOutput_toolGraphData_I48</vt:lpstr>
      <vt:lpstr>tlOutput_toolGraphData_I49</vt:lpstr>
      <vt:lpstr>tlOutput_toolGraphData_I50</vt:lpstr>
      <vt:lpstr>tlOutput_toolGraphData_I51</vt:lpstr>
      <vt:lpstr>tlOutput_toolGraphData_I52</vt:lpstr>
      <vt:lpstr>tlOutput_toolGraphData_I54</vt:lpstr>
      <vt:lpstr>tlOutput_toolGraphData_I55</vt:lpstr>
      <vt:lpstr>tlOutput_toolGraphData_I56</vt:lpstr>
      <vt:lpstr>tlOutput_toolGraphData_I57</vt:lpstr>
      <vt:lpstr>tlOutput_toolGraphData_I69</vt:lpstr>
      <vt:lpstr>tlOutput_toolGraphData_I70</vt:lpstr>
      <vt:lpstr>tlOutput_toolGraphData_I71</vt:lpstr>
      <vt:lpstr>tlOutput_toolGraphData_I72</vt:lpstr>
      <vt:lpstr>tlOutput_toolGraphData_I73</vt:lpstr>
      <vt:lpstr>tlOutput_toolGraphData_I74</vt:lpstr>
      <vt:lpstr>tlOutput_toolGraphData_I75</vt:lpstr>
      <vt:lpstr>tlOutput_toolGraphData_I76</vt:lpstr>
      <vt:lpstr>tlOutput_toolGraphData_I77</vt:lpstr>
      <vt:lpstr>tlOutput_toolGraphData_I78</vt:lpstr>
      <vt:lpstr>tlOutput_toolGraphData_I79</vt:lpstr>
      <vt:lpstr>tlOutput_toolGraphData_I80</vt:lpstr>
      <vt:lpstr>tlOutput_toolGraphData_I81</vt:lpstr>
      <vt:lpstr>tlOutput_toolGraphData_I82</vt:lpstr>
      <vt:lpstr>tlOutput_toolGraphData_I83</vt:lpstr>
      <vt:lpstr>tlOutput_toolGraphData_I84</vt:lpstr>
      <vt:lpstr>tlOutput_toolGraphData_I86</vt:lpstr>
      <vt:lpstr>tlOutput_toolGraphData_I87</vt:lpstr>
      <vt:lpstr>tlOutput_toolGraphData_I88</vt:lpstr>
      <vt:lpstr>tlOutput_toolGraphData_I89</vt:lpstr>
      <vt:lpstr>tlOutput_toolGraphData_I90</vt:lpstr>
      <vt:lpstr>tlOutput_toolGraphData_I91</vt:lpstr>
      <vt:lpstr>tlOutput_toolGraphData_I92</vt:lpstr>
      <vt:lpstr>tlOutput_toolGraphData_I93</vt:lpstr>
      <vt:lpstr>tlOutput_toolGraphData_I94</vt:lpstr>
      <vt:lpstr>tlOutput_toolGraphData_I95</vt:lpstr>
      <vt:lpstr>tlOutput_toolGraphData_I96</vt:lpstr>
      <vt:lpstr>tlOutput_toolGraphData_I97</vt:lpstr>
      <vt:lpstr>tlOutput_toolGraphData_I98</vt:lpstr>
      <vt:lpstr>tlOutput_toolGraphData_I99</vt:lpstr>
      <vt:lpstr>tlOutput_toolGraphData_J102</vt:lpstr>
      <vt:lpstr>tlOutput_toolGraphData_J103</vt:lpstr>
      <vt:lpstr>tlOutput_toolGraphData_J104</vt:lpstr>
      <vt:lpstr>tlOutput_toolGraphData_J105</vt:lpstr>
      <vt:lpstr>tlOutput_toolGraphData_J106</vt:lpstr>
      <vt:lpstr>tlOutput_toolGraphData_J54</vt:lpstr>
      <vt:lpstr>tlOutput_toolGraphData_J55</vt:lpstr>
      <vt:lpstr>tlOutput_toolGraphData_J56</vt:lpstr>
      <vt:lpstr>tlOutput_toolGraphData_J57</vt:lpstr>
      <vt:lpstr>tlOutput_toolGraphData_K13</vt:lpstr>
      <vt:lpstr>tlOutput_toolGraphData_K14</vt:lpstr>
      <vt:lpstr>tlOutput_toolGraphData_K15</vt:lpstr>
      <vt:lpstr>tlOutput_toolGraphData_K16</vt:lpstr>
      <vt:lpstr>tlOutput_toolGraphData_K17</vt:lpstr>
      <vt:lpstr>tlOutput_toolGraphData_K18</vt:lpstr>
      <vt:lpstr>tlOutput_toolGraphData_K19</vt:lpstr>
      <vt:lpstr>tlOutput_toolGraphData_K20</vt:lpstr>
      <vt:lpstr>tlOutput_toolGraphData_L14</vt:lpstr>
      <vt:lpstr>tlOutput_toolGraphData_L15</vt:lpstr>
      <vt:lpstr>tlOutput_toolGraphData_L16</vt:lpstr>
      <vt:lpstr>tlOutput_toolGraphData_L17</vt:lpstr>
      <vt:lpstr>tlOutput_toolGraphData_L18</vt:lpstr>
      <vt:lpstr>tlOutput_toolGraphData_L19</vt:lpstr>
      <vt:lpstr>tlOutput_toolGraphData_L20</vt:lpstr>
      <vt:lpstr>tlOutput_toolGraphData_L3</vt:lpstr>
      <vt:lpstr>tlOutput_toolGraphData_L4</vt:lpstr>
      <vt:lpstr>tlOutput_toolGraphData_L5</vt:lpstr>
      <vt:lpstr>tlOutput_toolGraphData_L6</vt:lpstr>
      <vt:lpstr>tlOutput_toolGraphData_L7</vt:lpstr>
      <vt:lpstr>tlOutput_toolGraphData_M4</vt:lpstr>
      <vt:lpstr>tlOutput_toolGraphData_M5</vt:lpstr>
      <vt:lpstr>tlOutput_toolGraphData_M6</vt:lpstr>
      <vt:lpstr>tlOutput_toolGraphData_M7</vt:lpstr>
      <vt:lpstr>tlOutput_toolGraphData_N4</vt:lpstr>
      <vt:lpstr>tlOutput_toolGraphData_N5</vt:lpstr>
      <vt:lpstr>tlOutput_toolGraphData_N6</vt:lpstr>
      <vt:lpstr>tlOutput_toolGraphData_N7</vt:lpstr>
      <vt:lpstr>tlOutput_toolGSS_B47</vt:lpstr>
      <vt:lpstr>tlOutput_toolGSS_B49</vt:lpstr>
      <vt:lpstr>tlOutput_toolGSS_B60</vt:lpstr>
      <vt:lpstr>tlOutput_toolGSS_B69</vt:lpstr>
      <vt:lpstr>tlOutput_toolGSS_C10</vt:lpstr>
      <vt:lpstr>tlOutput_toolGSS_C18</vt:lpstr>
      <vt:lpstr>tlOutput_toolGSS_C26</vt:lpstr>
      <vt:lpstr>tlOutput_toolGSS_C37</vt:lpstr>
      <vt:lpstr>tlOutput_toolGSS_C62</vt:lpstr>
      <vt:lpstr>tlOutput_toolGSS_C63</vt:lpstr>
      <vt:lpstr>tlOutput_toolGSS_C64</vt:lpstr>
      <vt:lpstr>tlOutput_toolGSS_C65</vt:lpstr>
      <vt:lpstr>tlOutput_toolGSS_C66</vt:lpstr>
      <vt:lpstr>tlOutput_toolGSS_D22</vt:lpstr>
      <vt:lpstr>tlOutput_toolGSS_D24</vt:lpstr>
      <vt:lpstr>tlOutput_toolGSS_D30</vt:lpstr>
      <vt:lpstr>tlOutput_toolGSS_D31</vt:lpstr>
      <vt:lpstr>tlOutput_toolGSS_D32</vt:lpstr>
      <vt:lpstr>tlOutput_toolGSS_D34</vt:lpstr>
      <vt:lpstr>tlOutput_toolGSS_D39</vt:lpstr>
      <vt:lpstr>tlOutput_toolGSS_D51</vt:lpstr>
      <vt:lpstr>tlOutput_toolGSS_D52</vt:lpstr>
      <vt:lpstr>tlOutput_toolGSS_D54</vt:lpstr>
      <vt:lpstr>tlOutput_toolGSS_D55</vt:lpstr>
      <vt:lpstr>tlOutput_toolGSS_D57</vt:lpstr>
      <vt:lpstr>tlOutput_toolGSS_D58</vt:lpstr>
      <vt:lpstr>tlOutput_toolGSS_E14</vt:lpstr>
      <vt:lpstr>tlOutput_toolGSS_E16</vt:lpstr>
      <vt:lpstr>tlOutput_toolGSS_E71</vt:lpstr>
      <vt:lpstr>tlOutput_toolGSS_E72</vt:lpstr>
      <vt:lpstr>tlOutput_toolGSS_E73</vt:lpstr>
      <vt:lpstr>tlOutput_toolGSS_E74</vt:lpstr>
      <vt:lpstr>tlOutput_toolGSS_E75</vt:lpstr>
      <vt:lpstr>tlOutput_toolGSS_E76</vt:lpstr>
      <vt:lpstr>tlOutput_toolGSS_E77</vt:lpstr>
      <vt:lpstr>tlOutput_toolGSS_F3</vt:lpstr>
      <vt:lpstr>tlOutput_toolGSS_F54</vt:lpstr>
      <vt:lpstr>tlOutput_toolGSS_F55</vt:lpstr>
      <vt:lpstr>tlOutput_toolGSS_F62</vt:lpstr>
      <vt:lpstr>tlOutput_toolGSS_F63</vt:lpstr>
      <vt:lpstr>tlOutput_toolGSS_F64</vt:lpstr>
      <vt:lpstr>tlOutput_toolGSS_F65</vt:lpstr>
      <vt:lpstr>tlOutput_toolGSS_F66</vt:lpstr>
      <vt:lpstr>tlOutput_toolGSS_F67</vt:lpstr>
      <vt:lpstr>tlOutput_toolGSS_G39</vt:lpstr>
      <vt:lpstr>tlOutput_toolGSS_H12</vt:lpstr>
      <vt:lpstr>tlOutput_toolGSS_H31</vt:lpstr>
      <vt:lpstr>tlOutput_toolGSS_H32</vt:lpstr>
      <vt:lpstr>tlOutput_toolGSS_H41</vt:lpstr>
      <vt:lpstr>tlOutput_toolGSS_H49</vt:lpstr>
      <vt:lpstr>tlOutput_toolGSS_J12</vt:lpstr>
      <vt:lpstr>tlOutput_toolGSS_J20</vt:lpstr>
      <vt:lpstr>tlOutput_toolGSS_J22</vt:lpstr>
      <vt:lpstr>tlOutput_toolGSS_J24</vt:lpstr>
      <vt:lpstr>tlOutput_toolGSS_J28</vt:lpstr>
      <vt:lpstr>tlOutput_toolGSS_J30</vt:lpstr>
      <vt:lpstr>tlOutput_toolGSS_J41</vt:lpstr>
      <vt:lpstr>tlOutput_toolGSS_K71</vt:lpstr>
      <vt:lpstr>tlOutput_toolGSS_K72</vt:lpstr>
      <vt:lpstr>tlOutput_toolGSS_K73</vt:lpstr>
      <vt:lpstr>tlOutput_toolGSS_K74</vt:lpstr>
      <vt:lpstr>tlOutput_toolGSS_K75</vt:lpstr>
      <vt:lpstr>tlOutput_toolGSS_K76</vt:lpstr>
      <vt:lpstr>tlOutput_toolGSS_K77</vt:lpstr>
      <vt:lpstr>tlOutput_toolGSS_L12</vt:lpstr>
      <vt:lpstr>tlOutput_toolGSS_L20</vt:lpstr>
      <vt:lpstr>tlOutput_toolGSS_L22</vt:lpstr>
      <vt:lpstr>tlOutput_toolGSS_L24</vt:lpstr>
      <vt:lpstr>tlOutput_toolGSS_L28</vt:lpstr>
      <vt:lpstr>tlOutput_toolGSS_L30</vt:lpstr>
      <vt:lpstr>tlOutput_toolGSS_L41</vt:lpstr>
      <vt:lpstr>tlOutput_toolGSS_N20</vt:lpstr>
      <vt:lpstr>tlOutput_toolGSS_N22</vt:lpstr>
      <vt:lpstr>tlOutput_toolGSS_N24</vt:lpstr>
      <vt:lpstr>tlOutput_toolGSS_N3</vt:lpstr>
      <vt:lpstr>tlOutput_toolGSS_N5</vt:lpstr>
      <vt:lpstr>tlOutput_toolGSS_N62</vt:lpstr>
      <vt:lpstr>tlOutput_toolGSS_N63</vt:lpstr>
      <vt:lpstr>tlOutput_toolGSS_N64</vt:lpstr>
      <vt:lpstr>tlOutput_toolGSS_N65</vt:lpstr>
      <vt:lpstr>tlOutput_toolGSS_N66</vt:lpstr>
      <vt:lpstr>tlOutput_toolGSS_N7</vt:lpstr>
      <vt:lpstr>tlOutput_toolGSS_O47</vt:lpstr>
      <vt:lpstr>tlOutput_toolGSS_U2</vt:lpstr>
      <vt:lpstr>tlOutput_toolGSS_U3</vt:lpstr>
      <vt:lpstr>tlOutput_toolGSS_V2</vt:lpstr>
      <vt:lpstr>tlOutput_toolGSS_V3</vt:lpstr>
      <vt:lpstr>tlOutput_toolGSS_V39</vt:lpstr>
      <vt:lpstr>tlOutput_toolGSS_V43</vt:lpstr>
      <vt:lpstr>tlOutput_toolIntro_B2</vt:lpstr>
      <vt:lpstr>tlOutput_toolIntro_G10</vt:lpstr>
      <vt:lpstr>tlOutput_toolIntro_G13</vt:lpstr>
      <vt:lpstr>tlOutput_toolIntro_G8</vt:lpstr>
      <vt:lpstr>tlOutput_toolOps_B41</vt:lpstr>
      <vt:lpstr>tlOutput_toolOps_B44</vt:lpstr>
      <vt:lpstr>tlOutput_toolOps_B50</vt:lpstr>
      <vt:lpstr>tlOutput_toolOps_B71</vt:lpstr>
      <vt:lpstr>tlOutput_toolOps_B86</vt:lpstr>
      <vt:lpstr>tlOutput_toolOps_B88</vt:lpstr>
      <vt:lpstr>tlOutput_toolOps_C10</vt:lpstr>
      <vt:lpstr>tlOutput_toolOps_D14</vt:lpstr>
      <vt:lpstr>tlOutput_toolOps_D15</vt:lpstr>
      <vt:lpstr>tlOutput_toolOps_D17</vt:lpstr>
      <vt:lpstr>tlOutput_toolOps_D18</vt:lpstr>
      <vt:lpstr>tlOutput_toolOps_D20</vt:lpstr>
      <vt:lpstr>tlOutput_toolOps_D22</vt:lpstr>
      <vt:lpstr>tlOutput_toolOps_E46</vt:lpstr>
      <vt:lpstr>tlOutput_toolOps_E47</vt:lpstr>
      <vt:lpstr>tlOutput_toolOps_E48</vt:lpstr>
      <vt:lpstr>tlOutput_toolOps_E52</vt:lpstr>
      <vt:lpstr>tlOutput_toolOps_E53</vt:lpstr>
      <vt:lpstr>tlOutput_toolOps_E54</vt:lpstr>
      <vt:lpstr>tlOutput_toolOps_E56</vt:lpstr>
      <vt:lpstr>tlOutput_toolOps_E58</vt:lpstr>
      <vt:lpstr>tlOutput_toolOps_E59</vt:lpstr>
      <vt:lpstr>tlOutput_toolOps_E60</vt:lpstr>
      <vt:lpstr>tlOutput_toolOps_E62</vt:lpstr>
      <vt:lpstr>tlOutput_toolOps_E64</vt:lpstr>
      <vt:lpstr>tlOutput_toolOps_E65</vt:lpstr>
      <vt:lpstr>tlOutput_toolOps_E66</vt:lpstr>
      <vt:lpstr>tlOutput_toolOps_E67</vt:lpstr>
      <vt:lpstr>tlOutput_toolOps_E69</vt:lpstr>
      <vt:lpstr>tlOutput_toolOps_E73</vt:lpstr>
      <vt:lpstr>tlOutput_toolOps_E74</vt:lpstr>
      <vt:lpstr>tlOutput_toolOps_E75</vt:lpstr>
      <vt:lpstr>tlOutput_toolOps_E76</vt:lpstr>
      <vt:lpstr>tlOutput_toolOps_E77</vt:lpstr>
      <vt:lpstr>tlOutput_toolOps_E79</vt:lpstr>
      <vt:lpstr>tlOutput_toolOps_E81</vt:lpstr>
      <vt:lpstr>tlOutput_toolOps_E82</vt:lpstr>
      <vt:lpstr>tlOutput_toolOps_E84</vt:lpstr>
      <vt:lpstr>tlOutput_toolOps_F90</vt:lpstr>
      <vt:lpstr>tlOutput_toolOps_F91</vt:lpstr>
      <vt:lpstr>tlOutput_toolOps_F92</vt:lpstr>
      <vt:lpstr>tlOutput_toolOps_F93</vt:lpstr>
      <vt:lpstr>tlOutput_toolOps_F94</vt:lpstr>
      <vt:lpstr>tlOutput_toolOps_F95</vt:lpstr>
      <vt:lpstr>tlOutput_toolOps_F96</vt:lpstr>
      <vt:lpstr>tlOutput_toolOps_I12</vt:lpstr>
      <vt:lpstr>tlOutput_toolOps_I14</vt:lpstr>
      <vt:lpstr>tlOutput_toolOps_I17</vt:lpstr>
      <vt:lpstr>tlOutput_toolOps_I20</vt:lpstr>
      <vt:lpstr>tlOutput_toolOps_I3</vt:lpstr>
      <vt:lpstr>tlOutput_toolOps_I43</vt:lpstr>
      <vt:lpstr>tlOutput_toolOps_I46</vt:lpstr>
      <vt:lpstr>tlOutput_toolOps_I47</vt:lpstr>
      <vt:lpstr>tlOutput_toolOps_I48</vt:lpstr>
      <vt:lpstr>tlOutput_toolOps_I53</vt:lpstr>
      <vt:lpstr>tlOutput_toolOps_I54</vt:lpstr>
      <vt:lpstr>tlOutput_toolOps_I56</vt:lpstr>
      <vt:lpstr>tlOutput_toolOps_I59</vt:lpstr>
      <vt:lpstr>tlOutput_toolOps_I60</vt:lpstr>
      <vt:lpstr>tlOutput_toolOps_I62</vt:lpstr>
      <vt:lpstr>tlOutput_toolOps_I65</vt:lpstr>
      <vt:lpstr>tlOutput_toolOps_I66</vt:lpstr>
      <vt:lpstr>tlOutput_toolOps_I67</vt:lpstr>
      <vt:lpstr>tlOutput_toolOps_I69</vt:lpstr>
      <vt:lpstr>tlOutput_toolOps_I73</vt:lpstr>
      <vt:lpstr>tlOutput_toolOps_I75</vt:lpstr>
      <vt:lpstr>tlOutput_toolOps_I76</vt:lpstr>
      <vt:lpstr>tlOutput_toolOps_I77</vt:lpstr>
      <vt:lpstr>tlOutput_toolOps_I79</vt:lpstr>
      <vt:lpstr>tlOutput_toolOps_I81</vt:lpstr>
      <vt:lpstr>tlOutput_toolOps_I82</vt:lpstr>
      <vt:lpstr>tlOutput_toolOps_I84</vt:lpstr>
      <vt:lpstr>tlOutput_toolOps_I90</vt:lpstr>
      <vt:lpstr>tlOutput_toolOps_I91</vt:lpstr>
      <vt:lpstr>tlOutput_toolOps_I92</vt:lpstr>
      <vt:lpstr>tlOutput_toolOps_I93</vt:lpstr>
      <vt:lpstr>tlOutput_toolOps_I94</vt:lpstr>
      <vt:lpstr>tlOutput_toolOps_I95</vt:lpstr>
      <vt:lpstr>tlOutput_toolOps_I96</vt:lpstr>
      <vt:lpstr>tlOutput_toolOps_J88</vt:lpstr>
      <vt:lpstr>tlOutput_toolOps_K43</vt:lpstr>
      <vt:lpstr>tlOutput_toolOps_K46</vt:lpstr>
      <vt:lpstr>tlOutput_toolOps_K47</vt:lpstr>
      <vt:lpstr>tlOutput_toolOps_K48</vt:lpstr>
      <vt:lpstr>tlOutput_toolOps_K53</vt:lpstr>
      <vt:lpstr>tlOutput_toolOps_K54</vt:lpstr>
      <vt:lpstr>tlOutput_toolOps_K56</vt:lpstr>
      <vt:lpstr>tlOutput_toolOps_K59</vt:lpstr>
      <vt:lpstr>tlOutput_toolOps_K60</vt:lpstr>
      <vt:lpstr>tlOutput_toolOps_K62</vt:lpstr>
      <vt:lpstr>tlOutput_toolOps_K65</vt:lpstr>
      <vt:lpstr>tlOutput_toolOps_K66</vt:lpstr>
      <vt:lpstr>tlOutput_toolOps_K67</vt:lpstr>
      <vt:lpstr>tlOutput_toolOps_K69</vt:lpstr>
      <vt:lpstr>tlOutput_toolOps_K73</vt:lpstr>
      <vt:lpstr>tlOutput_toolOps_K75</vt:lpstr>
      <vt:lpstr>tlOutput_toolOps_K76</vt:lpstr>
      <vt:lpstr>tlOutput_toolOps_K77</vt:lpstr>
      <vt:lpstr>tlOutput_toolOps_K79</vt:lpstr>
      <vt:lpstr>tlOutput_toolOps_K81</vt:lpstr>
      <vt:lpstr>tlOutput_toolOps_K82</vt:lpstr>
      <vt:lpstr>tlOutput_toolOps_K84</vt:lpstr>
      <vt:lpstr>tlOutput_toolOps_M12</vt:lpstr>
      <vt:lpstr>tlOutput_toolOps_M43</vt:lpstr>
      <vt:lpstr>tlOutput_toolOps_M46</vt:lpstr>
      <vt:lpstr>tlOutput_toolOps_M47</vt:lpstr>
      <vt:lpstr>tlOutput_toolOps_M48</vt:lpstr>
      <vt:lpstr>tlOutput_toolOps_M53</vt:lpstr>
      <vt:lpstr>tlOutput_toolOps_M54</vt:lpstr>
      <vt:lpstr>tlOutput_toolOps_M56</vt:lpstr>
      <vt:lpstr>tlOutput_toolOps_M59</vt:lpstr>
      <vt:lpstr>tlOutput_toolOps_M60</vt:lpstr>
      <vt:lpstr>tlOutput_toolOps_M62</vt:lpstr>
      <vt:lpstr>tlOutput_toolOps_M65</vt:lpstr>
      <vt:lpstr>tlOutput_toolOps_M66</vt:lpstr>
      <vt:lpstr>tlOutput_toolOps_M67</vt:lpstr>
      <vt:lpstr>tlOutput_toolOps_M69</vt:lpstr>
      <vt:lpstr>tlOutput_toolOps_M73</vt:lpstr>
      <vt:lpstr>tlOutput_toolOps_M75</vt:lpstr>
      <vt:lpstr>tlOutput_toolOps_M76</vt:lpstr>
      <vt:lpstr>tlOutput_toolOps_M77</vt:lpstr>
      <vt:lpstr>tlOutput_toolOps_M79</vt:lpstr>
      <vt:lpstr>tlOutput_toolOps_M81</vt:lpstr>
      <vt:lpstr>tlOutput_toolOps_M82</vt:lpstr>
      <vt:lpstr>tlOutput_toolOps_M84</vt:lpstr>
      <vt:lpstr>tlOutput_toolOps_M90</vt:lpstr>
      <vt:lpstr>tlOutput_toolOps_M91</vt:lpstr>
      <vt:lpstr>tlOutput_toolOps_M92</vt:lpstr>
      <vt:lpstr>tlOutput_toolOps_M93</vt:lpstr>
      <vt:lpstr>tlOutput_toolOps_M94</vt:lpstr>
      <vt:lpstr>tlOutput_toolOps_M95</vt:lpstr>
      <vt:lpstr>tlOutput_toolOps_N90</vt:lpstr>
      <vt:lpstr>tlOutput_toolOps_N91</vt:lpstr>
      <vt:lpstr>tlOutput_toolOps_N92</vt:lpstr>
      <vt:lpstr>tlOutput_toolOps_N93</vt:lpstr>
      <vt:lpstr>tlOutput_toolOps_N94</vt:lpstr>
      <vt:lpstr>tlOutput_toolOps_N95</vt:lpstr>
      <vt:lpstr>tlOutput_toolOps_O3</vt:lpstr>
      <vt:lpstr>tlOutput_toolOps_O5</vt:lpstr>
      <vt:lpstr>tlOutput_toolOps_O7</vt:lpstr>
      <vt:lpstr>tlOutput_toolOps_P41</vt:lpstr>
      <vt:lpstr>tlOutput_toolOps_V14</vt:lpstr>
      <vt:lpstr>tlOutput_toolOps_V2</vt:lpstr>
      <vt:lpstr>tlOutput_toolOps_V3</vt:lpstr>
      <vt:lpstr>tlOutput_toolOps_W2</vt:lpstr>
      <vt:lpstr>tlOutput_toolOps_W3</vt:lpstr>
      <vt:lpstr>tlOutput_toolOps_X14</vt:lpstr>
      <vt:lpstr>tlOutput_toolPNL_B3</vt:lpstr>
      <vt:lpstr>tlOutput_toolPNL_B4</vt:lpstr>
      <vt:lpstr>tlOutput_toolPNL_B5</vt:lpstr>
      <vt:lpstr>tlOutput_toolPNL_C14</vt:lpstr>
      <vt:lpstr>tlOutput_toolPNL_C16</vt:lpstr>
      <vt:lpstr>tlOutput_toolPNL_C25</vt:lpstr>
      <vt:lpstr>tlOutput_toolPNL_C68</vt:lpstr>
      <vt:lpstr>tlOutput_toolPNL_C7</vt:lpstr>
      <vt:lpstr>tlOutput_toolPNL_C71</vt:lpstr>
      <vt:lpstr>tlOutput_toolPNL_C81</vt:lpstr>
      <vt:lpstr>tlOutput_toolPNL_C9</vt:lpstr>
      <vt:lpstr>tlOutput_toolPNL_C91</vt:lpstr>
      <vt:lpstr>tlOutput_toolPNL_D17</vt:lpstr>
      <vt:lpstr>tlOutput_toolPNL_D22</vt:lpstr>
      <vt:lpstr>tlOutput_toolPNL_D26</vt:lpstr>
      <vt:lpstr>tlOutput_toolPNL_D28</vt:lpstr>
      <vt:lpstr>tlOutput_toolPNL_D32</vt:lpstr>
      <vt:lpstr>tlOutput_toolPNL_D34</vt:lpstr>
      <vt:lpstr>tlOutput_toolPNL_D38</vt:lpstr>
      <vt:lpstr>tlOutput_toolPNL_D40</vt:lpstr>
      <vt:lpstr>tlOutput_toolPNL_D46</vt:lpstr>
      <vt:lpstr>tlOutput_toolPNL_D48</vt:lpstr>
      <vt:lpstr>tlOutput_toolPNL_D49</vt:lpstr>
      <vt:lpstr>tlOutput_toolPNL_D52</vt:lpstr>
      <vt:lpstr>tlOutput_toolPNL_D57</vt:lpstr>
      <vt:lpstr>tlOutput_toolPNL_D59</vt:lpstr>
      <vt:lpstr>tlOutput_toolPNL_D66</vt:lpstr>
      <vt:lpstr>tlOutput_toolPNL_D72</vt:lpstr>
      <vt:lpstr>tlOutput_toolPNL_D75</vt:lpstr>
      <vt:lpstr>tlOutput_toolPNL_D79</vt:lpstr>
      <vt:lpstr>tlOutput_toolPNL_D83</vt:lpstr>
      <vt:lpstr>tlOutput_toolPNL_D87</vt:lpstr>
      <vt:lpstr>tlOutput_toolPNL_D89</vt:lpstr>
      <vt:lpstr>tlOutput_toolPNL_D92</vt:lpstr>
      <vt:lpstr>tlOutput_toolPNL_E10</vt:lpstr>
      <vt:lpstr>tlOutput_toolPNL_E12</vt:lpstr>
      <vt:lpstr>tlOutput_toolPNL_E18</vt:lpstr>
      <vt:lpstr>tlOutput_toolPNL_E19</vt:lpstr>
      <vt:lpstr>tlOutput_toolPNL_E20</vt:lpstr>
      <vt:lpstr>tlOutput_toolPNL_E23</vt:lpstr>
      <vt:lpstr>tlOutput_toolPNL_E29</vt:lpstr>
      <vt:lpstr>tlOutput_toolPNL_E30</vt:lpstr>
      <vt:lpstr>tlOutput_toolPNL_E35</vt:lpstr>
      <vt:lpstr>tlOutput_toolPNL_E36</vt:lpstr>
      <vt:lpstr>tlOutput_toolPNL_E41</vt:lpstr>
      <vt:lpstr>tlOutput_toolPNL_E42</vt:lpstr>
      <vt:lpstr>tlOutput_toolPNL_E43</vt:lpstr>
      <vt:lpstr>tlOutput_toolPNL_E44</vt:lpstr>
      <vt:lpstr>tlOutput_toolPNL_E50</vt:lpstr>
      <vt:lpstr>tlOutput_toolPNL_E53</vt:lpstr>
      <vt:lpstr>tlOutput_toolPNL_E54</vt:lpstr>
      <vt:lpstr>tlOutput_toolPNL_E55</vt:lpstr>
      <vt:lpstr>tlOutput_toolPNL_E60</vt:lpstr>
      <vt:lpstr>tlOutput_toolPNL_E61</vt:lpstr>
      <vt:lpstr>tlOutput_toolPNL_E62</vt:lpstr>
      <vt:lpstr>tlOutput_toolPNL_E63</vt:lpstr>
      <vt:lpstr>tlOutput_toolPNL_E64</vt:lpstr>
      <vt:lpstr>tlOutput_toolPNL_E69</vt:lpstr>
      <vt:lpstr>tlOutput_toolPNL_E73</vt:lpstr>
      <vt:lpstr>tlOutput_toolPNL_E76</vt:lpstr>
      <vt:lpstr>tlOutput_toolPNL_E77</vt:lpstr>
      <vt:lpstr>tlOutput_toolPNL_E84</vt:lpstr>
      <vt:lpstr>tlOutput_toolPNL_E85</vt:lpstr>
      <vt:lpstr>tlOutput_toolPNL_G10</vt:lpstr>
      <vt:lpstr>tlOutput_toolPNL_G12</vt:lpstr>
      <vt:lpstr>tlOutput_toolPNL_G14</vt:lpstr>
      <vt:lpstr>tlOutput_toolPNL_G18</vt:lpstr>
      <vt:lpstr>tlOutput_toolPNL_G19</vt:lpstr>
      <vt:lpstr>tlOutput_toolPNL_G20</vt:lpstr>
      <vt:lpstr>tlOutput_toolPNL_G22</vt:lpstr>
      <vt:lpstr>tlOutput_toolPNL_G23</vt:lpstr>
      <vt:lpstr>tlOutput_toolPNL_G25</vt:lpstr>
      <vt:lpstr>tlOutput_toolPNL_G26</vt:lpstr>
      <vt:lpstr>tlOutput_toolPNL_G29</vt:lpstr>
      <vt:lpstr>tlOutput_toolPNL_G30</vt:lpstr>
      <vt:lpstr>tlOutput_toolPNL_G32</vt:lpstr>
      <vt:lpstr>tlOutput_toolPNL_G35</vt:lpstr>
      <vt:lpstr>tlOutput_toolPNL_G36</vt:lpstr>
      <vt:lpstr>tlOutput_toolPNL_G38</vt:lpstr>
      <vt:lpstr>tlOutput_toolPNL_G41</vt:lpstr>
      <vt:lpstr>tlOutput_toolPNL_G42</vt:lpstr>
      <vt:lpstr>tlOutput_toolPNL_G44</vt:lpstr>
      <vt:lpstr>tlOutput_toolPNL_G46</vt:lpstr>
      <vt:lpstr>tlOutput_toolPNL_G48</vt:lpstr>
      <vt:lpstr>tlOutput_toolPNL_G49</vt:lpstr>
      <vt:lpstr>tlOutput_toolPNL_G5</vt:lpstr>
      <vt:lpstr>tlOutput_toolPNL_G50</vt:lpstr>
      <vt:lpstr>tlOutput_toolPNL_G53</vt:lpstr>
      <vt:lpstr>tlOutput_toolPNL_G54</vt:lpstr>
      <vt:lpstr>tlOutput_toolPNL_G55</vt:lpstr>
      <vt:lpstr>tlOutput_toolPNL_G57</vt:lpstr>
      <vt:lpstr>tlOutput_toolPNL_G62</vt:lpstr>
      <vt:lpstr>tlOutput_toolPNL_G63</vt:lpstr>
      <vt:lpstr>tlOutput_toolPNL_G66</vt:lpstr>
      <vt:lpstr>tlOutput_toolPNL_G68</vt:lpstr>
      <vt:lpstr>tlOutput_toolPNL_G69</vt:lpstr>
      <vt:lpstr>tlOutput_toolPNL_G7</vt:lpstr>
      <vt:lpstr>tlOutput_toolPNL_G71</vt:lpstr>
      <vt:lpstr>tlOutput_toolPNL_G72</vt:lpstr>
      <vt:lpstr>tlOutput_toolPNL_G73</vt:lpstr>
      <vt:lpstr>tlOutput_toolPNL_G79</vt:lpstr>
      <vt:lpstr>tlOutput_toolPNL_G81</vt:lpstr>
      <vt:lpstr>tlOutput_toolPNL_G9</vt:lpstr>
      <vt:lpstr>tlOutput_toolPNL_H20</vt:lpstr>
      <vt:lpstr>tlOutput_toolPNL_I10</vt:lpstr>
      <vt:lpstr>tlOutput_toolPNL_I12</vt:lpstr>
      <vt:lpstr>tlOutput_toolPNL_I14</vt:lpstr>
      <vt:lpstr>tlOutput_toolPNL_I18</vt:lpstr>
      <vt:lpstr>tlOutput_toolPNL_I19</vt:lpstr>
      <vt:lpstr>tlOutput_toolPNL_I20</vt:lpstr>
      <vt:lpstr>tlOutput_toolPNL_I22</vt:lpstr>
      <vt:lpstr>tlOutput_toolPNL_I23</vt:lpstr>
      <vt:lpstr>tlOutput_toolPNL_I25</vt:lpstr>
      <vt:lpstr>tlOutput_toolPNL_I26</vt:lpstr>
      <vt:lpstr>tlOutput_toolPNL_I29</vt:lpstr>
      <vt:lpstr>tlOutput_toolPNL_I30</vt:lpstr>
      <vt:lpstr>tlOutput_toolPNL_I32</vt:lpstr>
      <vt:lpstr>tlOutput_toolPNL_I35</vt:lpstr>
      <vt:lpstr>tlOutput_toolPNL_I36</vt:lpstr>
      <vt:lpstr>tlOutput_toolPNL_I38</vt:lpstr>
      <vt:lpstr>tlOutput_toolPNL_I41</vt:lpstr>
      <vt:lpstr>tlOutput_toolPNL_I42</vt:lpstr>
      <vt:lpstr>tlOutput_toolPNL_I44</vt:lpstr>
      <vt:lpstr>tlOutput_toolPNL_I46</vt:lpstr>
      <vt:lpstr>tlOutput_toolPNL_I48</vt:lpstr>
      <vt:lpstr>tlOutput_toolPNL_I49</vt:lpstr>
      <vt:lpstr>tlOutput_toolPNL_I5</vt:lpstr>
      <vt:lpstr>tlOutput_toolPNL_I50</vt:lpstr>
      <vt:lpstr>tlOutput_toolPNL_I53</vt:lpstr>
      <vt:lpstr>tlOutput_toolPNL_I54</vt:lpstr>
      <vt:lpstr>tlOutput_toolPNL_I55</vt:lpstr>
      <vt:lpstr>tlOutput_toolPNL_I57</vt:lpstr>
      <vt:lpstr>tlOutput_toolPNL_I62</vt:lpstr>
      <vt:lpstr>tlOutput_toolPNL_I63</vt:lpstr>
      <vt:lpstr>tlOutput_toolPNL_I66</vt:lpstr>
      <vt:lpstr>tlOutput_toolPNL_I68</vt:lpstr>
      <vt:lpstr>tlOutput_toolPNL_I69</vt:lpstr>
      <vt:lpstr>tlOutput_toolPNL_I7</vt:lpstr>
      <vt:lpstr>tlOutput_toolPNL_I71</vt:lpstr>
      <vt:lpstr>tlOutput_toolPNL_I72</vt:lpstr>
      <vt:lpstr>tlOutput_toolPNL_I73</vt:lpstr>
      <vt:lpstr>tlOutput_toolPNL_I79</vt:lpstr>
      <vt:lpstr>tlOutput_toolPNL_I81</vt:lpstr>
      <vt:lpstr>tlOutput_toolPNL_I9</vt:lpstr>
      <vt:lpstr>tlOutput_toolPNL_J20</vt:lpstr>
      <vt:lpstr>tlOutput_toolPNL_K10</vt:lpstr>
      <vt:lpstr>tlOutput_toolPNL_K12</vt:lpstr>
      <vt:lpstr>tlOutput_toolPNL_K14</vt:lpstr>
      <vt:lpstr>tlOutput_toolPNL_K18</vt:lpstr>
      <vt:lpstr>tlOutput_toolPNL_K19</vt:lpstr>
      <vt:lpstr>tlOutput_toolPNL_K20</vt:lpstr>
      <vt:lpstr>tlOutput_toolPNL_K22</vt:lpstr>
      <vt:lpstr>tlOutput_toolPNL_K23</vt:lpstr>
      <vt:lpstr>tlOutput_toolPNL_K25</vt:lpstr>
      <vt:lpstr>tlOutput_toolPNL_K26</vt:lpstr>
      <vt:lpstr>tlOutput_toolPNL_K29</vt:lpstr>
      <vt:lpstr>tlOutput_toolPNL_K30</vt:lpstr>
      <vt:lpstr>tlOutput_toolPNL_K32</vt:lpstr>
      <vt:lpstr>tlOutput_toolPNL_K35</vt:lpstr>
      <vt:lpstr>tlOutput_toolPNL_K36</vt:lpstr>
      <vt:lpstr>tlOutput_toolPNL_K38</vt:lpstr>
      <vt:lpstr>tlOutput_toolPNL_K41</vt:lpstr>
      <vt:lpstr>tlOutput_toolPNL_K42</vt:lpstr>
      <vt:lpstr>tlOutput_toolPNL_K44</vt:lpstr>
      <vt:lpstr>tlOutput_toolPNL_K46</vt:lpstr>
      <vt:lpstr>tlOutput_toolPNL_K48</vt:lpstr>
      <vt:lpstr>tlOutput_toolPNL_K49</vt:lpstr>
      <vt:lpstr>tlOutput_toolPNL_K5</vt:lpstr>
      <vt:lpstr>tlOutput_toolPNL_K50</vt:lpstr>
      <vt:lpstr>tlOutput_toolPNL_K53</vt:lpstr>
      <vt:lpstr>tlOutput_toolPNL_K54</vt:lpstr>
      <vt:lpstr>tlOutput_toolPNL_K55</vt:lpstr>
      <vt:lpstr>tlOutput_toolPNL_K57</vt:lpstr>
      <vt:lpstr>tlOutput_toolPNL_K62</vt:lpstr>
      <vt:lpstr>tlOutput_toolPNL_K63</vt:lpstr>
      <vt:lpstr>tlOutput_toolPNL_K66</vt:lpstr>
      <vt:lpstr>tlOutput_toolPNL_K68</vt:lpstr>
      <vt:lpstr>tlOutput_toolPNL_K69</vt:lpstr>
      <vt:lpstr>tlOutput_toolPNL_K7</vt:lpstr>
      <vt:lpstr>tlOutput_toolPNL_K71</vt:lpstr>
      <vt:lpstr>tlOutput_toolPNL_K72</vt:lpstr>
      <vt:lpstr>tlOutput_toolPNL_K73</vt:lpstr>
      <vt:lpstr>tlOutput_toolPNL_K79</vt:lpstr>
      <vt:lpstr>tlOutput_toolPNL_K81</vt:lpstr>
      <vt:lpstr>tlOutput_toolPNL_K9</vt:lpstr>
      <vt:lpstr>tlOutput_toolPNL_L20</vt:lpstr>
      <vt:lpstr>tlOutput_toolPNL_M10</vt:lpstr>
      <vt:lpstr>tlOutput_toolPNL_M12</vt:lpstr>
      <vt:lpstr>tlOutput_toolPNL_M14</vt:lpstr>
      <vt:lpstr>tlOutput_toolPNL_M18</vt:lpstr>
      <vt:lpstr>tlOutput_toolPNL_M19</vt:lpstr>
      <vt:lpstr>tlOutput_toolPNL_M20</vt:lpstr>
      <vt:lpstr>tlOutput_toolPNL_M22</vt:lpstr>
      <vt:lpstr>tlOutput_toolPNL_M23</vt:lpstr>
      <vt:lpstr>tlOutput_toolPNL_M25</vt:lpstr>
      <vt:lpstr>tlOutput_toolPNL_M26</vt:lpstr>
      <vt:lpstr>tlOutput_toolPNL_M29</vt:lpstr>
      <vt:lpstr>tlOutput_toolPNL_M30</vt:lpstr>
      <vt:lpstr>tlOutput_toolPNL_M32</vt:lpstr>
      <vt:lpstr>tlOutput_toolPNL_M35</vt:lpstr>
      <vt:lpstr>tlOutput_toolPNL_M36</vt:lpstr>
      <vt:lpstr>tlOutput_toolPNL_M38</vt:lpstr>
      <vt:lpstr>tlOutput_toolPNL_M41</vt:lpstr>
      <vt:lpstr>tlOutput_toolPNL_M42</vt:lpstr>
      <vt:lpstr>tlOutput_toolPNL_M44</vt:lpstr>
      <vt:lpstr>tlOutput_toolPNL_M46</vt:lpstr>
      <vt:lpstr>tlOutput_toolPNL_M48</vt:lpstr>
      <vt:lpstr>tlOutput_toolPNL_M49</vt:lpstr>
      <vt:lpstr>tlOutput_toolPNL_M5</vt:lpstr>
      <vt:lpstr>tlOutput_toolPNL_M50</vt:lpstr>
      <vt:lpstr>tlOutput_toolPNL_M53</vt:lpstr>
      <vt:lpstr>tlOutput_toolPNL_M54</vt:lpstr>
      <vt:lpstr>tlOutput_toolPNL_M55</vt:lpstr>
      <vt:lpstr>tlOutput_toolPNL_M57</vt:lpstr>
      <vt:lpstr>tlOutput_toolPNL_M62</vt:lpstr>
      <vt:lpstr>tlOutput_toolPNL_M63</vt:lpstr>
      <vt:lpstr>tlOutput_toolPNL_M66</vt:lpstr>
      <vt:lpstr>tlOutput_toolPNL_M68</vt:lpstr>
      <vt:lpstr>tlOutput_toolPNL_M69</vt:lpstr>
      <vt:lpstr>tlOutput_toolPNL_M7</vt:lpstr>
      <vt:lpstr>tlOutput_toolPNL_M71</vt:lpstr>
      <vt:lpstr>tlOutput_toolPNL_M72</vt:lpstr>
      <vt:lpstr>tlOutput_toolPNL_M73</vt:lpstr>
      <vt:lpstr>tlOutput_toolPNL_M79</vt:lpstr>
      <vt:lpstr>tlOutput_toolPNL_M81</vt:lpstr>
      <vt:lpstr>tlOutput_toolPNL_M9</vt:lpstr>
      <vt:lpstr>tlOutput_toolPNL_O12</vt:lpstr>
      <vt:lpstr>tlOutput_toolPNL_O14</vt:lpstr>
      <vt:lpstr>tlOutput_toolPNL_O18</vt:lpstr>
      <vt:lpstr>tlOutput_toolPNL_O19</vt:lpstr>
      <vt:lpstr>tlOutput_toolPNL_O20</vt:lpstr>
      <vt:lpstr>tlOutput_toolPNL_O22</vt:lpstr>
      <vt:lpstr>tlOutput_toolPNL_O25</vt:lpstr>
      <vt:lpstr>tlOutput_toolPNL_O26</vt:lpstr>
      <vt:lpstr>tlOutput_toolPNL_O29</vt:lpstr>
      <vt:lpstr>tlOutput_toolPNL_O30</vt:lpstr>
      <vt:lpstr>tlOutput_toolPNL_O32</vt:lpstr>
      <vt:lpstr>tlOutput_toolPNL_O35</vt:lpstr>
      <vt:lpstr>tlOutput_toolPNL_O36</vt:lpstr>
      <vt:lpstr>tlOutput_toolPNL_O38</vt:lpstr>
      <vt:lpstr>tlOutput_toolPNL_O41</vt:lpstr>
      <vt:lpstr>tlOutput_toolPNL_O42</vt:lpstr>
      <vt:lpstr>tlOutput_toolPNL_O43</vt:lpstr>
      <vt:lpstr>tlOutput_toolPNL_O44</vt:lpstr>
      <vt:lpstr>tlOutput_toolPNL_O46</vt:lpstr>
      <vt:lpstr>tlOutput_toolPNL_O48</vt:lpstr>
      <vt:lpstr>tlOutput_toolPNL_O49</vt:lpstr>
      <vt:lpstr>tlOutput_toolPNL_O5</vt:lpstr>
      <vt:lpstr>tlOutput_toolPNL_O53</vt:lpstr>
      <vt:lpstr>tlOutput_toolPNL_O54</vt:lpstr>
      <vt:lpstr>tlOutput_toolPNL_O55</vt:lpstr>
      <vt:lpstr>tlOutput_toolPNL_O57</vt:lpstr>
      <vt:lpstr>tlOutput_toolPNL_O60</vt:lpstr>
      <vt:lpstr>tlOutput_toolPNL_O61</vt:lpstr>
      <vt:lpstr>tlOutput_toolPNL_O62</vt:lpstr>
      <vt:lpstr>tlOutput_toolPNL_O63</vt:lpstr>
      <vt:lpstr>tlOutput_toolPNL_O64</vt:lpstr>
      <vt:lpstr>tlOutput_toolPNL_O66</vt:lpstr>
      <vt:lpstr>tlOutput_toolPNL_O68</vt:lpstr>
      <vt:lpstr>tlOutput_toolPNL_O7</vt:lpstr>
      <vt:lpstr>tlOutput_toolPNL_O71</vt:lpstr>
      <vt:lpstr>tlOutput_toolPNL_O72</vt:lpstr>
      <vt:lpstr>tlOutput_toolPNL_O76</vt:lpstr>
      <vt:lpstr>tlOutput_toolPNL_O77</vt:lpstr>
      <vt:lpstr>tlOutput_toolPNL_O79</vt:lpstr>
      <vt:lpstr>tlOutput_toolPNL_O81</vt:lpstr>
      <vt:lpstr>tlOutput_toolPNL_O84</vt:lpstr>
      <vt:lpstr>tlOutput_toolPNL_O85</vt:lpstr>
      <vt:lpstr>tlOutput_toolPNL_O87</vt:lpstr>
      <vt:lpstr>tlOutput_toolPNL_O89</vt:lpstr>
      <vt:lpstr>tlOutput_toolPNL_O9</vt:lpstr>
      <vt:lpstr>tlOutput_toolPNL_O91</vt:lpstr>
      <vt:lpstr>tlOutput_toolPNL_O92</vt:lpstr>
      <vt:lpstr>tlOutput_toolPNL_P3</vt:lpstr>
      <vt:lpstr>tlOutput_toolPNLRegionA_B3</vt:lpstr>
      <vt:lpstr>tlOutput_toolPNLRegionA_B4</vt:lpstr>
      <vt:lpstr>tlOutput_toolPNLRegionA_B5</vt:lpstr>
      <vt:lpstr>tlOutput_toolPNLRegionA_C14</vt:lpstr>
      <vt:lpstr>tlOutput_toolPNLRegionA_C17</vt:lpstr>
      <vt:lpstr>tlOutput_toolPNLRegionA_C26</vt:lpstr>
      <vt:lpstr>tlOutput_toolPNLRegionA_C59</vt:lpstr>
      <vt:lpstr>tlOutput_toolPNLRegionA_C62</vt:lpstr>
      <vt:lpstr>tlOutput_toolPNLRegionA_C7</vt:lpstr>
      <vt:lpstr>tlOutput_toolPNLRegionA_C9</vt:lpstr>
      <vt:lpstr>tlOutput_toolPNLRegionA_D18</vt:lpstr>
      <vt:lpstr>tlOutput_toolPNLRegionA_D23</vt:lpstr>
      <vt:lpstr>tlOutput_toolPNLRegionA_D27</vt:lpstr>
      <vt:lpstr>tlOutput_toolPNLRegionA_D29</vt:lpstr>
      <vt:lpstr>tlOutput_toolPNLRegionA_D33</vt:lpstr>
      <vt:lpstr>tlOutput_toolPNLRegionA_D35</vt:lpstr>
      <vt:lpstr>tlOutput_toolPNLRegionA_D39</vt:lpstr>
      <vt:lpstr>tlOutput_toolPNLRegionA_D41</vt:lpstr>
      <vt:lpstr>tlOutput_toolPNLRegionA_D46</vt:lpstr>
      <vt:lpstr>tlOutput_toolPNLRegionA_D48</vt:lpstr>
      <vt:lpstr>tlOutput_toolPNLRegionA_D51</vt:lpstr>
      <vt:lpstr>tlOutput_toolPNLRegionA_D57</vt:lpstr>
      <vt:lpstr>tlOutput_toolPNLRegionA_D63</vt:lpstr>
      <vt:lpstr>tlOutput_toolPNLRegionA_E10</vt:lpstr>
      <vt:lpstr>tlOutput_toolPNLRegionA_E12</vt:lpstr>
      <vt:lpstr>tlOutput_toolPNLRegionA_E15</vt:lpstr>
      <vt:lpstr>tlOutput_toolPNLRegionA_E19</vt:lpstr>
      <vt:lpstr>tlOutput_toolPNLRegionA_E20</vt:lpstr>
      <vt:lpstr>tlOutput_toolPNLRegionA_E21</vt:lpstr>
      <vt:lpstr>tlOutput_toolPNLRegionA_E24</vt:lpstr>
      <vt:lpstr>tlOutput_toolPNLRegionA_E30</vt:lpstr>
      <vt:lpstr>tlOutput_toolPNLRegionA_E31</vt:lpstr>
      <vt:lpstr>tlOutput_toolPNLRegionA_E36</vt:lpstr>
      <vt:lpstr>tlOutput_toolPNLRegionA_E37</vt:lpstr>
      <vt:lpstr>tlOutput_toolPNLRegionA_E42</vt:lpstr>
      <vt:lpstr>tlOutput_toolPNLRegionA_E43</vt:lpstr>
      <vt:lpstr>tlOutput_toolPNLRegionA_E44</vt:lpstr>
      <vt:lpstr>tlOutput_toolPNLRegionA_E49</vt:lpstr>
      <vt:lpstr>tlOutput_toolPNLRegionA_E52</vt:lpstr>
      <vt:lpstr>tlOutput_toolPNLRegionA_E53</vt:lpstr>
      <vt:lpstr>tlOutput_toolPNLRegionA_E54</vt:lpstr>
      <vt:lpstr>tlOutput_toolPNLRegionA_E55</vt:lpstr>
      <vt:lpstr>tlOutput_toolPNLRegionA_E60</vt:lpstr>
      <vt:lpstr>tlOutput_toolPNLRegionA_E64</vt:lpstr>
      <vt:lpstr>tlOutput_toolPNLRegionA_G10</vt:lpstr>
      <vt:lpstr>tlOutput_toolPNLRegionA_G12</vt:lpstr>
      <vt:lpstr>tlOutput_toolPNLRegionA_G14</vt:lpstr>
      <vt:lpstr>tlOutput_toolPNLRegionA_G19</vt:lpstr>
      <vt:lpstr>tlOutput_toolPNLRegionA_G20</vt:lpstr>
      <vt:lpstr>tlOutput_toolPNLRegionA_G21</vt:lpstr>
      <vt:lpstr>tlOutput_toolPNLRegionA_G23</vt:lpstr>
      <vt:lpstr>tlOutput_toolPNLRegionA_G24</vt:lpstr>
      <vt:lpstr>tlOutput_toolPNLRegionA_G26</vt:lpstr>
      <vt:lpstr>tlOutput_toolPNLRegionA_G27</vt:lpstr>
      <vt:lpstr>tlOutput_toolPNLRegionA_G30</vt:lpstr>
      <vt:lpstr>tlOutput_toolPNLRegionA_G31</vt:lpstr>
      <vt:lpstr>tlOutput_toolPNLRegionA_G33</vt:lpstr>
      <vt:lpstr>tlOutput_toolPNLRegionA_G36</vt:lpstr>
      <vt:lpstr>tlOutput_toolPNLRegionA_G37</vt:lpstr>
      <vt:lpstr>tlOutput_toolPNLRegionA_G39</vt:lpstr>
      <vt:lpstr>tlOutput_toolPNLRegionA_G42</vt:lpstr>
      <vt:lpstr>tlOutput_toolPNLRegionA_G43</vt:lpstr>
      <vt:lpstr>tlOutput_toolPNLRegionA_G44</vt:lpstr>
      <vt:lpstr>tlOutput_toolPNLRegionA_G46</vt:lpstr>
      <vt:lpstr>tlOutput_toolPNLRegionA_G48</vt:lpstr>
      <vt:lpstr>tlOutput_toolPNLRegionA_G49</vt:lpstr>
      <vt:lpstr>tlOutput_toolPNLRegionA_G5</vt:lpstr>
      <vt:lpstr>tlOutput_toolPNLRegionA_G54</vt:lpstr>
      <vt:lpstr>tlOutput_toolPNLRegionA_G55</vt:lpstr>
      <vt:lpstr>tlOutput_toolPNLRegionA_G57</vt:lpstr>
      <vt:lpstr>tlOutput_toolPNLRegionA_G59</vt:lpstr>
      <vt:lpstr>tlOutput_toolPNLRegionA_G60</vt:lpstr>
      <vt:lpstr>tlOutput_toolPNLRegionA_G62</vt:lpstr>
      <vt:lpstr>tlOutput_toolPNLRegionA_G63</vt:lpstr>
      <vt:lpstr>tlOutput_toolPNLRegionA_G64</vt:lpstr>
      <vt:lpstr>tlOutput_toolPNLRegionA_G7</vt:lpstr>
      <vt:lpstr>tlOutput_toolPNLRegionA_G9</vt:lpstr>
      <vt:lpstr>tlOutput_toolPNLRegionA_H39</vt:lpstr>
      <vt:lpstr>tlOutput_toolPNLRegionA_H57</vt:lpstr>
      <vt:lpstr>tlOutput_toolPNLRegionA_I10</vt:lpstr>
      <vt:lpstr>tlOutput_toolPNLRegionA_I12</vt:lpstr>
      <vt:lpstr>tlOutput_toolPNLRegionA_I14</vt:lpstr>
      <vt:lpstr>tlOutput_toolPNLRegionA_I19</vt:lpstr>
      <vt:lpstr>tlOutput_toolPNLRegionA_I20</vt:lpstr>
      <vt:lpstr>tlOutput_toolPNLRegionA_I21</vt:lpstr>
      <vt:lpstr>tlOutput_toolPNLRegionA_I23</vt:lpstr>
      <vt:lpstr>tlOutput_toolPNLRegionA_I24</vt:lpstr>
      <vt:lpstr>tlOutput_toolPNLRegionA_I26</vt:lpstr>
      <vt:lpstr>tlOutput_toolPNLRegionA_I27</vt:lpstr>
      <vt:lpstr>tlOutput_toolPNLRegionA_I30</vt:lpstr>
      <vt:lpstr>tlOutput_toolPNLRegionA_I31</vt:lpstr>
      <vt:lpstr>tlOutput_toolPNLRegionA_I33</vt:lpstr>
      <vt:lpstr>tlOutput_toolPNLRegionA_I36</vt:lpstr>
      <vt:lpstr>tlOutput_toolPNLRegionA_I37</vt:lpstr>
      <vt:lpstr>tlOutput_toolPNLRegionA_I39</vt:lpstr>
      <vt:lpstr>tlOutput_toolPNLRegionA_I42</vt:lpstr>
      <vt:lpstr>tlOutput_toolPNLRegionA_I43</vt:lpstr>
      <vt:lpstr>tlOutput_toolPNLRegionA_I44</vt:lpstr>
      <vt:lpstr>tlOutput_toolPNLRegionA_I46</vt:lpstr>
      <vt:lpstr>tlOutput_toolPNLRegionA_I48</vt:lpstr>
      <vt:lpstr>tlOutput_toolPNLRegionA_I49</vt:lpstr>
      <vt:lpstr>tlOutput_toolPNLRegionA_I5</vt:lpstr>
      <vt:lpstr>tlOutput_toolPNLRegionA_I54</vt:lpstr>
      <vt:lpstr>tlOutput_toolPNLRegionA_I55</vt:lpstr>
      <vt:lpstr>tlOutput_toolPNLRegionA_I57</vt:lpstr>
      <vt:lpstr>tlOutput_toolPNLRegionA_I59</vt:lpstr>
      <vt:lpstr>tlOutput_toolPNLRegionA_I60</vt:lpstr>
      <vt:lpstr>tlOutput_toolPNLRegionA_I62</vt:lpstr>
      <vt:lpstr>tlOutput_toolPNLRegionA_I63</vt:lpstr>
      <vt:lpstr>tlOutput_toolPNLRegionA_I64</vt:lpstr>
      <vt:lpstr>tlOutput_toolPNLRegionA_I7</vt:lpstr>
      <vt:lpstr>tlOutput_toolPNLRegionA_I9</vt:lpstr>
      <vt:lpstr>tlOutput_toolPNLRegionA_K10</vt:lpstr>
      <vt:lpstr>tlOutput_toolPNLRegionA_K12</vt:lpstr>
      <vt:lpstr>tlOutput_toolPNLRegionA_K14</vt:lpstr>
      <vt:lpstr>tlOutput_toolPNLRegionA_K19</vt:lpstr>
      <vt:lpstr>tlOutput_toolPNLRegionA_K20</vt:lpstr>
      <vt:lpstr>tlOutput_toolPNLRegionA_K21</vt:lpstr>
      <vt:lpstr>tlOutput_toolPNLRegionA_K23</vt:lpstr>
      <vt:lpstr>tlOutput_toolPNLRegionA_K24</vt:lpstr>
      <vt:lpstr>tlOutput_toolPNLRegionA_K26</vt:lpstr>
      <vt:lpstr>tlOutput_toolPNLRegionA_K27</vt:lpstr>
      <vt:lpstr>tlOutput_toolPNLRegionA_K30</vt:lpstr>
      <vt:lpstr>tlOutput_toolPNLRegionA_K31</vt:lpstr>
      <vt:lpstr>tlOutput_toolPNLRegionA_K33</vt:lpstr>
      <vt:lpstr>tlOutput_toolPNLRegionA_K36</vt:lpstr>
      <vt:lpstr>tlOutput_toolPNLRegionA_K37</vt:lpstr>
      <vt:lpstr>tlOutput_toolPNLRegionA_K39</vt:lpstr>
      <vt:lpstr>tlOutput_toolPNLRegionA_K42</vt:lpstr>
      <vt:lpstr>tlOutput_toolPNLRegionA_K43</vt:lpstr>
      <vt:lpstr>tlOutput_toolPNLRegionA_K44</vt:lpstr>
      <vt:lpstr>tlOutput_toolPNLRegionA_K46</vt:lpstr>
      <vt:lpstr>tlOutput_toolPNLRegionA_K48</vt:lpstr>
      <vt:lpstr>tlOutput_toolPNLRegionA_K49</vt:lpstr>
      <vt:lpstr>tlOutput_toolPNLRegionA_K5</vt:lpstr>
      <vt:lpstr>tlOutput_toolPNLRegionA_K54</vt:lpstr>
      <vt:lpstr>tlOutput_toolPNLRegionA_K55</vt:lpstr>
      <vt:lpstr>tlOutput_toolPNLRegionA_K57</vt:lpstr>
      <vt:lpstr>tlOutput_toolPNLRegionA_K59</vt:lpstr>
      <vt:lpstr>tlOutput_toolPNLRegionA_K60</vt:lpstr>
      <vt:lpstr>tlOutput_toolPNLRegionA_K62</vt:lpstr>
      <vt:lpstr>tlOutput_toolPNLRegionA_K63</vt:lpstr>
      <vt:lpstr>tlOutput_toolPNLRegionA_K64</vt:lpstr>
      <vt:lpstr>tlOutput_toolPNLRegionA_K7</vt:lpstr>
      <vt:lpstr>tlOutput_toolPNLRegionA_K9</vt:lpstr>
      <vt:lpstr>tlOutput_toolPNLRegionA_M10</vt:lpstr>
      <vt:lpstr>tlOutput_toolPNLRegionA_M12</vt:lpstr>
      <vt:lpstr>tlOutput_toolPNLRegionA_M14</vt:lpstr>
      <vt:lpstr>tlOutput_toolPNLRegionA_M19</vt:lpstr>
      <vt:lpstr>tlOutput_toolPNLRegionA_M20</vt:lpstr>
      <vt:lpstr>tlOutput_toolPNLRegionA_M21</vt:lpstr>
      <vt:lpstr>tlOutput_toolPNLRegionA_M23</vt:lpstr>
      <vt:lpstr>tlOutput_toolPNLRegionA_M24</vt:lpstr>
      <vt:lpstr>tlOutput_toolPNLRegionA_M26</vt:lpstr>
      <vt:lpstr>tlOutput_toolPNLRegionA_M27</vt:lpstr>
      <vt:lpstr>tlOutput_toolPNLRegionA_M30</vt:lpstr>
      <vt:lpstr>tlOutput_toolPNLRegionA_M31</vt:lpstr>
      <vt:lpstr>tlOutput_toolPNLRegionA_M33</vt:lpstr>
      <vt:lpstr>tlOutput_toolPNLRegionA_M36</vt:lpstr>
      <vt:lpstr>tlOutput_toolPNLRegionA_M37</vt:lpstr>
      <vt:lpstr>tlOutput_toolPNLRegionA_M39</vt:lpstr>
      <vt:lpstr>tlOutput_toolPNLRegionA_M42</vt:lpstr>
      <vt:lpstr>tlOutput_toolPNLRegionA_M43</vt:lpstr>
      <vt:lpstr>tlOutput_toolPNLRegionA_M44</vt:lpstr>
      <vt:lpstr>tlOutput_toolPNLRegionA_M46</vt:lpstr>
      <vt:lpstr>tlOutput_toolPNLRegionA_M48</vt:lpstr>
      <vt:lpstr>tlOutput_toolPNLRegionA_M49</vt:lpstr>
      <vt:lpstr>tlOutput_toolPNLRegionA_M5</vt:lpstr>
      <vt:lpstr>tlOutput_toolPNLRegionA_M54</vt:lpstr>
      <vt:lpstr>tlOutput_toolPNLRegionA_M55</vt:lpstr>
      <vt:lpstr>tlOutput_toolPNLRegionA_M57</vt:lpstr>
      <vt:lpstr>tlOutput_toolPNLRegionA_M59</vt:lpstr>
      <vt:lpstr>tlOutput_toolPNLRegionA_M60</vt:lpstr>
      <vt:lpstr>tlOutput_toolPNLRegionA_M62</vt:lpstr>
      <vt:lpstr>tlOutput_toolPNLRegionA_M63</vt:lpstr>
      <vt:lpstr>tlOutput_toolPNLRegionA_M64</vt:lpstr>
      <vt:lpstr>tlOutput_toolPNLRegionA_M7</vt:lpstr>
      <vt:lpstr>tlOutput_toolPNLRegionA_M9</vt:lpstr>
      <vt:lpstr>tlOutput_toolPNLRegionA_O12</vt:lpstr>
      <vt:lpstr>tlOutput_toolPNLRegionA_O14</vt:lpstr>
      <vt:lpstr>tlOutput_toolPNLRegionA_O15</vt:lpstr>
      <vt:lpstr>tlOutput_toolPNLRegionA_O19</vt:lpstr>
      <vt:lpstr>tlOutput_toolPNLRegionA_O20</vt:lpstr>
      <vt:lpstr>tlOutput_toolPNLRegionA_O21</vt:lpstr>
      <vt:lpstr>tlOutput_toolPNLRegionA_O23</vt:lpstr>
      <vt:lpstr>tlOutput_toolPNLRegionA_O26</vt:lpstr>
      <vt:lpstr>tlOutput_toolPNLRegionA_O27</vt:lpstr>
      <vt:lpstr>tlOutput_toolPNLRegionA_O30</vt:lpstr>
      <vt:lpstr>tlOutput_toolPNLRegionA_O31</vt:lpstr>
      <vt:lpstr>tlOutput_toolPNLRegionA_O33</vt:lpstr>
      <vt:lpstr>tlOutput_toolPNLRegionA_O36</vt:lpstr>
      <vt:lpstr>tlOutput_toolPNLRegionA_O37</vt:lpstr>
      <vt:lpstr>tlOutput_toolPNLRegionA_O39</vt:lpstr>
      <vt:lpstr>tlOutput_toolPNLRegionA_O42</vt:lpstr>
      <vt:lpstr>tlOutput_toolPNLRegionA_O43</vt:lpstr>
      <vt:lpstr>tlOutput_toolPNLRegionA_O44</vt:lpstr>
      <vt:lpstr>tlOutput_toolPNLRegionA_O46</vt:lpstr>
      <vt:lpstr>tlOutput_toolPNLRegionA_O48</vt:lpstr>
      <vt:lpstr>tlOutput_toolPNLRegionA_O5</vt:lpstr>
      <vt:lpstr>tlOutput_toolPNLRegionA_O52</vt:lpstr>
      <vt:lpstr>tlOutput_toolPNLRegionA_O53</vt:lpstr>
      <vt:lpstr>tlOutput_toolPNLRegionA_O54</vt:lpstr>
      <vt:lpstr>tlOutput_toolPNLRegionA_O55</vt:lpstr>
      <vt:lpstr>tlOutput_toolPNLRegionA_O57</vt:lpstr>
      <vt:lpstr>tlOutput_toolPNLRegionA_O59</vt:lpstr>
      <vt:lpstr>tlOutput_toolPNLRegionA_O62</vt:lpstr>
      <vt:lpstr>tlOutput_toolPNLRegionA_O63</vt:lpstr>
      <vt:lpstr>tlOutput_toolPNLRegionA_O7</vt:lpstr>
      <vt:lpstr>tlOutput_toolPNLRegionA_O9</vt:lpstr>
      <vt:lpstr>tlOutput_toolPNLRegionA_P3</vt:lpstr>
      <vt:lpstr>tlOutput_toolPNLRegionB_B3</vt:lpstr>
      <vt:lpstr>tlOutput_toolPNLRegionB_B4</vt:lpstr>
      <vt:lpstr>tlOutput_toolPNLRegionB_C14</vt:lpstr>
      <vt:lpstr>tlOutput_toolPNLRegionB_C17</vt:lpstr>
      <vt:lpstr>tlOutput_toolPNLRegionB_C26</vt:lpstr>
      <vt:lpstr>tlOutput_toolPNLRegionB_C59</vt:lpstr>
      <vt:lpstr>tlOutput_toolPNLRegionB_C62</vt:lpstr>
      <vt:lpstr>tlOutput_toolPNLRegionB_C7</vt:lpstr>
      <vt:lpstr>tlOutput_toolPNLRegionB_C9</vt:lpstr>
      <vt:lpstr>tlOutput_toolPNLRegionB_D18</vt:lpstr>
      <vt:lpstr>tlOutput_toolPNLRegionB_D23</vt:lpstr>
      <vt:lpstr>tlOutput_toolPNLRegionB_D27</vt:lpstr>
      <vt:lpstr>tlOutput_toolPNLRegionB_D29</vt:lpstr>
      <vt:lpstr>tlOutput_toolPNLRegionB_D33</vt:lpstr>
      <vt:lpstr>tlOutput_toolPNLRegionB_D35</vt:lpstr>
      <vt:lpstr>tlOutput_toolPNLRegionB_D39</vt:lpstr>
      <vt:lpstr>tlOutput_toolPNLRegionB_D41</vt:lpstr>
      <vt:lpstr>tlOutput_toolPNLRegionB_D46</vt:lpstr>
      <vt:lpstr>tlOutput_toolPNLRegionB_D48</vt:lpstr>
      <vt:lpstr>tlOutput_toolPNLRegionB_D51</vt:lpstr>
      <vt:lpstr>tlOutput_toolPNLRegionB_D57</vt:lpstr>
      <vt:lpstr>tlOutput_toolPNLRegionB_D63</vt:lpstr>
      <vt:lpstr>tlOutput_toolPNLRegionB_E10</vt:lpstr>
      <vt:lpstr>tlOutput_toolPNLRegionB_E12</vt:lpstr>
      <vt:lpstr>tlOutput_toolPNLRegionB_E15</vt:lpstr>
      <vt:lpstr>tlOutput_toolPNLRegionB_E19</vt:lpstr>
      <vt:lpstr>tlOutput_toolPNLRegionB_E20</vt:lpstr>
      <vt:lpstr>tlOutput_toolPNLRegionB_E21</vt:lpstr>
      <vt:lpstr>tlOutput_toolPNLRegionB_E24</vt:lpstr>
      <vt:lpstr>tlOutput_toolPNLRegionB_E30</vt:lpstr>
      <vt:lpstr>tlOutput_toolPNLRegionB_E31</vt:lpstr>
      <vt:lpstr>tlOutput_toolPNLRegionB_E36</vt:lpstr>
      <vt:lpstr>tlOutput_toolPNLRegionB_E37</vt:lpstr>
      <vt:lpstr>tlOutput_toolPNLRegionB_E42</vt:lpstr>
      <vt:lpstr>tlOutput_toolPNLRegionB_E43</vt:lpstr>
      <vt:lpstr>tlOutput_toolPNLRegionB_E44</vt:lpstr>
      <vt:lpstr>tlOutput_toolPNLRegionB_E49</vt:lpstr>
      <vt:lpstr>tlOutput_toolPNLRegionB_E52</vt:lpstr>
      <vt:lpstr>tlOutput_toolPNLRegionB_E53</vt:lpstr>
      <vt:lpstr>tlOutput_toolPNLRegionB_E54</vt:lpstr>
      <vt:lpstr>tlOutput_toolPNLRegionB_E55</vt:lpstr>
      <vt:lpstr>tlOutput_toolPNLRegionB_E60</vt:lpstr>
      <vt:lpstr>tlOutput_toolPNLRegionB_E64</vt:lpstr>
      <vt:lpstr>tlOutput_toolPNLRegionB_G10</vt:lpstr>
      <vt:lpstr>tlOutput_toolPNLRegionB_G12</vt:lpstr>
      <vt:lpstr>tlOutput_toolPNLRegionB_G14</vt:lpstr>
      <vt:lpstr>tlOutput_toolPNLRegionB_G19</vt:lpstr>
      <vt:lpstr>tlOutput_toolPNLRegionB_G20</vt:lpstr>
      <vt:lpstr>tlOutput_toolPNLRegionB_G21</vt:lpstr>
      <vt:lpstr>tlOutput_toolPNLRegionB_G23</vt:lpstr>
      <vt:lpstr>tlOutput_toolPNLRegionB_G24</vt:lpstr>
      <vt:lpstr>tlOutput_toolPNLRegionB_G26</vt:lpstr>
      <vt:lpstr>tlOutput_toolPNLRegionB_G27</vt:lpstr>
      <vt:lpstr>tlOutput_toolPNLRegionB_G30</vt:lpstr>
      <vt:lpstr>tlOutput_toolPNLRegionB_G31</vt:lpstr>
      <vt:lpstr>tlOutput_toolPNLRegionB_G33</vt:lpstr>
      <vt:lpstr>tlOutput_toolPNLRegionB_G36</vt:lpstr>
      <vt:lpstr>tlOutput_toolPNLRegionB_G37</vt:lpstr>
      <vt:lpstr>tlOutput_toolPNLRegionB_G39</vt:lpstr>
      <vt:lpstr>tlOutput_toolPNLRegionB_G42</vt:lpstr>
      <vt:lpstr>tlOutput_toolPNLRegionB_G43</vt:lpstr>
      <vt:lpstr>tlOutput_toolPNLRegionB_G44</vt:lpstr>
      <vt:lpstr>tlOutput_toolPNLRegionB_G46</vt:lpstr>
      <vt:lpstr>tlOutput_toolPNLRegionB_G48</vt:lpstr>
      <vt:lpstr>tlOutput_toolPNLRegionB_G49</vt:lpstr>
      <vt:lpstr>tlOutput_toolPNLRegionB_G5</vt:lpstr>
      <vt:lpstr>tlOutput_toolPNLRegionB_G54</vt:lpstr>
      <vt:lpstr>tlOutput_toolPNLRegionB_G55</vt:lpstr>
      <vt:lpstr>tlOutput_toolPNLRegionB_G57</vt:lpstr>
      <vt:lpstr>tlOutput_toolPNLRegionB_G59</vt:lpstr>
      <vt:lpstr>tlOutput_toolPNLRegionB_G60</vt:lpstr>
      <vt:lpstr>tlOutput_toolPNLRegionB_G62</vt:lpstr>
      <vt:lpstr>tlOutput_toolPNLRegionB_G63</vt:lpstr>
      <vt:lpstr>tlOutput_toolPNLRegionB_G64</vt:lpstr>
      <vt:lpstr>tlOutput_toolPNLRegionB_G7</vt:lpstr>
      <vt:lpstr>tlOutput_toolPNLRegionB_G9</vt:lpstr>
      <vt:lpstr>tlOutput_toolPNLRegionB_H39</vt:lpstr>
      <vt:lpstr>tlOutput_toolPNLRegionB_I10</vt:lpstr>
      <vt:lpstr>tlOutput_toolPNLRegionB_I12</vt:lpstr>
      <vt:lpstr>tlOutput_toolPNLRegionB_I14</vt:lpstr>
      <vt:lpstr>tlOutput_toolPNLRegionB_I19</vt:lpstr>
      <vt:lpstr>tlOutput_toolPNLRegionB_I20</vt:lpstr>
      <vt:lpstr>tlOutput_toolPNLRegionB_I21</vt:lpstr>
      <vt:lpstr>tlOutput_toolPNLRegionB_I23</vt:lpstr>
      <vt:lpstr>tlOutput_toolPNLRegionB_I24</vt:lpstr>
      <vt:lpstr>tlOutput_toolPNLRegionB_I26</vt:lpstr>
      <vt:lpstr>tlOutput_toolPNLRegionB_I27</vt:lpstr>
      <vt:lpstr>tlOutput_toolPNLRegionB_I30</vt:lpstr>
      <vt:lpstr>tlOutput_toolPNLRegionB_I31</vt:lpstr>
      <vt:lpstr>tlOutput_toolPNLRegionB_I33</vt:lpstr>
      <vt:lpstr>tlOutput_toolPNLRegionB_I36</vt:lpstr>
      <vt:lpstr>tlOutput_toolPNLRegionB_I37</vt:lpstr>
      <vt:lpstr>tlOutput_toolPNLRegionB_I39</vt:lpstr>
      <vt:lpstr>tlOutput_toolPNLRegionB_I42</vt:lpstr>
      <vt:lpstr>tlOutput_toolPNLRegionB_I43</vt:lpstr>
      <vt:lpstr>tlOutput_toolPNLRegionB_I44</vt:lpstr>
      <vt:lpstr>tlOutput_toolPNLRegionB_I46</vt:lpstr>
      <vt:lpstr>tlOutput_toolPNLRegionB_I48</vt:lpstr>
      <vt:lpstr>tlOutput_toolPNLRegionB_I49</vt:lpstr>
      <vt:lpstr>tlOutput_toolPNLRegionB_I5</vt:lpstr>
      <vt:lpstr>tlOutput_toolPNLRegionB_I54</vt:lpstr>
      <vt:lpstr>tlOutput_toolPNLRegionB_I55</vt:lpstr>
      <vt:lpstr>tlOutput_toolPNLRegionB_I57</vt:lpstr>
      <vt:lpstr>tlOutput_toolPNLRegionB_I59</vt:lpstr>
      <vt:lpstr>tlOutput_toolPNLRegionB_I60</vt:lpstr>
      <vt:lpstr>tlOutput_toolPNLRegionB_I62</vt:lpstr>
      <vt:lpstr>tlOutput_toolPNLRegionB_I63</vt:lpstr>
      <vt:lpstr>tlOutput_toolPNLRegionB_I64</vt:lpstr>
      <vt:lpstr>tlOutput_toolPNLRegionB_I7</vt:lpstr>
      <vt:lpstr>tlOutput_toolPNLRegionB_I9</vt:lpstr>
      <vt:lpstr>tlOutput_toolPNLRegionB_K10</vt:lpstr>
      <vt:lpstr>tlOutput_toolPNLRegionB_K12</vt:lpstr>
      <vt:lpstr>tlOutput_toolPNLRegionB_K14</vt:lpstr>
      <vt:lpstr>tlOutput_toolPNLRegionB_K19</vt:lpstr>
      <vt:lpstr>tlOutput_toolPNLRegionB_K20</vt:lpstr>
      <vt:lpstr>tlOutput_toolPNLRegionB_K21</vt:lpstr>
      <vt:lpstr>tlOutput_toolPNLRegionB_K23</vt:lpstr>
      <vt:lpstr>tlOutput_toolPNLRegionB_K24</vt:lpstr>
      <vt:lpstr>tlOutput_toolPNLRegionB_K26</vt:lpstr>
      <vt:lpstr>tlOutput_toolPNLRegionB_K27</vt:lpstr>
      <vt:lpstr>tlOutput_toolPNLRegionB_K30</vt:lpstr>
      <vt:lpstr>tlOutput_toolPNLRegionB_K31</vt:lpstr>
      <vt:lpstr>tlOutput_toolPNLRegionB_K33</vt:lpstr>
      <vt:lpstr>tlOutput_toolPNLRegionB_K36</vt:lpstr>
      <vt:lpstr>tlOutput_toolPNLRegionB_K37</vt:lpstr>
      <vt:lpstr>tlOutput_toolPNLRegionB_K39</vt:lpstr>
      <vt:lpstr>tlOutput_toolPNLRegionB_K42</vt:lpstr>
      <vt:lpstr>tlOutput_toolPNLRegionB_K43</vt:lpstr>
      <vt:lpstr>tlOutput_toolPNLRegionB_K44</vt:lpstr>
      <vt:lpstr>tlOutput_toolPNLRegionB_K46</vt:lpstr>
      <vt:lpstr>tlOutput_toolPNLRegionB_K48</vt:lpstr>
      <vt:lpstr>tlOutput_toolPNLRegionB_K49</vt:lpstr>
      <vt:lpstr>tlOutput_toolPNLRegionB_K5</vt:lpstr>
      <vt:lpstr>tlOutput_toolPNLRegionB_K54</vt:lpstr>
      <vt:lpstr>tlOutput_toolPNLRegionB_K55</vt:lpstr>
      <vt:lpstr>tlOutput_toolPNLRegionB_K57</vt:lpstr>
      <vt:lpstr>tlOutput_toolPNLRegionB_K59</vt:lpstr>
      <vt:lpstr>tlOutput_toolPNLRegionB_K60</vt:lpstr>
      <vt:lpstr>tlOutput_toolPNLRegionB_K62</vt:lpstr>
      <vt:lpstr>tlOutput_toolPNLRegionB_K63</vt:lpstr>
      <vt:lpstr>tlOutput_toolPNLRegionB_K64</vt:lpstr>
      <vt:lpstr>tlOutput_toolPNLRegionB_K7</vt:lpstr>
      <vt:lpstr>tlOutput_toolPNLRegionB_K9</vt:lpstr>
      <vt:lpstr>tlOutput_toolPNLRegionB_M10</vt:lpstr>
      <vt:lpstr>tlOutput_toolPNLRegionB_M12</vt:lpstr>
      <vt:lpstr>tlOutput_toolPNLRegionB_M14</vt:lpstr>
      <vt:lpstr>tlOutput_toolPNLRegionB_M19</vt:lpstr>
      <vt:lpstr>tlOutput_toolPNLRegionB_M20</vt:lpstr>
      <vt:lpstr>tlOutput_toolPNLRegionB_M21</vt:lpstr>
      <vt:lpstr>tlOutput_toolPNLRegionB_M23</vt:lpstr>
      <vt:lpstr>tlOutput_toolPNLRegionB_M24</vt:lpstr>
      <vt:lpstr>tlOutput_toolPNLRegionB_M26</vt:lpstr>
      <vt:lpstr>tlOutput_toolPNLRegionB_M27</vt:lpstr>
      <vt:lpstr>tlOutput_toolPNLRegionB_M30</vt:lpstr>
      <vt:lpstr>tlOutput_toolPNLRegionB_M31</vt:lpstr>
      <vt:lpstr>tlOutput_toolPNLRegionB_M33</vt:lpstr>
      <vt:lpstr>tlOutput_toolPNLRegionB_M36</vt:lpstr>
      <vt:lpstr>tlOutput_toolPNLRegionB_M37</vt:lpstr>
      <vt:lpstr>tlOutput_toolPNLRegionB_M39</vt:lpstr>
      <vt:lpstr>tlOutput_toolPNLRegionB_M42</vt:lpstr>
      <vt:lpstr>tlOutput_toolPNLRegionB_M43</vt:lpstr>
      <vt:lpstr>tlOutput_toolPNLRegionB_M44</vt:lpstr>
      <vt:lpstr>tlOutput_toolPNLRegionB_M46</vt:lpstr>
      <vt:lpstr>tlOutput_toolPNLRegionB_M48</vt:lpstr>
      <vt:lpstr>tlOutput_toolPNLRegionB_M49</vt:lpstr>
      <vt:lpstr>tlOutput_toolPNLRegionB_M5</vt:lpstr>
      <vt:lpstr>tlOutput_toolPNLRegionB_M54</vt:lpstr>
      <vt:lpstr>tlOutput_toolPNLRegionB_M55</vt:lpstr>
      <vt:lpstr>tlOutput_toolPNLRegionB_M57</vt:lpstr>
      <vt:lpstr>tlOutput_toolPNLRegionB_M59</vt:lpstr>
      <vt:lpstr>tlOutput_toolPNLRegionB_M60</vt:lpstr>
      <vt:lpstr>tlOutput_toolPNLRegionB_M62</vt:lpstr>
      <vt:lpstr>tlOutput_toolPNLRegionB_M63</vt:lpstr>
      <vt:lpstr>tlOutput_toolPNLRegionB_M64</vt:lpstr>
      <vt:lpstr>tlOutput_toolPNLRegionB_M7</vt:lpstr>
      <vt:lpstr>tlOutput_toolPNLRegionB_M9</vt:lpstr>
      <vt:lpstr>tlOutput_toolPNLRegionB_O12</vt:lpstr>
      <vt:lpstr>tlOutput_toolPNLRegionB_O14</vt:lpstr>
      <vt:lpstr>tlOutput_toolPNLRegionB_O15</vt:lpstr>
      <vt:lpstr>tlOutput_toolPNLRegionB_O19</vt:lpstr>
      <vt:lpstr>tlOutput_toolPNLRegionB_O20</vt:lpstr>
      <vt:lpstr>tlOutput_toolPNLRegionB_O21</vt:lpstr>
      <vt:lpstr>tlOutput_toolPNLRegionB_O23</vt:lpstr>
      <vt:lpstr>tlOutput_toolPNLRegionB_O26</vt:lpstr>
      <vt:lpstr>tlOutput_toolPNLRegionB_O27</vt:lpstr>
      <vt:lpstr>tlOutput_toolPNLRegionB_O30</vt:lpstr>
      <vt:lpstr>tlOutput_toolPNLRegionB_O31</vt:lpstr>
      <vt:lpstr>tlOutput_toolPNLRegionB_O33</vt:lpstr>
      <vt:lpstr>tlOutput_toolPNLRegionB_O36</vt:lpstr>
      <vt:lpstr>tlOutput_toolPNLRegionB_O37</vt:lpstr>
      <vt:lpstr>tlOutput_toolPNLRegionB_O39</vt:lpstr>
      <vt:lpstr>tlOutput_toolPNLRegionB_O42</vt:lpstr>
      <vt:lpstr>tlOutput_toolPNLRegionB_O43</vt:lpstr>
      <vt:lpstr>tlOutput_toolPNLRegionB_O44</vt:lpstr>
      <vt:lpstr>tlOutput_toolPNLRegionB_O46</vt:lpstr>
      <vt:lpstr>tlOutput_toolPNLRegionB_O48</vt:lpstr>
      <vt:lpstr>tlOutput_toolPNLRegionB_O5</vt:lpstr>
      <vt:lpstr>tlOutput_toolPNLRegionB_O52</vt:lpstr>
      <vt:lpstr>tlOutput_toolPNLRegionB_O53</vt:lpstr>
      <vt:lpstr>tlOutput_toolPNLRegionB_O54</vt:lpstr>
      <vt:lpstr>tlOutput_toolPNLRegionB_O55</vt:lpstr>
      <vt:lpstr>tlOutput_toolPNLRegionB_O57</vt:lpstr>
      <vt:lpstr>tlOutput_toolPNLRegionB_O59</vt:lpstr>
      <vt:lpstr>tlOutput_toolPNLRegionB_O62</vt:lpstr>
      <vt:lpstr>tlOutput_toolPNLRegionB_O63</vt:lpstr>
      <vt:lpstr>tlOutput_toolPNLRegionB_O7</vt:lpstr>
      <vt:lpstr>tlOutput_toolPNLRegionB_O9</vt:lpstr>
      <vt:lpstr>tlOutput_toolPNLRegionB_P3</vt:lpstr>
      <vt:lpstr>tlOutput_toolPrograms_AA1</vt:lpstr>
      <vt:lpstr>tlOutput_toolPrograms_B41</vt:lpstr>
      <vt:lpstr>tlOutput_toolPrograms_B42</vt:lpstr>
      <vt:lpstr>tlOutput_toolPrograms_C10</vt:lpstr>
      <vt:lpstr>tlOutput_toolPrograms_C46</vt:lpstr>
      <vt:lpstr>tlOutput_toolPrograms_C56</vt:lpstr>
      <vt:lpstr>tlOutput_toolPrograms_C66</vt:lpstr>
      <vt:lpstr>tlOutput_toolPrograms_D12</vt:lpstr>
      <vt:lpstr>tlOutput_toolPrograms_D48</vt:lpstr>
      <vt:lpstr>tlOutput_toolPrograms_D49</vt:lpstr>
      <vt:lpstr>tlOutput_toolPrograms_D50</vt:lpstr>
      <vt:lpstr>tlOutput_toolPrograms_D51</vt:lpstr>
      <vt:lpstr>tlOutput_toolPrograms_D52</vt:lpstr>
      <vt:lpstr>tlOutput_toolPrograms_D54</vt:lpstr>
      <vt:lpstr>tlOutput_toolPrograms_D58</vt:lpstr>
      <vt:lpstr>tlOutput_toolPrograms_D59</vt:lpstr>
      <vt:lpstr>tlOutput_toolPrograms_D60</vt:lpstr>
      <vt:lpstr>tlOutput_toolPrograms_D61</vt:lpstr>
      <vt:lpstr>tlOutput_toolPrograms_D62</vt:lpstr>
      <vt:lpstr>tlOutput_toolPrograms_D64</vt:lpstr>
      <vt:lpstr>tlOutput_toolPrograms_D68</vt:lpstr>
      <vt:lpstr>tlOutput_toolPrograms_D69</vt:lpstr>
      <vt:lpstr>tlOutput_toolPrograms_D70</vt:lpstr>
      <vt:lpstr>tlOutput_toolPrograms_D71</vt:lpstr>
      <vt:lpstr>tlOutput_toolPrograms_D72</vt:lpstr>
      <vt:lpstr>tlOutput_toolPrograms_D74</vt:lpstr>
      <vt:lpstr>tlOutput_toolPrograms_F12</vt:lpstr>
      <vt:lpstr>tlOutput_toolPrograms_F14</vt:lpstr>
      <vt:lpstr>tlOutput_toolPrograms_F16</vt:lpstr>
      <vt:lpstr>tlOutput_toolPrograms_F18</vt:lpstr>
      <vt:lpstr>tlOutput_toolPrograms_F20</vt:lpstr>
      <vt:lpstr>tlOutput_toolPrograms_F22</vt:lpstr>
      <vt:lpstr>tlOutput_toolPrograms_F24</vt:lpstr>
      <vt:lpstr>tlOutput_toolPrograms_G26</vt:lpstr>
      <vt:lpstr>tlOutput_toolPrograms_G3</vt:lpstr>
      <vt:lpstr>tlOutput_toolPrograms_I12</vt:lpstr>
      <vt:lpstr>tlOutput_toolPrograms_I14</vt:lpstr>
      <vt:lpstr>tlOutput_toolPrograms_I16</vt:lpstr>
      <vt:lpstr>tlOutput_toolPrograms_I18</vt:lpstr>
      <vt:lpstr>tlOutput_toolPrograms_I20</vt:lpstr>
      <vt:lpstr>tlOutput_toolPrograms_I22</vt:lpstr>
      <vt:lpstr>tlOutput_toolPrograms_I26</vt:lpstr>
      <vt:lpstr>tlOutput_toolPrograms_I44</vt:lpstr>
      <vt:lpstr>tlOutput_toolPrograms_I48</vt:lpstr>
      <vt:lpstr>tlOutput_toolPrograms_I49</vt:lpstr>
      <vt:lpstr>tlOutput_toolPrograms_I50</vt:lpstr>
      <vt:lpstr>tlOutput_toolPrograms_I51</vt:lpstr>
      <vt:lpstr>tlOutput_toolPrograms_I52</vt:lpstr>
      <vt:lpstr>tlOutput_toolPrograms_I54</vt:lpstr>
      <vt:lpstr>tlOutput_toolPrograms_I58</vt:lpstr>
      <vt:lpstr>tlOutput_toolPrograms_I59</vt:lpstr>
      <vt:lpstr>tlOutput_toolPrograms_I60</vt:lpstr>
      <vt:lpstr>tlOutput_toolPrograms_I61</vt:lpstr>
      <vt:lpstr>tlOutput_toolPrograms_I62</vt:lpstr>
      <vt:lpstr>tlOutput_toolPrograms_I64</vt:lpstr>
      <vt:lpstr>tlOutput_toolPrograms_I68</vt:lpstr>
      <vt:lpstr>tlOutput_toolPrograms_I69</vt:lpstr>
      <vt:lpstr>tlOutput_toolPrograms_I70</vt:lpstr>
      <vt:lpstr>tlOutput_toolPrograms_I71</vt:lpstr>
      <vt:lpstr>tlOutput_toolPrograms_I72</vt:lpstr>
      <vt:lpstr>tlOutput_toolPrograms_I74</vt:lpstr>
      <vt:lpstr>tlOutput_toolPrograms_K12</vt:lpstr>
      <vt:lpstr>tlOutput_toolPrograms_K14</vt:lpstr>
      <vt:lpstr>tlOutput_toolPrograms_K16</vt:lpstr>
      <vt:lpstr>tlOutput_toolPrograms_K18</vt:lpstr>
      <vt:lpstr>tlOutput_toolPrograms_K20</vt:lpstr>
      <vt:lpstr>tlOutput_toolPrograms_K22</vt:lpstr>
      <vt:lpstr>tlOutput_toolPrograms_K26</vt:lpstr>
      <vt:lpstr>tlOutput_toolPrograms_K44</vt:lpstr>
      <vt:lpstr>tlOutput_toolPrograms_K48</vt:lpstr>
      <vt:lpstr>tlOutput_toolPrograms_K49</vt:lpstr>
      <vt:lpstr>tlOutput_toolPrograms_K50</vt:lpstr>
      <vt:lpstr>tlOutput_toolPrograms_K51</vt:lpstr>
      <vt:lpstr>tlOutput_toolPrograms_K52</vt:lpstr>
      <vt:lpstr>tlOutput_toolPrograms_K54</vt:lpstr>
      <vt:lpstr>tlOutput_toolPrograms_K58</vt:lpstr>
      <vt:lpstr>tlOutput_toolPrograms_K59</vt:lpstr>
      <vt:lpstr>tlOutput_toolPrograms_K60</vt:lpstr>
      <vt:lpstr>tlOutput_toolPrograms_K61</vt:lpstr>
      <vt:lpstr>tlOutput_toolPrograms_K62</vt:lpstr>
      <vt:lpstr>tlOutput_toolPrograms_K64</vt:lpstr>
      <vt:lpstr>tlOutput_toolPrograms_K68</vt:lpstr>
      <vt:lpstr>tlOutput_toolPrograms_K69</vt:lpstr>
      <vt:lpstr>tlOutput_toolPrograms_K70</vt:lpstr>
      <vt:lpstr>tlOutput_toolPrograms_K71</vt:lpstr>
      <vt:lpstr>tlOutput_toolPrograms_K72</vt:lpstr>
      <vt:lpstr>tlOutput_toolPrograms_K74</vt:lpstr>
      <vt:lpstr>tlOutput_toolPrograms_M12</vt:lpstr>
      <vt:lpstr>tlOutput_toolPrograms_M14</vt:lpstr>
      <vt:lpstr>tlOutput_toolPrograms_M16</vt:lpstr>
      <vt:lpstr>tlOutput_toolPrograms_M18</vt:lpstr>
      <vt:lpstr>tlOutput_toolPrograms_M20</vt:lpstr>
      <vt:lpstr>tlOutput_toolPrograms_M22</vt:lpstr>
      <vt:lpstr>tlOutput_toolPrograms_M26</vt:lpstr>
      <vt:lpstr>tlOutput_toolPrograms_N3</vt:lpstr>
      <vt:lpstr>tlOutput_toolPrograms_N5</vt:lpstr>
      <vt:lpstr>tlOutput_toolPrograms_N7</vt:lpstr>
      <vt:lpstr>tlOutput_toolPrograms_O41</vt:lpstr>
      <vt:lpstr>tlOutput_toolPrograms_U2</vt:lpstr>
      <vt:lpstr>tlOutput_toolPrograms_U3</vt:lpstr>
      <vt:lpstr>tlOutput_toolPrograms_V1</vt:lpstr>
      <vt:lpstr>tlOutput_toolPrograms_V12</vt:lpstr>
      <vt:lpstr>tlOutput_toolPrograms_V14</vt:lpstr>
      <vt:lpstr>tlOutput_toolPrograms_V16</vt:lpstr>
      <vt:lpstr>tlOutput_toolPrograms_V18</vt:lpstr>
      <vt:lpstr>tlOutput_toolPrograms_V2</vt:lpstr>
      <vt:lpstr>tlOutput_toolPrograms_V20</vt:lpstr>
      <vt:lpstr>tlOutput_toolPrograms_V22</vt:lpstr>
      <vt:lpstr>tlOutput_toolPrograms_V3</vt:lpstr>
      <vt:lpstr>tlOutput_toolPrograms_W1</vt:lpstr>
      <vt:lpstr>tlOutput_toolPrograms_W12</vt:lpstr>
      <vt:lpstr>tlOutput_toolPrograms_W14</vt:lpstr>
      <vt:lpstr>tlOutput_toolPrograms_W16</vt:lpstr>
      <vt:lpstr>tlOutput_toolPrograms_W18</vt:lpstr>
      <vt:lpstr>tlOutput_toolPrograms_W20</vt:lpstr>
      <vt:lpstr>tlOutput_toolPrograms_W22</vt:lpstr>
      <vt:lpstr>tlOutput_toolPrograms_X1</vt:lpstr>
      <vt:lpstr>tlOutput_toolPrograms_X12</vt:lpstr>
      <vt:lpstr>tlOutput_toolPrograms_X14</vt:lpstr>
      <vt:lpstr>tlOutput_toolPrograms_X16</vt:lpstr>
      <vt:lpstr>tlOutput_toolPrograms_X18</vt:lpstr>
      <vt:lpstr>tlOutput_toolPrograms_X20</vt:lpstr>
      <vt:lpstr>tlOutput_toolPrograms_X22</vt:lpstr>
      <vt:lpstr>tlOutput_toolPrograms_Y1</vt:lpstr>
      <vt:lpstr>tlOutput_toolPrograms_Y12</vt:lpstr>
      <vt:lpstr>tlOutput_toolPrograms_Y14</vt:lpstr>
      <vt:lpstr>tlOutput_toolPrograms_Y16</vt:lpstr>
      <vt:lpstr>tlOutput_toolPrograms_Y18</vt:lpstr>
      <vt:lpstr>tlOutput_toolPrograms_Y20</vt:lpstr>
      <vt:lpstr>tlOutput_toolPrograms_Y22</vt:lpstr>
      <vt:lpstr>tlOutput_toolPrograms_Z1</vt:lpstr>
      <vt:lpstr>tlOutput_toolPrograms_Z12</vt:lpstr>
      <vt:lpstr>tlOutput_toolRnD_AA12</vt:lpstr>
      <vt:lpstr>tlOutput_toolRnD_AA14</vt:lpstr>
      <vt:lpstr>tlOutput_toolRnD_AA16</vt:lpstr>
      <vt:lpstr>tlOutput_toolRnD_AA18</vt:lpstr>
      <vt:lpstr>tlOutput_toolRnD_AA20</vt:lpstr>
      <vt:lpstr>tlOutput_toolRnD_AB12</vt:lpstr>
      <vt:lpstr>tlOutput_toolRnD_AB14</vt:lpstr>
      <vt:lpstr>tlOutput_toolRnD_AB16</vt:lpstr>
      <vt:lpstr>tlOutput_toolRnD_AB18</vt:lpstr>
      <vt:lpstr>tlOutput_toolRnD_AB20</vt:lpstr>
      <vt:lpstr>tlOutput_toolRnD_AB21</vt:lpstr>
      <vt:lpstr>tlOutput_toolRnD_AC12</vt:lpstr>
      <vt:lpstr>tlOutput_toolRnD_AC14</vt:lpstr>
      <vt:lpstr>tlOutput_toolRnD_AC16</vt:lpstr>
      <vt:lpstr>tlOutput_toolRnD_AC18</vt:lpstr>
      <vt:lpstr>tlOutput_toolRnD_AC20</vt:lpstr>
      <vt:lpstr>tlOutput_toolRnD_AC21</vt:lpstr>
      <vt:lpstr>tlOutput_toolRnD_B36</vt:lpstr>
      <vt:lpstr>tlOutput_toolRnD_B49</vt:lpstr>
      <vt:lpstr>tlOutput_toolRnD_B89</vt:lpstr>
      <vt:lpstr>tlOutput_toolRnD_C10</vt:lpstr>
      <vt:lpstr>tlOutput_toolRnD_C24</vt:lpstr>
      <vt:lpstr>tlOutput_toolRnD_C52</vt:lpstr>
      <vt:lpstr>tlOutput_toolRnD_C66</vt:lpstr>
      <vt:lpstr>tlOutput_toolRnD_C77</vt:lpstr>
      <vt:lpstr>tlOutput_toolRnD_D14</vt:lpstr>
      <vt:lpstr>tlOutput_toolRnD_D16</vt:lpstr>
      <vt:lpstr>tlOutput_toolRnD_D18</vt:lpstr>
      <vt:lpstr>tlOutput_toolRnD_D20</vt:lpstr>
      <vt:lpstr>tlOutput_toolRnD_D26</vt:lpstr>
      <vt:lpstr>tlOutput_toolRnD_D54</vt:lpstr>
      <vt:lpstr>tlOutput_toolRnD_D55</vt:lpstr>
      <vt:lpstr>tlOutput_toolRnD_D56</vt:lpstr>
      <vt:lpstr>tlOutput_toolRnD_D57</vt:lpstr>
      <vt:lpstr>tlOutput_toolRnD_D59</vt:lpstr>
      <vt:lpstr>tlOutput_toolRnD_D60</vt:lpstr>
      <vt:lpstr>tlOutput_toolRnD_D62</vt:lpstr>
      <vt:lpstr>tlOutput_toolRnD_D64</vt:lpstr>
      <vt:lpstr>tlOutput_toolRnD_D68</vt:lpstr>
      <vt:lpstr>tlOutput_toolRnD_D69</vt:lpstr>
      <vt:lpstr>tlOutput_toolRnD_D71</vt:lpstr>
      <vt:lpstr>tlOutput_toolRnD_D73</vt:lpstr>
      <vt:lpstr>tlOutput_toolRnD_D75</vt:lpstr>
      <vt:lpstr>tlOutput_toolRnD_D79</vt:lpstr>
      <vt:lpstr>tlOutput_toolRnD_D80</vt:lpstr>
      <vt:lpstr>tlOutput_toolRnD_D81</vt:lpstr>
      <vt:lpstr>tlOutput_toolRnD_D82</vt:lpstr>
      <vt:lpstr>tlOutput_toolRnD_D83</vt:lpstr>
      <vt:lpstr>tlOutput_toolRnD_D85</vt:lpstr>
      <vt:lpstr>tlOutput_toolRnD_D87</vt:lpstr>
      <vt:lpstr>tlOutput_toolRnD_D91</vt:lpstr>
      <vt:lpstr>tlOutput_toolRnD_D93</vt:lpstr>
      <vt:lpstr>tlOutput_toolRnD_D95</vt:lpstr>
      <vt:lpstr>tlOutput_toolRnD_D97</vt:lpstr>
      <vt:lpstr>tlOutput_toolRnD_D99</vt:lpstr>
      <vt:lpstr>tlOutput_toolRnD_F91</vt:lpstr>
      <vt:lpstr>tlOutput_toolRnD_F93</vt:lpstr>
      <vt:lpstr>tlOutput_toolRnD_F95</vt:lpstr>
      <vt:lpstr>tlOutput_toolRnD_F97</vt:lpstr>
      <vt:lpstr>tlOutput_toolRnD_F99</vt:lpstr>
      <vt:lpstr>tlOutput_toolRnD_G12</vt:lpstr>
      <vt:lpstr>tlOutput_toolRnD_G38</vt:lpstr>
      <vt:lpstr>tlOutput_toolRnD_I26</vt:lpstr>
      <vt:lpstr>tlOutput_toolRnD_J51</vt:lpstr>
      <vt:lpstr>tlOutput_toolRnD_J54</vt:lpstr>
      <vt:lpstr>tlOutput_toolRnD_J56</vt:lpstr>
      <vt:lpstr>tlOutput_toolRnD_J57</vt:lpstr>
      <vt:lpstr>tlOutput_toolRnD_J59</vt:lpstr>
      <vt:lpstr>tlOutput_toolRnD_J60</vt:lpstr>
      <vt:lpstr>tlOutput_toolRnD_J62</vt:lpstr>
      <vt:lpstr>tlOutput_toolRnD_J64</vt:lpstr>
      <vt:lpstr>tlOutput_toolRnD_J68</vt:lpstr>
      <vt:lpstr>tlOutput_toolRnD_J69</vt:lpstr>
      <vt:lpstr>tlOutput_toolRnD_J71</vt:lpstr>
      <vt:lpstr>tlOutput_toolRnD_J79</vt:lpstr>
      <vt:lpstr>tlOutput_toolRnD_J81</vt:lpstr>
      <vt:lpstr>tlOutput_toolRnD_J82</vt:lpstr>
      <vt:lpstr>tlOutput_toolRnD_J83</vt:lpstr>
      <vt:lpstr>tlOutput_toolRnD_J85</vt:lpstr>
      <vt:lpstr>tlOutput_toolRnD_K22</vt:lpstr>
      <vt:lpstr>tlOutput_toolRnD_K26</vt:lpstr>
      <vt:lpstr>tlOutput_toolRnD_K3</vt:lpstr>
      <vt:lpstr>tlOutput_toolRnD_K91</vt:lpstr>
      <vt:lpstr>tlOutput_toolRnD_K93</vt:lpstr>
      <vt:lpstr>tlOutput_toolRnD_K95</vt:lpstr>
      <vt:lpstr>tlOutput_toolRnD_K97</vt:lpstr>
      <vt:lpstr>tlOutput_toolRnD_K99</vt:lpstr>
      <vt:lpstr>tlOutput_toolRnD_M12</vt:lpstr>
      <vt:lpstr>tlOutput_toolRnD_M14</vt:lpstr>
      <vt:lpstr>tlOutput_toolRnD_M16</vt:lpstr>
      <vt:lpstr>tlOutput_toolRnD_M18</vt:lpstr>
      <vt:lpstr>tlOutput_toolRnD_M20</vt:lpstr>
      <vt:lpstr>tlOutput_toolRnD_M22</vt:lpstr>
      <vt:lpstr>tlOutput_toolRnD_M26</vt:lpstr>
      <vt:lpstr>tlOutput_toolRnD_N14</vt:lpstr>
      <vt:lpstr>tlOutput_toolRnD_N16</vt:lpstr>
      <vt:lpstr>tlOutput_toolRnD_N18</vt:lpstr>
      <vt:lpstr>tlOutput_toolRnD_N20</vt:lpstr>
      <vt:lpstr>tlOutput_toolRnD_N51</vt:lpstr>
      <vt:lpstr>tlOutput_toolRnD_N54</vt:lpstr>
      <vt:lpstr>tlOutput_toolRnD_N56</vt:lpstr>
      <vt:lpstr>tlOutput_toolRnD_N57</vt:lpstr>
      <vt:lpstr>tlOutput_toolRnD_N59</vt:lpstr>
      <vt:lpstr>tlOutput_toolRnD_N60</vt:lpstr>
      <vt:lpstr>tlOutput_toolRnD_N62</vt:lpstr>
      <vt:lpstr>tlOutput_toolRnD_N64</vt:lpstr>
      <vt:lpstr>tlOutput_toolRnD_N68</vt:lpstr>
      <vt:lpstr>tlOutput_toolRnD_N69</vt:lpstr>
      <vt:lpstr>tlOutput_toolRnD_N71</vt:lpstr>
      <vt:lpstr>tlOutput_toolRnD_N75</vt:lpstr>
      <vt:lpstr>tlOutput_toolRnD_N79</vt:lpstr>
      <vt:lpstr>tlOutput_toolRnD_N81</vt:lpstr>
      <vt:lpstr>tlOutput_toolRnD_N82</vt:lpstr>
      <vt:lpstr>tlOutput_toolRnD_N83</vt:lpstr>
      <vt:lpstr>tlOutput_toolRnD_N85</vt:lpstr>
      <vt:lpstr>tlOutput_toolRnD_O12</vt:lpstr>
      <vt:lpstr>tlOutput_toolRnD_O22</vt:lpstr>
      <vt:lpstr>tlOutput_toolRnD_O26</vt:lpstr>
      <vt:lpstr>tlOutput_toolRnD_O91</vt:lpstr>
      <vt:lpstr>tlOutput_toolRnD_O93</vt:lpstr>
      <vt:lpstr>tlOutput_toolRnD_O95</vt:lpstr>
      <vt:lpstr>tlOutput_toolRnD_O97</vt:lpstr>
      <vt:lpstr>tlOutput_toolRnD_O99</vt:lpstr>
      <vt:lpstr>tlOutput_toolRnD_Q12</vt:lpstr>
      <vt:lpstr>tlOutput_toolRnD_Q14</vt:lpstr>
      <vt:lpstr>tlOutput_toolRnD_Q16</vt:lpstr>
      <vt:lpstr>tlOutput_toolRnD_Q18</vt:lpstr>
      <vt:lpstr>tlOutput_toolRnD_Q20</vt:lpstr>
      <vt:lpstr>tlOutput_toolRnD_Q26</vt:lpstr>
      <vt:lpstr>tlOutput_toolRnD_Q3</vt:lpstr>
      <vt:lpstr>tlOutput_toolRnD_Q5</vt:lpstr>
      <vt:lpstr>tlOutput_toolRnD_Q7</vt:lpstr>
      <vt:lpstr>tlOutput_toolRnD_R36</vt:lpstr>
      <vt:lpstr>tlOutput_toolRnD_V12</vt:lpstr>
      <vt:lpstr>tlOutput_toolRnD_V14</vt:lpstr>
      <vt:lpstr>tlOutput_toolRnD_V16</vt:lpstr>
      <vt:lpstr>tlOutput_toolRnD_V18</vt:lpstr>
      <vt:lpstr>tlOutput_toolRnD_V20</vt:lpstr>
      <vt:lpstr>tlOutput_toolRnD_W12</vt:lpstr>
      <vt:lpstr>tlOutput_toolRnD_W14</vt:lpstr>
      <vt:lpstr>tlOutput_toolRnD_W16</vt:lpstr>
      <vt:lpstr>tlOutput_toolRnD_W18</vt:lpstr>
      <vt:lpstr>tlOutput_toolRnD_W20</vt:lpstr>
      <vt:lpstr>tlOutput_toolRnD_X12</vt:lpstr>
      <vt:lpstr>tlOutput_toolRnD_X14</vt:lpstr>
      <vt:lpstr>tlOutput_toolRnD_X16</vt:lpstr>
      <vt:lpstr>tlOutput_toolRnD_X18</vt:lpstr>
      <vt:lpstr>tlOutput_toolRnD_X20</vt:lpstr>
      <vt:lpstr>tlOutput_toolRnD_Y12</vt:lpstr>
      <vt:lpstr>tlOutput_toolRnD_Y14</vt:lpstr>
      <vt:lpstr>tlOutput_toolRnD_Y16</vt:lpstr>
      <vt:lpstr>tlOutput_toolRnD_Y18</vt:lpstr>
      <vt:lpstr>tlOutput_toolRnD_Y2</vt:lpstr>
      <vt:lpstr>tlOutput_toolRnD_Y20</vt:lpstr>
      <vt:lpstr>tlOutput_toolRnD_Y3</vt:lpstr>
      <vt:lpstr>tlOutput_toolRnD_Y54</vt:lpstr>
      <vt:lpstr>tlOutput_toolRnD_Y55</vt:lpstr>
      <vt:lpstr>tlOutput_toolRnD_Y56</vt:lpstr>
      <vt:lpstr>tlOutput_toolRnD_Y57</vt:lpstr>
      <vt:lpstr>tlOutput_toolRnD_Y58</vt:lpstr>
      <vt:lpstr>tlOutput_toolRnD_Y59</vt:lpstr>
      <vt:lpstr>tlOutput_toolRnD_Y64</vt:lpstr>
      <vt:lpstr>tlOutput_toolRnD_Y65</vt:lpstr>
      <vt:lpstr>tlOutput_toolRnD_Y66</vt:lpstr>
      <vt:lpstr>tlOutput_toolRnD_Y67</vt:lpstr>
      <vt:lpstr>tlOutput_toolRnD_Y68</vt:lpstr>
      <vt:lpstr>tlOutput_toolRnD_Y69</vt:lpstr>
      <vt:lpstr>tlOutput_toolRnD_Y70</vt:lpstr>
      <vt:lpstr>tlOutput_toolRnD_Y71</vt:lpstr>
      <vt:lpstr>tlOutput_toolRnD_Y72</vt:lpstr>
      <vt:lpstr>tlOutput_toolRnD_Y73</vt:lpstr>
      <vt:lpstr>tlOutput_toolRnD_Y75</vt:lpstr>
      <vt:lpstr>tlOutput_toolRnD_Y76</vt:lpstr>
      <vt:lpstr>tlOutput_toolRnD_Y77</vt:lpstr>
      <vt:lpstr>tlOutput_toolRnD_Y78</vt:lpstr>
      <vt:lpstr>tlOutput_toolRnD_Y79</vt:lpstr>
      <vt:lpstr>tlOutput_toolRnD_Y80</vt:lpstr>
      <vt:lpstr>tlOutput_toolRnD_Y81</vt:lpstr>
      <vt:lpstr>tlOutput_toolRnD_Y82</vt:lpstr>
      <vt:lpstr>tlOutput_toolRnD_Y83</vt:lpstr>
      <vt:lpstr>tlOutput_toolRnD_Y84</vt:lpstr>
      <vt:lpstr>tlOutput_toolRnD_Y85</vt:lpstr>
      <vt:lpstr>tlOutput_toolRnD_Y86</vt:lpstr>
      <vt:lpstr>tlOutput_toolRnD_Y87</vt:lpstr>
      <vt:lpstr>tlOutput_toolRnD_Z12</vt:lpstr>
      <vt:lpstr>tlOutput_toolRnD_Z14</vt:lpstr>
      <vt:lpstr>tlOutput_toolRnD_Z16</vt:lpstr>
      <vt:lpstr>tlOutput_toolRnD_Z18</vt:lpstr>
      <vt:lpstr>tlOutput_toolRnD_Z2</vt:lpstr>
      <vt:lpstr>tlOutput_toolRnD_Z20</vt:lpstr>
      <vt:lpstr>tlOutput_toolRnD_Z3</vt:lpstr>
      <vt:lpstr>tlOutput_toolROIC_B2</vt:lpstr>
      <vt:lpstr>tlOutput_toolROIC_D10</vt:lpstr>
      <vt:lpstr>tlOutput_toolROIC_D14</vt:lpstr>
      <vt:lpstr>tlOutput_toolROIC_D15</vt:lpstr>
      <vt:lpstr>tlOutput_toolROIC_D19</vt:lpstr>
      <vt:lpstr>tlOutput_toolROIC_D20</vt:lpstr>
      <vt:lpstr>tlOutput_toolROIC_D7</vt:lpstr>
      <vt:lpstr>tlOutput_toolROIC_D8</vt:lpstr>
      <vt:lpstr>tlOutput_toolROIC_D9</vt:lpstr>
      <vt:lpstr>tlOutput_toolROIC_E15</vt:lpstr>
      <vt:lpstr>tlOutput_toolROIC_E20</vt:lpstr>
      <vt:lpstr>tlOutput_toolROIC_G10</vt:lpstr>
      <vt:lpstr>tlOutput_toolROIC_G13</vt:lpstr>
      <vt:lpstr>tlOutput_toolROIC_G14</vt:lpstr>
      <vt:lpstr>tlOutput_toolROIC_G19</vt:lpstr>
      <vt:lpstr>tlOutput_toolROIC_G20</vt:lpstr>
      <vt:lpstr>tlOutput_toolROIC_G23</vt:lpstr>
      <vt:lpstr>tlOutput_toolROIC_G24</vt:lpstr>
      <vt:lpstr>tlOutput_toolROIC_G25</vt:lpstr>
      <vt:lpstr>tlOutput_toolROIC_G5</vt:lpstr>
      <vt:lpstr>tlOutput_toolROIC_G7</vt:lpstr>
      <vt:lpstr>tlOutput_toolROIC_G8</vt:lpstr>
      <vt:lpstr>tlOutput_toolROIC_G9</vt:lpstr>
      <vt:lpstr>tlOutput_toolROIC_H20</vt:lpstr>
      <vt:lpstr>tlOutput_toolROIC_I16</vt:lpstr>
      <vt:lpstr>tlOutput_toolROIC_I23</vt:lpstr>
      <vt:lpstr>tlOutput_toolROIC_I24</vt:lpstr>
      <vt:lpstr>tlOutput_toolROIC_I25</vt:lpstr>
      <vt:lpstr>tlOutput_toolROIC_J17</vt:lpstr>
      <vt:lpstr>tlOutput_toolROIC_J19</vt:lpstr>
      <vt:lpstr>tlOutput_toolROIC_J20</vt:lpstr>
      <vt:lpstr>tlOutput_toolROIC_K14</vt:lpstr>
      <vt:lpstr>tlOutput_toolROIC_K20</vt:lpstr>
      <vt:lpstr>tlOutput_toolROIC_M10</vt:lpstr>
      <vt:lpstr>tlOutput_toolROIC_M11</vt:lpstr>
      <vt:lpstr>tlOutput_toolROIC_M13</vt:lpstr>
      <vt:lpstr>tlOutput_toolROIC_M14</vt:lpstr>
      <vt:lpstr>tlOutput_toolROIC_M19</vt:lpstr>
      <vt:lpstr>tlOutput_toolROIC_M20</vt:lpstr>
      <vt:lpstr>tlOutput_toolROIC_M7</vt:lpstr>
      <vt:lpstr>tlOutput_toolROIC_M8</vt:lpstr>
      <vt:lpstr>tlOutput_toolROIC_M9</vt:lpstr>
      <vt:lpstr>tlOutput_toolROIC_N20</vt:lpstr>
      <vt:lpstr>tlOutput_toolROIC_P10</vt:lpstr>
      <vt:lpstr>tlOutput_toolROIC_P11</vt:lpstr>
      <vt:lpstr>tlOutput_toolROIC_P19</vt:lpstr>
      <vt:lpstr>tlOutput_toolROIC_P20</vt:lpstr>
      <vt:lpstr>tlOutput_toolROIC_P28</vt:lpstr>
      <vt:lpstr>tlOutput_toolROIC_P5</vt:lpstr>
      <vt:lpstr>tlOutput_toolROIC_P7</vt:lpstr>
      <vt:lpstr>tlOutput_toolROIC_P8</vt:lpstr>
      <vt:lpstr>tlOutput_toolROIC_P9</vt:lpstr>
      <vt:lpstr>tlOutput_toolROIC_Q28</vt:lpstr>
      <vt:lpstr>tlOutput_toolROIC_R2</vt:lpstr>
      <vt:lpstr>tlOutput_toolROIC_R28</vt:lpstr>
      <vt:lpstr>tlOutput_toolROIC_Two_B2</vt:lpstr>
      <vt:lpstr>tlOutput_toolROIC_Two_C15</vt:lpstr>
      <vt:lpstr>tlOutput_toolROIC_Two_C16</vt:lpstr>
      <vt:lpstr>tlOutput_toolROIC_Two_C17</vt:lpstr>
      <vt:lpstr>tlOutput_toolROIC_Two_C18</vt:lpstr>
      <vt:lpstr>tlOutput_toolROIC_Two_C19</vt:lpstr>
      <vt:lpstr>tlOutput_toolROIC_Two_C20</vt:lpstr>
      <vt:lpstr>tlOutput_toolROIC_Two_C21</vt:lpstr>
      <vt:lpstr>tlOutput_toolROIC_Two_C22</vt:lpstr>
      <vt:lpstr>tlOutput_toolROIC_Two_C23</vt:lpstr>
      <vt:lpstr>tlOutput_toolROIC_Two_C24</vt:lpstr>
      <vt:lpstr>tlOutput_toolROIC_Two_D11</vt:lpstr>
      <vt:lpstr>tlOutput_toolROIC_Two_D12</vt:lpstr>
      <vt:lpstr>tlOutput_toolROIC_Two_E16</vt:lpstr>
      <vt:lpstr>tlOutput_toolROIC_Two_F15</vt:lpstr>
      <vt:lpstr>tlOutput_toolROIC_Two_F16</vt:lpstr>
      <vt:lpstr>tlOutput_toolROIC_Two_F17</vt:lpstr>
      <vt:lpstr>tlOutput_toolROIC_Two_F18</vt:lpstr>
      <vt:lpstr>tlOutput_toolROIC_Two_F19</vt:lpstr>
      <vt:lpstr>tlOutput_toolROIC_Two_F20</vt:lpstr>
      <vt:lpstr>tlOutput_toolROIC_Two_F21</vt:lpstr>
      <vt:lpstr>tlOutput_toolROIC_Two_F22</vt:lpstr>
      <vt:lpstr>tlOutput_toolROIC_Two_F23</vt:lpstr>
      <vt:lpstr>tlOutput_toolROIC_Two_F24</vt:lpstr>
      <vt:lpstr>tlOutput_toolROIC_Two_G12</vt:lpstr>
      <vt:lpstr>tlOutput_toolROIC_Two_I11</vt:lpstr>
      <vt:lpstr>tlOutput_toolROIC_Two_I12</vt:lpstr>
      <vt:lpstr>tlOutput_toolROIC_Two_I15</vt:lpstr>
      <vt:lpstr>tlOutput_toolROIC_Two_I16</vt:lpstr>
      <vt:lpstr>tlOutput_toolROIC_Two_I17</vt:lpstr>
      <vt:lpstr>tlOutput_toolROIC_Two_I18</vt:lpstr>
      <vt:lpstr>tlOutput_toolROIC_Two_I19</vt:lpstr>
      <vt:lpstr>tlOutput_toolROIC_Two_I20</vt:lpstr>
      <vt:lpstr>tlOutput_toolROIC_Two_I5</vt:lpstr>
      <vt:lpstr>tlOutput_toolROIC_Two_I7</vt:lpstr>
      <vt:lpstr>tlOutput_toolROIC_Two_K12</vt:lpstr>
      <vt:lpstr>tlOutput_toolROIC_Two_L11</vt:lpstr>
      <vt:lpstr>tlOutput_toolROIC_Two_L12</vt:lpstr>
      <vt:lpstr>tlOutput_toolROIC_Two_R2</vt:lpstr>
      <vt:lpstr>tlOutput_toolROIC_Two_U21</vt:lpstr>
      <vt:lpstr>tlOutput_toolROIC_Two_U22</vt:lpstr>
      <vt:lpstr>tlOutput_toolROIC_Two_U23</vt:lpstr>
      <vt:lpstr>tlOutput_toolROIC_Two_X11</vt:lpstr>
      <vt:lpstr>tlOutput_toolROIC_Two_X12</vt:lpstr>
      <vt:lpstr>tlOutput_toolROIC_Two_X13</vt:lpstr>
      <vt:lpstr>tlOutput_toolROIC_Two_X14</vt:lpstr>
      <vt:lpstr>tlOutput_toolStrategy_A2</vt:lpstr>
      <vt:lpstr>tlOutput_toolStrategy_B10</vt:lpstr>
      <vt:lpstr>tlOutput_toolStrategy_B11</vt:lpstr>
      <vt:lpstr>tlOutput_toolStrategy_B12</vt:lpstr>
      <vt:lpstr>tlOutput_toolStrategy_B13</vt:lpstr>
      <vt:lpstr>tlOutput_toolStrategy_B15</vt:lpstr>
      <vt:lpstr>tlOutput_toolStrategy_B19</vt:lpstr>
      <vt:lpstr>tlOutput_toolStrategy_B21</vt:lpstr>
      <vt:lpstr>tlOutput_toolStrategy_B24</vt:lpstr>
      <vt:lpstr>tlOutput_toolStrategy_B26</vt:lpstr>
      <vt:lpstr>tlOutput_toolStrategy_B28</vt:lpstr>
      <vt:lpstr>tlOutput_toolStrategy_B5</vt:lpstr>
      <vt:lpstr>tlOutput_toolStrategy_B7</vt:lpstr>
      <vt:lpstr>tlOutput_toolStrategy_C12</vt:lpstr>
      <vt:lpstr>tlOutput_toolStrategy_C23</vt:lpstr>
      <vt:lpstr>tlOutput_toolStrategy_C24</vt:lpstr>
      <vt:lpstr>tlOutput_toolStrategy_C25</vt:lpstr>
      <vt:lpstr>tlOutput_toolStrategy_C26</vt:lpstr>
      <vt:lpstr>tlOutput_toolStrategy_C27</vt:lpstr>
      <vt:lpstr>tlOutput_toolStrategy_C9</vt:lpstr>
      <vt:lpstr>tlOutput_toolStrategy_D12</vt:lpstr>
      <vt:lpstr>tlOutput_toolStrategy_D23</vt:lpstr>
      <vt:lpstr>tlOutput_toolStrategy_D24</vt:lpstr>
      <vt:lpstr>tlOutput_toolStrategy_D25</vt:lpstr>
      <vt:lpstr>tlOutput_toolStrategy_D26</vt:lpstr>
      <vt:lpstr>tlOutput_toolStrategy_D27</vt:lpstr>
      <vt:lpstr>tlOutput_toolStrategy_D9</vt:lpstr>
      <vt:lpstr>tlOutput_toolStrategy_E12</vt:lpstr>
      <vt:lpstr>tlOutput_toolStrategy_E9</vt:lpstr>
      <vt:lpstr>tlOutput_toolStrategy_F10</vt:lpstr>
      <vt:lpstr>tlOutput_toolStrategy_F11</vt:lpstr>
      <vt:lpstr>tlOutput_toolStrategy_F23</vt:lpstr>
      <vt:lpstr>tlOutput_toolStrategy_F9</vt:lpstr>
      <vt:lpstr>tlOutput_toolStrategy_G13</vt:lpstr>
      <vt:lpstr>tlOutput_toolStrategy_G14</vt:lpstr>
      <vt:lpstr>tlOutput_toolStrategy_G15</vt:lpstr>
      <vt:lpstr>tlOutput_toolStrategy_G16</vt:lpstr>
      <vt:lpstr>tlOutput_toolStrategy_G17</vt:lpstr>
      <vt:lpstr>tlOutput_toolStrategy_H12</vt:lpstr>
      <vt:lpstr>tlOutput_toolStrategy_H17</vt:lpstr>
      <vt:lpstr>tlOutput_toolStrategy_H23</vt:lpstr>
      <vt:lpstr>tlOutput_toolStrategy_I12</vt:lpstr>
      <vt:lpstr>tlOutput_toolStrategy_I17</vt:lpstr>
      <vt:lpstr>tlOutput_toolStrategy_J1</vt:lpstr>
      <vt:lpstr>tlOutput_toolStrategy_J12</vt:lpstr>
      <vt:lpstr>tlOutput_toolStrategy_J13</vt:lpstr>
      <vt:lpstr>tlOutput_toolStrategy_J14</vt:lpstr>
      <vt:lpstr>tlOutput_toolStrategy_J15</vt:lpstr>
      <vt:lpstr>tlOutput_toolStrategy_J16</vt:lpstr>
      <vt:lpstr>tlOutput_toolStrategy_J23</vt:lpstr>
      <vt:lpstr>tlOutput_toolStrategy_K12</vt:lpstr>
      <vt:lpstr>tlOutput_toolStrategy_K13</vt:lpstr>
      <vt:lpstr>tlOutput_toolStrategy_K14</vt:lpstr>
      <vt:lpstr>tlOutput_toolStrategy_K15</vt:lpstr>
      <vt:lpstr>tlOutput_toolStrategy_K16</vt:lpstr>
      <vt:lpstr>tlOutput_toolTEMPLATE_C10</vt:lpstr>
      <vt:lpstr>tlOutput_toolTEMPLATE_C27</vt:lpstr>
      <vt:lpstr>tlOutput_toolTEMPLATE_G5</vt:lpstr>
      <vt:lpstr>tlOutput_toolTEMPLATE_H7</vt:lpstr>
      <vt:lpstr>tlOutput_toolTEMPLATE_J3</vt:lpstr>
      <vt:lpstr>tlOutput_toolTEMPLATE_O3</vt:lpstr>
      <vt:lpstr>tlOutput_toolVetera_B48</vt:lpstr>
      <vt:lpstr>tlOutput_toolVetera_C10</vt:lpstr>
      <vt:lpstr>tlOutput_toolVetera_C25</vt:lpstr>
      <vt:lpstr>tlOutput_toolVetera_C45</vt:lpstr>
      <vt:lpstr>tlOutput_toolVetera_C51</vt:lpstr>
      <vt:lpstr>tlOutput_toolVetera_C61</vt:lpstr>
      <vt:lpstr>tlOutput_toolVetera_C73</vt:lpstr>
      <vt:lpstr>tlOutput_toolVetera_D15</vt:lpstr>
      <vt:lpstr>tlOutput_toolVetera_D16</vt:lpstr>
      <vt:lpstr>tlOutput_toolVetera_D17</vt:lpstr>
      <vt:lpstr>tlOutput_toolVetera_D19</vt:lpstr>
      <vt:lpstr>tlOutput_toolVetera_D20</vt:lpstr>
      <vt:lpstr>tlOutput_toolVetera_D22</vt:lpstr>
      <vt:lpstr>tlOutput_toolVetera_D23</vt:lpstr>
      <vt:lpstr>tlOutput_toolVetera_D29</vt:lpstr>
      <vt:lpstr>tlOutput_toolVetera_D30</vt:lpstr>
      <vt:lpstr>tlOutput_toolVetera_D32</vt:lpstr>
      <vt:lpstr>tlOutput_toolVetera_D33</vt:lpstr>
      <vt:lpstr>tlOutput_toolVetera_D34</vt:lpstr>
      <vt:lpstr>tlOutput_toolVetera_D36</vt:lpstr>
      <vt:lpstr>tlOutput_toolVetera_D39</vt:lpstr>
      <vt:lpstr>tlOutput_toolVetera_D40</vt:lpstr>
      <vt:lpstr>tlOutput_toolVetera_D41</vt:lpstr>
      <vt:lpstr>tlOutput_toolVetera_D42</vt:lpstr>
      <vt:lpstr>tlOutput_toolVetera_D43</vt:lpstr>
      <vt:lpstr>tlOutput_toolVetera_D53</vt:lpstr>
      <vt:lpstr>tlOutput_toolVetera_D54</vt:lpstr>
      <vt:lpstr>tlOutput_toolVetera_D55</vt:lpstr>
      <vt:lpstr>tlOutput_toolVetera_D57</vt:lpstr>
      <vt:lpstr>tlOutput_toolVetera_D59</vt:lpstr>
      <vt:lpstr>tlOutput_toolVetera_D63</vt:lpstr>
      <vt:lpstr>tlOutput_toolVetera_D64</vt:lpstr>
      <vt:lpstr>tlOutput_toolVetera_D65</vt:lpstr>
      <vt:lpstr>tlOutput_toolVetera_D67</vt:lpstr>
      <vt:lpstr>tlOutput_toolVetera_D69</vt:lpstr>
      <vt:lpstr>tlOutput_toolVetera_D71</vt:lpstr>
      <vt:lpstr>tlOutput_toolVetera_D75</vt:lpstr>
      <vt:lpstr>tlOutput_toolVetera_D76</vt:lpstr>
      <vt:lpstr>tlOutput_toolVetera_D77</vt:lpstr>
      <vt:lpstr>tlOutput_toolVetera_D78</vt:lpstr>
      <vt:lpstr>tlOutput_toolVetera_D79</vt:lpstr>
      <vt:lpstr>tlOutput_toolVetera_D80</vt:lpstr>
      <vt:lpstr>tlOutput_toolVetera_D82</vt:lpstr>
      <vt:lpstr>tlOutput_toolVetera_D84</vt:lpstr>
      <vt:lpstr>tlOutput_toolVetera_G13</vt:lpstr>
      <vt:lpstr>tlOutput_toolVetera_G16</vt:lpstr>
      <vt:lpstr>tlOutput_toolVetera_G17</vt:lpstr>
      <vt:lpstr>tlOutput_toolVetera_G20</vt:lpstr>
      <vt:lpstr>tlOutput_toolVetera_G22</vt:lpstr>
      <vt:lpstr>tlOutput_toolVetera_G23</vt:lpstr>
      <vt:lpstr>tlOutput_toolVetera_G27</vt:lpstr>
      <vt:lpstr>tlOutput_toolVetera_G30</vt:lpstr>
      <vt:lpstr>tlOutput_toolVetera_G33</vt:lpstr>
      <vt:lpstr>tlOutput_toolVetera_G34</vt:lpstr>
      <vt:lpstr>tlOutput_toolVetera_G36</vt:lpstr>
      <vt:lpstr>tlOutput_toolVetera_G40</vt:lpstr>
      <vt:lpstr>tlOutput_toolVetera_G41</vt:lpstr>
      <vt:lpstr>tlOutput_toolVetera_G42</vt:lpstr>
      <vt:lpstr>tlOutput_toolVetera_G43</vt:lpstr>
      <vt:lpstr>tlOutput_toolVetera_H50</vt:lpstr>
      <vt:lpstr>tlOutput_toolVetera_H53</vt:lpstr>
      <vt:lpstr>tlOutput_toolVetera_H54</vt:lpstr>
      <vt:lpstr>tlOutput_toolVetera_H55</vt:lpstr>
      <vt:lpstr>tlOutput_toolVetera_H57</vt:lpstr>
      <vt:lpstr>tlOutput_toolVetera_H59</vt:lpstr>
      <vt:lpstr>tlOutput_toolVetera_H63</vt:lpstr>
      <vt:lpstr>tlOutput_toolVetera_H64</vt:lpstr>
      <vt:lpstr>tlOutput_toolVetera_H65</vt:lpstr>
      <vt:lpstr>tlOutput_toolVetera_H67</vt:lpstr>
      <vt:lpstr>tlOutput_toolVetera_H69</vt:lpstr>
      <vt:lpstr>tlOutput_toolVetera_H71</vt:lpstr>
      <vt:lpstr>tlOutput_toolVetera_H75</vt:lpstr>
      <vt:lpstr>tlOutput_toolVetera_H76</vt:lpstr>
      <vt:lpstr>tlOutput_toolVetera_H77</vt:lpstr>
      <vt:lpstr>tlOutput_toolVetera_H78</vt:lpstr>
      <vt:lpstr>tlOutput_toolVetera_H79</vt:lpstr>
      <vt:lpstr>tlOutput_toolVetera_H80</vt:lpstr>
      <vt:lpstr>tlOutput_toolVetera_H82</vt:lpstr>
      <vt:lpstr>tlOutput_toolVetera_H84</vt:lpstr>
      <vt:lpstr>tlOutput_toolVetera_I13</vt:lpstr>
      <vt:lpstr>tlOutput_toolVetera_I16</vt:lpstr>
      <vt:lpstr>tlOutput_toolVetera_I17</vt:lpstr>
      <vt:lpstr>tlOutput_toolVetera_I20</vt:lpstr>
      <vt:lpstr>tlOutput_toolVetera_I22</vt:lpstr>
      <vt:lpstr>tlOutput_toolVetera_I23</vt:lpstr>
      <vt:lpstr>tlOutput_toolVetera_I27</vt:lpstr>
      <vt:lpstr>tlOutput_toolVetera_I3</vt:lpstr>
      <vt:lpstr>tlOutput_toolVetera_I30</vt:lpstr>
      <vt:lpstr>tlOutput_toolVetera_I33</vt:lpstr>
      <vt:lpstr>tlOutput_toolVetera_I34</vt:lpstr>
      <vt:lpstr>tlOutput_toolVetera_I36</vt:lpstr>
      <vt:lpstr>tlOutput_toolVetera_J38</vt:lpstr>
      <vt:lpstr>tlOutput_toolVetera_K13</vt:lpstr>
      <vt:lpstr>tlOutput_toolVetera_K16</vt:lpstr>
      <vt:lpstr>tlOutput_toolVetera_K17</vt:lpstr>
      <vt:lpstr>tlOutput_toolVetera_K20</vt:lpstr>
      <vt:lpstr>tlOutput_toolVetera_K22</vt:lpstr>
      <vt:lpstr>tlOutput_toolVetera_K23</vt:lpstr>
      <vt:lpstr>tlOutput_toolVetera_K27</vt:lpstr>
      <vt:lpstr>tlOutput_toolVetera_K30</vt:lpstr>
      <vt:lpstr>tlOutput_toolVetera_K33</vt:lpstr>
      <vt:lpstr>tlOutput_toolVetera_K34</vt:lpstr>
      <vt:lpstr>tlOutput_toolVetera_K36</vt:lpstr>
      <vt:lpstr>tlOutput_toolVetera_K50</vt:lpstr>
      <vt:lpstr>tlOutput_toolVetera_K53</vt:lpstr>
      <vt:lpstr>tlOutput_toolVetera_K54</vt:lpstr>
      <vt:lpstr>tlOutput_toolVetera_K55</vt:lpstr>
      <vt:lpstr>tlOutput_toolVetera_K57</vt:lpstr>
      <vt:lpstr>tlOutput_toolVetera_K59</vt:lpstr>
      <vt:lpstr>tlOutput_toolVetera_K63</vt:lpstr>
      <vt:lpstr>tlOutput_toolVetera_K64</vt:lpstr>
      <vt:lpstr>tlOutput_toolVetera_K65</vt:lpstr>
      <vt:lpstr>tlOutput_toolVetera_K67</vt:lpstr>
      <vt:lpstr>tlOutput_toolVetera_K69</vt:lpstr>
      <vt:lpstr>tlOutput_toolVetera_K71</vt:lpstr>
      <vt:lpstr>tlOutput_toolVetera_K75</vt:lpstr>
      <vt:lpstr>tlOutput_toolVetera_K76</vt:lpstr>
      <vt:lpstr>tlOutput_toolVetera_K77</vt:lpstr>
      <vt:lpstr>tlOutput_toolVetera_K78</vt:lpstr>
      <vt:lpstr>tlOutput_toolVetera_K79</vt:lpstr>
      <vt:lpstr>tlOutput_toolVetera_K80</vt:lpstr>
      <vt:lpstr>tlOutput_toolVetera_K82</vt:lpstr>
      <vt:lpstr>tlOutput_toolVetera_K84</vt:lpstr>
      <vt:lpstr>tlOutput_toolVetera_N27</vt:lpstr>
      <vt:lpstr>tlOutput_toolVetera_N40</vt:lpstr>
      <vt:lpstr>tlOutput_toolVetera_N41</vt:lpstr>
      <vt:lpstr>tlOutput_toolVetera_N42</vt:lpstr>
      <vt:lpstr>tlOutput_toolVetera_N43</vt:lpstr>
      <vt:lpstr>tlOutput_toolVetera_N50</vt:lpstr>
      <vt:lpstr>tlOutput_toolVetera_N53</vt:lpstr>
      <vt:lpstr>tlOutput_toolVetera_N54</vt:lpstr>
      <vt:lpstr>tlOutput_toolVetera_N55</vt:lpstr>
      <vt:lpstr>tlOutput_toolVetera_N57</vt:lpstr>
      <vt:lpstr>tlOutput_toolVetera_N59</vt:lpstr>
      <vt:lpstr>tlOutput_toolVetera_N63</vt:lpstr>
      <vt:lpstr>tlOutput_toolVetera_N64</vt:lpstr>
      <vt:lpstr>tlOutput_toolVetera_N65</vt:lpstr>
      <vt:lpstr>tlOutput_toolVetera_N67</vt:lpstr>
      <vt:lpstr>tlOutput_toolVetera_N69</vt:lpstr>
      <vt:lpstr>tlOutput_toolVetera_N71</vt:lpstr>
      <vt:lpstr>tlOutput_toolVetera_N75</vt:lpstr>
      <vt:lpstr>tlOutput_toolVetera_N76</vt:lpstr>
      <vt:lpstr>tlOutput_toolVetera_N77</vt:lpstr>
      <vt:lpstr>tlOutput_toolVetera_N78</vt:lpstr>
      <vt:lpstr>tlOutput_toolVetera_N79</vt:lpstr>
      <vt:lpstr>tlOutput_toolVetera_N80</vt:lpstr>
      <vt:lpstr>tlOutput_toolVetera_N82</vt:lpstr>
      <vt:lpstr>tlOutput_toolVetera_N84</vt:lpstr>
      <vt:lpstr>tlOutput_toolVetera_O12</vt:lpstr>
      <vt:lpstr>tlOutput_toolVetera_O38</vt:lpstr>
      <vt:lpstr>tlOutput_toolVetera_O40</vt:lpstr>
      <vt:lpstr>tlOutput_toolVetera_O41</vt:lpstr>
      <vt:lpstr>tlOutput_toolVetera_O42</vt:lpstr>
      <vt:lpstr>tlOutput_toolVetera_O43</vt:lpstr>
      <vt:lpstr>tlOutput_toolVetera_P3</vt:lpstr>
      <vt:lpstr>tlOutput_toolVetera_P5</vt:lpstr>
      <vt:lpstr>tlOutput_toolVetera_P7</vt:lpstr>
      <vt:lpstr>tlOutput_toolVetera_Q48</vt:lpstr>
      <vt:lpstr>tlOutput_toolVetera_W2</vt:lpstr>
      <vt:lpstr>tlOutput_toolVetera_W3</vt:lpstr>
      <vt:lpstr>tlOutput_toolVetera_X2</vt:lpstr>
      <vt:lpstr>tlOutput_toolVetera_X3</vt:lpstr>
      <vt:lpstr>tlOutputBreakThroughInnov1Unlock</vt:lpstr>
      <vt:lpstr>tlOutputBreakThroughInnov1UnlockRd3</vt:lpstr>
      <vt:lpstr>tlOutputBreakThroughInnov2UnlockRd3</vt:lpstr>
      <vt:lpstr>tlOutputBreakThroughUnlock</vt:lpstr>
      <vt:lpstr>tlOutputBreakThroughUnlock1</vt:lpstr>
      <vt:lpstr>tlOutputBreakThroughUnlock2</vt:lpstr>
      <vt:lpstr>tlOutputBreakThroughUnlock3</vt:lpstr>
      <vt:lpstr>tlOutputBreakThroughUnlock4</vt:lpstr>
      <vt:lpstr>tlOutputDisruptionSelectedError</vt:lpstr>
      <vt:lpstr>tlOutputInnovationSelectedError</vt:lpstr>
      <vt:lpstr>tlOutputLaborUtilizationError</vt:lpstr>
      <vt:lpstr>tlOutputNewProdUnlock</vt:lpstr>
      <vt:lpstr>tlOutputPlantUtilizationError</vt:lpstr>
      <vt:lpstr>tlOutputRnDFocus3Unlock</vt:lpstr>
      <vt:lpstr>tlOutputRnDFocus3UnlockRd3</vt:lpstr>
      <vt:lpstr>tlOutputRnDFocus4UnlockRd3</vt:lpstr>
      <vt:lpstr>tlOutputStrategyCommit</vt:lpstr>
      <vt:lpstr>tlPositioningStatements</vt:lpstr>
      <vt:lpstr>toolAnalyVisionClear</vt:lpstr>
      <vt:lpstr>mmProd2!xxAdjustmentMM</vt:lpstr>
      <vt:lpstr>mmProd3!xxAdjustmentMM</vt:lpstr>
      <vt:lpstr>mmProd4!xxAdjustmentMM</vt:lpstr>
      <vt:lpstr>mmProd5!xxAdjustmentMM</vt:lpstr>
      <vt:lpstr>mmProd6!xxAdjustmentMM</vt:lpstr>
      <vt:lpstr>xxAdjustmentMM</vt:lpstr>
      <vt:lpstr>xxcbalNewYearCopy</vt:lpstr>
      <vt:lpstr>xxContLangCode</vt:lpstr>
      <vt:lpstr>xxControlTeamNames</vt:lpstr>
      <vt:lpstr>xxDashboard</vt:lpstr>
      <vt:lpstr>xxDecErrorCount</vt:lpstr>
      <vt:lpstr>xxDecErrorRange</vt:lpstr>
      <vt:lpstr>xxDecResetValues</vt:lpstr>
      <vt:lpstr>xxDecValuesCopy</vt:lpstr>
      <vt:lpstr>xxDecValuesPaste</vt:lpstr>
      <vt:lpstr>xxDecXDataImport</vt:lpstr>
      <vt:lpstr>xxffbResetCopy</vt:lpstr>
      <vt:lpstr>xxffbResetPaste</vt:lpstr>
      <vt:lpstr>xxGSSDashboard</vt:lpstr>
      <vt:lpstr>xxHoodClose</vt:lpstr>
      <vt:lpstr>xxIndexTeam</vt:lpstr>
      <vt:lpstr>xxMMProd1Driver1</vt:lpstr>
      <vt:lpstr>xxMMProd1Driver10</vt:lpstr>
      <vt:lpstr>xxMMProd1Driver2</vt:lpstr>
      <vt:lpstr>xxMMProd1Driver3</vt:lpstr>
      <vt:lpstr>xxMMProd1Driver4</vt:lpstr>
      <vt:lpstr>xxMMProd1Driver5</vt:lpstr>
      <vt:lpstr>xxMMProd1Driver6</vt:lpstr>
      <vt:lpstr>xxMMProd1Driver7</vt:lpstr>
      <vt:lpstr>xxMMProd1Driver8</vt:lpstr>
      <vt:lpstr>xxMMProd1Driver9</vt:lpstr>
      <vt:lpstr>xxMMProd1Seg1Units</vt:lpstr>
      <vt:lpstr>xxMMProd1Seg2Units</vt:lpstr>
      <vt:lpstr>xxMMProd1Seg3Units</vt:lpstr>
      <vt:lpstr>xxMMProd1Seg4Units</vt:lpstr>
      <vt:lpstr>xxMMProd1Seg5Units</vt:lpstr>
      <vt:lpstr>xxMMProd1Units</vt:lpstr>
      <vt:lpstr>xxMMProd2Driver1</vt:lpstr>
      <vt:lpstr>xxMMProd2Driver10</vt:lpstr>
      <vt:lpstr>xxMMProd2Driver2</vt:lpstr>
      <vt:lpstr>xxMMProd2Driver3</vt:lpstr>
      <vt:lpstr>xxMMProd2Driver4</vt:lpstr>
      <vt:lpstr>xxMMProd2Driver5</vt:lpstr>
      <vt:lpstr>xxMMProd2Driver6</vt:lpstr>
      <vt:lpstr>xxMMProd2Driver7</vt:lpstr>
      <vt:lpstr>xxMMProd2Driver8</vt:lpstr>
      <vt:lpstr>xxMMProd2Driver9</vt:lpstr>
      <vt:lpstr>xxMMProd2Seg1Units</vt:lpstr>
      <vt:lpstr>xxMMProd2Seg2Units</vt:lpstr>
      <vt:lpstr>xxMMProd2Seg3Units</vt:lpstr>
      <vt:lpstr>xxMMProd2Seg4Units</vt:lpstr>
      <vt:lpstr>xxMMProd2Seg5Units</vt:lpstr>
      <vt:lpstr>xxMMProd2Units</vt:lpstr>
      <vt:lpstr>xxMMProd3Driver1</vt:lpstr>
      <vt:lpstr>xxMMProd3Driver10</vt:lpstr>
      <vt:lpstr>xxMMProd3Driver2</vt:lpstr>
      <vt:lpstr>xxMMProd3Driver3</vt:lpstr>
      <vt:lpstr>xxMMProd3Driver4</vt:lpstr>
      <vt:lpstr>xxMMProd3Driver5</vt:lpstr>
      <vt:lpstr>xxMMProd3Driver6</vt:lpstr>
      <vt:lpstr>xxMMProd3Driver7</vt:lpstr>
      <vt:lpstr>xxMMProd3Driver8</vt:lpstr>
      <vt:lpstr>xxMMProd3Driver9</vt:lpstr>
      <vt:lpstr>xxMMProd3Seg1Units</vt:lpstr>
      <vt:lpstr>xxMMProd3Seg2Units</vt:lpstr>
      <vt:lpstr>xxMMProd3Seg3Units</vt:lpstr>
      <vt:lpstr>xxMMProd3Seg4Units</vt:lpstr>
      <vt:lpstr>xxMMProd3Seg5Units</vt:lpstr>
      <vt:lpstr>xxMMProd3Units</vt:lpstr>
      <vt:lpstr>xxMMProd4Driver1</vt:lpstr>
      <vt:lpstr>xxMMProd4Driver10</vt:lpstr>
      <vt:lpstr>xxMMProd4Driver2</vt:lpstr>
      <vt:lpstr>xxMMProd4Driver3</vt:lpstr>
      <vt:lpstr>xxMMProd4Driver4</vt:lpstr>
      <vt:lpstr>xxMMProd4Driver5</vt:lpstr>
      <vt:lpstr>xxMMProd4Driver6</vt:lpstr>
      <vt:lpstr>xxMMProd4Driver7</vt:lpstr>
      <vt:lpstr>xxMMProd4Driver8</vt:lpstr>
      <vt:lpstr>xxMMProd4Driver9</vt:lpstr>
      <vt:lpstr>xxMMProd4Seg1Units</vt:lpstr>
      <vt:lpstr>xxMMProd4Seg2Units</vt:lpstr>
      <vt:lpstr>xxMMProd4Seg3Units</vt:lpstr>
      <vt:lpstr>xxMMProd4Seg4Units</vt:lpstr>
      <vt:lpstr>xxMMProd4Seg5Units</vt:lpstr>
      <vt:lpstr>xxMMProd4Units</vt:lpstr>
      <vt:lpstr>xxMMProd5Driver1</vt:lpstr>
      <vt:lpstr>xxMMProd5Driver10</vt:lpstr>
      <vt:lpstr>xxMMProd5Driver2</vt:lpstr>
      <vt:lpstr>xxMMProd5Driver3</vt:lpstr>
      <vt:lpstr>xxMMProd5Driver4</vt:lpstr>
      <vt:lpstr>xxMMProd5Driver5</vt:lpstr>
      <vt:lpstr>xxMMProd5Driver6</vt:lpstr>
      <vt:lpstr>xxMMProd5Driver7</vt:lpstr>
      <vt:lpstr>xxMMProd5Driver8</vt:lpstr>
      <vt:lpstr>xxMMProd5Driver9</vt:lpstr>
      <vt:lpstr>xxMMProd5Seg1Units</vt:lpstr>
      <vt:lpstr>xxMMProd5Seg2Units</vt:lpstr>
      <vt:lpstr>xxMMProd5Seg3Units</vt:lpstr>
      <vt:lpstr>xxMMProd5Seg4Units</vt:lpstr>
      <vt:lpstr>xxMMProd5Seg5Units</vt:lpstr>
      <vt:lpstr>xxMMProd5Units</vt:lpstr>
      <vt:lpstr>xxMMProd6Driver1</vt:lpstr>
      <vt:lpstr>xxMMProd6Driver10</vt:lpstr>
      <vt:lpstr>xxMMProd6Driver2</vt:lpstr>
      <vt:lpstr>xxMMProd6Driver3</vt:lpstr>
      <vt:lpstr>xxMMProd6Driver4</vt:lpstr>
      <vt:lpstr>xxMMProd6Driver5</vt:lpstr>
      <vt:lpstr>xxMMProd6Driver6</vt:lpstr>
      <vt:lpstr>xxMMProd6Driver7</vt:lpstr>
      <vt:lpstr>xxMMProd6Driver8</vt:lpstr>
      <vt:lpstr>xxMMProd6Driver9</vt:lpstr>
      <vt:lpstr>xxMMProd6Seg1Units</vt:lpstr>
      <vt:lpstr>xxMMProd6Seg2Units</vt:lpstr>
      <vt:lpstr>xxMMProd6Seg3Units</vt:lpstr>
      <vt:lpstr>xxMMProd6Seg4Units</vt:lpstr>
      <vt:lpstr>xxMMProd6Seg5Units</vt:lpstr>
      <vt:lpstr>xxMMProd6Units</vt:lpstr>
      <vt:lpstr>xxNumOfTeams</vt:lpstr>
      <vt:lpstr>xxobalTeam1</vt:lpstr>
      <vt:lpstr>xxobalYear0Copy</vt:lpstr>
      <vt:lpstr>xxobalYear1Copy</vt:lpstr>
      <vt:lpstr>xxOpsDashboard</vt:lpstr>
      <vt:lpstr>xxProd1BaseUnits</vt:lpstr>
      <vt:lpstr>xxProd1Year0Vol</vt:lpstr>
      <vt:lpstr>xxProd2BaseUnits</vt:lpstr>
      <vt:lpstr>xxProd3BaseUnits</vt:lpstr>
      <vt:lpstr>xxProd4BaseUnits</vt:lpstr>
      <vt:lpstr>xxProd5BaseUnits</vt:lpstr>
      <vt:lpstr>xxProd6BaseUnits</vt:lpstr>
      <vt:lpstr>xxQAT</vt:lpstr>
      <vt:lpstr>xxRankYear0</vt:lpstr>
      <vt:lpstr>xxRankYear1</vt:lpstr>
      <vt:lpstr>xxRankYear2</vt:lpstr>
      <vt:lpstr>xxRankYear3</vt:lpstr>
      <vt:lpstr>xxRankYear4</vt:lpstr>
      <vt:lpstr>xxReg1Dashboard</vt:lpstr>
      <vt:lpstr>xxReg2Dashboard</vt:lpstr>
      <vt:lpstr>xxResetDecXFormulasCopy</vt:lpstr>
      <vt:lpstr>xxRnDDashboard</vt:lpstr>
      <vt:lpstr>xxSim0Tool1</vt:lpstr>
      <vt:lpstr>xxSpecProgClear</vt:lpstr>
      <vt:lpstr>xxtlInputColorLocked</vt:lpstr>
      <vt:lpstr>xxtlInputColorUnLocked</vt:lpstr>
      <vt:lpstr>xxtoolIntroZoom</vt:lpstr>
      <vt:lpstr>xxToolMenuItems</vt:lpstr>
      <vt:lpstr>xxWinMetricYear0</vt:lpstr>
      <vt:lpstr>xxWinMetricYear1</vt:lpstr>
      <vt:lpstr>xxWinMetricYear2</vt:lpstr>
      <vt:lpstr>xxWinMetricYear3</vt:lpstr>
      <vt:lpstr>xxWinMetricYear4</vt:lpstr>
      <vt:lpstr>xxWobblersCurrent</vt:lpstr>
      <vt:lpstr>xxWobblersUsed</vt:lpstr>
      <vt:lpstr>xxWobblersValid</vt:lpstr>
      <vt:lpstr>xxYear</vt:lpstr>
      <vt:lpstr>xxYear0Copy</vt:lpstr>
    </vt:vector>
  </TitlesOfParts>
  <Company>BTS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Inc.</dc:creator>
  <cp:lastModifiedBy>Sagar Bansal</cp:lastModifiedBy>
  <cp:lastPrinted>2015-03-20T14:00:34Z</cp:lastPrinted>
  <dcterms:created xsi:type="dcterms:W3CDTF">1999-02-11T11:08:19Z</dcterms:created>
  <dcterms:modified xsi:type="dcterms:W3CDTF">2018-06-10T21:32:21Z</dcterms:modified>
</cp:coreProperties>
</file>